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mera\res papers\NUE, tillage. postdoc, peer j\paper, NUE, WUE, DP\Peer J, after revision\minor revisions\"/>
    </mc:Choice>
  </mc:AlternateContent>
  <xr:revisionPtr revIDLastSave="0" documentId="8_{D4347934-CDE5-41CB-91C3-40F7F2A1010B}" xr6:coauthVersionLast="45" xr6:coauthVersionMax="45" xr10:uidLastSave="{00000000-0000-0000-0000-000000000000}"/>
  <bookViews>
    <workbookView xWindow="-110" yWindow="-110" windowWidth="19420" windowHeight="10420" activeTab="5" xr2:uid="{4F7A411D-E0CD-4CAA-8E8C-FBE76507F089}"/>
  </bookViews>
  <sheets>
    <sheet name="Sheet1" sheetId="1" r:id="rId1"/>
    <sheet name="correlation" sheetId="3" r:id="rId2"/>
    <sheet name="anova" sheetId="2" r:id="rId3"/>
    <sheet name="evapotranspiration" sheetId="4" r:id="rId4"/>
    <sheet name="dry biomass" sheetId="5" r:id="rId5"/>
    <sheet name="biomass2" sheetId="6" r:id="rId6"/>
    <sheet name="precipitation" sheetId="7" r:id="rId7"/>
    <sheet name="SWS" sheetId="8" r:id="rId8"/>
    <sheet name="Sheet10" sheetId="10" r:id="rId9"/>
    <sheet name="Plant N" sheetId="11" r:id="rId10"/>
    <sheet name="yield " sheetId="12" r:id="rId11"/>
    <sheet name="anova2" sheetId="13" r:id="rId12"/>
    <sheet name="WUE" sheetId="9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75" i="13" l="1"/>
  <c r="AJ74" i="13"/>
  <c r="AJ73" i="13"/>
  <c r="AJ72" i="13"/>
  <c r="AJ71" i="13"/>
  <c r="AJ70" i="13"/>
  <c r="AJ69" i="13"/>
  <c r="AJ68" i="13"/>
  <c r="AJ67" i="13"/>
  <c r="AJ66" i="13"/>
  <c r="AJ65" i="13"/>
  <c r="AJ64" i="13"/>
  <c r="AJ63" i="13"/>
  <c r="AJ62" i="13"/>
  <c r="AJ61" i="13"/>
  <c r="AJ60" i="13"/>
  <c r="AJ59" i="13"/>
  <c r="AJ58" i="13"/>
  <c r="AJ57" i="13"/>
  <c r="AJ56" i="13"/>
  <c r="AJ55" i="13"/>
  <c r="AJ54" i="13"/>
  <c r="AJ53" i="13"/>
  <c r="AJ52" i="13"/>
  <c r="AJ51" i="13"/>
  <c r="AJ50" i="13"/>
  <c r="AJ49" i="13"/>
  <c r="AJ48" i="13"/>
  <c r="AJ47" i="13"/>
  <c r="AJ46" i="13"/>
  <c r="AJ45" i="13"/>
  <c r="AJ44" i="13"/>
  <c r="AJ43" i="13"/>
  <c r="AJ42" i="13"/>
  <c r="AJ41" i="13"/>
  <c r="AJ40" i="13"/>
  <c r="AJ39" i="13"/>
  <c r="AJ38" i="13"/>
  <c r="AJ37" i="13"/>
  <c r="AJ36" i="13"/>
  <c r="AJ35" i="13"/>
  <c r="AJ34" i="13"/>
  <c r="AJ33" i="13"/>
  <c r="AJ32" i="13"/>
  <c r="AJ31" i="13"/>
  <c r="AJ30" i="13"/>
  <c r="AJ29" i="13"/>
  <c r="AJ28" i="13"/>
  <c r="AJ27" i="13"/>
  <c r="AJ26" i="13"/>
  <c r="AJ25" i="13"/>
  <c r="AJ24" i="13"/>
  <c r="AJ23" i="13"/>
  <c r="AJ22" i="13"/>
  <c r="AJ21" i="13"/>
  <c r="AJ20" i="13"/>
  <c r="AJ19" i="13"/>
  <c r="AJ18" i="13"/>
  <c r="AJ17" i="13"/>
  <c r="AJ16" i="13"/>
  <c r="AJ15" i="13"/>
  <c r="AJ14" i="13"/>
  <c r="AJ13" i="13"/>
  <c r="AJ12" i="13"/>
  <c r="AJ11" i="13"/>
  <c r="AJ10" i="13"/>
  <c r="AJ9" i="13"/>
  <c r="AJ8" i="13"/>
  <c r="AJ7" i="13"/>
  <c r="AJ6" i="13"/>
  <c r="AJ5" i="13"/>
  <c r="AJ4" i="13"/>
  <c r="S36" i="12"/>
  <c r="U36" i="12" s="1"/>
  <c r="P36" i="12"/>
  <c r="O36" i="12"/>
  <c r="K36" i="12"/>
  <c r="J36" i="12"/>
  <c r="F36" i="12"/>
  <c r="E36" i="12"/>
  <c r="U35" i="12"/>
  <c r="S35" i="12"/>
  <c r="P35" i="12"/>
  <c r="O35" i="12"/>
  <c r="K35" i="12"/>
  <c r="J35" i="12"/>
  <c r="F35" i="12"/>
  <c r="E35" i="12"/>
  <c r="U34" i="12"/>
  <c r="S34" i="12"/>
  <c r="P34" i="12"/>
  <c r="O34" i="12"/>
  <c r="K34" i="12"/>
  <c r="J34" i="12"/>
  <c r="F34" i="12"/>
  <c r="E34" i="12"/>
  <c r="U33" i="12"/>
  <c r="S33" i="12"/>
  <c r="P33" i="12"/>
  <c r="O33" i="12"/>
  <c r="K33" i="12"/>
  <c r="J33" i="12"/>
  <c r="F33" i="12"/>
  <c r="E33" i="12"/>
  <c r="U32" i="12"/>
  <c r="S32" i="12"/>
  <c r="P32" i="12"/>
  <c r="O32" i="12"/>
  <c r="K32" i="12"/>
  <c r="J32" i="12"/>
  <c r="F32" i="12"/>
  <c r="E32" i="12"/>
  <c r="U31" i="12"/>
  <c r="S31" i="12"/>
  <c r="P31" i="12"/>
  <c r="O31" i="12"/>
  <c r="K31" i="12"/>
  <c r="J31" i="12"/>
  <c r="F31" i="12"/>
  <c r="E31" i="12"/>
  <c r="U30" i="12"/>
  <c r="S30" i="12"/>
  <c r="P30" i="12"/>
  <c r="O30" i="12"/>
  <c r="K30" i="12"/>
  <c r="J30" i="12"/>
  <c r="F30" i="12"/>
  <c r="E30" i="12"/>
  <c r="U29" i="12"/>
  <c r="S29" i="12"/>
  <c r="P29" i="12"/>
  <c r="O29" i="12"/>
  <c r="K29" i="12"/>
  <c r="J29" i="12"/>
  <c r="F29" i="12"/>
  <c r="E29" i="12"/>
  <c r="AC24" i="12"/>
  <c r="AE24" i="12" s="1"/>
  <c r="AB24" i="12"/>
  <c r="Z24" i="12"/>
  <c r="Y24" i="12"/>
  <c r="U24" i="12"/>
  <c r="T24" i="12"/>
  <c r="P24" i="12"/>
  <c r="O24" i="12"/>
  <c r="K24" i="12"/>
  <c r="J24" i="12"/>
  <c r="F24" i="12"/>
  <c r="E24" i="12"/>
  <c r="AC23" i="12"/>
  <c r="AB23" i="12"/>
  <c r="AD23" i="12" s="1"/>
  <c r="Z23" i="12"/>
  <c r="Y23" i="12"/>
  <c r="U23" i="12"/>
  <c r="T23" i="12"/>
  <c r="P23" i="12"/>
  <c r="O23" i="12"/>
  <c r="K23" i="12"/>
  <c r="J23" i="12"/>
  <c r="F23" i="12"/>
  <c r="E23" i="12"/>
  <c r="AD22" i="12"/>
  <c r="AC22" i="12"/>
  <c r="AB22" i="12"/>
  <c r="Z22" i="12"/>
  <c r="Y22" i="12"/>
  <c r="U22" i="12"/>
  <c r="T22" i="12"/>
  <c r="P22" i="12"/>
  <c r="O22" i="12"/>
  <c r="K22" i="12"/>
  <c r="J22" i="12"/>
  <c r="F22" i="12"/>
  <c r="E22" i="12"/>
  <c r="AC21" i="12"/>
  <c r="AB21" i="12"/>
  <c r="Z21" i="12"/>
  <c r="Y21" i="12"/>
  <c r="U21" i="12"/>
  <c r="T21" i="12"/>
  <c r="P21" i="12"/>
  <c r="O21" i="12"/>
  <c r="K21" i="12"/>
  <c r="J21" i="12"/>
  <c r="F21" i="12"/>
  <c r="E21" i="12"/>
  <c r="AC20" i="12"/>
  <c r="AB20" i="12"/>
  <c r="Z20" i="12"/>
  <c r="Y20" i="12"/>
  <c r="AD20" i="12" s="1"/>
  <c r="U20" i="12"/>
  <c r="AE20" i="12" s="1"/>
  <c r="T20" i="12"/>
  <c r="P20" i="12"/>
  <c r="O20" i="12"/>
  <c r="K20" i="12"/>
  <c r="J20" i="12"/>
  <c r="F20" i="12"/>
  <c r="E20" i="12"/>
  <c r="AE19" i="12"/>
  <c r="AC19" i="12"/>
  <c r="AB19" i="12"/>
  <c r="Z19" i="12"/>
  <c r="Y19" i="12"/>
  <c r="U19" i="12"/>
  <c r="T19" i="12"/>
  <c r="AD19" i="12" s="1"/>
  <c r="P19" i="12"/>
  <c r="O19" i="12"/>
  <c r="K19" i="12"/>
  <c r="J19" i="12"/>
  <c r="F19" i="12"/>
  <c r="E19" i="12"/>
  <c r="AC18" i="12"/>
  <c r="AB18" i="12"/>
  <c r="AE18" i="12" s="1"/>
  <c r="Z18" i="12"/>
  <c r="Y18" i="12"/>
  <c r="U18" i="12"/>
  <c r="T18" i="12"/>
  <c r="P18" i="12"/>
  <c r="O18" i="12"/>
  <c r="K18" i="12"/>
  <c r="J18" i="12"/>
  <c r="F18" i="12"/>
  <c r="E18" i="12"/>
  <c r="AC17" i="12"/>
  <c r="AB17" i="12"/>
  <c r="Z17" i="12"/>
  <c r="Y17" i="12"/>
  <c r="U17" i="12"/>
  <c r="T17" i="12"/>
  <c r="P17" i="12"/>
  <c r="O17" i="12"/>
  <c r="K17" i="12"/>
  <c r="J17" i="12"/>
  <c r="F17" i="12"/>
  <c r="E17" i="12"/>
  <c r="AC12" i="12"/>
  <c r="AB12" i="12"/>
  <c r="U12" i="12"/>
  <c r="T12" i="12"/>
  <c r="AD12" i="12" s="1"/>
  <c r="P12" i="12"/>
  <c r="O12" i="12"/>
  <c r="K12" i="12"/>
  <c r="J12" i="12"/>
  <c r="F12" i="12"/>
  <c r="E12" i="12"/>
  <c r="AD11" i="12"/>
  <c r="AC11" i="12"/>
  <c r="AB11" i="12"/>
  <c r="U11" i="12"/>
  <c r="T11" i="12"/>
  <c r="P11" i="12"/>
  <c r="O11" i="12"/>
  <c r="K11" i="12"/>
  <c r="J11" i="12"/>
  <c r="F11" i="12"/>
  <c r="E11" i="12"/>
  <c r="AC10" i="12"/>
  <c r="AB10" i="12"/>
  <c r="U10" i="12"/>
  <c r="T10" i="12"/>
  <c r="AD10" i="12" s="1"/>
  <c r="P10" i="12"/>
  <c r="O10" i="12"/>
  <c r="K10" i="12"/>
  <c r="J10" i="12"/>
  <c r="F10" i="12"/>
  <c r="E10" i="12"/>
  <c r="AC9" i="12"/>
  <c r="AB9" i="12"/>
  <c r="U9" i="12"/>
  <c r="T9" i="12"/>
  <c r="AD9" i="12" s="1"/>
  <c r="P9" i="12"/>
  <c r="O9" i="12"/>
  <c r="K9" i="12"/>
  <c r="J9" i="12"/>
  <c r="F9" i="12"/>
  <c r="E9" i="12"/>
  <c r="AD8" i="12"/>
  <c r="AC8" i="12"/>
  <c r="AB8" i="12"/>
  <c r="U8" i="12"/>
  <c r="T8" i="12"/>
  <c r="P8" i="12"/>
  <c r="O8" i="12"/>
  <c r="K8" i="12"/>
  <c r="J8" i="12"/>
  <c r="F8" i="12"/>
  <c r="E8" i="12"/>
  <c r="AC7" i="12"/>
  <c r="AB7" i="12"/>
  <c r="U7" i="12"/>
  <c r="T7" i="12"/>
  <c r="AD7" i="12" s="1"/>
  <c r="P7" i="12"/>
  <c r="O7" i="12"/>
  <c r="K7" i="12"/>
  <c r="J7" i="12"/>
  <c r="F7" i="12"/>
  <c r="E7" i="12"/>
  <c r="AC6" i="12"/>
  <c r="AB6" i="12"/>
  <c r="U6" i="12"/>
  <c r="T6" i="12"/>
  <c r="AD6" i="12" s="1"/>
  <c r="P6" i="12"/>
  <c r="O6" i="12"/>
  <c r="K6" i="12"/>
  <c r="J6" i="12"/>
  <c r="F6" i="12"/>
  <c r="E6" i="12"/>
  <c r="AD5" i="12"/>
  <c r="AC5" i="12"/>
  <c r="AB5" i="12"/>
  <c r="U5" i="12"/>
  <c r="T5" i="12"/>
  <c r="P5" i="12"/>
  <c r="O5" i="12"/>
  <c r="K5" i="12"/>
  <c r="J5" i="12"/>
  <c r="F5" i="12"/>
  <c r="E5" i="12"/>
  <c r="P52" i="11"/>
  <c r="O52" i="11"/>
  <c r="P51" i="11"/>
  <c r="O51" i="11"/>
  <c r="P50" i="11"/>
  <c r="O50" i="11"/>
  <c r="P49" i="11"/>
  <c r="O49" i="11"/>
  <c r="P48" i="11"/>
  <c r="O48" i="11"/>
  <c r="P47" i="11"/>
  <c r="O47" i="11"/>
  <c r="P46" i="11"/>
  <c r="O46" i="11"/>
  <c r="P45" i="11"/>
  <c r="O45" i="11"/>
  <c r="P44" i="11"/>
  <c r="O44" i="11"/>
  <c r="P43" i="11"/>
  <c r="O43" i="11"/>
  <c r="P42" i="11"/>
  <c r="O42" i="11"/>
  <c r="P41" i="11"/>
  <c r="O41" i="11"/>
  <c r="P35" i="11"/>
  <c r="O35" i="11"/>
  <c r="P34" i="11"/>
  <c r="O34" i="11"/>
  <c r="P33" i="11"/>
  <c r="O33" i="11"/>
  <c r="P32" i="11"/>
  <c r="O32" i="11"/>
  <c r="P31" i="11"/>
  <c r="O31" i="11"/>
  <c r="P30" i="11"/>
  <c r="O30" i="11"/>
  <c r="P29" i="11"/>
  <c r="O29" i="11"/>
  <c r="P28" i="11"/>
  <c r="O28" i="11"/>
  <c r="P27" i="11"/>
  <c r="O27" i="11"/>
  <c r="P26" i="11"/>
  <c r="O26" i="11"/>
  <c r="P25" i="11"/>
  <c r="O25" i="11"/>
  <c r="P24" i="11"/>
  <c r="O24" i="11"/>
  <c r="P17" i="11"/>
  <c r="O17" i="11"/>
  <c r="P16" i="11"/>
  <c r="O16" i="11"/>
  <c r="P15" i="11"/>
  <c r="O15" i="11"/>
  <c r="P14" i="11"/>
  <c r="O14" i="11"/>
  <c r="P13" i="11"/>
  <c r="O13" i="11"/>
  <c r="P12" i="11"/>
  <c r="O12" i="11"/>
  <c r="P11" i="11"/>
  <c r="O11" i="11"/>
  <c r="P10" i="11"/>
  <c r="O10" i="11"/>
  <c r="P9" i="11"/>
  <c r="O9" i="11"/>
  <c r="P8" i="11"/>
  <c r="O8" i="11"/>
  <c r="P7" i="11"/>
  <c r="O7" i="11"/>
  <c r="P6" i="11"/>
  <c r="O6" i="11"/>
  <c r="AE34" i="10"/>
  <c r="AD34" i="10"/>
  <c r="X34" i="10"/>
  <c r="W34" i="10"/>
  <c r="U34" i="10"/>
  <c r="T34" i="10"/>
  <c r="P34" i="10"/>
  <c r="O34" i="10"/>
  <c r="K34" i="10"/>
  <c r="J34" i="10"/>
  <c r="F34" i="10"/>
  <c r="E34" i="10"/>
  <c r="AE33" i="10"/>
  <c r="AD33" i="10"/>
  <c r="X33" i="10"/>
  <c r="W33" i="10"/>
  <c r="Y33" i="10" s="1"/>
  <c r="U33" i="10"/>
  <c r="T33" i="10"/>
  <c r="P33" i="10"/>
  <c r="O33" i="10"/>
  <c r="K33" i="10"/>
  <c r="J33" i="10"/>
  <c r="F33" i="10"/>
  <c r="E33" i="10"/>
  <c r="AE32" i="10"/>
  <c r="AD32" i="10"/>
  <c r="X32" i="10"/>
  <c r="W32" i="10"/>
  <c r="Y32" i="10" s="1"/>
  <c r="U32" i="10"/>
  <c r="T32" i="10"/>
  <c r="P32" i="10"/>
  <c r="O32" i="10"/>
  <c r="K32" i="10"/>
  <c r="J32" i="10"/>
  <c r="F32" i="10"/>
  <c r="E32" i="10"/>
  <c r="AE31" i="10"/>
  <c r="AD31" i="10"/>
  <c r="X31" i="10"/>
  <c r="W31" i="10"/>
  <c r="U31" i="10"/>
  <c r="T31" i="10"/>
  <c r="P31" i="10"/>
  <c r="O31" i="10"/>
  <c r="K31" i="10"/>
  <c r="J31" i="10"/>
  <c r="F31" i="10"/>
  <c r="E31" i="10"/>
  <c r="AE30" i="10"/>
  <c r="AD30" i="10"/>
  <c r="X30" i="10"/>
  <c r="W30" i="10"/>
  <c r="Y30" i="10" s="1"/>
  <c r="U30" i="10"/>
  <c r="T30" i="10"/>
  <c r="P30" i="10"/>
  <c r="O30" i="10"/>
  <c r="K30" i="10"/>
  <c r="J30" i="10"/>
  <c r="F30" i="10"/>
  <c r="E30" i="10"/>
  <c r="AE29" i="10"/>
  <c r="AD29" i="10"/>
  <c r="Z29" i="10"/>
  <c r="X29" i="10"/>
  <c r="W29" i="10"/>
  <c r="U29" i="10"/>
  <c r="T29" i="10"/>
  <c r="P29" i="10"/>
  <c r="O29" i="10"/>
  <c r="K29" i="10"/>
  <c r="J29" i="10"/>
  <c r="F29" i="10"/>
  <c r="E29" i="10"/>
  <c r="AE28" i="10"/>
  <c r="AD28" i="10"/>
  <c r="X28" i="10"/>
  <c r="Z28" i="10" s="1"/>
  <c r="W28" i="10"/>
  <c r="U28" i="10"/>
  <c r="T28" i="10"/>
  <c r="P28" i="10"/>
  <c r="O28" i="10"/>
  <c r="K28" i="10"/>
  <c r="J28" i="10"/>
  <c r="F28" i="10"/>
  <c r="E28" i="10"/>
  <c r="AE27" i="10"/>
  <c r="AD27" i="10"/>
  <c r="X27" i="10"/>
  <c r="W27" i="10"/>
  <c r="U27" i="10"/>
  <c r="T27" i="10"/>
  <c r="P27" i="10"/>
  <c r="O27" i="10"/>
  <c r="K27" i="10"/>
  <c r="J27" i="10"/>
  <c r="F27" i="10"/>
  <c r="E27" i="10"/>
  <c r="AC23" i="10"/>
  <c r="AE23" i="10" s="1"/>
  <c r="Y23" i="10"/>
  <c r="W23" i="10"/>
  <c r="S23" i="10"/>
  <c r="X23" i="10" s="1"/>
  <c r="Z23" i="10" s="1"/>
  <c r="P23" i="10"/>
  <c r="N23" i="10"/>
  <c r="I23" i="10"/>
  <c r="K23" i="10" s="1"/>
  <c r="D23" i="10"/>
  <c r="F23" i="10" s="1"/>
  <c r="AC22" i="10"/>
  <c r="AE22" i="10" s="1"/>
  <c r="Y22" i="10"/>
  <c r="W22" i="10"/>
  <c r="U22" i="10"/>
  <c r="S22" i="10"/>
  <c r="N22" i="10"/>
  <c r="X22" i="10" s="1"/>
  <c r="I22" i="10"/>
  <c r="K22" i="10" s="1"/>
  <c r="D22" i="10"/>
  <c r="F22" i="10" s="1"/>
  <c r="AE21" i="10"/>
  <c r="AC21" i="10"/>
  <c r="Y21" i="10"/>
  <c r="W21" i="10"/>
  <c r="U21" i="10"/>
  <c r="S21" i="10"/>
  <c r="P21" i="10"/>
  <c r="N21" i="10"/>
  <c r="X21" i="10" s="1"/>
  <c r="Z21" i="10" s="1"/>
  <c r="I21" i="10"/>
  <c r="K21" i="10" s="1"/>
  <c r="D21" i="10"/>
  <c r="F21" i="10" s="1"/>
  <c r="AC20" i="10"/>
  <c r="AE20" i="10" s="1"/>
  <c r="Y20" i="10"/>
  <c r="X20" i="10"/>
  <c r="W20" i="10"/>
  <c r="U20" i="10"/>
  <c r="S20" i="10"/>
  <c r="N20" i="10"/>
  <c r="P20" i="10" s="1"/>
  <c r="K20" i="10"/>
  <c r="I20" i="10"/>
  <c r="D20" i="10"/>
  <c r="F20" i="10" s="1"/>
  <c r="AE19" i="10"/>
  <c r="AC19" i="10"/>
  <c r="Y19" i="10"/>
  <c r="W19" i="10"/>
  <c r="S19" i="10"/>
  <c r="X19" i="10" s="1"/>
  <c r="Z19" i="10" s="1"/>
  <c r="P19" i="10"/>
  <c r="N19" i="10"/>
  <c r="K19" i="10"/>
  <c r="I19" i="10"/>
  <c r="F19" i="10"/>
  <c r="D19" i="10"/>
  <c r="AC18" i="10"/>
  <c r="AE18" i="10" s="1"/>
  <c r="Y18" i="10"/>
  <c r="W18" i="10"/>
  <c r="S18" i="10"/>
  <c r="U18" i="10" s="1"/>
  <c r="N18" i="10"/>
  <c r="K18" i="10"/>
  <c r="I18" i="10"/>
  <c r="D18" i="10"/>
  <c r="F18" i="10" s="1"/>
  <c r="AE17" i="10"/>
  <c r="AC17" i="10"/>
  <c r="Y17" i="10"/>
  <c r="W17" i="10"/>
  <c r="S17" i="10"/>
  <c r="U17" i="10" s="1"/>
  <c r="N17" i="10"/>
  <c r="X17" i="10" s="1"/>
  <c r="Z17" i="10" s="1"/>
  <c r="I17" i="10"/>
  <c r="K17" i="10" s="1"/>
  <c r="F17" i="10"/>
  <c r="D17" i="10"/>
  <c r="AE16" i="10"/>
  <c r="AC16" i="10"/>
  <c r="Y16" i="10"/>
  <c r="W16" i="10"/>
  <c r="S16" i="10"/>
  <c r="X16" i="10" s="1"/>
  <c r="P16" i="10"/>
  <c r="N16" i="10"/>
  <c r="I16" i="10"/>
  <c r="K16" i="10" s="1"/>
  <c r="D16" i="10"/>
  <c r="F16" i="10" s="1"/>
  <c r="AE12" i="10"/>
  <c r="AC12" i="10"/>
  <c r="Y12" i="10"/>
  <c r="W12" i="10"/>
  <c r="S12" i="10"/>
  <c r="X12" i="10" s="1"/>
  <c r="N12" i="10"/>
  <c r="P12" i="10" s="1"/>
  <c r="I12" i="10"/>
  <c r="K12" i="10" s="1"/>
  <c r="D12" i="10"/>
  <c r="F12" i="10" s="1"/>
  <c r="AC11" i="10"/>
  <c r="AE11" i="10" s="1"/>
  <c r="Y11" i="10"/>
  <c r="W11" i="10"/>
  <c r="S11" i="10"/>
  <c r="U11" i="10" s="1"/>
  <c r="N11" i="10"/>
  <c r="X11" i="10" s="1"/>
  <c r="Z11" i="10" s="1"/>
  <c r="I11" i="10"/>
  <c r="K11" i="10" s="1"/>
  <c r="F11" i="10"/>
  <c r="D11" i="10"/>
  <c r="AC10" i="10"/>
  <c r="AE10" i="10" s="1"/>
  <c r="Y10" i="10"/>
  <c r="X10" i="10"/>
  <c r="Z10" i="10" s="1"/>
  <c r="W10" i="10"/>
  <c r="U10" i="10"/>
  <c r="S10" i="10"/>
  <c r="P10" i="10"/>
  <c r="N10" i="10"/>
  <c r="I10" i="10"/>
  <c r="K10" i="10" s="1"/>
  <c r="D10" i="10"/>
  <c r="F10" i="10" s="1"/>
  <c r="AC9" i="10"/>
  <c r="AE9" i="10" s="1"/>
  <c r="Y9" i="10"/>
  <c r="W9" i="10"/>
  <c r="S9" i="10"/>
  <c r="X9" i="10" s="1"/>
  <c r="P9" i="10"/>
  <c r="N9" i="10"/>
  <c r="K9" i="10"/>
  <c r="I9" i="10"/>
  <c r="D9" i="10"/>
  <c r="F9" i="10" s="1"/>
  <c r="AC8" i="10"/>
  <c r="AE8" i="10" s="1"/>
  <c r="Y8" i="10"/>
  <c r="W8" i="10"/>
  <c r="S8" i="10"/>
  <c r="P8" i="10"/>
  <c r="N8" i="10"/>
  <c r="K8" i="10"/>
  <c r="I8" i="10"/>
  <c r="D8" i="10"/>
  <c r="F8" i="10" s="1"/>
  <c r="AC7" i="10"/>
  <c r="AE7" i="10" s="1"/>
  <c r="Y7" i="10"/>
  <c r="W7" i="10"/>
  <c r="U7" i="10"/>
  <c r="S7" i="10"/>
  <c r="N7" i="10"/>
  <c r="I7" i="10"/>
  <c r="K7" i="10" s="1"/>
  <c r="F7" i="10"/>
  <c r="D7" i="10"/>
  <c r="AE6" i="10"/>
  <c r="AC6" i="10"/>
  <c r="Y6" i="10"/>
  <c r="W6" i="10"/>
  <c r="S6" i="10"/>
  <c r="X6" i="10" s="1"/>
  <c r="Z6" i="10" s="1"/>
  <c r="N6" i="10"/>
  <c r="P6" i="10" s="1"/>
  <c r="I6" i="10"/>
  <c r="K6" i="10" s="1"/>
  <c r="F6" i="10"/>
  <c r="D6" i="10"/>
  <c r="AC5" i="10"/>
  <c r="AE5" i="10" s="1"/>
  <c r="Y5" i="10"/>
  <c r="X5" i="10"/>
  <c r="Z5" i="10" s="1"/>
  <c r="W5" i="10"/>
  <c r="U5" i="10"/>
  <c r="S5" i="10"/>
  <c r="N5" i="10"/>
  <c r="P5" i="10" s="1"/>
  <c r="K5" i="10"/>
  <c r="I5" i="10"/>
  <c r="D5" i="10"/>
  <c r="F5" i="10" s="1"/>
  <c r="S64" i="9"/>
  <c r="R64" i="9"/>
  <c r="Q64" i="9"/>
  <c r="P64" i="9"/>
  <c r="M64" i="9"/>
  <c r="J64" i="9"/>
  <c r="F64" i="9"/>
  <c r="E64" i="9"/>
  <c r="S63" i="9"/>
  <c r="R63" i="9"/>
  <c r="Q63" i="9"/>
  <c r="P63" i="9"/>
  <c r="M63" i="9"/>
  <c r="J63" i="9"/>
  <c r="F63" i="9"/>
  <c r="E63" i="9"/>
  <c r="S62" i="9"/>
  <c r="R62" i="9"/>
  <c r="Q62" i="9"/>
  <c r="P62" i="9"/>
  <c r="M62" i="9"/>
  <c r="J62" i="9"/>
  <c r="F62" i="9"/>
  <c r="E62" i="9"/>
  <c r="S61" i="9"/>
  <c r="R61" i="9"/>
  <c r="Q61" i="9"/>
  <c r="P61" i="9"/>
  <c r="M61" i="9"/>
  <c r="J61" i="9"/>
  <c r="F61" i="9"/>
  <c r="E61" i="9"/>
  <c r="S60" i="9"/>
  <c r="R60" i="9"/>
  <c r="Q60" i="9"/>
  <c r="P60" i="9"/>
  <c r="M60" i="9"/>
  <c r="J60" i="9"/>
  <c r="F60" i="9"/>
  <c r="E60" i="9"/>
  <c r="S59" i="9"/>
  <c r="R59" i="9"/>
  <c r="Q59" i="9"/>
  <c r="P59" i="9"/>
  <c r="M59" i="9"/>
  <c r="J59" i="9"/>
  <c r="F59" i="9"/>
  <c r="E59" i="9"/>
  <c r="S58" i="9"/>
  <c r="R58" i="9"/>
  <c r="Q58" i="9"/>
  <c r="P58" i="9"/>
  <c r="M58" i="9"/>
  <c r="J58" i="9"/>
  <c r="F58" i="9"/>
  <c r="E58" i="9"/>
  <c r="S57" i="9"/>
  <c r="R57" i="9"/>
  <c r="Q57" i="9"/>
  <c r="P57" i="9"/>
  <c r="M57" i="9"/>
  <c r="J57" i="9"/>
  <c r="F57" i="9"/>
  <c r="E57" i="9"/>
  <c r="M52" i="9"/>
  <c r="L52" i="9"/>
  <c r="Q52" i="9" s="1"/>
  <c r="K52" i="9"/>
  <c r="P52" i="9" s="1"/>
  <c r="J52" i="9"/>
  <c r="F52" i="9"/>
  <c r="E52" i="9"/>
  <c r="L51" i="9"/>
  <c r="Q51" i="9" s="1"/>
  <c r="K51" i="9"/>
  <c r="P51" i="9" s="1"/>
  <c r="J51" i="9"/>
  <c r="F51" i="9"/>
  <c r="E51" i="9"/>
  <c r="L50" i="9"/>
  <c r="K50" i="9"/>
  <c r="P50" i="9" s="1"/>
  <c r="J50" i="9"/>
  <c r="F50" i="9"/>
  <c r="E50" i="9"/>
  <c r="Q49" i="9"/>
  <c r="L49" i="9"/>
  <c r="K49" i="9"/>
  <c r="P49" i="9" s="1"/>
  <c r="J49" i="9"/>
  <c r="F49" i="9"/>
  <c r="E49" i="9"/>
  <c r="Q48" i="9"/>
  <c r="M48" i="9"/>
  <c r="L48" i="9"/>
  <c r="K48" i="9"/>
  <c r="P48" i="9" s="1"/>
  <c r="J48" i="9"/>
  <c r="F48" i="9"/>
  <c r="E48" i="9"/>
  <c r="L47" i="9"/>
  <c r="Q47" i="9" s="1"/>
  <c r="K47" i="9"/>
  <c r="P47" i="9" s="1"/>
  <c r="J47" i="9"/>
  <c r="F47" i="9"/>
  <c r="E47" i="9"/>
  <c r="L46" i="9"/>
  <c r="K46" i="9"/>
  <c r="P46" i="9" s="1"/>
  <c r="J46" i="9"/>
  <c r="F46" i="9"/>
  <c r="E46" i="9"/>
  <c r="Q45" i="9"/>
  <c r="L45" i="9"/>
  <c r="K45" i="9"/>
  <c r="P45" i="9" s="1"/>
  <c r="J45" i="9"/>
  <c r="F45" i="9"/>
  <c r="E45" i="9"/>
  <c r="J41" i="9"/>
  <c r="L41" i="9" s="1"/>
  <c r="Q41" i="9" s="1"/>
  <c r="F41" i="9"/>
  <c r="E41" i="9"/>
  <c r="J40" i="9"/>
  <c r="K40" i="9" s="1"/>
  <c r="F40" i="9"/>
  <c r="E40" i="9"/>
  <c r="L39" i="9"/>
  <c r="M39" i="9" s="1"/>
  <c r="K39" i="9"/>
  <c r="P39" i="9" s="1"/>
  <c r="J39" i="9"/>
  <c r="F39" i="9"/>
  <c r="E39" i="9"/>
  <c r="J38" i="9"/>
  <c r="L38" i="9" s="1"/>
  <c r="Q38" i="9" s="1"/>
  <c r="F38" i="9"/>
  <c r="E38" i="9"/>
  <c r="J37" i="9"/>
  <c r="L37" i="9" s="1"/>
  <c r="Q37" i="9" s="1"/>
  <c r="F37" i="9"/>
  <c r="E37" i="9"/>
  <c r="L36" i="9"/>
  <c r="Q36" i="9" s="1"/>
  <c r="J36" i="9"/>
  <c r="K36" i="9" s="1"/>
  <c r="F36" i="9"/>
  <c r="E36" i="9"/>
  <c r="J35" i="9"/>
  <c r="K35" i="9" s="1"/>
  <c r="F35" i="9"/>
  <c r="E35" i="9"/>
  <c r="K34" i="9"/>
  <c r="P34" i="9" s="1"/>
  <c r="J34" i="9"/>
  <c r="L34" i="9" s="1"/>
  <c r="Q34" i="9" s="1"/>
  <c r="F34" i="9"/>
  <c r="E34" i="9"/>
  <c r="R29" i="9"/>
  <c r="L29" i="9"/>
  <c r="Q29" i="9" s="1"/>
  <c r="K29" i="9"/>
  <c r="J29" i="9"/>
  <c r="P29" i="9" s="1"/>
  <c r="F29" i="9"/>
  <c r="E29" i="9"/>
  <c r="R28" i="9"/>
  <c r="L28" i="9"/>
  <c r="Q28" i="9" s="1"/>
  <c r="K28" i="9"/>
  <c r="J28" i="9"/>
  <c r="P28" i="9" s="1"/>
  <c r="F28" i="9"/>
  <c r="E28" i="9"/>
  <c r="R27" i="9"/>
  <c r="Q27" i="9"/>
  <c r="L27" i="9"/>
  <c r="K27" i="9"/>
  <c r="J27" i="9"/>
  <c r="P27" i="9" s="1"/>
  <c r="F27" i="9"/>
  <c r="E27" i="9"/>
  <c r="R26" i="9"/>
  <c r="L26" i="9"/>
  <c r="Q26" i="9" s="1"/>
  <c r="K26" i="9"/>
  <c r="J26" i="9"/>
  <c r="P26" i="9" s="1"/>
  <c r="S26" i="9" s="1"/>
  <c r="F26" i="9"/>
  <c r="E26" i="9"/>
  <c r="R25" i="9"/>
  <c r="L25" i="9"/>
  <c r="Q25" i="9" s="1"/>
  <c r="K25" i="9"/>
  <c r="J25" i="9"/>
  <c r="P25" i="9" s="1"/>
  <c r="S25" i="9" s="1"/>
  <c r="F25" i="9"/>
  <c r="E25" i="9"/>
  <c r="R24" i="9"/>
  <c r="L24" i="9"/>
  <c r="Q24" i="9" s="1"/>
  <c r="K24" i="9"/>
  <c r="J24" i="9"/>
  <c r="P24" i="9" s="1"/>
  <c r="F24" i="9"/>
  <c r="E24" i="9"/>
  <c r="R23" i="9"/>
  <c r="L23" i="9"/>
  <c r="Q23" i="9" s="1"/>
  <c r="K23" i="9"/>
  <c r="J23" i="9"/>
  <c r="P23" i="9" s="1"/>
  <c r="S23" i="9" s="1"/>
  <c r="F23" i="9"/>
  <c r="E23" i="9"/>
  <c r="R22" i="9"/>
  <c r="L22" i="9"/>
  <c r="Q22" i="9" s="1"/>
  <c r="K22" i="9"/>
  <c r="J22" i="9"/>
  <c r="P22" i="9" s="1"/>
  <c r="S22" i="9" s="1"/>
  <c r="F22" i="9"/>
  <c r="E22" i="9"/>
  <c r="R21" i="9"/>
  <c r="L21" i="9"/>
  <c r="Q21" i="9" s="1"/>
  <c r="K21" i="9"/>
  <c r="J21" i="9"/>
  <c r="P21" i="9" s="1"/>
  <c r="S21" i="9" s="1"/>
  <c r="F21" i="9"/>
  <c r="E21" i="9"/>
  <c r="R20" i="9"/>
  <c r="Q20" i="9"/>
  <c r="L20" i="9"/>
  <c r="K20" i="9"/>
  <c r="J20" i="9"/>
  <c r="P20" i="9" s="1"/>
  <c r="F20" i="9"/>
  <c r="E20" i="9"/>
  <c r="R19" i="9"/>
  <c r="Q19" i="9"/>
  <c r="L19" i="9"/>
  <c r="K19" i="9"/>
  <c r="J19" i="9"/>
  <c r="P19" i="9" s="1"/>
  <c r="F19" i="9"/>
  <c r="E19" i="9"/>
  <c r="R18" i="9"/>
  <c r="L18" i="9"/>
  <c r="Q18" i="9" s="1"/>
  <c r="K18" i="9"/>
  <c r="J18" i="9"/>
  <c r="P18" i="9" s="1"/>
  <c r="S18" i="9" s="1"/>
  <c r="F18" i="9"/>
  <c r="E18" i="9"/>
  <c r="L13" i="9"/>
  <c r="Q13" i="9" s="1"/>
  <c r="K13" i="9"/>
  <c r="M13" i="9" s="1"/>
  <c r="R13" i="9" s="1"/>
  <c r="J13" i="9"/>
  <c r="P13" i="9" s="1"/>
  <c r="F13" i="9"/>
  <c r="E13" i="9"/>
  <c r="L12" i="9"/>
  <c r="Q12" i="9" s="1"/>
  <c r="K12" i="9"/>
  <c r="M12" i="9" s="1"/>
  <c r="R12" i="9" s="1"/>
  <c r="J12" i="9"/>
  <c r="P12" i="9" s="1"/>
  <c r="S12" i="9" s="1"/>
  <c r="F12" i="9"/>
  <c r="E12" i="9"/>
  <c r="Q11" i="9"/>
  <c r="M11" i="9"/>
  <c r="R11" i="9" s="1"/>
  <c r="L11" i="9"/>
  <c r="K11" i="9"/>
  <c r="J11" i="9"/>
  <c r="P11" i="9" s="1"/>
  <c r="F11" i="9"/>
  <c r="E11" i="9"/>
  <c r="L10" i="9"/>
  <c r="Q10" i="9" s="1"/>
  <c r="K10" i="9"/>
  <c r="M10" i="9" s="1"/>
  <c r="R10" i="9" s="1"/>
  <c r="J10" i="9"/>
  <c r="P10" i="9" s="1"/>
  <c r="S10" i="9" s="1"/>
  <c r="F10" i="9"/>
  <c r="E10" i="9"/>
  <c r="P9" i="9"/>
  <c r="L9" i="9"/>
  <c r="Q9" i="9" s="1"/>
  <c r="K9" i="9"/>
  <c r="M9" i="9" s="1"/>
  <c r="R9" i="9" s="1"/>
  <c r="J9" i="9"/>
  <c r="F9" i="9"/>
  <c r="E9" i="9"/>
  <c r="L8" i="9"/>
  <c r="Q8" i="9" s="1"/>
  <c r="K8" i="9"/>
  <c r="M8" i="9" s="1"/>
  <c r="R8" i="9" s="1"/>
  <c r="J8" i="9"/>
  <c r="P8" i="9" s="1"/>
  <c r="S8" i="9" s="1"/>
  <c r="F8" i="9"/>
  <c r="E8" i="9"/>
  <c r="Q7" i="9"/>
  <c r="M7" i="9"/>
  <c r="R7" i="9" s="1"/>
  <c r="L7" i="9"/>
  <c r="K7" i="9"/>
  <c r="J7" i="9"/>
  <c r="P7" i="9" s="1"/>
  <c r="F7" i="9"/>
  <c r="E7" i="9"/>
  <c r="L6" i="9"/>
  <c r="Q6" i="9" s="1"/>
  <c r="K6" i="9"/>
  <c r="P6" i="9" s="1"/>
  <c r="S6" i="9" s="1"/>
  <c r="J6" i="9"/>
  <c r="F6" i="9"/>
  <c r="E6" i="9"/>
  <c r="AD24" i="8"/>
  <c r="Z24" i="8"/>
  <c r="Y24" i="8"/>
  <c r="U24" i="8"/>
  <c r="T24" i="8"/>
  <c r="P24" i="8"/>
  <c r="O24" i="8"/>
  <c r="K24" i="8"/>
  <c r="J24" i="8"/>
  <c r="F24" i="8"/>
  <c r="E24" i="8"/>
  <c r="AD23" i="8"/>
  <c r="Z23" i="8"/>
  <c r="Y23" i="8"/>
  <c r="U23" i="8"/>
  <c r="T23" i="8"/>
  <c r="P23" i="8"/>
  <c r="O23" i="8"/>
  <c r="K23" i="8"/>
  <c r="J23" i="8"/>
  <c r="F23" i="8"/>
  <c r="E23" i="8"/>
  <c r="AD19" i="8"/>
  <c r="Z19" i="8"/>
  <c r="Y19" i="8"/>
  <c r="U19" i="8"/>
  <c r="T19" i="8"/>
  <c r="P19" i="8"/>
  <c r="O19" i="8"/>
  <c r="K19" i="8"/>
  <c r="J19" i="8"/>
  <c r="F19" i="8"/>
  <c r="E19" i="8"/>
  <c r="AD18" i="8"/>
  <c r="Z18" i="8"/>
  <c r="Y18" i="8"/>
  <c r="U18" i="8"/>
  <c r="T18" i="8"/>
  <c r="P18" i="8"/>
  <c r="O18" i="8"/>
  <c r="K18" i="8"/>
  <c r="J18" i="8"/>
  <c r="F18" i="8"/>
  <c r="E18" i="8"/>
  <c r="AD15" i="8"/>
  <c r="Z15" i="8"/>
  <c r="Y15" i="8"/>
  <c r="U15" i="8"/>
  <c r="T15" i="8"/>
  <c r="P15" i="8"/>
  <c r="O15" i="8"/>
  <c r="K15" i="8"/>
  <c r="J15" i="8"/>
  <c r="F15" i="8"/>
  <c r="E15" i="8"/>
  <c r="AC14" i="8"/>
  <c r="AD14" i="8" s="1"/>
  <c r="AB14" i="8"/>
  <c r="X14" i="8"/>
  <c r="Z14" i="8" s="1"/>
  <c r="W14" i="8"/>
  <c r="S14" i="8"/>
  <c r="U14" i="8" s="1"/>
  <c r="R14" i="8"/>
  <c r="N14" i="8"/>
  <c r="M14" i="8"/>
  <c r="P14" i="8" s="1"/>
  <c r="I14" i="8"/>
  <c r="H14" i="8"/>
  <c r="D14" i="8"/>
  <c r="E14" i="8" s="1"/>
  <c r="C14" i="8"/>
  <c r="F14" i="8" s="1"/>
  <c r="AD10" i="8"/>
  <c r="Z10" i="8"/>
  <c r="Y10" i="8"/>
  <c r="U10" i="8"/>
  <c r="T10" i="8"/>
  <c r="P10" i="8"/>
  <c r="O10" i="8"/>
  <c r="K10" i="8"/>
  <c r="J10" i="8"/>
  <c r="F10" i="8"/>
  <c r="E10" i="8"/>
  <c r="AD9" i="8"/>
  <c r="Z9" i="8"/>
  <c r="Y9" i="8"/>
  <c r="U9" i="8"/>
  <c r="T9" i="8"/>
  <c r="P9" i="8"/>
  <c r="O9" i="8"/>
  <c r="K9" i="8"/>
  <c r="J9" i="8"/>
  <c r="F9" i="8"/>
  <c r="E9" i="8"/>
  <c r="AD6" i="8"/>
  <c r="AC6" i="8"/>
  <c r="AB6" i="8"/>
  <c r="X6" i="8"/>
  <c r="W6" i="8"/>
  <c r="Y6" i="8" s="1"/>
  <c r="S6" i="8"/>
  <c r="T6" i="8" s="1"/>
  <c r="R6" i="8"/>
  <c r="N6" i="8"/>
  <c r="M6" i="8"/>
  <c r="I6" i="8"/>
  <c r="H6" i="8"/>
  <c r="K6" i="8" s="1"/>
  <c r="D6" i="8"/>
  <c r="C6" i="8"/>
  <c r="E6" i="8" s="1"/>
  <c r="AC5" i="8"/>
  <c r="AB5" i="8"/>
  <c r="X5" i="8"/>
  <c r="Z5" i="8" s="1"/>
  <c r="W5" i="8"/>
  <c r="S5" i="8"/>
  <c r="R5" i="8"/>
  <c r="U5" i="8" s="1"/>
  <c r="N5" i="8"/>
  <c r="P5" i="8" s="1"/>
  <c r="M5" i="8"/>
  <c r="K5" i="8"/>
  <c r="I5" i="8"/>
  <c r="J5" i="8" s="1"/>
  <c r="H5" i="8"/>
  <c r="D5" i="8"/>
  <c r="F5" i="8" s="1"/>
  <c r="C5" i="8"/>
  <c r="H21" i="7"/>
  <c r="H20" i="7"/>
  <c r="H19" i="7"/>
  <c r="CE17" i="6"/>
  <c r="CH17" i="6" s="1"/>
  <c r="CC17" i="6"/>
  <c r="CA17" i="6"/>
  <c r="CF17" i="6" s="1"/>
  <c r="BZ17" i="6"/>
  <c r="CB17" i="6" s="1"/>
  <c r="BX17" i="6"/>
  <c r="BW17" i="6"/>
  <c r="BS17" i="6"/>
  <c r="BR17" i="6"/>
  <c r="BM17" i="6"/>
  <c r="BH17" i="6"/>
  <c r="BB17" i="6"/>
  <c r="BA17" i="6"/>
  <c r="AY17" i="6"/>
  <c r="AX17" i="6"/>
  <c r="AT17" i="6"/>
  <c r="AS17" i="6"/>
  <c r="AO17" i="6"/>
  <c r="AN17" i="6"/>
  <c r="AI17" i="6"/>
  <c r="AH17" i="6"/>
  <c r="AG17" i="6"/>
  <c r="AJ17" i="6" s="1"/>
  <c r="AE17" i="6"/>
  <c r="AD17" i="6"/>
  <c r="Z17" i="6"/>
  <c r="Y17" i="6"/>
  <c r="T17" i="6"/>
  <c r="S17" i="6"/>
  <c r="R17" i="6"/>
  <c r="U17" i="6" s="1"/>
  <c r="P17" i="6"/>
  <c r="O17" i="6"/>
  <c r="K17" i="6"/>
  <c r="J17" i="6"/>
  <c r="F17" i="6"/>
  <c r="E17" i="6"/>
  <c r="CA16" i="6"/>
  <c r="CF16" i="6" s="1"/>
  <c r="BZ16" i="6"/>
  <c r="CC16" i="6" s="1"/>
  <c r="BX16" i="6"/>
  <c r="BW16" i="6"/>
  <c r="BS16" i="6"/>
  <c r="BR16" i="6"/>
  <c r="BM16" i="6"/>
  <c r="BH16" i="6"/>
  <c r="BB16" i="6"/>
  <c r="BA16" i="6"/>
  <c r="BD16" i="6" s="1"/>
  <c r="AY16" i="6"/>
  <c r="AX16" i="6"/>
  <c r="AT16" i="6"/>
  <c r="AS16" i="6"/>
  <c r="AO16" i="6"/>
  <c r="AN16" i="6"/>
  <c r="AH16" i="6"/>
  <c r="AG16" i="6"/>
  <c r="AJ16" i="6" s="1"/>
  <c r="AE16" i="6"/>
  <c r="AD16" i="6"/>
  <c r="Z16" i="6"/>
  <c r="Y16" i="6"/>
  <c r="S16" i="6"/>
  <c r="R16" i="6"/>
  <c r="U16" i="6" s="1"/>
  <c r="P16" i="6"/>
  <c r="O16" i="6"/>
  <c r="K16" i="6"/>
  <c r="J16" i="6"/>
  <c r="F16" i="6"/>
  <c r="E16" i="6"/>
  <c r="CA15" i="6"/>
  <c r="CF15" i="6" s="1"/>
  <c r="BZ15" i="6"/>
  <c r="CE15" i="6" s="1"/>
  <c r="BX15" i="6"/>
  <c r="BW15" i="6"/>
  <c r="BS15" i="6"/>
  <c r="BR15" i="6"/>
  <c r="BM15" i="6"/>
  <c r="BH15" i="6"/>
  <c r="BB15" i="6"/>
  <c r="BA15" i="6"/>
  <c r="BD15" i="6" s="1"/>
  <c r="AY15" i="6"/>
  <c r="AX15" i="6"/>
  <c r="AT15" i="6"/>
  <c r="AS15" i="6"/>
  <c r="AO15" i="6"/>
  <c r="AN15" i="6"/>
  <c r="AH15" i="6"/>
  <c r="AG15" i="6"/>
  <c r="AI15" i="6" s="1"/>
  <c r="AE15" i="6"/>
  <c r="AD15" i="6"/>
  <c r="Z15" i="6"/>
  <c r="Y15" i="6"/>
  <c r="S15" i="6"/>
  <c r="R15" i="6"/>
  <c r="T15" i="6" s="1"/>
  <c r="P15" i="6"/>
  <c r="O15" i="6"/>
  <c r="K15" i="6"/>
  <c r="J15" i="6"/>
  <c r="F15" i="6"/>
  <c r="E15" i="6"/>
  <c r="CA14" i="6"/>
  <c r="CF14" i="6" s="1"/>
  <c r="BZ14" i="6"/>
  <c r="CE14" i="6" s="1"/>
  <c r="BX14" i="6"/>
  <c r="BW14" i="6"/>
  <c r="BS14" i="6"/>
  <c r="BR14" i="6"/>
  <c r="BM14" i="6"/>
  <c r="BH14" i="6"/>
  <c r="BC14" i="6"/>
  <c r="BB14" i="6"/>
  <c r="BD14" i="6" s="1"/>
  <c r="BA14" i="6"/>
  <c r="AY14" i="6"/>
  <c r="AX14" i="6"/>
  <c r="AT14" i="6"/>
  <c r="AS14" i="6"/>
  <c r="AO14" i="6"/>
  <c r="AN14" i="6"/>
  <c r="AH14" i="6"/>
  <c r="AG14" i="6"/>
  <c r="AE14" i="6"/>
  <c r="AD14" i="6"/>
  <c r="Z14" i="6"/>
  <c r="Y14" i="6"/>
  <c r="S14" i="6"/>
  <c r="R14" i="6"/>
  <c r="U14" i="6" s="1"/>
  <c r="P14" i="6"/>
  <c r="O14" i="6"/>
  <c r="K14" i="6"/>
  <c r="J14" i="6"/>
  <c r="F14" i="6"/>
  <c r="E14" i="6"/>
  <c r="CA13" i="6"/>
  <c r="CF13" i="6" s="1"/>
  <c r="BZ13" i="6"/>
  <c r="CE13" i="6" s="1"/>
  <c r="BX13" i="6"/>
  <c r="BW13" i="6"/>
  <c r="BS13" i="6"/>
  <c r="BR13" i="6"/>
  <c r="BM13" i="6"/>
  <c r="BH13" i="6"/>
  <c r="BB13" i="6"/>
  <c r="BA13" i="6"/>
  <c r="BD13" i="6" s="1"/>
  <c r="AY13" i="6"/>
  <c r="AX13" i="6"/>
  <c r="AT13" i="6"/>
  <c r="AS13" i="6"/>
  <c r="AO13" i="6"/>
  <c r="AN13" i="6"/>
  <c r="AH13" i="6"/>
  <c r="AG13" i="6"/>
  <c r="AI13" i="6" s="1"/>
  <c r="AE13" i="6"/>
  <c r="AD13" i="6"/>
  <c r="Z13" i="6"/>
  <c r="Y13" i="6"/>
  <c r="S13" i="6"/>
  <c r="R13" i="6"/>
  <c r="T13" i="6" s="1"/>
  <c r="P13" i="6"/>
  <c r="O13" i="6"/>
  <c r="K13" i="6"/>
  <c r="J13" i="6"/>
  <c r="F13" i="6"/>
  <c r="E13" i="6"/>
  <c r="CE12" i="6"/>
  <c r="CA12" i="6"/>
  <c r="CF12" i="6" s="1"/>
  <c r="BZ12" i="6"/>
  <c r="BX12" i="6"/>
  <c r="BW12" i="6"/>
  <c r="BS12" i="6"/>
  <c r="BR12" i="6"/>
  <c r="BM12" i="6"/>
  <c r="BH12" i="6"/>
  <c r="BD12" i="6"/>
  <c r="BC12" i="6"/>
  <c r="BB12" i="6"/>
  <c r="BA12" i="6"/>
  <c r="AY12" i="6"/>
  <c r="AX12" i="6"/>
  <c r="AT12" i="6"/>
  <c r="AS12" i="6"/>
  <c r="AO12" i="6"/>
  <c r="AN12" i="6"/>
  <c r="AH12" i="6"/>
  <c r="AG12" i="6"/>
  <c r="AJ12" i="6" s="1"/>
  <c r="AE12" i="6"/>
  <c r="AD12" i="6"/>
  <c r="Z12" i="6"/>
  <c r="Y12" i="6"/>
  <c r="S12" i="6"/>
  <c r="R12" i="6"/>
  <c r="P12" i="6"/>
  <c r="O12" i="6"/>
  <c r="K12" i="6"/>
  <c r="J12" i="6"/>
  <c r="F12" i="6"/>
  <c r="E12" i="6"/>
  <c r="CC11" i="6"/>
  <c r="CB11" i="6"/>
  <c r="CA11" i="6"/>
  <c r="CF11" i="6" s="1"/>
  <c r="BZ11" i="6"/>
  <c r="CE11" i="6" s="1"/>
  <c r="BX11" i="6"/>
  <c r="BW11" i="6"/>
  <c r="BS11" i="6"/>
  <c r="BR11" i="6"/>
  <c r="BM11" i="6"/>
  <c r="BH11" i="6"/>
  <c r="BB11" i="6"/>
  <c r="BA11" i="6"/>
  <c r="BD11" i="6" s="1"/>
  <c r="AY11" i="6"/>
  <c r="AX11" i="6"/>
  <c r="AT11" i="6"/>
  <c r="AS11" i="6"/>
  <c r="AO11" i="6"/>
  <c r="AN11" i="6"/>
  <c r="AH11" i="6"/>
  <c r="AG11" i="6"/>
  <c r="AJ11" i="6" s="1"/>
  <c r="AE11" i="6"/>
  <c r="AD11" i="6"/>
  <c r="Z11" i="6"/>
  <c r="Y11" i="6"/>
  <c r="S11" i="6"/>
  <c r="R11" i="6"/>
  <c r="U11" i="6" s="1"/>
  <c r="P11" i="6"/>
  <c r="O11" i="6"/>
  <c r="K11" i="6"/>
  <c r="J11" i="6"/>
  <c r="F11" i="6"/>
  <c r="E11" i="6"/>
  <c r="CA10" i="6"/>
  <c r="CF10" i="6" s="1"/>
  <c r="BZ10" i="6"/>
  <c r="CE10" i="6" s="1"/>
  <c r="BX10" i="6"/>
  <c r="BW10" i="6"/>
  <c r="BS10" i="6"/>
  <c r="BR10" i="6"/>
  <c r="BM10" i="6"/>
  <c r="BH10" i="6"/>
  <c r="BB10" i="6"/>
  <c r="BA10" i="6"/>
  <c r="BD10" i="6" s="1"/>
  <c r="AY10" i="6"/>
  <c r="AX10" i="6"/>
  <c r="AT10" i="6"/>
  <c r="AS10" i="6"/>
  <c r="AO10" i="6"/>
  <c r="AN10" i="6"/>
  <c r="AH10" i="6"/>
  <c r="AG10" i="6"/>
  <c r="AJ10" i="6" s="1"/>
  <c r="AE10" i="6"/>
  <c r="AD10" i="6"/>
  <c r="Z10" i="6"/>
  <c r="Y10" i="6"/>
  <c r="S10" i="6"/>
  <c r="R10" i="6"/>
  <c r="U10" i="6" s="1"/>
  <c r="P10" i="6"/>
  <c r="O10" i="6"/>
  <c r="K10" i="6"/>
  <c r="J10" i="6"/>
  <c r="F10" i="6"/>
  <c r="E10" i="6"/>
  <c r="CF9" i="6"/>
  <c r="CE9" i="6"/>
  <c r="CH9" i="6" s="1"/>
  <c r="CA9" i="6"/>
  <c r="BZ9" i="6"/>
  <c r="CC9" i="6" s="1"/>
  <c r="BX9" i="6"/>
  <c r="BW9" i="6"/>
  <c r="BS9" i="6"/>
  <c r="BR9" i="6"/>
  <c r="BM9" i="6"/>
  <c r="BH9" i="6"/>
  <c r="BB9" i="6"/>
  <c r="BA9" i="6"/>
  <c r="BD9" i="6" s="1"/>
  <c r="AY9" i="6"/>
  <c r="AX9" i="6"/>
  <c r="AT9" i="6"/>
  <c r="AS9" i="6"/>
  <c r="AO9" i="6"/>
  <c r="AN9" i="6"/>
  <c r="AH9" i="6"/>
  <c r="AG9" i="6"/>
  <c r="AJ9" i="6" s="1"/>
  <c r="AE9" i="6"/>
  <c r="AD9" i="6"/>
  <c r="Z9" i="6"/>
  <c r="Y9" i="6"/>
  <c r="S9" i="6"/>
  <c r="R9" i="6"/>
  <c r="U9" i="6" s="1"/>
  <c r="P9" i="6"/>
  <c r="O9" i="6"/>
  <c r="K9" i="6"/>
  <c r="J9" i="6"/>
  <c r="F9" i="6"/>
  <c r="E9" i="6"/>
  <c r="CA8" i="6"/>
  <c r="CF8" i="6" s="1"/>
  <c r="BZ8" i="6"/>
  <c r="CC8" i="6" s="1"/>
  <c r="BX8" i="6"/>
  <c r="BW8" i="6"/>
  <c r="BS8" i="6"/>
  <c r="BR8" i="6"/>
  <c r="BM8" i="6"/>
  <c r="BH8" i="6"/>
  <c r="BD8" i="6"/>
  <c r="BC8" i="6"/>
  <c r="BB8" i="6"/>
  <c r="BA8" i="6"/>
  <c r="AY8" i="6"/>
  <c r="AX8" i="6"/>
  <c r="AT8" i="6"/>
  <c r="AS8" i="6"/>
  <c r="AO8" i="6"/>
  <c r="AN8" i="6"/>
  <c r="AH8" i="6"/>
  <c r="AG8" i="6"/>
  <c r="AE8" i="6"/>
  <c r="AD8" i="6"/>
  <c r="Z8" i="6"/>
  <c r="Y8" i="6"/>
  <c r="S8" i="6"/>
  <c r="R8" i="6"/>
  <c r="U8" i="6" s="1"/>
  <c r="P8" i="6"/>
  <c r="O8" i="6"/>
  <c r="K8" i="6"/>
  <c r="J8" i="6"/>
  <c r="F8" i="6"/>
  <c r="E8" i="6"/>
  <c r="CC7" i="6"/>
  <c r="CB7" i="6"/>
  <c r="CA7" i="6"/>
  <c r="CF7" i="6" s="1"/>
  <c r="BZ7" i="6"/>
  <c r="CE7" i="6" s="1"/>
  <c r="BX7" i="6"/>
  <c r="BW7" i="6"/>
  <c r="BS7" i="6"/>
  <c r="BR7" i="6"/>
  <c r="BM7" i="6"/>
  <c r="BH7" i="6"/>
  <c r="BB7" i="6"/>
  <c r="BA7" i="6"/>
  <c r="BD7" i="6" s="1"/>
  <c r="AY7" i="6"/>
  <c r="AX7" i="6"/>
  <c r="AT7" i="6"/>
  <c r="AS7" i="6"/>
  <c r="AO7" i="6"/>
  <c r="AN7" i="6"/>
  <c r="AI7" i="6"/>
  <c r="AH7" i="6"/>
  <c r="AG7" i="6"/>
  <c r="AJ7" i="6" s="1"/>
  <c r="AE7" i="6"/>
  <c r="AD7" i="6"/>
  <c r="Z7" i="6"/>
  <c r="Y7" i="6"/>
  <c r="T7" i="6"/>
  <c r="S7" i="6"/>
  <c r="R7" i="6"/>
  <c r="U7" i="6" s="1"/>
  <c r="P7" i="6"/>
  <c r="O7" i="6"/>
  <c r="K7" i="6"/>
  <c r="J7" i="6"/>
  <c r="F7" i="6"/>
  <c r="E7" i="6"/>
  <c r="CA6" i="6"/>
  <c r="CF6" i="6" s="1"/>
  <c r="BZ6" i="6"/>
  <c r="CC6" i="6" s="1"/>
  <c r="BX6" i="6"/>
  <c r="BW6" i="6"/>
  <c r="BS6" i="6"/>
  <c r="BR6" i="6"/>
  <c r="BM6" i="6"/>
  <c r="BH6" i="6"/>
  <c r="BB6" i="6"/>
  <c r="BA6" i="6"/>
  <c r="BD6" i="6" s="1"/>
  <c r="AY6" i="6"/>
  <c r="AX6" i="6"/>
  <c r="AT6" i="6"/>
  <c r="AS6" i="6"/>
  <c r="AO6" i="6"/>
  <c r="AN6" i="6"/>
  <c r="AH6" i="6"/>
  <c r="AG6" i="6"/>
  <c r="AJ6" i="6" s="1"/>
  <c r="AE6" i="6"/>
  <c r="AD6" i="6"/>
  <c r="Z6" i="6"/>
  <c r="Y6" i="6"/>
  <c r="S6" i="6"/>
  <c r="R6" i="6"/>
  <c r="U6" i="6" s="1"/>
  <c r="P6" i="6"/>
  <c r="O6" i="6"/>
  <c r="K6" i="6"/>
  <c r="J6" i="6"/>
  <c r="F6" i="6"/>
  <c r="E6" i="6"/>
  <c r="CG13" i="6" l="1"/>
  <c r="CH13" i="6"/>
  <c r="AD5" i="8"/>
  <c r="U6" i="8"/>
  <c r="Y14" i="8"/>
  <c r="S24" i="9"/>
  <c r="K38" i="9"/>
  <c r="P38" i="9" s="1"/>
  <c r="S38" i="9" s="1"/>
  <c r="X8" i="10"/>
  <c r="Z8" i="10" s="1"/>
  <c r="U16" i="10"/>
  <c r="E13" i="12"/>
  <c r="AE21" i="12"/>
  <c r="CG9" i="6"/>
  <c r="BC10" i="6"/>
  <c r="U13" i="6"/>
  <c r="AJ13" i="6"/>
  <c r="U15" i="6"/>
  <c r="AJ15" i="6"/>
  <c r="K14" i="8"/>
  <c r="M46" i="9"/>
  <c r="M50" i="9"/>
  <c r="U6" i="10"/>
  <c r="P17" i="10"/>
  <c r="Y28" i="10"/>
  <c r="E14" i="12"/>
  <c r="BC6" i="6"/>
  <c r="T9" i="6"/>
  <c r="AI9" i="6"/>
  <c r="T11" i="6"/>
  <c r="AI11" i="6"/>
  <c r="CB13" i="6"/>
  <c r="CB15" i="6"/>
  <c r="BC16" i="6"/>
  <c r="T5" i="8"/>
  <c r="S7" i="9"/>
  <c r="S11" i="9"/>
  <c r="S20" i="9"/>
  <c r="U9" i="10"/>
  <c r="Z22" i="10"/>
  <c r="Z30" i="10"/>
  <c r="Z32" i="10"/>
  <c r="AE23" i="12"/>
  <c r="CE8" i="6"/>
  <c r="CH8" i="6" s="1"/>
  <c r="CC13" i="6"/>
  <c r="CC15" i="6"/>
  <c r="CE16" i="6"/>
  <c r="CH16" i="6" s="1"/>
  <c r="BD17" i="6"/>
  <c r="O14" i="8"/>
  <c r="S19" i="9"/>
  <c r="S27" i="9"/>
  <c r="L40" i="9"/>
  <c r="Q40" i="9" s="1"/>
  <c r="X7" i="10"/>
  <c r="Z7" i="10" s="1"/>
  <c r="Z9" i="10"/>
  <c r="Z27" i="10"/>
  <c r="Z34" i="10"/>
  <c r="E25" i="12"/>
  <c r="AD18" i="12"/>
  <c r="AE22" i="12"/>
  <c r="CH12" i="6"/>
  <c r="AJ8" i="6"/>
  <c r="CB9" i="6"/>
  <c r="U12" i="6"/>
  <c r="CC12" i="6"/>
  <c r="AJ14" i="6"/>
  <c r="CG17" i="6"/>
  <c r="J6" i="8"/>
  <c r="L35" i="9"/>
  <c r="Q35" i="9" s="1"/>
  <c r="Z12" i="10"/>
  <c r="Y29" i="10"/>
  <c r="Z16" i="10"/>
  <c r="Z33" i="10"/>
  <c r="O6" i="8"/>
  <c r="X18" i="10"/>
  <c r="Z18" i="10" s="1"/>
  <c r="Z20" i="10"/>
  <c r="Z31" i="10"/>
  <c r="AE17" i="12"/>
  <c r="E26" i="12"/>
  <c r="AD17" i="12"/>
  <c r="AD21" i="12"/>
  <c r="AD24" i="12"/>
  <c r="P7" i="10"/>
  <c r="U8" i="10"/>
  <c r="P11" i="10"/>
  <c r="U12" i="10"/>
  <c r="P18" i="10"/>
  <c r="U19" i="10"/>
  <c r="P22" i="10"/>
  <c r="U23" i="10"/>
  <c r="Y27" i="10"/>
  <c r="Y31" i="10"/>
  <c r="Y34" i="10"/>
  <c r="S47" i="9"/>
  <c r="R47" i="9"/>
  <c r="S51" i="9"/>
  <c r="R51" i="9"/>
  <c r="P36" i="9"/>
  <c r="M36" i="9"/>
  <c r="S34" i="9"/>
  <c r="R34" i="9"/>
  <c r="S9" i="9"/>
  <c r="S13" i="9"/>
  <c r="S28" i="9"/>
  <c r="P40" i="9"/>
  <c r="M40" i="9"/>
  <c r="R45" i="9"/>
  <c r="S45" i="9"/>
  <c r="R49" i="9"/>
  <c r="S49" i="9"/>
  <c r="S29" i="9"/>
  <c r="M35" i="9"/>
  <c r="P35" i="9"/>
  <c r="S48" i="9"/>
  <c r="R48" i="9"/>
  <c r="S52" i="9"/>
  <c r="R52" i="9"/>
  <c r="M6" i="9"/>
  <c r="R6" i="9" s="1"/>
  <c r="K37" i="9"/>
  <c r="Q39" i="9"/>
  <c r="R39" i="9" s="1"/>
  <c r="K41" i="9"/>
  <c r="Q46" i="9"/>
  <c r="S46" i="9" s="1"/>
  <c r="M47" i="9"/>
  <c r="Q50" i="9"/>
  <c r="S50" i="9" s="1"/>
  <c r="M51" i="9"/>
  <c r="M34" i="9"/>
  <c r="M38" i="9"/>
  <c r="M45" i="9"/>
  <c r="M49" i="9"/>
  <c r="E5" i="8"/>
  <c r="O5" i="8"/>
  <c r="Y5" i="8"/>
  <c r="F6" i="8"/>
  <c r="P6" i="8"/>
  <c r="Z6" i="8"/>
  <c r="J14" i="8"/>
  <c r="T14" i="8"/>
  <c r="CH14" i="6"/>
  <c r="CG14" i="6"/>
  <c r="CH10" i="6"/>
  <c r="CG10" i="6"/>
  <c r="CH15" i="6"/>
  <c r="CG15" i="6"/>
  <c r="CH11" i="6"/>
  <c r="CG11" i="6"/>
  <c r="CH7" i="6"/>
  <c r="CG7" i="6"/>
  <c r="CE6" i="6"/>
  <c r="T6" i="6"/>
  <c r="AI6" i="6"/>
  <c r="CB8" i="6"/>
  <c r="BC9" i="6"/>
  <c r="T10" i="6"/>
  <c r="AI10" i="6"/>
  <c r="CB12" i="6"/>
  <c r="BC13" i="6"/>
  <c r="T14" i="6"/>
  <c r="AI14" i="6"/>
  <c r="CB16" i="6"/>
  <c r="BC17" i="6"/>
  <c r="CB6" i="6"/>
  <c r="BC7" i="6"/>
  <c r="T8" i="6"/>
  <c r="AI8" i="6"/>
  <c r="CG8" i="6"/>
  <c r="CB10" i="6"/>
  <c r="BC11" i="6"/>
  <c r="T12" i="6"/>
  <c r="AI12" i="6"/>
  <c r="CG12" i="6"/>
  <c r="CB14" i="6"/>
  <c r="BC15" i="6"/>
  <c r="T16" i="6"/>
  <c r="AI16" i="6"/>
  <c r="CG16" i="6"/>
  <c r="CC10" i="6"/>
  <c r="CC14" i="6"/>
  <c r="R50" i="9" l="1"/>
  <c r="S39" i="9"/>
  <c r="R38" i="9"/>
  <c r="R46" i="9"/>
  <c r="P37" i="9"/>
  <c r="M37" i="9"/>
  <c r="S40" i="9"/>
  <c r="R40" i="9"/>
  <c r="P41" i="9"/>
  <c r="M41" i="9"/>
  <c r="S35" i="9"/>
  <c r="R35" i="9"/>
  <c r="S36" i="9"/>
  <c r="R36" i="9"/>
  <c r="CH6" i="6"/>
  <c r="CG6" i="6"/>
  <c r="S41" i="9" l="1"/>
  <c r="R41" i="9"/>
  <c r="S37" i="9"/>
  <c r="R37" i="9"/>
  <c r="Y27" i="4"/>
  <c r="S27" i="4"/>
  <c r="K27" i="4"/>
  <c r="J27" i="4"/>
  <c r="Y26" i="4"/>
  <c r="S26" i="4"/>
  <c r="K26" i="4"/>
  <c r="J26" i="4"/>
  <c r="Y25" i="4"/>
  <c r="S25" i="4"/>
  <c r="K25" i="4"/>
  <c r="J25" i="4"/>
  <c r="Y24" i="4"/>
  <c r="S24" i="4"/>
  <c r="K24" i="4"/>
  <c r="J24" i="4"/>
  <c r="Y23" i="4"/>
  <c r="S23" i="4"/>
  <c r="K23" i="4"/>
  <c r="J23" i="4"/>
  <c r="Y22" i="4"/>
  <c r="S22" i="4"/>
  <c r="K22" i="4"/>
  <c r="J22" i="4"/>
  <c r="Y21" i="4"/>
  <c r="S21" i="4"/>
  <c r="K21" i="4"/>
  <c r="J21" i="4"/>
  <c r="Y20" i="4"/>
  <c r="S20" i="4"/>
  <c r="K20" i="4"/>
  <c r="J20" i="4"/>
  <c r="Y19" i="4"/>
  <c r="S19" i="4"/>
  <c r="K19" i="4"/>
  <c r="J19" i="4"/>
  <c r="Y18" i="4"/>
  <c r="S18" i="4"/>
  <c r="K18" i="4"/>
  <c r="J18" i="4"/>
  <c r="Y17" i="4"/>
  <c r="S17" i="4"/>
  <c r="K17" i="4"/>
  <c r="J17" i="4"/>
  <c r="Y16" i="4"/>
  <c r="S16" i="4"/>
  <c r="K16" i="4"/>
  <c r="J16" i="4"/>
  <c r="Y15" i="4"/>
  <c r="S15" i="4"/>
  <c r="K15" i="4"/>
  <c r="J15" i="4"/>
  <c r="Y14" i="4"/>
  <c r="S14" i="4"/>
  <c r="K14" i="4"/>
  <c r="J14" i="4"/>
  <c r="Y13" i="4"/>
  <c r="S13" i="4"/>
  <c r="K13" i="4"/>
  <c r="J13" i="4"/>
  <c r="Y12" i="4"/>
  <c r="S12" i="4"/>
  <c r="K12" i="4"/>
  <c r="J12" i="4"/>
  <c r="Y11" i="4"/>
  <c r="S11" i="4"/>
  <c r="K11" i="4"/>
  <c r="J11" i="4"/>
  <c r="Y10" i="4"/>
  <c r="S10" i="4"/>
  <c r="K10" i="4"/>
  <c r="J10" i="4"/>
  <c r="Y9" i="4"/>
  <c r="S9" i="4"/>
  <c r="K9" i="4"/>
  <c r="J9" i="4"/>
  <c r="Y8" i="4"/>
  <c r="S8" i="4"/>
  <c r="K8" i="4"/>
  <c r="J8" i="4"/>
  <c r="Y7" i="4"/>
  <c r="S7" i="4"/>
  <c r="K7" i="4"/>
  <c r="J7" i="4"/>
  <c r="Y6" i="4"/>
  <c r="S6" i="4"/>
  <c r="K6" i="4"/>
  <c r="J6" i="4"/>
  <c r="Y5" i="4"/>
  <c r="S5" i="4"/>
  <c r="K5" i="4"/>
  <c r="J5" i="4"/>
  <c r="Y4" i="4"/>
  <c r="S4" i="4"/>
  <c r="K4" i="4"/>
  <c r="J4" i="4"/>
  <c r="M36" i="1"/>
  <c r="J36" i="1"/>
  <c r="I36" i="1"/>
  <c r="N36" i="1" s="1"/>
  <c r="F36" i="1"/>
  <c r="E36" i="1"/>
  <c r="M35" i="1"/>
  <c r="J35" i="1"/>
  <c r="I35" i="1"/>
  <c r="N35" i="1" s="1"/>
  <c r="F35" i="1"/>
  <c r="E35" i="1"/>
  <c r="M34" i="1"/>
  <c r="J34" i="1"/>
  <c r="I34" i="1"/>
  <c r="F34" i="1"/>
  <c r="E34" i="1"/>
  <c r="M33" i="1"/>
  <c r="N33" i="1" s="1"/>
  <c r="J33" i="1"/>
  <c r="I33" i="1"/>
  <c r="F33" i="1"/>
  <c r="E33" i="1"/>
  <c r="M32" i="1"/>
  <c r="J32" i="1"/>
  <c r="I32" i="1"/>
  <c r="N32" i="1" s="1"/>
  <c r="F32" i="1"/>
  <c r="E32" i="1"/>
  <c r="M31" i="1"/>
  <c r="J31" i="1"/>
  <c r="I31" i="1"/>
  <c r="N31" i="1" s="1"/>
  <c r="F31" i="1"/>
  <c r="E31" i="1"/>
  <c r="M30" i="1"/>
  <c r="J30" i="1"/>
  <c r="I30" i="1"/>
  <c r="F30" i="1"/>
  <c r="E30" i="1"/>
  <c r="M29" i="1"/>
  <c r="N29" i="1" s="1"/>
  <c r="J29" i="1"/>
  <c r="I29" i="1"/>
  <c r="F29" i="1"/>
  <c r="E29" i="1"/>
  <c r="M24" i="1"/>
  <c r="J24" i="1"/>
  <c r="I24" i="1"/>
  <c r="F24" i="1"/>
  <c r="E24" i="1"/>
  <c r="M23" i="1"/>
  <c r="J23" i="1"/>
  <c r="I23" i="1"/>
  <c r="F23" i="1"/>
  <c r="E23" i="1"/>
  <c r="M22" i="1"/>
  <c r="J22" i="1"/>
  <c r="I22" i="1"/>
  <c r="F22" i="1"/>
  <c r="E22" i="1"/>
  <c r="M21" i="1"/>
  <c r="J21" i="1"/>
  <c r="I21" i="1"/>
  <c r="F21" i="1"/>
  <c r="E21" i="1"/>
  <c r="M20" i="1"/>
  <c r="J20" i="1"/>
  <c r="I20" i="1"/>
  <c r="F20" i="1"/>
  <c r="E20" i="1"/>
  <c r="M19" i="1"/>
  <c r="J19" i="1"/>
  <c r="I19" i="1"/>
  <c r="F19" i="1"/>
  <c r="E19" i="1"/>
  <c r="M18" i="1"/>
  <c r="J18" i="1"/>
  <c r="I18" i="1"/>
  <c r="F18" i="1"/>
  <c r="E18" i="1"/>
  <c r="M17" i="1"/>
  <c r="J17" i="1"/>
  <c r="I17" i="1"/>
  <c r="F17" i="1"/>
  <c r="E17" i="1"/>
  <c r="M13" i="1"/>
  <c r="J13" i="1"/>
  <c r="I13" i="1"/>
  <c r="F13" i="1"/>
  <c r="E13" i="1"/>
  <c r="M12" i="1"/>
  <c r="J12" i="1"/>
  <c r="I12" i="1"/>
  <c r="F12" i="1"/>
  <c r="E12" i="1"/>
  <c r="M11" i="1"/>
  <c r="J11" i="1"/>
  <c r="I11" i="1"/>
  <c r="F11" i="1"/>
  <c r="E11" i="1"/>
  <c r="M10" i="1"/>
  <c r="J10" i="1"/>
  <c r="I10" i="1"/>
  <c r="F10" i="1"/>
  <c r="E10" i="1"/>
  <c r="M9" i="1"/>
  <c r="J9" i="1"/>
  <c r="I9" i="1"/>
  <c r="F9" i="1"/>
  <c r="E9" i="1"/>
  <c r="M8" i="1"/>
  <c r="J8" i="1"/>
  <c r="I8" i="1"/>
  <c r="F8" i="1"/>
  <c r="E8" i="1"/>
  <c r="M7" i="1"/>
  <c r="J7" i="1"/>
  <c r="I7" i="1"/>
  <c r="F7" i="1"/>
  <c r="E7" i="1"/>
  <c r="M6" i="1"/>
  <c r="J6" i="1"/>
  <c r="I6" i="1"/>
  <c r="F6" i="1"/>
  <c r="E6" i="1"/>
  <c r="N30" i="1" l="1"/>
  <c r="N34" i="1"/>
</calcChain>
</file>

<file path=xl/sharedStrings.xml><?xml version="1.0" encoding="utf-8"?>
<sst xmlns="http://schemas.openxmlformats.org/spreadsheetml/2006/main" count="1889" uniqueCount="254">
  <si>
    <t>2014-2015</t>
    <phoneticPr fontId="0" type="noConversion"/>
  </si>
  <si>
    <t>Tillage method</t>
    <phoneticPr fontId="0" type="noConversion"/>
  </si>
  <si>
    <t>Nitrogen (kg/ha)</t>
    <phoneticPr fontId="0" type="noConversion"/>
  </si>
  <si>
    <t>Water storage before sowing</t>
    <phoneticPr fontId="0" type="noConversion"/>
  </si>
  <si>
    <t>anthesis</t>
    <phoneticPr fontId="0" type="noConversion"/>
  </si>
  <si>
    <t>Maturity</t>
    <phoneticPr fontId="0" type="noConversion"/>
  </si>
  <si>
    <t>repeat 1</t>
    <phoneticPr fontId="0" type="noConversion"/>
  </si>
  <si>
    <t>repeat 2</t>
    <phoneticPr fontId="0" type="noConversion"/>
  </si>
  <si>
    <t>average</t>
    <phoneticPr fontId="0" type="noConversion"/>
  </si>
  <si>
    <t>S.E</t>
    <phoneticPr fontId="0" type="noConversion"/>
  </si>
  <si>
    <t>DT</t>
    <phoneticPr fontId="0" type="noConversion"/>
  </si>
  <si>
    <t>NT</t>
    <phoneticPr fontId="0" type="noConversion"/>
  </si>
  <si>
    <t>2015-2016</t>
    <phoneticPr fontId="0" type="noConversion"/>
  </si>
  <si>
    <t>0</t>
  </si>
  <si>
    <t>90</t>
  </si>
  <si>
    <t>150</t>
  </si>
  <si>
    <t>210</t>
  </si>
  <si>
    <r>
      <t>N</t>
    </r>
    <r>
      <rPr>
        <sz val="12"/>
        <rFont val="宋体"/>
        <family val="3"/>
        <charset val="134"/>
      </rPr>
      <t>T</t>
    </r>
  </si>
  <si>
    <t>2016-2017</t>
    <phoneticPr fontId="0" type="noConversion"/>
  </si>
  <si>
    <t>year</t>
  </si>
  <si>
    <t>rep</t>
  </si>
  <si>
    <t>Tillage method</t>
  </si>
  <si>
    <t>N</t>
  </si>
  <si>
    <t>anthesis</t>
  </si>
  <si>
    <t>Maturity</t>
  </si>
  <si>
    <t>albumin</t>
  </si>
  <si>
    <t>globulin</t>
  </si>
  <si>
    <t>gliadin</t>
  </si>
  <si>
    <t>glutenin</t>
  </si>
  <si>
    <t>glu/gli</t>
  </si>
  <si>
    <t>protein</t>
  </si>
  <si>
    <t>Total N</t>
  </si>
  <si>
    <t>yield</t>
  </si>
  <si>
    <t>DT</t>
  </si>
  <si>
    <t>NT</t>
  </si>
  <si>
    <t>Water content</t>
  </si>
  <si>
    <t>replicates</t>
  </si>
  <si>
    <t>Nitrogen (kg/ha)</t>
  </si>
  <si>
    <t>SWS</t>
  </si>
  <si>
    <t>ΔSWS</t>
  </si>
  <si>
    <t>stem+Sheath</t>
  </si>
  <si>
    <t>Glume+Spike</t>
  </si>
  <si>
    <t>Grain</t>
  </si>
  <si>
    <t>spikeno</t>
  </si>
  <si>
    <t>Grainno</t>
  </si>
  <si>
    <t>gr1000</t>
  </si>
  <si>
    <t>WUE</t>
  </si>
  <si>
    <t>s-a</t>
  </si>
  <si>
    <t>a-m</t>
  </si>
  <si>
    <t>Δs-a</t>
  </si>
  <si>
    <t>Δa-m</t>
  </si>
  <si>
    <t>BEFORE SOWING</t>
  </si>
  <si>
    <t>Ps-a</t>
  </si>
  <si>
    <t>Pa-m</t>
  </si>
  <si>
    <t>average</t>
  </si>
  <si>
    <t>T</t>
  </si>
  <si>
    <t>wintering</t>
  </si>
  <si>
    <t>jointing</t>
  </si>
  <si>
    <t>booting</t>
  </si>
  <si>
    <t>maturity</t>
  </si>
  <si>
    <t>dt</t>
  </si>
  <si>
    <t>nt</t>
  </si>
  <si>
    <t>2014-2015</t>
    <phoneticPr fontId="0" type="noConversion"/>
  </si>
  <si>
    <t>Wintering</t>
    <phoneticPr fontId="0" type="noConversion"/>
  </si>
  <si>
    <r>
      <t>j</t>
    </r>
    <r>
      <rPr>
        <sz val="11"/>
        <rFont val="等线"/>
        <charset val="134"/>
      </rPr>
      <t>ointing</t>
    </r>
  </si>
  <si>
    <t>booting stage</t>
    <phoneticPr fontId="0" type="noConversion"/>
  </si>
  <si>
    <r>
      <t>a</t>
    </r>
    <r>
      <rPr>
        <sz val="11"/>
        <rFont val="等线"/>
        <charset val="134"/>
      </rPr>
      <t>nthesis</t>
    </r>
  </si>
  <si>
    <t>total plant</t>
    <phoneticPr fontId="0" type="noConversion"/>
  </si>
  <si>
    <r>
      <t>l</t>
    </r>
    <r>
      <rPr>
        <sz val="11"/>
        <rFont val="等线"/>
        <charset val="134"/>
      </rPr>
      <t>eaf</t>
    </r>
  </si>
  <si>
    <r>
      <t>S</t>
    </r>
    <r>
      <rPr>
        <sz val="11"/>
        <rFont val="等线"/>
        <charset val="134"/>
      </rPr>
      <t>tem</t>
    </r>
  </si>
  <si>
    <r>
      <t>S</t>
    </r>
    <r>
      <rPr>
        <sz val="11"/>
        <rFont val="等线"/>
        <charset val="134"/>
      </rPr>
      <t>pike</t>
    </r>
  </si>
  <si>
    <r>
      <t>s</t>
    </r>
    <r>
      <rPr>
        <sz val="11"/>
        <rFont val="等线"/>
        <charset val="134"/>
      </rPr>
      <t>tem</t>
    </r>
  </si>
  <si>
    <r>
      <t>s</t>
    </r>
    <r>
      <rPr>
        <sz val="11"/>
        <rFont val="等线"/>
        <charset val="134"/>
      </rPr>
      <t>pike</t>
    </r>
  </si>
  <si>
    <r>
      <t>g</t>
    </r>
    <r>
      <rPr>
        <sz val="11"/>
        <rFont val="等线"/>
        <charset val="134"/>
      </rPr>
      <t>rain</t>
    </r>
  </si>
  <si>
    <t>tatal plant</t>
    <phoneticPr fontId="0" type="noConversion"/>
  </si>
  <si>
    <t>repeat1</t>
    <phoneticPr fontId="0" type="noConversion"/>
  </si>
  <si>
    <r>
      <t>repeat2</t>
    </r>
    <r>
      <rPr>
        <sz val="11"/>
        <color theme="1"/>
        <rFont val="Calibri"/>
        <family val="2"/>
        <charset val="134"/>
        <scheme val="minor"/>
      </rPr>
      <t/>
    </r>
  </si>
  <si>
    <t>Average</t>
    <phoneticPr fontId="0" type="noConversion"/>
  </si>
  <si>
    <t>S.E</t>
    <phoneticPr fontId="0" type="noConversion"/>
  </si>
  <si>
    <r>
      <t>r</t>
    </r>
    <r>
      <rPr>
        <sz val="11"/>
        <rFont val="等线"/>
        <charset val="134"/>
      </rPr>
      <t>epeat1</t>
    </r>
  </si>
  <si>
    <r>
      <t>r</t>
    </r>
    <r>
      <rPr>
        <sz val="11"/>
        <rFont val="等线"/>
        <charset val="134"/>
      </rPr>
      <t>epeat2</t>
    </r>
    <r>
      <rPr>
        <sz val="11"/>
        <color theme="1"/>
        <rFont val="Calibri"/>
        <family val="2"/>
        <charset val="134"/>
        <scheme val="minor"/>
      </rPr>
      <t/>
    </r>
  </si>
  <si>
    <r>
      <t>A</t>
    </r>
    <r>
      <rPr>
        <sz val="11"/>
        <rFont val="等线"/>
        <charset val="134"/>
      </rPr>
      <t>verage</t>
    </r>
  </si>
  <si>
    <t>deep tillage</t>
    <phoneticPr fontId="0" type="noConversion"/>
  </si>
  <si>
    <r>
      <t>　</t>
    </r>
    <r>
      <rPr>
        <b/>
        <sz val="12"/>
        <rFont val="Times New Roman"/>
        <family val="1"/>
      </rPr>
      <t xml:space="preserve"> g</t>
    </r>
  </si>
  <si>
    <r>
      <t>　</t>
    </r>
    <r>
      <rPr>
        <sz val="12"/>
        <rFont val="Times New Roman"/>
        <family val="1"/>
      </rPr>
      <t xml:space="preserve"> g</t>
    </r>
  </si>
  <si>
    <r>
      <t>　</t>
    </r>
    <r>
      <rPr>
        <sz val="12"/>
        <rFont val="Times New Roman"/>
        <family val="1"/>
      </rPr>
      <t xml:space="preserve"> bcd</t>
    </r>
  </si>
  <si>
    <r>
      <t>　</t>
    </r>
    <r>
      <rPr>
        <b/>
        <sz val="12"/>
        <rFont val="Times New Roman"/>
        <family val="1"/>
      </rPr>
      <t xml:space="preserve"> f</t>
    </r>
  </si>
  <si>
    <r>
      <t>　</t>
    </r>
    <r>
      <rPr>
        <sz val="12"/>
        <rFont val="Times New Roman"/>
        <family val="1"/>
      </rPr>
      <t xml:space="preserve"> d</t>
    </r>
  </si>
  <si>
    <r>
      <t>　</t>
    </r>
    <r>
      <rPr>
        <sz val="12"/>
        <rFont val="Times New Roman"/>
        <family val="1"/>
      </rPr>
      <t xml:space="preserve"> c</t>
    </r>
  </si>
  <si>
    <r>
      <t>　</t>
    </r>
    <r>
      <rPr>
        <b/>
        <sz val="12"/>
        <rFont val="Times New Roman"/>
        <family val="1"/>
      </rPr>
      <t xml:space="preserve"> i</t>
    </r>
  </si>
  <si>
    <r>
      <t>　</t>
    </r>
    <r>
      <rPr>
        <sz val="12"/>
        <rFont val="Times New Roman"/>
        <family val="1"/>
      </rPr>
      <t xml:space="preserve"> cd</t>
    </r>
  </si>
  <si>
    <r>
      <t>　</t>
    </r>
    <r>
      <rPr>
        <sz val="12"/>
        <rFont val="Times New Roman"/>
        <family val="1"/>
      </rPr>
      <t>abcde</t>
    </r>
  </si>
  <si>
    <r>
      <t>　</t>
    </r>
    <r>
      <rPr>
        <sz val="12"/>
        <rFont val="Times New Roman"/>
        <family val="1"/>
      </rPr>
      <t xml:space="preserve"> f</t>
    </r>
  </si>
  <si>
    <r>
      <t>　</t>
    </r>
    <r>
      <rPr>
        <sz val="12"/>
        <rFont val="Times New Roman"/>
        <family val="1"/>
      </rPr>
      <t xml:space="preserve"> h</t>
    </r>
  </si>
  <si>
    <r>
      <t>　</t>
    </r>
    <r>
      <rPr>
        <sz val="12"/>
        <rFont val="Times New Roman"/>
        <family val="1"/>
      </rPr>
      <t xml:space="preserve"> bc</t>
    </r>
  </si>
  <si>
    <r>
      <t>　</t>
    </r>
    <r>
      <rPr>
        <sz val="12"/>
        <rFont val="Times New Roman"/>
        <family val="1"/>
      </rPr>
      <t xml:space="preserve"> ef</t>
    </r>
  </si>
  <si>
    <r>
      <t>　</t>
    </r>
    <r>
      <rPr>
        <sz val="12"/>
        <rFont val="Times New Roman"/>
        <family val="1"/>
      </rPr>
      <t>a</t>
    </r>
  </si>
  <si>
    <r>
      <t>　</t>
    </r>
    <r>
      <rPr>
        <b/>
        <sz val="12"/>
        <rFont val="Times New Roman"/>
        <family val="1"/>
      </rPr>
      <t xml:space="preserve"> ef</t>
    </r>
  </si>
  <si>
    <r>
      <t>　</t>
    </r>
    <r>
      <rPr>
        <b/>
        <sz val="12"/>
        <rFont val="Times New Roman"/>
        <family val="1"/>
      </rPr>
      <t xml:space="preserve"> e</t>
    </r>
  </si>
  <si>
    <r>
      <t>　</t>
    </r>
    <r>
      <rPr>
        <sz val="12"/>
        <rFont val="Times New Roman"/>
        <family val="1"/>
      </rPr>
      <t>abcd</t>
    </r>
  </si>
  <si>
    <r>
      <t>　</t>
    </r>
    <r>
      <rPr>
        <sz val="12"/>
        <rFont val="Times New Roman"/>
        <family val="1"/>
      </rPr>
      <t xml:space="preserve"> e</t>
    </r>
  </si>
  <si>
    <r>
      <t>　</t>
    </r>
    <r>
      <rPr>
        <sz val="12"/>
        <rFont val="Times New Roman"/>
        <family val="1"/>
      </rPr>
      <t xml:space="preserve"> fg</t>
    </r>
  </si>
  <si>
    <r>
      <t>　</t>
    </r>
    <r>
      <rPr>
        <b/>
        <sz val="12"/>
        <rFont val="Times New Roman"/>
        <family val="1"/>
      </rPr>
      <t xml:space="preserve"> d</t>
    </r>
  </si>
  <si>
    <r>
      <t>　</t>
    </r>
    <r>
      <rPr>
        <sz val="12"/>
        <rFont val="Times New Roman"/>
        <family val="1"/>
      </rPr>
      <t xml:space="preserve"> b</t>
    </r>
  </si>
  <si>
    <r>
      <t>　</t>
    </r>
    <r>
      <rPr>
        <b/>
        <sz val="12"/>
        <rFont val="Times New Roman"/>
        <family val="1"/>
      </rPr>
      <t xml:space="preserve"> cd</t>
    </r>
  </si>
  <si>
    <r>
      <t>　</t>
    </r>
    <r>
      <rPr>
        <sz val="12"/>
        <rFont val="Times New Roman"/>
        <family val="1"/>
      </rPr>
      <t>ab</t>
    </r>
  </si>
  <si>
    <r>
      <t>　</t>
    </r>
    <r>
      <rPr>
        <sz val="12"/>
        <rFont val="Times New Roman"/>
        <family val="1"/>
      </rPr>
      <t>abc</t>
    </r>
  </si>
  <si>
    <r>
      <t>　</t>
    </r>
    <r>
      <rPr>
        <b/>
        <sz val="12"/>
        <rFont val="Times New Roman"/>
        <family val="1"/>
      </rPr>
      <t xml:space="preserve"> c</t>
    </r>
  </si>
  <si>
    <r>
      <t>　</t>
    </r>
    <r>
      <rPr>
        <b/>
        <sz val="12"/>
        <rFont val="Times New Roman"/>
        <family val="1"/>
      </rPr>
      <t xml:space="preserve"> b</t>
    </r>
  </si>
  <si>
    <r>
      <t>　</t>
    </r>
    <r>
      <rPr>
        <b/>
        <sz val="12"/>
        <rFont val="Times New Roman"/>
        <family val="1"/>
      </rPr>
      <t>ab</t>
    </r>
  </si>
  <si>
    <r>
      <t>　</t>
    </r>
    <r>
      <rPr>
        <sz val="12"/>
        <rFont val="Times New Roman"/>
        <family val="1"/>
      </rPr>
      <t xml:space="preserve"> de</t>
    </r>
  </si>
  <si>
    <r>
      <t>　</t>
    </r>
    <r>
      <rPr>
        <b/>
        <sz val="12"/>
        <rFont val="Times New Roman"/>
        <family val="1"/>
      </rPr>
      <t>a</t>
    </r>
  </si>
  <si>
    <r>
      <t>　</t>
    </r>
    <r>
      <rPr>
        <b/>
        <sz val="12"/>
        <rFont val="Times New Roman"/>
        <family val="1"/>
      </rPr>
      <t xml:space="preserve"> de</t>
    </r>
  </si>
  <si>
    <r>
      <t>　</t>
    </r>
    <r>
      <rPr>
        <sz val="12"/>
        <rFont val="Times New Roman"/>
        <family val="1"/>
      </rPr>
      <t xml:space="preserve"> cde</t>
    </r>
  </si>
  <si>
    <t>no tillage</t>
    <phoneticPr fontId="0" type="noConversion"/>
  </si>
  <si>
    <r>
      <t>　</t>
    </r>
    <r>
      <rPr>
        <b/>
        <sz val="12"/>
        <rFont val="Times New Roman"/>
        <family val="1"/>
      </rPr>
      <t xml:space="preserve"> j</t>
    </r>
  </si>
  <si>
    <r>
      <t>　</t>
    </r>
    <r>
      <rPr>
        <sz val="12"/>
        <rFont val="Times New Roman"/>
        <family val="1"/>
      </rPr>
      <t xml:space="preserve"> gh</t>
    </r>
  </si>
  <si>
    <r>
      <t>　</t>
    </r>
    <r>
      <rPr>
        <b/>
        <sz val="12"/>
        <rFont val="Times New Roman"/>
        <family val="1"/>
      </rPr>
      <t xml:space="preserve"> h</t>
    </r>
  </si>
  <si>
    <r>
      <t>　</t>
    </r>
    <r>
      <rPr>
        <sz val="12"/>
        <rFont val="Times New Roman"/>
        <family val="1"/>
      </rPr>
      <t xml:space="preserve"> def</t>
    </r>
  </si>
  <si>
    <r>
      <t>　</t>
    </r>
    <r>
      <rPr>
        <b/>
        <sz val="12"/>
        <rFont val="Times New Roman"/>
        <family val="1"/>
      </rPr>
      <t xml:space="preserve"> bc</t>
    </r>
  </si>
  <si>
    <r>
      <t>　</t>
    </r>
    <r>
      <rPr>
        <sz val="12"/>
        <rFont val="Times New Roman"/>
        <family val="1"/>
      </rPr>
      <t xml:space="preserve"> bcde</t>
    </r>
  </si>
  <si>
    <r>
      <t xml:space="preserve">Precipitation in Wenxi site </t>
    </r>
    <r>
      <rPr>
        <b/>
        <sz val="12"/>
        <rFont val="宋体"/>
        <charset val="134"/>
      </rPr>
      <t>（</t>
    </r>
    <r>
      <rPr>
        <b/>
        <sz val="12"/>
        <rFont val="Times New Roman"/>
        <family val="1"/>
      </rPr>
      <t>mm</t>
    </r>
    <r>
      <rPr>
        <b/>
        <sz val="12"/>
        <rFont val="宋体"/>
        <charset val="134"/>
      </rPr>
      <t>）</t>
    </r>
  </si>
  <si>
    <t>Year</t>
    <phoneticPr fontId="0" type="noConversion"/>
  </si>
  <si>
    <t>fallow period</t>
    <phoneticPr fontId="0" type="noConversion"/>
  </si>
  <si>
    <t>sowing-wintering</t>
    <phoneticPr fontId="0" type="noConversion"/>
  </si>
  <si>
    <t>wintering-jointing</t>
    <phoneticPr fontId="0" type="noConversion"/>
  </si>
  <si>
    <t>jointing-anthesis</t>
    <phoneticPr fontId="0" type="noConversion"/>
  </si>
  <si>
    <t>anthesis-maturity</t>
    <phoneticPr fontId="0" type="noConversion"/>
  </si>
  <si>
    <t>total</t>
    <phoneticPr fontId="0" type="noConversion"/>
  </si>
  <si>
    <t>2005—2014 mean</t>
    <phoneticPr fontId="0" type="noConversion"/>
  </si>
  <si>
    <t>±51.61</t>
  </si>
  <si>
    <t>±17.28</t>
  </si>
  <si>
    <t>±12.67</t>
  </si>
  <si>
    <t>±22.08</t>
  </si>
  <si>
    <t>±12.92</t>
  </si>
  <si>
    <t>±18.93</t>
  </si>
  <si>
    <t>2009—2010</t>
  </si>
  <si>
    <t>Dry year</t>
    <phoneticPr fontId="0" type="noConversion"/>
  </si>
  <si>
    <t>2010—2011</t>
  </si>
  <si>
    <t>Normal year</t>
    <phoneticPr fontId="0" type="noConversion"/>
  </si>
  <si>
    <t>2011—2012</t>
  </si>
  <si>
    <t>Rain year</t>
    <phoneticPr fontId="0" type="noConversion"/>
  </si>
  <si>
    <t>2012—2013</t>
  </si>
  <si>
    <t>2013—2014</t>
  </si>
  <si>
    <t>2014—2015</t>
    <phoneticPr fontId="0" type="noConversion"/>
  </si>
  <si>
    <t>2015-2016</t>
  </si>
  <si>
    <t>2016-2017</t>
  </si>
  <si>
    <t>Year</t>
  </si>
  <si>
    <t>fallow period</t>
  </si>
  <si>
    <t>sowing-wintering</t>
  </si>
  <si>
    <t>wintering-jointing</t>
  </si>
  <si>
    <t>jointing-anthesis</t>
  </si>
  <si>
    <t>anthesis-maturity</t>
  </si>
  <si>
    <t>total</t>
  </si>
  <si>
    <t>S-A</t>
  </si>
  <si>
    <t>A-M</t>
  </si>
  <si>
    <t>2005—2014 mean</t>
  </si>
  <si>
    <t>2014—2015</t>
  </si>
  <si>
    <t>2014-2015</t>
    <phoneticPr fontId="0" type="noConversion"/>
  </si>
  <si>
    <t>Sowing stage</t>
    <phoneticPr fontId="0" type="noConversion"/>
  </si>
  <si>
    <t>Repeat 1</t>
  </si>
  <si>
    <t>Repeat 2</t>
    <phoneticPr fontId="0" type="noConversion"/>
  </si>
  <si>
    <t>S.E</t>
  </si>
  <si>
    <t>No tillage</t>
    <phoneticPr fontId="0" type="noConversion"/>
  </si>
  <si>
    <t>Deep tillage</t>
    <phoneticPr fontId="0" type="noConversion"/>
  </si>
  <si>
    <t>Havest stage</t>
    <phoneticPr fontId="0" type="noConversion"/>
  </si>
  <si>
    <t>2015-2016</t>
    <phoneticPr fontId="0" type="noConversion"/>
  </si>
  <si>
    <t>2016-2017</t>
    <phoneticPr fontId="0" type="noConversion"/>
  </si>
  <si>
    <t>WUE (kg ha-1 mm-1) = grain yield (kg ha-1) /evapotranspiration (mm)</t>
  </si>
  <si>
    <t>2012-2013</t>
    <phoneticPr fontId="0" type="noConversion"/>
  </si>
  <si>
    <t>Tillage method</t>
    <phoneticPr fontId="0" type="noConversion"/>
  </si>
  <si>
    <t>Nitrogen (kg/ha)</t>
    <phoneticPr fontId="0" type="noConversion"/>
  </si>
  <si>
    <t>Water storage before sowing</t>
    <phoneticPr fontId="0" type="noConversion"/>
  </si>
  <si>
    <t>Precipitation in growing stage</t>
    <phoneticPr fontId="0" type="noConversion"/>
  </si>
  <si>
    <t xml:space="preserve">total water consumption ET= P – ΔSWS         </t>
  </si>
  <si>
    <t>Yield</t>
    <phoneticPr fontId="0" type="noConversion"/>
  </si>
  <si>
    <t>WUE</t>
    <phoneticPr fontId="0" type="noConversion"/>
  </si>
  <si>
    <t>repeat 1</t>
    <phoneticPr fontId="0" type="noConversion"/>
  </si>
  <si>
    <t>repeat 2</t>
    <phoneticPr fontId="0" type="noConversion"/>
  </si>
  <si>
    <t>average</t>
    <phoneticPr fontId="0" type="noConversion"/>
  </si>
  <si>
    <t>S.E</t>
    <phoneticPr fontId="0" type="noConversion"/>
  </si>
  <si>
    <t>SE</t>
  </si>
  <si>
    <r>
      <t>D</t>
    </r>
    <r>
      <rPr>
        <sz val="11"/>
        <color theme="1"/>
        <rFont val="Calibri"/>
        <family val="2"/>
        <scheme val="minor"/>
      </rPr>
      <t>T</t>
    </r>
  </si>
  <si>
    <r>
      <t>S</t>
    </r>
    <r>
      <rPr>
        <sz val="12"/>
        <color indexed="10"/>
        <rFont val="宋体"/>
        <charset val="134"/>
      </rPr>
      <t>S</t>
    </r>
  </si>
  <si>
    <r>
      <t>　</t>
    </r>
    <r>
      <rPr>
        <sz val="12"/>
        <color indexed="10"/>
        <rFont val="Times New Roman"/>
        <family val="1"/>
      </rPr>
      <t>a</t>
    </r>
  </si>
  <si>
    <r>
      <t>　</t>
    </r>
    <r>
      <rPr>
        <sz val="12"/>
        <color indexed="10"/>
        <rFont val="Times New Roman"/>
        <family val="1"/>
      </rPr>
      <t xml:space="preserve"> b</t>
    </r>
  </si>
  <si>
    <t>2013-2014</t>
    <phoneticPr fontId="0" type="noConversion"/>
  </si>
  <si>
    <t>Maturity</t>
    <phoneticPr fontId="0" type="noConversion"/>
  </si>
  <si>
    <t xml:space="preserve">total water consumption </t>
    <phoneticPr fontId="0" type="noConversion"/>
  </si>
  <si>
    <t>DT</t>
    <phoneticPr fontId="0" type="noConversion"/>
  </si>
  <si>
    <t>SS</t>
    <phoneticPr fontId="0" type="noConversion"/>
  </si>
  <si>
    <r>
      <t>　</t>
    </r>
    <r>
      <rPr>
        <sz val="12"/>
        <color indexed="10"/>
        <rFont val="Times New Roman"/>
        <family val="1"/>
      </rPr>
      <t xml:space="preserve"> d</t>
    </r>
  </si>
  <si>
    <r>
      <t>　</t>
    </r>
    <r>
      <rPr>
        <sz val="12"/>
        <color indexed="10"/>
        <rFont val="Times New Roman"/>
        <family val="1"/>
      </rPr>
      <t xml:space="preserve"> c</t>
    </r>
  </si>
  <si>
    <t>NT</t>
    <phoneticPr fontId="0" type="noConversion"/>
  </si>
  <si>
    <r>
      <t>D</t>
    </r>
    <r>
      <rPr>
        <sz val="12"/>
        <color indexed="10"/>
        <rFont val="宋体"/>
        <charset val="134"/>
      </rPr>
      <t>T</t>
    </r>
  </si>
  <si>
    <r>
      <t>　</t>
    </r>
    <r>
      <rPr>
        <sz val="12"/>
        <color indexed="10"/>
        <rFont val="Times New Roman"/>
        <family val="1"/>
      </rPr>
      <t xml:space="preserve"> cd</t>
    </r>
  </si>
  <si>
    <r>
      <t>N</t>
    </r>
    <r>
      <rPr>
        <sz val="12"/>
        <rFont val="宋体"/>
        <charset val="134"/>
      </rPr>
      <t>T</t>
    </r>
  </si>
  <si>
    <r>
      <t>D</t>
    </r>
    <r>
      <rPr>
        <sz val="12"/>
        <rFont val="宋体"/>
        <charset val="134"/>
      </rPr>
      <t>T</t>
    </r>
  </si>
  <si>
    <t>Albumin（%）</t>
    <phoneticPr fontId="0" type="noConversion"/>
  </si>
  <si>
    <t>Globulin（%）</t>
    <phoneticPr fontId="0" type="noConversion"/>
  </si>
  <si>
    <t>Gliadin（%）</t>
    <phoneticPr fontId="0" type="noConversion"/>
  </si>
  <si>
    <t>Glutenin（%）</t>
    <phoneticPr fontId="0" type="noConversion"/>
  </si>
  <si>
    <t>Glu/Gli</t>
    <phoneticPr fontId="0" type="noConversion"/>
  </si>
  <si>
    <t>Protein（%）</t>
    <phoneticPr fontId="0" type="noConversion"/>
  </si>
  <si>
    <r>
      <t>　</t>
    </r>
    <r>
      <rPr>
        <sz val="12"/>
        <color indexed="10"/>
        <rFont val="Times New Roman"/>
        <family val="1"/>
      </rPr>
      <t xml:space="preserve"> e</t>
    </r>
  </si>
  <si>
    <r>
      <t>　</t>
    </r>
    <r>
      <rPr>
        <sz val="12"/>
        <color indexed="10"/>
        <rFont val="Times New Roman"/>
        <family val="1"/>
      </rPr>
      <t xml:space="preserve"> bcd</t>
    </r>
  </si>
  <si>
    <r>
      <t>Table   Every plant orgen nitrogen content in maturity</t>
    </r>
    <r>
      <rPr>
        <b/>
        <sz val="12"/>
        <rFont val="宋体"/>
        <charset val="134"/>
      </rPr>
      <t>（</t>
    </r>
    <r>
      <rPr>
        <b/>
        <sz val="12"/>
        <rFont val="Times New Roman"/>
        <family val="1"/>
      </rPr>
      <t>2014-2015</t>
    </r>
    <r>
      <rPr>
        <b/>
        <sz val="12"/>
        <rFont val="宋体"/>
        <charset val="134"/>
      </rPr>
      <t>）</t>
    </r>
  </si>
  <si>
    <t>Nitrogen</t>
    <phoneticPr fontId="0" type="noConversion"/>
  </si>
  <si>
    <t>Leaf</t>
  </si>
  <si>
    <t>stem +Sheath</t>
  </si>
  <si>
    <t>Glume + Spike</t>
  </si>
  <si>
    <t>Grain</t>
    <phoneticPr fontId="0" type="noConversion"/>
  </si>
  <si>
    <t>Total</t>
    <phoneticPr fontId="0" type="noConversion"/>
  </si>
  <si>
    <r>
      <rPr>
        <sz val="12"/>
        <rFont val="宋体"/>
        <charset val="134"/>
      </rPr>
      <t>（</t>
    </r>
    <r>
      <rPr>
        <sz val="12"/>
        <rFont val="Times New Roman"/>
        <family val="1"/>
      </rPr>
      <t>kg/ha</t>
    </r>
    <r>
      <rPr>
        <sz val="12"/>
        <rFont val="宋体"/>
        <charset val="134"/>
      </rPr>
      <t>）</t>
    </r>
  </si>
  <si>
    <r>
      <rPr>
        <sz val="12"/>
        <color indexed="10"/>
        <rFont val="宋体"/>
        <charset val="134"/>
      </rPr>
      <t>（</t>
    </r>
    <r>
      <rPr>
        <sz val="12"/>
        <color indexed="10"/>
        <rFont val="Times New Roman"/>
        <family val="1"/>
      </rPr>
      <t>kg/ha</t>
    </r>
    <r>
      <rPr>
        <sz val="12"/>
        <color indexed="10"/>
        <rFont val="宋体"/>
        <charset val="134"/>
      </rPr>
      <t>）</t>
    </r>
  </si>
  <si>
    <t>Leaf</t>
    <phoneticPr fontId="0" type="noConversion"/>
  </si>
  <si>
    <r>
      <rPr>
        <b/>
        <sz val="9"/>
        <rFont val="Times New Roman"/>
        <family val="1"/>
      </rPr>
      <t>Table   Every plant orgen nitrogen content in maturity(2016</t>
    </r>
    <r>
      <rPr>
        <b/>
        <sz val="9"/>
        <rFont val="宋体"/>
        <charset val="134"/>
      </rPr>
      <t>—</t>
    </r>
    <r>
      <rPr>
        <b/>
        <sz val="9"/>
        <rFont val="Times New Roman"/>
        <family val="1"/>
      </rPr>
      <t>2017)</t>
    </r>
  </si>
  <si>
    <t>(421 mm)</t>
  </si>
  <si>
    <t>(404 mm)</t>
  </si>
  <si>
    <r>
      <t>Spike number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/ha</t>
    </r>
    <r>
      <rPr>
        <sz val="12"/>
        <rFont val="宋体"/>
        <charset val="134"/>
      </rPr>
      <t>）</t>
    </r>
  </si>
  <si>
    <t>Grain number per spike</t>
    <phoneticPr fontId="0" type="noConversion"/>
  </si>
  <si>
    <r>
      <t>1000 grain weight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g</t>
    </r>
    <r>
      <rPr>
        <sz val="12"/>
        <rFont val="宋体"/>
        <charset val="134"/>
      </rPr>
      <t>）</t>
    </r>
  </si>
  <si>
    <r>
      <t>Yield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kg/ha</t>
    </r>
    <r>
      <rPr>
        <sz val="12"/>
        <rFont val="宋体"/>
        <charset val="134"/>
      </rPr>
      <t>）</t>
    </r>
  </si>
  <si>
    <r>
      <t>Whole plant dry weight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kg/ha</t>
    </r>
    <r>
      <rPr>
        <sz val="12"/>
        <rFont val="宋体"/>
        <charset val="134"/>
      </rPr>
      <t>）</t>
    </r>
  </si>
  <si>
    <t>Harvest index</t>
    <phoneticPr fontId="0" type="noConversion"/>
  </si>
  <si>
    <r>
      <t>　</t>
    </r>
    <r>
      <rPr>
        <sz val="12"/>
        <color indexed="10"/>
        <rFont val="Times New Roman"/>
        <family val="1"/>
      </rPr>
      <t>ab</t>
    </r>
  </si>
  <si>
    <t>　 c</t>
  </si>
  <si>
    <t>　a</t>
  </si>
  <si>
    <t>　 b</t>
  </si>
  <si>
    <t>　 bc</t>
  </si>
  <si>
    <t>　 a</t>
  </si>
  <si>
    <t>　 d</t>
  </si>
  <si>
    <t>　ab</t>
  </si>
  <si>
    <t>　 e</t>
  </si>
  <si>
    <t>　 cd</t>
  </si>
  <si>
    <t>Repeat 2</t>
  </si>
  <si>
    <t>kg/ha</t>
  </si>
  <si>
    <t>%</t>
  </si>
  <si>
    <t>Tillage</t>
  </si>
  <si>
    <t>leaf N</t>
  </si>
  <si>
    <t>GrainN</t>
  </si>
  <si>
    <t>HI</t>
  </si>
  <si>
    <t>TotalN</t>
  </si>
  <si>
    <t>protein yield</t>
  </si>
  <si>
    <t>protein.yield</t>
  </si>
  <si>
    <t>yr14</t>
  </si>
  <si>
    <t>yr15</t>
  </si>
  <si>
    <t>yr16</t>
  </si>
  <si>
    <t>Dry biomass（kg/ha）</t>
  </si>
  <si>
    <t>tillage</t>
  </si>
  <si>
    <r>
      <t>WUE (</t>
    </r>
    <r>
      <rPr>
        <b/>
        <sz val="12"/>
        <rFont val="Times New Roman"/>
        <family val="1"/>
      </rPr>
      <t>kg/h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/mm)</t>
    </r>
  </si>
  <si>
    <r>
      <t>N (</t>
    </r>
    <r>
      <rPr>
        <sz val="12"/>
        <rFont val="Times New Roman"/>
        <family val="1"/>
      </rPr>
      <t>kg/ha)</t>
    </r>
  </si>
  <si>
    <r>
      <rPr>
        <sz val="12"/>
        <color indexed="10"/>
        <rFont val="Calibri"/>
        <family val="2"/>
        <scheme val="minor"/>
      </rPr>
      <t>（kg/ha）</t>
    </r>
  </si>
  <si>
    <r>
      <t>Every plant orgen nitrogen content in maturity</t>
    </r>
    <r>
      <rPr>
        <b/>
        <sz val="11"/>
        <rFont val="宋体"/>
        <charset val="134"/>
      </rPr>
      <t>（</t>
    </r>
    <r>
      <rPr>
        <b/>
        <sz val="11"/>
        <rFont val="Times New Roman"/>
        <family val="1"/>
      </rPr>
      <t>2015—2016</t>
    </r>
    <r>
      <rPr>
        <b/>
        <sz val="11"/>
        <rFont val="宋体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</si>
</sst>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_ "/>
    <numFmt numFmtId="165" formatCode="0.000000"/>
    <numFmt numFmtId="166" formatCode="0.00_);[Red]\(0.00\)"/>
    <numFmt numFmtId="167" formatCode="0_ "/>
    <numFmt numFmtId="168" formatCode="#,##0.00_ "/>
    <numFmt numFmtId="169" formatCode="0.0000_);[Red]\(0.0000\)"/>
    <numFmt numFmtId="170" formatCode="0.000"/>
  </numFmts>
  <fonts count="3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宋体"/>
      <family val="3"/>
      <charset val="134"/>
    </font>
    <font>
      <sz val="12"/>
      <color rgb="FFFF0000"/>
      <name val="Times New Roman"/>
      <family val="1"/>
    </font>
    <font>
      <sz val="12"/>
      <name val="宋体"/>
      <family val="3"/>
      <charset val="134"/>
    </font>
    <font>
      <sz val="1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rgb="FFFF0000"/>
      <name val="等线"/>
      <charset val="134"/>
    </font>
    <font>
      <b/>
      <sz val="11"/>
      <name val="等线"/>
      <charset val="134"/>
    </font>
    <font>
      <sz val="11"/>
      <name val="等线"/>
      <charset val="134"/>
    </font>
    <font>
      <sz val="11"/>
      <color theme="1"/>
      <name val="Calibri"/>
      <family val="2"/>
      <charset val="134"/>
      <scheme val="minor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宋体"/>
      <charset val="134"/>
    </font>
    <font>
      <sz val="12"/>
      <color theme="3" tint="0.39997558519241921"/>
      <name val="Times New Roman"/>
      <family val="1"/>
    </font>
    <font>
      <sz val="12"/>
      <name val="宋体"/>
      <charset val="134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9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宋体"/>
      <charset val="134"/>
    </font>
    <font>
      <sz val="9"/>
      <name val="宋体"/>
      <charset val="134"/>
    </font>
    <font>
      <vertAlign val="superscript"/>
      <sz val="12"/>
      <name val="Times New Roman"/>
      <family val="1"/>
    </font>
    <font>
      <b/>
      <sz val="12"/>
      <name val="Calibri"/>
      <family val="2"/>
      <scheme val="minor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name val="Times New Roman"/>
      <family val="1"/>
    </font>
    <font>
      <b/>
      <sz val="11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</cellStyleXfs>
  <cellXfs count="18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1" fillId="0" borderId="0" xfId="0" applyFont="1"/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7" fillId="0" borderId="0" xfId="0" applyFont="1"/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65" fontId="0" fillId="0" borderId="0" xfId="0" applyNumberForma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3" fillId="0" borderId="0" xfId="0" applyFont="1"/>
    <xf numFmtId="164" fontId="3" fillId="0" borderId="0" xfId="0" applyNumberFormat="1" applyFont="1"/>
    <xf numFmtId="0" fontId="2" fillId="2" borderId="0" xfId="0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13" fillId="2" borderId="0" xfId="0" applyFont="1" applyFill="1"/>
    <xf numFmtId="164" fontId="17" fillId="2" borderId="0" xfId="0" applyNumberFormat="1" applyFont="1" applyFill="1"/>
    <xf numFmtId="164" fontId="17" fillId="2" borderId="0" xfId="0" applyNumberFormat="1" applyFont="1" applyFill="1" applyAlignment="1">
      <alignment horizontal="center"/>
    </xf>
    <xf numFmtId="0" fontId="0" fillId="2" borderId="0" xfId="0" applyFill="1"/>
    <xf numFmtId="164" fontId="2" fillId="2" borderId="0" xfId="0" applyNumberFormat="1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6" fontId="3" fillId="0" borderId="0" xfId="1" applyNumberFormat="1" applyFont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166" fontId="3" fillId="0" borderId="0" xfId="3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0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167" fontId="3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66" fontId="3" fillId="0" borderId="17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168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/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70" fontId="0" fillId="0" borderId="0" xfId="0" applyNumberFormat="1"/>
    <xf numFmtId="0" fontId="3" fillId="0" borderId="21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3" fillId="0" borderId="22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22" xfId="0" applyBorder="1"/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6" fontId="18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3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4">
    <cellStyle name="Normal" xfId="0" builtinId="0"/>
    <cellStyle name="常规_Book1" xfId="2" xr:uid="{76A8739C-52FA-4E46-8583-205A8AF2E9CC}"/>
    <cellStyle name="常规_Sheet1" xfId="1" xr:uid="{AA6F7740-F197-4518-88C6-8C2DFA7EEC9B}"/>
    <cellStyle name="常规_水分与产量1" xfId="3" xr:uid="{B5B11132-2FF8-47DC-B59F-3C51F96EC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[1]precipitation!$A$18</c:f>
              <c:strCache>
                <c:ptCount val="1"/>
                <c:pt idx="0">
                  <c:v>2014—2015</c:v>
                </c:pt>
              </c:strCache>
            </c:strRef>
          </c:tx>
          <c:invertIfNegative val="0"/>
          <c:cat>
            <c:strRef>
              <c:f>[1]precipitation!$B$16:$G$16</c:f>
              <c:strCache>
                <c:ptCount val="6"/>
                <c:pt idx="0">
                  <c:v>fallow period</c:v>
                </c:pt>
                <c:pt idx="1">
                  <c:v>sowing-wintering</c:v>
                </c:pt>
                <c:pt idx="2">
                  <c:v>wintering-jointing</c:v>
                </c:pt>
                <c:pt idx="3">
                  <c:v>jointing-anthesis</c:v>
                </c:pt>
                <c:pt idx="4">
                  <c:v>anthesis-maturity</c:v>
                </c:pt>
                <c:pt idx="5">
                  <c:v>total</c:v>
                </c:pt>
              </c:strCache>
            </c:strRef>
          </c:cat>
          <c:val>
            <c:numRef>
              <c:f>[1]precipitation!$B$18:$G$18</c:f>
              <c:numCache>
                <c:formatCode>General</c:formatCode>
                <c:ptCount val="6"/>
                <c:pt idx="0">
                  <c:v>365.6</c:v>
                </c:pt>
                <c:pt idx="1">
                  <c:v>21.5</c:v>
                </c:pt>
                <c:pt idx="2">
                  <c:v>50.8</c:v>
                </c:pt>
                <c:pt idx="3">
                  <c:v>61.2</c:v>
                </c:pt>
                <c:pt idx="4">
                  <c:v>17.600000000000001</c:v>
                </c:pt>
                <c:pt idx="5">
                  <c:v>516.70000000000005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D-4D6A-B755-162CEB545E92}"/>
            </c:ext>
          </c:extLst>
        </c:ser>
        <c:ser>
          <c:idx val="2"/>
          <c:order val="2"/>
          <c:tx>
            <c:strRef>
              <c:f>[1]precipitation!$A$19</c:f>
              <c:strCache>
                <c:ptCount val="1"/>
                <c:pt idx="0">
                  <c:v>2015-2016</c:v>
                </c:pt>
              </c:strCache>
            </c:strRef>
          </c:tx>
          <c:invertIfNegative val="0"/>
          <c:cat>
            <c:strRef>
              <c:f>[1]precipitation!$B$16:$G$16</c:f>
              <c:strCache>
                <c:ptCount val="6"/>
                <c:pt idx="0">
                  <c:v>fallow period</c:v>
                </c:pt>
                <c:pt idx="1">
                  <c:v>sowing-wintering</c:v>
                </c:pt>
                <c:pt idx="2">
                  <c:v>wintering-jointing</c:v>
                </c:pt>
                <c:pt idx="3">
                  <c:v>jointing-anthesis</c:v>
                </c:pt>
                <c:pt idx="4">
                  <c:v>anthesis-maturity</c:v>
                </c:pt>
                <c:pt idx="5">
                  <c:v>total</c:v>
                </c:pt>
              </c:strCache>
            </c:strRef>
          </c:cat>
          <c:val>
            <c:numRef>
              <c:f>[1]precipitation!$B$19:$G$19</c:f>
              <c:numCache>
                <c:formatCode>General</c:formatCode>
                <c:ptCount val="6"/>
                <c:pt idx="0">
                  <c:v>94.7</c:v>
                </c:pt>
                <c:pt idx="1">
                  <c:v>101.2</c:v>
                </c:pt>
                <c:pt idx="2">
                  <c:v>11</c:v>
                </c:pt>
                <c:pt idx="3">
                  <c:v>57.1</c:v>
                </c:pt>
                <c:pt idx="4">
                  <c:v>122.8</c:v>
                </c:pt>
                <c:pt idx="5">
                  <c:v>386.8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D-4D6A-B755-162CEB545E92}"/>
            </c:ext>
          </c:extLst>
        </c:ser>
        <c:ser>
          <c:idx val="3"/>
          <c:order val="3"/>
          <c:tx>
            <c:strRef>
              <c:f>[1]precipitation!$A$20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[1]precipitation!$B$16:$G$16</c:f>
              <c:strCache>
                <c:ptCount val="6"/>
                <c:pt idx="0">
                  <c:v>fallow period</c:v>
                </c:pt>
                <c:pt idx="1">
                  <c:v>sowing-wintering</c:v>
                </c:pt>
                <c:pt idx="2">
                  <c:v>wintering-jointing</c:v>
                </c:pt>
                <c:pt idx="3">
                  <c:v>jointing-anthesis</c:v>
                </c:pt>
                <c:pt idx="4">
                  <c:v>anthesis-maturity</c:v>
                </c:pt>
                <c:pt idx="5">
                  <c:v>total</c:v>
                </c:pt>
              </c:strCache>
            </c:strRef>
          </c:cat>
          <c:val>
            <c:numRef>
              <c:f>[1]precipitation!$B$20:$G$20</c:f>
              <c:numCache>
                <c:formatCode>General</c:formatCode>
                <c:ptCount val="6"/>
                <c:pt idx="0">
                  <c:v>165.4</c:v>
                </c:pt>
                <c:pt idx="1">
                  <c:v>95.5</c:v>
                </c:pt>
                <c:pt idx="2">
                  <c:v>66.8</c:v>
                </c:pt>
                <c:pt idx="3">
                  <c:v>27.2</c:v>
                </c:pt>
                <c:pt idx="4">
                  <c:v>51.4</c:v>
                </c:pt>
                <c:pt idx="5">
                  <c:v>406.3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D-4D6A-B755-162CEB545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7"/>
        <c:overlap val="-28"/>
        <c:axId val="1336671776"/>
        <c:axId val="1"/>
      </c:barChart>
      <c:lineChart>
        <c:grouping val="standard"/>
        <c:varyColors val="0"/>
        <c:ser>
          <c:idx val="0"/>
          <c:order val="0"/>
          <c:tx>
            <c:strRef>
              <c:f>[1]precipitation!$A$17</c:f>
              <c:strCache>
                <c:ptCount val="1"/>
                <c:pt idx="0">
                  <c:v>2005—2014 mean</c:v>
                </c:pt>
              </c:strCache>
            </c:strRef>
          </c:tx>
          <c:marker>
            <c:symbol val="diamond"/>
            <c:size val="5"/>
          </c:marker>
          <c:cat>
            <c:strRef>
              <c:f>[1]precipitation!$B$16:$G$16</c:f>
              <c:strCache>
                <c:ptCount val="6"/>
                <c:pt idx="0">
                  <c:v>fallow period</c:v>
                </c:pt>
                <c:pt idx="1">
                  <c:v>sowing-wintering</c:v>
                </c:pt>
                <c:pt idx="2">
                  <c:v>wintering-jointing</c:v>
                </c:pt>
                <c:pt idx="3">
                  <c:v>jointing-anthesis</c:v>
                </c:pt>
                <c:pt idx="4">
                  <c:v>anthesis-maturity</c:v>
                </c:pt>
                <c:pt idx="5">
                  <c:v>total</c:v>
                </c:pt>
              </c:strCache>
            </c:strRef>
          </c:cat>
          <c:val>
            <c:numRef>
              <c:f>[1]precipitation!$B$17:$G$17</c:f>
              <c:numCache>
                <c:formatCode>General</c:formatCode>
                <c:ptCount val="6"/>
                <c:pt idx="0">
                  <c:v>268.39</c:v>
                </c:pt>
                <c:pt idx="1">
                  <c:v>50.01</c:v>
                </c:pt>
                <c:pt idx="2">
                  <c:v>30.89</c:v>
                </c:pt>
                <c:pt idx="3">
                  <c:v>33.4</c:v>
                </c:pt>
                <c:pt idx="4">
                  <c:v>63.8</c:v>
                </c:pt>
                <c:pt idx="5">
                  <c:v>446.5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D-4D6A-B755-162CEB545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671776"/>
        <c:axId val="1"/>
      </c:lineChart>
      <c:catAx>
        <c:axId val="13366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2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66717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7.2906305909817171E-2"/>
          <c:y val="2.6846694498758126E-2"/>
          <c:w val="0.84814439203605019"/>
          <c:h val="7.382796949039088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6350</xdr:rowOff>
    </xdr:from>
    <xdr:to>
      <xdr:col>17</xdr:col>
      <xdr:colOff>387350</xdr:colOff>
      <xdr:row>12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68E29D-CAAE-42EC-86DB-14A57F65E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era/res%20papers/NUE,%20tillage.%20postdoc/Tillage+nitrogen%20data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pitation"/>
      <sheetName val="soil water storage "/>
      <sheetName val="Yield and its components"/>
      <sheetName val="WUE"/>
      <sheetName val="Grain protein content"/>
      <sheetName val="Plant nitrogen in harvest"/>
      <sheetName val="N rep"/>
      <sheetName val="Yield and components "/>
      <sheetName val="anova"/>
      <sheetName val="PROTEIN"/>
      <sheetName val="WUE.gr"/>
      <sheetName val="soil water"/>
      <sheetName val="NUE"/>
    </sheetNames>
    <sheetDataSet>
      <sheetData sheetId="0">
        <row r="16">
          <cell r="B16" t="str">
            <v>fallow period</v>
          </cell>
          <cell r="C16" t="str">
            <v>sowing-wintering</v>
          </cell>
          <cell r="D16" t="str">
            <v>wintering-jointing</v>
          </cell>
          <cell r="E16" t="str">
            <v>jointing-anthesis</v>
          </cell>
          <cell r="F16" t="str">
            <v>anthesis-maturity</v>
          </cell>
          <cell r="G16" t="str">
            <v>total</v>
          </cell>
        </row>
        <row r="17">
          <cell r="A17" t="str">
            <v>2005—2014 mean</v>
          </cell>
          <cell r="B17">
            <v>268.39</v>
          </cell>
          <cell r="C17">
            <v>50.01</v>
          </cell>
          <cell r="D17">
            <v>30.89</v>
          </cell>
          <cell r="E17">
            <v>33.4</v>
          </cell>
          <cell r="F17">
            <v>63.8</v>
          </cell>
          <cell r="G17">
            <v>446.5</v>
          </cell>
        </row>
        <row r="18">
          <cell r="A18" t="str">
            <v>2014—2015</v>
          </cell>
          <cell r="B18">
            <v>365.6</v>
          </cell>
          <cell r="C18">
            <v>21.5</v>
          </cell>
          <cell r="D18">
            <v>50.8</v>
          </cell>
          <cell r="E18">
            <v>61.2</v>
          </cell>
          <cell r="F18">
            <v>17.600000000000001</v>
          </cell>
          <cell r="G18">
            <v>516.70000000000005</v>
          </cell>
        </row>
        <row r="19">
          <cell r="A19" t="str">
            <v>2015-2016</v>
          </cell>
          <cell r="B19">
            <v>94.7</v>
          </cell>
          <cell r="C19">
            <v>101.2</v>
          </cell>
          <cell r="D19">
            <v>11</v>
          </cell>
          <cell r="E19">
            <v>57.1</v>
          </cell>
          <cell r="F19">
            <v>122.8</v>
          </cell>
          <cell r="G19">
            <v>386.8</v>
          </cell>
        </row>
        <row r="20">
          <cell r="A20" t="str">
            <v>2016-2017</v>
          </cell>
          <cell r="B20">
            <v>165.4</v>
          </cell>
          <cell r="C20">
            <v>95.5</v>
          </cell>
          <cell r="D20">
            <v>66.8</v>
          </cell>
          <cell r="E20">
            <v>27.2</v>
          </cell>
          <cell r="F20">
            <v>51.4</v>
          </cell>
          <cell r="G20">
            <v>406.3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FEB43-77B5-4BE7-AC6E-6B215817AB98}">
  <dimension ref="A3:N36"/>
  <sheetViews>
    <sheetView workbookViewId="0">
      <selection activeCell="N11" sqref="N11"/>
    </sheetView>
  </sheetViews>
  <sheetFormatPr defaultRowHeight="14.5"/>
  <sheetData>
    <row r="3" spans="1:14" ht="15.5">
      <c r="A3" s="1" t="s">
        <v>0</v>
      </c>
      <c r="B3" s="2"/>
      <c r="C3" s="2"/>
      <c r="D3" s="2"/>
      <c r="E3" s="20"/>
      <c r="F3" s="20"/>
      <c r="G3" s="20"/>
      <c r="H3" s="20"/>
      <c r="I3" s="20"/>
      <c r="J3" s="20"/>
      <c r="K3" s="20"/>
      <c r="L3" s="20"/>
      <c r="M3" s="20"/>
    </row>
    <row r="4" spans="1:14" ht="15.5">
      <c r="A4" s="2" t="s">
        <v>1</v>
      </c>
      <c r="B4" s="2" t="s">
        <v>2</v>
      </c>
      <c r="C4" s="149" t="s">
        <v>3</v>
      </c>
      <c r="D4" s="149"/>
      <c r="E4" s="149"/>
      <c r="F4" s="149"/>
      <c r="G4" s="149" t="s">
        <v>4</v>
      </c>
      <c r="H4" s="149"/>
      <c r="I4" s="149"/>
      <c r="J4" s="149"/>
      <c r="K4" s="149" t="s">
        <v>5</v>
      </c>
      <c r="L4" s="149"/>
      <c r="M4" s="149"/>
    </row>
    <row r="5" spans="1:14" ht="15.5">
      <c r="A5" s="2"/>
      <c r="B5" s="2"/>
      <c r="C5" s="2" t="s">
        <v>6</v>
      </c>
      <c r="D5" s="2" t="s">
        <v>7</v>
      </c>
      <c r="E5" s="3" t="s">
        <v>8</v>
      </c>
      <c r="F5" s="2" t="s">
        <v>9</v>
      </c>
      <c r="G5" s="2" t="s">
        <v>6</v>
      </c>
      <c r="H5" s="2" t="s">
        <v>7</v>
      </c>
      <c r="I5" s="3" t="s">
        <v>8</v>
      </c>
      <c r="J5" s="2" t="s">
        <v>9</v>
      </c>
      <c r="K5" s="2" t="s">
        <v>6</v>
      </c>
      <c r="L5" s="2" t="s">
        <v>7</v>
      </c>
      <c r="M5" s="3" t="s">
        <v>8</v>
      </c>
    </row>
    <row r="6" spans="1:14" ht="15.5">
      <c r="A6" s="4" t="s">
        <v>10</v>
      </c>
      <c r="B6" s="5">
        <v>0</v>
      </c>
      <c r="C6" s="5">
        <v>603.23</v>
      </c>
      <c r="D6" s="6">
        <v>611.91586096414721</v>
      </c>
      <c r="E6" s="7">
        <f t="shared" ref="E6:E13" si="0">AVERAGE(C6:D6)</f>
        <v>607.57293048207362</v>
      </c>
      <c r="F6" s="6">
        <f t="shared" ref="F6:F12" si="1">STDEV(C6:D6)</f>
        <v>6.1418311881920058</v>
      </c>
      <c r="G6" s="6">
        <v>432.65684157901438</v>
      </c>
      <c r="H6" s="6">
        <v>447.04900456619305</v>
      </c>
      <c r="I6" s="7">
        <f t="shared" ref="I6:I13" si="2">AVERAGE(G6:H6)</f>
        <v>439.85292307260374</v>
      </c>
      <c r="J6" s="6">
        <f t="shared" ref="J6:J13" si="3">STDEV(G6:H6)</f>
        <v>10.176796044176072</v>
      </c>
      <c r="K6" s="21">
        <v>368.86158844306755</v>
      </c>
      <c r="L6" s="22">
        <v>375.56378848541539</v>
      </c>
      <c r="M6" s="7">
        <f t="shared" ref="M6:M13" si="4">AVERAGE(K6:L6)</f>
        <v>372.21268846424147</v>
      </c>
      <c r="N6" s="8"/>
    </row>
    <row r="7" spans="1:14" ht="15.5">
      <c r="A7" s="4"/>
      <c r="B7" s="5">
        <v>90</v>
      </c>
      <c r="C7" s="5">
        <v>603.23</v>
      </c>
      <c r="D7" s="6">
        <v>611.91586096414721</v>
      </c>
      <c r="E7" s="7">
        <f t="shared" si="0"/>
        <v>607.57293048207362</v>
      </c>
      <c r="F7" s="6">
        <f>STDEV(C7:D7)</f>
        <v>6.1418311881920058</v>
      </c>
      <c r="G7" s="6">
        <v>416.83130772394441</v>
      </c>
      <c r="H7" s="6">
        <v>430.45915935462034</v>
      </c>
      <c r="I7" s="7">
        <f t="shared" si="2"/>
        <v>423.64523353928234</v>
      </c>
      <c r="J7" s="6">
        <f t="shared" si="3"/>
        <v>9.6363463010551023</v>
      </c>
      <c r="K7" s="21">
        <v>347.50209570433725</v>
      </c>
      <c r="L7" s="22">
        <v>354.23970684617848</v>
      </c>
      <c r="M7" s="7">
        <f t="shared" si="4"/>
        <v>350.87090127525789</v>
      </c>
      <c r="N7" s="8"/>
    </row>
    <row r="8" spans="1:14" ht="15.5">
      <c r="A8" s="4"/>
      <c r="B8" s="5">
        <v>150</v>
      </c>
      <c r="C8" s="5">
        <v>603.23</v>
      </c>
      <c r="D8" s="6">
        <v>611.91586096414721</v>
      </c>
      <c r="E8" s="7">
        <f t="shared" si="0"/>
        <v>607.57293048207362</v>
      </c>
      <c r="F8" s="6">
        <f t="shared" si="1"/>
        <v>6.1418311881920058</v>
      </c>
      <c r="G8" s="6">
        <v>392.18240964666575</v>
      </c>
      <c r="H8" s="6">
        <v>405.25291941282137</v>
      </c>
      <c r="I8" s="7">
        <f t="shared" si="2"/>
        <v>398.71766452974356</v>
      </c>
      <c r="J8" s="6">
        <f t="shared" si="3"/>
        <v>9.2422460892136371</v>
      </c>
      <c r="K8" s="21">
        <v>319.76243051361041</v>
      </c>
      <c r="L8" s="22">
        <v>325.80818819346331</v>
      </c>
      <c r="M8" s="7">
        <f t="shared" si="4"/>
        <v>322.78530935353683</v>
      </c>
      <c r="N8" s="8"/>
    </row>
    <row r="9" spans="1:14" ht="15.5">
      <c r="A9" s="4"/>
      <c r="B9" s="5">
        <v>210</v>
      </c>
      <c r="C9" s="5">
        <v>603.23</v>
      </c>
      <c r="D9" s="6">
        <v>611.91586096414721</v>
      </c>
      <c r="E9" s="7">
        <f t="shared" si="0"/>
        <v>607.57293048207362</v>
      </c>
      <c r="F9" s="6">
        <f>STDEV(C9:D9)</f>
        <v>6.1418311881920058</v>
      </c>
      <c r="G9" s="6">
        <v>375.46929916371403</v>
      </c>
      <c r="H9" s="6">
        <v>388.97214080505495</v>
      </c>
      <c r="I9" s="7">
        <f t="shared" si="2"/>
        <v>382.22071998438446</v>
      </c>
      <c r="J9" s="6">
        <f t="shared" si="3"/>
        <v>9.5479508898802568</v>
      </c>
      <c r="K9" s="21">
        <v>315.51488461016453</v>
      </c>
      <c r="L9" s="22">
        <v>321.50176102866004</v>
      </c>
      <c r="M9" s="7">
        <f t="shared" si="4"/>
        <v>318.50832281941229</v>
      </c>
      <c r="N9" s="8"/>
    </row>
    <row r="10" spans="1:14" ht="15.5">
      <c r="A10" s="9" t="s">
        <v>11</v>
      </c>
      <c r="B10" s="2">
        <v>0</v>
      </c>
      <c r="C10" s="2">
        <v>588.55999999999995</v>
      </c>
      <c r="D10" s="10">
        <v>597.5146504059046</v>
      </c>
      <c r="E10" s="11">
        <f t="shared" si="0"/>
        <v>593.03732520295227</v>
      </c>
      <c r="F10" s="10">
        <f t="shared" si="1"/>
        <v>6.3318940251700546</v>
      </c>
      <c r="G10" s="10">
        <v>423.33498844306757</v>
      </c>
      <c r="H10" s="10">
        <v>437.35038848541541</v>
      </c>
      <c r="I10" s="11">
        <f t="shared" si="2"/>
        <v>430.34268846424152</v>
      </c>
      <c r="J10" s="10">
        <f t="shared" si="3"/>
        <v>9.9103844109863797</v>
      </c>
      <c r="K10" s="20">
        <v>372.08338157901449</v>
      </c>
      <c r="L10" s="23">
        <v>379.78246456619291</v>
      </c>
      <c r="M10" s="11">
        <f t="shared" si="4"/>
        <v>375.93292307260367</v>
      </c>
      <c r="N10" s="12"/>
    </row>
    <row r="11" spans="1:14" ht="15.5">
      <c r="A11" s="9"/>
      <c r="B11" s="2">
        <v>90</v>
      </c>
      <c r="C11" s="2">
        <v>588.55999999999995</v>
      </c>
      <c r="D11" s="10">
        <v>597.5146504059046</v>
      </c>
      <c r="E11" s="11">
        <f t="shared" si="0"/>
        <v>593.03732520295227</v>
      </c>
      <c r="F11" s="10">
        <f>STDEV(C11:D11)</f>
        <v>6.3318940251700546</v>
      </c>
      <c r="G11" s="10">
        <v>403.22909570433717</v>
      </c>
      <c r="H11" s="10">
        <v>416.83270684617867</v>
      </c>
      <c r="I11" s="11">
        <f t="shared" si="2"/>
        <v>410.03090127525792</v>
      </c>
      <c r="J11" s="10">
        <f t="shared" si="3"/>
        <v>9.6192056870209957</v>
      </c>
      <c r="K11" s="23">
        <v>354.75004772394436</v>
      </c>
      <c r="L11" s="23">
        <v>361.98041935462044</v>
      </c>
      <c r="M11" s="11">
        <f t="shared" si="4"/>
        <v>358.36523353928237</v>
      </c>
      <c r="N11" s="12"/>
    </row>
    <row r="12" spans="1:14" ht="15.5">
      <c r="A12" s="9"/>
      <c r="B12" s="2">
        <v>150</v>
      </c>
      <c r="C12" s="2">
        <v>588.55999999999995</v>
      </c>
      <c r="D12" s="10">
        <v>597.5146504059046</v>
      </c>
      <c r="E12" s="11">
        <f t="shared" si="0"/>
        <v>593.03732520295227</v>
      </c>
      <c r="F12" s="10">
        <f t="shared" si="1"/>
        <v>6.3318940251700546</v>
      </c>
      <c r="G12" s="10">
        <v>387.72203051361055</v>
      </c>
      <c r="H12" s="10">
        <v>387.9085881934634</v>
      </c>
      <c r="I12" s="11">
        <f t="shared" si="2"/>
        <v>387.81530935353697</v>
      </c>
      <c r="J12" s="10">
        <f t="shared" si="3"/>
        <v>0.13191620050638178</v>
      </c>
      <c r="K12" s="20">
        <v>330.5300096466658</v>
      </c>
      <c r="L12" s="23">
        <v>337.26531941282133</v>
      </c>
      <c r="M12" s="11">
        <f t="shared" si="4"/>
        <v>333.89766452974357</v>
      </c>
      <c r="N12" s="12"/>
    </row>
    <row r="13" spans="1:14" ht="15.5">
      <c r="A13" s="9"/>
      <c r="B13" s="2">
        <v>210</v>
      </c>
      <c r="C13" s="2">
        <v>588.55999999999995</v>
      </c>
      <c r="D13" s="10">
        <v>597.5146504059046</v>
      </c>
      <c r="E13" s="11">
        <f t="shared" si="0"/>
        <v>593.03732520295227</v>
      </c>
      <c r="F13" s="10">
        <f>STDEV(C13:D13)</f>
        <v>6.3318940251700546</v>
      </c>
      <c r="G13" s="10">
        <v>364.85718461016438</v>
      </c>
      <c r="H13" s="10">
        <v>377.61946102866</v>
      </c>
      <c r="I13" s="11">
        <f t="shared" si="2"/>
        <v>371.23832281941219</v>
      </c>
      <c r="J13" s="10">
        <f t="shared" si="3"/>
        <v>9.0242921988954148</v>
      </c>
      <c r="K13" s="20">
        <v>317.00149916371402</v>
      </c>
      <c r="L13" s="23">
        <v>323.97994080505498</v>
      </c>
      <c r="M13" s="11">
        <f t="shared" si="4"/>
        <v>320.4907199843845</v>
      </c>
      <c r="N13" s="12"/>
    </row>
    <row r="14" spans="1:14" ht="15.5">
      <c r="A14" s="2" t="s">
        <v>12</v>
      </c>
      <c r="B14" s="5"/>
      <c r="C14" s="2"/>
      <c r="D14" s="10"/>
      <c r="E14" s="11"/>
      <c r="F14" s="10"/>
      <c r="G14" s="10"/>
      <c r="H14" s="10"/>
      <c r="I14" s="11"/>
      <c r="J14" s="10"/>
      <c r="K14" s="2"/>
      <c r="L14" s="10"/>
      <c r="M14" s="11"/>
    </row>
    <row r="15" spans="1:14" ht="15.5">
      <c r="A15" s="2" t="s">
        <v>1</v>
      </c>
      <c r="B15" s="2" t="s">
        <v>2</v>
      </c>
      <c r="C15" s="149" t="s">
        <v>3</v>
      </c>
      <c r="D15" s="149"/>
      <c r="E15" s="149"/>
      <c r="F15" s="149"/>
      <c r="G15" s="149" t="s">
        <v>4</v>
      </c>
      <c r="H15" s="149"/>
      <c r="I15" s="149"/>
      <c r="J15" s="149"/>
      <c r="K15" s="149" t="s">
        <v>5</v>
      </c>
      <c r="L15" s="149"/>
      <c r="M15" s="149"/>
    </row>
    <row r="16" spans="1:14" ht="15.5">
      <c r="A16" s="2"/>
      <c r="B16" s="2"/>
      <c r="C16" s="2" t="s">
        <v>6</v>
      </c>
      <c r="D16" s="2" t="s">
        <v>7</v>
      </c>
      <c r="E16" s="3" t="s">
        <v>8</v>
      </c>
      <c r="F16" s="2" t="s">
        <v>9</v>
      </c>
      <c r="G16" s="2" t="s">
        <v>6</v>
      </c>
      <c r="H16" s="2" t="s">
        <v>7</v>
      </c>
      <c r="I16" s="3" t="s">
        <v>8</v>
      </c>
      <c r="J16" s="2" t="s">
        <v>9</v>
      </c>
      <c r="K16" s="2" t="s">
        <v>6</v>
      </c>
      <c r="L16" s="2" t="s">
        <v>7</v>
      </c>
      <c r="M16" s="3" t="s">
        <v>8</v>
      </c>
    </row>
    <row r="17" spans="1:14" ht="15.5">
      <c r="A17" s="150" t="s">
        <v>10</v>
      </c>
      <c r="B17" s="13" t="s">
        <v>13</v>
      </c>
      <c r="C17" s="5">
        <v>429.22</v>
      </c>
      <c r="D17" s="6">
        <v>424.5</v>
      </c>
      <c r="E17" s="7">
        <f>AVERAGE(C17:D17)</f>
        <v>426.86</v>
      </c>
      <c r="F17" s="6">
        <f t="shared" ref="F17:F24" si="5">STDEV(C17:D17)</f>
        <v>3.3375440072005236</v>
      </c>
      <c r="G17" s="6">
        <v>298.38186404701901</v>
      </c>
      <c r="H17" s="6">
        <v>283.18186404701902</v>
      </c>
      <c r="I17" s="7">
        <f t="shared" ref="I17:I24" si="6">AVERAGE(G17:H17)</f>
        <v>290.78186404701898</v>
      </c>
      <c r="J17" s="6">
        <f t="shared" ref="J17:J24" si="7">STDEV(G17:H17)</f>
        <v>10.748023074035514</v>
      </c>
      <c r="K17" s="6">
        <v>330.03214956115903</v>
      </c>
      <c r="L17" s="6">
        <v>337.51214956115899</v>
      </c>
      <c r="M17" s="7">
        <f>AVERAGE(K17:L17)</f>
        <v>333.77214956115904</v>
      </c>
      <c r="N17" s="8"/>
    </row>
    <row r="18" spans="1:14" ht="15.5">
      <c r="A18" s="151"/>
      <c r="B18" s="13" t="s">
        <v>14</v>
      </c>
      <c r="C18" s="5">
        <v>429.22</v>
      </c>
      <c r="D18" s="6">
        <v>424.5</v>
      </c>
      <c r="E18" s="7">
        <f t="shared" ref="E18:E24" si="8">AVERAGE(C18:D18)</f>
        <v>426.86</v>
      </c>
      <c r="F18" s="6">
        <f t="shared" si="5"/>
        <v>3.3375440072005236</v>
      </c>
      <c r="G18" s="6">
        <v>281.51739448348798</v>
      </c>
      <c r="H18" s="6">
        <v>290.9173944834879</v>
      </c>
      <c r="I18" s="7">
        <f t="shared" si="6"/>
        <v>286.21739448348796</v>
      </c>
      <c r="J18" s="6">
        <f t="shared" si="7"/>
        <v>6.646803743153491</v>
      </c>
      <c r="K18" s="6">
        <v>328.45</v>
      </c>
      <c r="L18" s="6">
        <v>331.09</v>
      </c>
      <c r="M18" s="7">
        <f t="shared" ref="M18:M24" si="9">AVERAGE(K18:L18)</f>
        <v>329.77</v>
      </c>
      <c r="N18" s="8"/>
    </row>
    <row r="19" spans="1:14" ht="15.5">
      <c r="A19" s="151"/>
      <c r="B19" s="13" t="s">
        <v>15</v>
      </c>
      <c r="C19" s="5">
        <v>429.22</v>
      </c>
      <c r="D19" s="6">
        <v>424.5</v>
      </c>
      <c r="E19" s="7">
        <f t="shared" si="8"/>
        <v>426.86</v>
      </c>
      <c r="F19" s="6">
        <f t="shared" si="5"/>
        <v>3.3375440072005236</v>
      </c>
      <c r="G19" s="6">
        <v>281.75781100000006</v>
      </c>
      <c r="H19" s="6">
        <v>281.15781100000004</v>
      </c>
      <c r="I19" s="7">
        <f t="shared" si="6"/>
        <v>281.45781100000005</v>
      </c>
      <c r="J19" s="6">
        <f t="shared" si="7"/>
        <v>0.42426406871194461</v>
      </c>
      <c r="K19" s="6">
        <v>330.88</v>
      </c>
      <c r="L19" s="6">
        <v>336.32</v>
      </c>
      <c r="M19" s="7">
        <f>AVERAGE(K19:L19)</f>
        <v>333.6</v>
      </c>
      <c r="N19" s="8"/>
    </row>
    <row r="20" spans="1:14" ht="15.5">
      <c r="A20" s="151"/>
      <c r="B20" s="13" t="s">
        <v>16</v>
      </c>
      <c r="C20" s="5">
        <v>429.22</v>
      </c>
      <c r="D20" s="6">
        <v>424.5</v>
      </c>
      <c r="E20" s="7">
        <f t="shared" si="8"/>
        <v>426.86</v>
      </c>
      <c r="F20" s="6">
        <f t="shared" si="5"/>
        <v>3.3375440072005236</v>
      </c>
      <c r="G20" s="6">
        <v>270.48135022539998</v>
      </c>
      <c r="H20" s="6">
        <v>280.74813502254</v>
      </c>
      <c r="I20" s="7">
        <f t="shared" si="6"/>
        <v>275.61474262396996</v>
      </c>
      <c r="J20" s="6">
        <f t="shared" si="7"/>
        <v>7.2597131510406605</v>
      </c>
      <c r="K20" s="6">
        <v>315.19000000000005</v>
      </c>
      <c r="L20" s="6">
        <v>323.32999999999993</v>
      </c>
      <c r="M20" s="7">
        <f>AVERAGE(K20:L20)</f>
        <v>319.26</v>
      </c>
      <c r="N20" s="8"/>
    </row>
    <row r="21" spans="1:14" ht="15.5">
      <c r="A21" s="152" t="s">
        <v>17</v>
      </c>
      <c r="B21" s="14" t="s">
        <v>13</v>
      </c>
      <c r="C21" s="2">
        <v>400.56</v>
      </c>
      <c r="D21" s="10">
        <v>404.28</v>
      </c>
      <c r="E21" s="11">
        <f t="shared" si="8"/>
        <v>402.41999999999996</v>
      </c>
      <c r="F21" s="10">
        <f t="shared" si="5"/>
        <v>2.6304372260139357</v>
      </c>
      <c r="G21" s="10">
        <v>280.22177377099672</v>
      </c>
      <c r="H21" s="10">
        <v>278.6217737709967</v>
      </c>
      <c r="I21" s="11">
        <f t="shared" si="6"/>
        <v>279.42177377099671</v>
      </c>
      <c r="J21" s="10">
        <f t="shared" si="7"/>
        <v>1.1313708498984922</v>
      </c>
      <c r="K21" s="15">
        <v>304.58999999999997</v>
      </c>
      <c r="L21" s="15">
        <v>304.39</v>
      </c>
      <c r="M21" s="16">
        <f>AVERAGE(K21:L21)</f>
        <v>304.49</v>
      </c>
    </row>
    <row r="22" spans="1:14" ht="15.5">
      <c r="A22" s="153"/>
      <c r="B22" s="14" t="s">
        <v>14</v>
      </c>
      <c r="C22" s="2">
        <v>400.56</v>
      </c>
      <c r="D22" s="10">
        <v>404.28</v>
      </c>
      <c r="E22" s="11">
        <f t="shared" si="8"/>
        <v>402.41999999999996</v>
      </c>
      <c r="F22" s="10">
        <f t="shared" si="5"/>
        <v>2.6304372260139357</v>
      </c>
      <c r="G22" s="10">
        <v>275.52516335847218</v>
      </c>
      <c r="H22" s="10">
        <v>273.92516335847216</v>
      </c>
      <c r="I22" s="11">
        <f t="shared" si="6"/>
        <v>274.72516335847217</v>
      </c>
      <c r="J22" s="10">
        <f t="shared" si="7"/>
        <v>1.1313708498984922</v>
      </c>
      <c r="K22" s="15">
        <v>300.94</v>
      </c>
      <c r="L22" s="15">
        <v>303.68</v>
      </c>
      <c r="M22" s="11">
        <f t="shared" si="9"/>
        <v>302.31</v>
      </c>
    </row>
    <row r="23" spans="1:14" ht="15.5">
      <c r="A23" s="153"/>
      <c r="B23" s="14" t="s">
        <v>15</v>
      </c>
      <c r="C23" s="2">
        <v>400.56</v>
      </c>
      <c r="D23" s="10">
        <v>404.28</v>
      </c>
      <c r="E23" s="11">
        <f t="shared" si="8"/>
        <v>402.41999999999996</v>
      </c>
      <c r="F23" s="10">
        <f t="shared" si="5"/>
        <v>2.6304372260139357</v>
      </c>
      <c r="G23" s="10">
        <v>243.60927000000001</v>
      </c>
      <c r="H23" s="10">
        <v>242.60927000000001</v>
      </c>
      <c r="I23" s="11">
        <f t="shared" si="6"/>
        <v>243.10927000000001</v>
      </c>
      <c r="J23" s="10">
        <f t="shared" si="7"/>
        <v>0.70710678118654757</v>
      </c>
      <c r="K23" s="15">
        <v>291.64</v>
      </c>
      <c r="L23" s="15">
        <v>291.14</v>
      </c>
      <c r="M23" s="11">
        <f t="shared" si="9"/>
        <v>291.39</v>
      </c>
    </row>
    <row r="24" spans="1:14" ht="15.5">
      <c r="A24" s="153"/>
      <c r="B24" s="14" t="s">
        <v>16</v>
      </c>
      <c r="C24" s="2">
        <v>400.56</v>
      </c>
      <c r="D24" s="10">
        <v>404.28</v>
      </c>
      <c r="E24" s="11">
        <f t="shared" si="8"/>
        <v>402.41999999999996</v>
      </c>
      <c r="F24" s="10">
        <f t="shared" si="5"/>
        <v>2.6304372260139357</v>
      </c>
      <c r="G24" s="10">
        <v>231.25690801347</v>
      </c>
      <c r="H24" s="10">
        <v>259.56908013470002</v>
      </c>
      <c r="I24" s="11">
        <f t="shared" si="6"/>
        <v>245.41299407408502</v>
      </c>
      <c r="J24" s="10">
        <f t="shared" si="7"/>
        <v>20.019728897042466</v>
      </c>
      <c r="K24" s="15">
        <v>281.58999999999997</v>
      </c>
      <c r="L24" s="15">
        <v>290.60999999999996</v>
      </c>
      <c r="M24" s="11">
        <f t="shared" si="9"/>
        <v>286.09999999999997</v>
      </c>
    </row>
    <row r="25" spans="1:14" ht="15.5">
      <c r="A25" s="9"/>
      <c r="B25" s="5"/>
      <c r="C25" s="2"/>
      <c r="D25" s="10"/>
      <c r="E25" s="11"/>
      <c r="F25" s="10"/>
      <c r="G25" s="10"/>
      <c r="H25" s="10"/>
      <c r="I25" s="11"/>
      <c r="J25" s="10"/>
      <c r="K25" s="2"/>
      <c r="L25" s="10"/>
      <c r="M25" s="11"/>
    </row>
    <row r="26" spans="1:14" ht="15.5">
      <c r="A26" s="2" t="s">
        <v>18</v>
      </c>
      <c r="B26" s="2"/>
      <c r="C26" s="2"/>
      <c r="D26" s="2"/>
      <c r="E26" s="3"/>
      <c r="F26" s="2"/>
      <c r="G26" s="2"/>
      <c r="H26" s="2"/>
      <c r="I26" s="3"/>
      <c r="J26" s="2"/>
      <c r="K26" s="2"/>
      <c r="L26" s="2"/>
      <c r="M26" s="3"/>
    </row>
    <row r="27" spans="1:14" ht="15.5">
      <c r="A27" s="2" t="s">
        <v>1</v>
      </c>
      <c r="B27" s="2" t="s">
        <v>2</v>
      </c>
      <c r="C27" s="149" t="s">
        <v>3</v>
      </c>
      <c r="D27" s="149"/>
      <c r="E27" s="149"/>
      <c r="F27" s="149"/>
      <c r="G27" s="149" t="s">
        <v>4</v>
      </c>
      <c r="H27" s="149"/>
      <c r="I27" s="149"/>
      <c r="J27" s="149"/>
      <c r="K27" s="149" t="s">
        <v>5</v>
      </c>
      <c r="L27" s="149"/>
      <c r="M27" s="149"/>
    </row>
    <row r="28" spans="1:14" ht="15.5">
      <c r="A28" s="2"/>
      <c r="B28" s="2"/>
      <c r="C28" s="2" t="s">
        <v>6</v>
      </c>
      <c r="D28" s="2" t="s">
        <v>7</v>
      </c>
      <c r="E28" s="3" t="s">
        <v>8</v>
      </c>
      <c r="F28" s="2" t="s">
        <v>9</v>
      </c>
      <c r="G28" s="2" t="s">
        <v>6</v>
      </c>
      <c r="H28" s="2" t="s">
        <v>7</v>
      </c>
      <c r="I28" s="3" t="s">
        <v>8</v>
      </c>
      <c r="J28" s="2" t="s">
        <v>9</v>
      </c>
      <c r="K28" s="2" t="s">
        <v>6</v>
      </c>
      <c r="L28" s="2" t="s">
        <v>7</v>
      </c>
      <c r="M28" s="3" t="s">
        <v>8</v>
      </c>
    </row>
    <row r="29" spans="1:14" ht="15.5">
      <c r="A29" s="150" t="s">
        <v>10</v>
      </c>
      <c r="B29" s="13" t="s">
        <v>13</v>
      </c>
      <c r="C29" s="13">
        <v>421.418541390359</v>
      </c>
      <c r="D29" s="13">
        <v>421.50145860964102</v>
      </c>
      <c r="E29" s="17">
        <f t="shared" ref="E29:E36" si="10">AVERAGE(C29:D29)</f>
        <v>421.46000000000004</v>
      </c>
      <c r="F29" s="13">
        <f t="shared" ref="F29:F36" si="11">STDEV(C29:D29)</f>
        <v>5.863132803145097E-2</v>
      </c>
      <c r="G29" s="6">
        <v>340.28846126657555</v>
      </c>
      <c r="H29" s="6">
        <v>343.24846126657553</v>
      </c>
      <c r="I29" s="17">
        <f t="shared" ref="I29:I36" si="12">AVERAGE(G29:H29)</f>
        <v>341.76846126657551</v>
      </c>
      <c r="J29" s="13">
        <f t="shared" ref="J29:J36" si="13">STDEV(G29:H29)</f>
        <v>2.0930360723121662</v>
      </c>
      <c r="K29" s="6">
        <v>300.32149561159002</v>
      </c>
      <c r="L29" s="6">
        <v>304.51214956115899</v>
      </c>
      <c r="M29" s="7">
        <f>AVERAGE(K29:L29)</f>
        <v>302.41682258637451</v>
      </c>
      <c r="N29" s="18">
        <f>I29-M29</f>
        <v>39.351638680201006</v>
      </c>
    </row>
    <row r="30" spans="1:14" ht="15.5">
      <c r="A30" s="151"/>
      <c r="B30" s="13" t="s">
        <v>14</v>
      </c>
      <c r="C30" s="13">
        <v>421.418541390359</v>
      </c>
      <c r="D30" s="13">
        <v>421.50145860964102</v>
      </c>
      <c r="E30" s="17">
        <f t="shared" si="10"/>
        <v>421.46000000000004</v>
      </c>
      <c r="F30" s="13">
        <f t="shared" si="11"/>
        <v>5.863132803145097E-2</v>
      </c>
      <c r="G30" s="6">
        <v>325.59500000000003</v>
      </c>
      <c r="H30" s="6">
        <v>329.11500000000001</v>
      </c>
      <c r="I30" s="17">
        <f t="shared" si="12"/>
        <v>327.35500000000002</v>
      </c>
      <c r="J30" s="13">
        <f t="shared" si="13"/>
        <v>2.4890158697766345</v>
      </c>
      <c r="K30" s="6">
        <v>293.39999999999998</v>
      </c>
      <c r="L30" s="6">
        <v>289.08999999999997</v>
      </c>
      <c r="M30" s="7">
        <f t="shared" ref="M30:M36" si="14">AVERAGE(K30:L30)</f>
        <v>291.245</v>
      </c>
      <c r="N30" s="18">
        <f t="shared" ref="N30:N36" si="15">I30-M30</f>
        <v>36.110000000000014</v>
      </c>
    </row>
    <row r="31" spans="1:14" ht="15.5">
      <c r="A31" s="151"/>
      <c r="B31" s="13" t="s">
        <v>15</v>
      </c>
      <c r="C31" s="13">
        <v>421.418541390359</v>
      </c>
      <c r="D31" s="13">
        <v>421.50145860964102</v>
      </c>
      <c r="E31" s="17">
        <f t="shared" si="10"/>
        <v>421.46000000000004</v>
      </c>
      <c r="F31" s="13">
        <f t="shared" si="11"/>
        <v>5.863132803145097E-2</v>
      </c>
      <c r="G31" s="6">
        <v>321.46999999999997</v>
      </c>
      <c r="H31" s="6">
        <v>346.84</v>
      </c>
      <c r="I31" s="17">
        <f t="shared" si="12"/>
        <v>334.15499999999997</v>
      </c>
      <c r="J31" s="13">
        <f t="shared" si="13"/>
        <v>17.939299038702714</v>
      </c>
      <c r="K31" s="6">
        <v>283.88</v>
      </c>
      <c r="L31" s="6">
        <v>279.32</v>
      </c>
      <c r="M31" s="7">
        <f t="shared" si="14"/>
        <v>281.60000000000002</v>
      </c>
      <c r="N31" s="18">
        <f t="shared" si="15"/>
        <v>52.55499999999995</v>
      </c>
    </row>
    <row r="32" spans="1:14" ht="15.5">
      <c r="A32" s="151"/>
      <c r="B32" s="13" t="s">
        <v>16</v>
      </c>
      <c r="C32" s="13">
        <v>421.418541390359</v>
      </c>
      <c r="D32" s="13">
        <v>421.50145860964102</v>
      </c>
      <c r="E32" s="17">
        <f t="shared" si="10"/>
        <v>421.46000000000004</v>
      </c>
      <c r="F32" s="13">
        <f t="shared" si="11"/>
        <v>5.863132803145097E-2</v>
      </c>
      <c r="G32" s="6">
        <v>325.46949999999998</v>
      </c>
      <c r="H32" s="6">
        <v>329.41950000000003</v>
      </c>
      <c r="I32" s="17">
        <f t="shared" si="12"/>
        <v>327.44450000000001</v>
      </c>
      <c r="J32" s="13">
        <f t="shared" si="13"/>
        <v>2.793071785686895</v>
      </c>
      <c r="K32" s="6">
        <v>288.19</v>
      </c>
      <c r="L32" s="6">
        <v>291.33</v>
      </c>
      <c r="M32" s="7">
        <f t="shared" si="14"/>
        <v>289.76</v>
      </c>
      <c r="N32" s="18">
        <f t="shared" si="15"/>
        <v>37.684500000000014</v>
      </c>
    </row>
    <row r="33" spans="1:14" ht="15.5">
      <c r="A33" s="152" t="s">
        <v>17</v>
      </c>
      <c r="B33" s="14" t="s">
        <v>13</v>
      </c>
      <c r="C33" s="14">
        <v>403.59253495940999</v>
      </c>
      <c r="D33" s="14">
        <v>404.260746504059</v>
      </c>
      <c r="E33" s="19">
        <f t="shared" si="10"/>
        <v>403.92664073173449</v>
      </c>
      <c r="F33" s="14">
        <f t="shared" si="11"/>
        <v>0.47249691448845355</v>
      </c>
      <c r="G33" s="10">
        <v>325.18450000000001</v>
      </c>
      <c r="H33" s="10">
        <v>321.96449999999999</v>
      </c>
      <c r="I33" s="19">
        <f t="shared" si="12"/>
        <v>323.5745</v>
      </c>
      <c r="J33" s="14">
        <f t="shared" si="13"/>
        <v>2.2768838354207022</v>
      </c>
      <c r="K33" s="15">
        <v>304.79000000000002</v>
      </c>
      <c r="L33" s="15">
        <v>308.58999999999997</v>
      </c>
      <c r="M33" s="11">
        <f t="shared" si="14"/>
        <v>306.69</v>
      </c>
      <c r="N33" s="18">
        <f t="shared" si="15"/>
        <v>16.884500000000003</v>
      </c>
    </row>
    <row r="34" spans="1:14" ht="15.5">
      <c r="A34" s="153"/>
      <c r="B34" s="14" t="s">
        <v>14</v>
      </c>
      <c r="C34" s="14">
        <v>403.59253495940999</v>
      </c>
      <c r="D34" s="14">
        <v>404.260746504059</v>
      </c>
      <c r="E34" s="19">
        <f t="shared" si="10"/>
        <v>403.92664073173449</v>
      </c>
      <c r="F34" s="14">
        <f t="shared" si="11"/>
        <v>0.47249691448845355</v>
      </c>
      <c r="G34" s="10">
        <v>309.67999999999995</v>
      </c>
      <c r="H34" s="10">
        <v>312.61999999999995</v>
      </c>
      <c r="I34" s="19">
        <f t="shared" si="12"/>
        <v>311.14999999999998</v>
      </c>
      <c r="J34" s="14">
        <f t="shared" si="13"/>
        <v>2.078893936688448</v>
      </c>
      <c r="K34" s="15">
        <v>298.24</v>
      </c>
      <c r="L34" s="15">
        <v>294.68</v>
      </c>
      <c r="M34" s="11">
        <f t="shared" si="14"/>
        <v>296.46000000000004</v>
      </c>
      <c r="N34" s="18">
        <f t="shared" si="15"/>
        <v>14.689999999999941</v>
      </c>
    </row>
    <row r="35" spans="1:14" ht="15.5">
      <c r="A35" s="153"/>
      <c r="B35" s="14" t="s">
        <v>15</v>
      </c>
      <c r="C35" s="14">
        <v>403.59253495940999</v>
      </c>
      <c r="D35" s="14">
        <v>404.260746504059</v>
      </c>
      <c r="E35" s="19">
        <f t="shared" si="10"/>
        <v>403.92664073173449</v>
      </c>
      <c r="F35" s="14">
        <f t="shared" si="11"/>
        <v>0.47249691448845355</v>
      </c>
      <c r="G35" s="10">
        <v>327.89</v>
      </c>
      <c r="H35" s="10">
        <v>322.87</v>
      </c>
      <c r="I35" s="19">
        <f t="shared" si="12"/>
        <v>325.38</v>
      </c>
      <c r="J35" s="14">
        <f t="shared" si="13"/>
        <v>3.5496760415564559</v>
      </c>
      <c r="K35" s="15">
        <v>283.64</v>
      </c>
      <c r="L35" s="15">
        <v>286.94</v>
      </c>
      <c r="M35" s="11">
        <f t="shared" si="14"/>
        <v>285.28999999999996</v>
      </c>
      <c r="N35" s="18">
        <f t="shared" si="15"/>
        <v>40.090000000000032</v>
      </c>
    </row>
    <row r="36" spans="1:14" ht="15.5">
      <c r="A36" s="153"/>
      <c r="B36" s="14" t="s">
        <v>16</v>
      </c>
      <c r="C36" s="14">
        <v>403.59253495940999</v>
      </c>
      <c r="D36" s="14">
        <v>404.260746504059</v>
      </c>
      <c r="E36" s="19">
        <f t="shared" si="10"/>
        <v>403.92664073173449</v>
      </c>
      <c r="F36" s="14">
        <f t="shared" si="11"/>
        <v>0.47249691448845355</v>
      </c>
      <c r="G36" s="10">
        <v>316.755</v>
      </c>
      <c r="H36" s="10">
        <v>321.72500000000002</v>
      </c>
      <c r="I36" s="19">
        <f t="shared" si="12"/>
        <v>319.24</v>
      </c>
      <c r="J36" s="14">
        <f t="shared" si="13"/>
        <v>3.5143207024971606</v>
      </c>
      <c r="K36" s="15">
        <v>303.58999999999997</v>
      </c>
      <c r="L36" s="15">
        <v>298.61</v>
      </c>
      <c r="M36" s="11">
        <f t="shared" si="14"/>
        <v>301.10000000000002</v>
      </c>
      <c r="N36" s="18">
        <f t="shared" si="15"/>
        <v>18.139999999999986</v>
      </c>
    </row>
  </sheetData>
  <mergeCells count="13">
    <mergeCell ref="A33:A36"/>
    <mergeCell ref="A17:A20"/>
    <mergeCell ref="A21:A24"/>
    <mergeCell ref="C27:F27"/>
    <mergeCell ref="G27:J27"/>
    <mergeCell ref="K27:M27"/>
    <mergeCell ref="A29:A32"/>
    <mergeCell ref="C4:F4"/>
    <mergeCell ref="G4:J4"/>
    <mergeCell ref="K4:M4"/>
    <mergeCell ref="C15:F15"/>
    <mergeCell ref="G15:J15"/>
    <mergeCell ref="K15:M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E37E6-C6AB-401E-A654-AC1AFC6B0CA4}">
  <dimension ref="A2:Q68"/>
  <sheetViews>
    <sheetView topLeftCell="A2" workbookViewId="0">
      <selection activeCell="P18" sqref="P18"/>
    </sheetView>
  </sheetViews>
  <sheetFormatPr defaultRowHeight="14.5"/>
  <sheetData>
    <row r="2" spans="1:17" ht="16">
      <c r="A2" s="156" t="s">
        <v>206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5.5">
      <c r="A3" s="149" t="s">
        <v>175</v>
      </c>
      <c r="B3" s="2" t="s">
        <v>207</v>
      </c>
      <c r="C3" s="2"/>
      <c r="D3" s="2"/>
      <c r="E3" s="145" t="s">
        <v>208</v>
      </c>
      <c r="F3" s="146"/>
      <c r="G3" s="146"/>
      <c r="H3" s="147" t="s">
        <v>209</v>
      </c>
      <c r="I3" s="148"/>
      <c r="J3" s="148"/>
      <c r="K3" s="147" t="s">
        <v>210</v>
      </c>
      <c r="L3" s="148"/>
      <c r="M3" s="148"/>
      <c r="N3" s="145" t="s">
        <v>211</v>
      </c>
      <c r="O3" s="146"/>
      <c r="P3" s="146"/>
      <c r="Q3" s="145" t="s">
        <v>212</v>
      </c>
    </row>
    <row r="4" spans="1:17" ht="16">
      <c r="A4" s="149"/>
      <c r="B4" s="2" t="s">
        <v>213</v>
      </c>
      <c r="C4" s="2"/>
      <c r="D4" s="2"/>
      <c r="E4" s="145" t="s">
        <v>252</v>
      </c>
      <c r="F4" s="146"/>
      <c r="G4" s="146"/>
      <c r="H4" s="145" t="s">
        <v>252</v>
      </c>
      <c r="I4" s="146"/>
      <c r="J4" s="146"/>
      <c r="K4" s="145" t="s">
        <v>252</v>
      </c>
      <c r="L4" s="146"/>
      <c r="M4" s="146"/>
      <c r="N4" s="145" t="s">
        <v>252</v>
      </c>
      <c r="O4" s="146"/>
      <c r="P4" s="146"/>
      <c r="Q4" s="145" t="s">
        <v>252</v>
      </c>
    </row>
    <row r="5" spans="1:17" ht="15.5">
      <c r="A5" s="2"/>
      <c r="B5" s="2"/>
      <c r="C5" s="2" t="s">
        <v>160</v>
      </c>
      <c r="D5" s="2" t="s">
        <v>161</v>
      </c>
      <c r="E5" s="10" t="s">
        <v>179</v>
      </c>
      <c r="F5" s="2" t="s">
        <v>160</v>
      </c>
      <c r="G5" s="2" t="s">
        <v>161</v>
      </c>
      <c r="H5" s="10" t="s">
        <v>179</v>
      </c>
      <c r="I5" s="2" t="s">
        <v>160</v>
      </c>
      <c r="J5" s="2" t="s">
        <v>161</v>
      </c>
      <c r="K5" s="10" t="s">
        <v>179</v>
      </c>
      <c r="L5" s="2" t="s">
        <v>160</v>
      </c>
      <c r="M5" s="2" t="s">
        <v>161</v>
      </c>
      <c r="N5" s="10" t="s">
        <v>179</v>
      </c>
      <c r="O5" s="2" t="s">
        <v>160</v>
      </c>
      <c r="P5" s="2" t="s">
        <v>161</v>
      </c>
      <c r="Q5" s="10" t="s">
        <v>179</v>
      </c>
    </row>
    <row r="6" spans="1:17" ht="15.5">
      <c r="A6" s="169" t="s">
        <v>189</v>
      </c>
      <c r="B6" s="2">
        <v>0</v>
      </c>
      <c r="C6" s="2">
        <v>3.85</v>
      </c>
      <c r="D6" s="2">
        <v>3.3299999999999996</v>
      </c>
      <c r="E6" s="5">
        <v>3.59</v>
      </c>
      <c r="F6" s="2">
        <v>13.15</v>
      </c>
      <c r="G6" s="10">
        <v>12.83</v>
      </c>
      <c r="H6" s="5">
        <v>12.99</v>
      </c>
      <c r="I6" s="2">
        <v>5.71</v>
      </c>
      <c r="J6" s="2">
        <v>6.1700000000000008</v>
      </c>
      <c r="K6" s="5">
        <v>5.94</v>
      </c>
      <c r="L6" s="2">
        <v>114.11</v>
      </c>
      <c r="M6" s="2">
        <v>124.11</v>
      </c>
      <c r="N6" s="5">
        <v>119.11</v>
      </c>
      <c r="O6" s="80">
        <f t="shared" ref="O6:P17" si="0">C6+F6+I6+L6</f>
        <v>136.82</v>
      </c>
      <c r="P6" s="80">
        <f t="shared" si="0"/>
        <v>146.44</v>
      </c>
      <c r="Q6" s="21">
        <v>141.79</v>
      </c>
    </row>
    <row r="7" spans="1:17" ht="15.5">
      <c r="A7" s="149"/>
      <c r="B7" s="2">
        <v>90</v>
      </c>
      <c r="C7" s="2">
        <v>4.07</v>
      </c>
      <c r="D7" s="2">
        <v>3.6499999999999995</v>
      </c>
      <c r="E7" s="5">
        <v>3.86</v>
      </c>
      <c r="F7" s="2">
        <v>13.32</v>
      </c>
      <c r="G7" s="10">
        <v>12</v>
      </c>
      <c r="H7" s="5">
        <v>12.66</v>
      </c>
      <c r="I7" s="2">
        <v>8.25</v>
      </c>
      <c r="J7" s="2">
        <v>8.8500000000000014</v>
      </c>
      <c r="K7" s="5">
        <v>8.5500000000000007</v>
      </c>
      <c r="L7" s="2">
        <v>134.26</v>
      </c>
      <c r="M7" s="2">
        <v>128.26</v>
      </c>
      <c r="N7" s="5">
        <v>131.26</v>
      </c>
      <c r="O7" s="80">
        <f t="shared" si="0"/>
        <v>159.89999999999998</v>
      </c>
      <c r="P7" s="80">
        <f t="shared" si="0"/>
        <v>152.76</v>
      </c>
      <c r="Q7" s="21">
        <v>153.76</v>
      </c>
    </row>
    <row r="8" spans="1:17" ht="15.5">
      <c r="A8" s="149"/>
      <c r="B8" s="2">
        <v>120</v>
      </c>
      <c r="C8" s="2">
        <v>4.6500000000000004</v>
      </c>
      <c r="D8" s="2">
        <v>4.6099999999999994</v>
      </c>
      <c r="E8" s="5">
        <v>4.63</v>
      </c>
      <c r="F8" s="2">
        <v>13.01</v>
      </c>
      <c r="G8" s="10">
        <v>11.729999999999999</v>
      </c>
      <c r="H8" s="5">
        <v>12.37</v>
      </c>
      <c r="I8" s="10">
        <v>10.199999999999999</v>
      </c>
      <c r="J8" s="2">
        <v>9.9200000000000017</v>
      </c>
      <c r="K8" s="5">
        <v>10.06</v>
      </c>
      <c r="L8" s="2">
        <v>135.32</v>
      </c>
      <c r="M8" s="2">
        <v>132.95999999999998</v>
      </c>
      <c r="N8" s="5">
        <v>134.13999999999999</v>
      </c>
      <c r="O8" s="80">
        <f t="shared" si="0"/>
        <v>163.18</v>
      </c>
      <c r="P8" s="80">
        <f t="shared" si="0"/>
        <v>159.21999999999997</v>
      </c>
      <c r="Q8" s="21">
        <v>164.65</v>
      </c>
    </row>
    <row r="9" spans="1:17" ht="15.5">
      <c r="A9" s="149"/>
      <c r="B9" s="2">
        <v>150</v>
      </c>
      <c r="C9" s="2">
        <v>7.34</v>
      </c>
      <c r="D9" s="2">
        <v>7.68</v>
      </c>
      <c r="E9" s="5">
        <v>7.51</v>
      </c>
      <c r="F9" s="2">
        <v>14.27</v>
      </c>
      <c r="G9" s="10">
        <v>14.190000000000001</v>
      </c>
      <c r="H9" s="5">
        <v>14.23</v>
      </c>
      <c r="I9" s="2">
        <v>8.02</v>
      </c>
      <c r="J9" s="2">
        <v>8.52</v>
      </c>
      <c r="K9" s="5">
        <v>8.27</v>
      </c>
      <c r="L9" s="2">
        <v>145.85</v>
      </c>
      <c r="M9" s="2">
        <v>149.87000000000003</v>
      </c>
      <c r="N9" s="5">
        <v>147.86000000000001</v>
      </c>
      <c r="O9" s="80">
        <f t="shared" si="0"/>
        <v>175.48</v>
      </c>
      <c r="P9" s="80">
        <f t="shared" si="0"/>
        <v>180.26000000000005</v>
      </c>
      <c r="Q9" s="21">
        <v>186.16</v>
      </c>
    </row>
    <row r="10" spans="1:17" ht="15.5">
      <c r="A10" s="149"/>
      <c r="B10" s="2">
        <v>180</v>
      </c>
      <c r="C10" s="2">
        <v>7.24</v>
      </c>
      <c r="D10" s="2">
        <v>7.6</v>
      </c>
      <c r="E10" s="5">
        <v>7.42</v>
      </c>
      <c r="F10" s="2">
        <v>17.260000000000002</v>
      </c>
      <c r="G10" s="10">
        <v>17.38</v>
      </c>
      <c r="H10" s="5">
        <v>17.32</v>
      </c>
      <c r="I10" s="2">
        <v>6.15</v>
      </c>
      <c r="J10" s="2">
        <v>5.93</v>
      </c>
      <c r="K10" s="5">
        <v>6.04</v>
      </c>
      <c r="L10" s="2">
        <v>154.31</v>
      </c>
      <c r="M10" s="2">
        <v>154.57</v>
      </c>
      <c r="N10" s="5">
        <v>154.44</v>
      </c>
      <c r="O10" s="80">
        <f t="shared" si="0"/>
        <v>184.96</v>
      </c>
      <c r="P10" s="80">
        <f t="shared" si="0"/>
        <v>185.48</v>
      </c>
      <c r="Q10" s="21">
        <v>199.1</v>
      </c>
    </row>
    <row r="11" spans="1:17" ht="15.5">
      <c r="A11" s="149"/>
      <c r="B11" s="2">
        <v>210</v>
      </c>
      <c r="C11" s="2">
        <v>5.25</v>
      </c>
      <c r="D11" s="2">
        <v>5.5299999999999994</v>
      </c>
      <c r="E11" s="5">
        <v>5.39</v>
      </c>
      <c r="F11" s="2">
        <v>14.02</v>
      </c>
      <c r="G11" s="10">
        <v>13.16</v>
      </c>
      <c r="H11" s="5">
        <v>13.59</v>
      </c>
      <c r="I11" s="2">
        <v>6.59</v>
      </c>
      <c r="J11" s="2">
        <v>6.73</v>
      </c>
      <c r="K11" s="5">
        <v>6.66</v>
      </c>
      <c r="L11" s="2">
        <v>133.51</v>
      </c>
      <c r="M11" s="2">
        <v>133.65000000000003</v>
      </c>
      <c r="N11" s="5">
        <v>133.58000000000001</v>
      </c>
      <c r="O11" s="80">
        <f t="shared" si="0"/>
        <v>159.37</v>
      </c>
      <c r="P11" s="80">
        <f t="shared" si="0"/>
        <v>159.07000000000002</v>
      </c>
      <c r="Q11" s="21">
        <v>169.53</v>
      </c>
    </row>
    <row r="12" spans="1:17" ht="15.5">
      <c r="A12" s="169" t="s">
        <v>193</v>
      </c>
      <c r="B12" s="2">
        <v>0</v>
      </c>
      <c r="C12" s="2">
        <v>3.37</v>
      </c>
      <c r="D12" s="2">
        <v>3.1899999999999995</v>
      </c>
      <c r="E12" s="5">
        <v>3.28</v>
      </c>
      <c r="F12" s="2">
        <v>13.01</v>
      </c>
      <c r="G12" s="10">
        <v>11.63</v>
      </c>
      <c r="H12" s="5">
        <v>12.32</v>
      </c>
      <c r="I12" s="2">
        <v>6.53</v>
      </c>
      <c r="J12" s="2">
        <v>6.7299999999999995</v>
      </c>
      <c r="K12" s="5">
        <v>6.63</v>
      </c>
      <c r="L12" s="2">
        <v>105.35</v>
      </c>
      <c r="M12" s="2">
        <v>112.23000000000002</v>
      </c>
      <c r="N12" s="5">
        <v>108.79</v>
      </c>
      <c r="O12" s="80">
        <f t="shared" si="0"/>
        <v>128.26</v>
      </c>
      <c r="P12" s="80">
        <f t="shared" si="0"/>
        <v>133.78000000000003</v>
      </c>
      <c r="Q12" s="21">
        <v>136.88</v>
      </c>
    </row>
    <row r="13" spans="1:17" ht="15.5">
      <c r="A13" s="149"/>
      <c r="B13" s="2">
        <v>90</v>
      </c>
      <c r="C13" s="2">
        <v>4.34</v>
      </c>
      <c r="D13" s="2">
        <v>4.74</v>
      </c>
      <c r="E13" s="5">
        <v>4.54</v>
      </c>
      <c r="F13" s="2">
        <v>12.27</v>
      </c>
      <c r="G13" s="10">
        <v>13.21</v>
      </c>
      <c r="H13" s="5">
        <v>12.74</v>
      </c>
      <c r="I13" s="2">
        <v>4.5199999999999996</v>
      </c>
      <c r="J13" s="2">
        <v>5.0999999999999996</v>
      </c>
      <c r="K13" s="5">
        <v>4.8099999999999996</v>
      </c>
      <c r="L13" s="10">
        <v>125.8</v>
      </c>
      <c r="M13" s="2">
        <v>121.52</v>
      </c>
      <c r="N13" s="5">
        <v>123.66</v>
      </c>
      <c r="O13" s="80">
        <f t="shared" si="0"/>
        <v>146.93</v>
      </c>
      <c r="P13" s="80">
        <f t="shared" si="0"/>
        <v>144.57</v>
      </c>
      <c r="Q13" s="21">
        <v>141.6</v>
      </c>
    </row>
    <row r="14" spans="1:17" ht="15.5">
      <c r="A14" s="149"/>
      <c r="B14" s="2">
        <v>120</v>
      </c>
      <c r="C14" s="2">
        <v>6.05</v>
      </c>
      <c r="D14" s="2">
        <v>6.4899999999999993</v>
      </c>
      <c r="E14" s="5">
        <v>6.27</v>
      </c>
      <c r="F14" s="2">
        <v>14.11</v>
      </c>
      <c r="G14" s="10">
        <v>13.71</v>
      </c>
      <c r="H14" s="5">
        <v>13.91</v>
      </c>
      <c r="I14" s="2">
        <v>4.75</v>
      </c>
      <c r="J14" s="2">
        <v>4.6500000000000004</v>
      </c>
      <c r="K14" s="6">
        <v>4.7</v>
      </c>
      <c r="L14" s="2">
        <v>124.27</v>
      </c>
      <c r="M14" s="2">
        <v>126.27</v>
      </c>
      <c r="N14" s="5">
        <v>125.27</v>
      </c>
      <c r="O14" s="80">
        <f t="shared" si="0"/>
        <v>149.18</v>
      </c>
      <c r="P14" s="80">
        <f t="shared" si="0"/>
        <v>151.12</v>
      </c>
      <c r="Q14" s="21">
        <v>157.81</v>
      </c>
    </row>
    <row r="15" spans="1:17" ht="15.5">
      <c r="A15" s="149"/>
      <c r="B15" s="2">
        <v>150</v>
      </c>
      <c r="C15" s="2">
        <v>4.26</v>
      </c>
      <c r="D15" s="2">
        <v>5.2799999999999994</v>
      </c>
      <c r="E15" s="5">
        <v>4.7699999999999996</v>
      </c>
      <c r="F15" s="2">
        <v>17.12</v>
      </c>
      <c r="G15" s="10">
        <v>16.52</v>
      </c>
      <c r="H15" s="5">
        <v>16.82</v>
      </c>
      <c r="I15" s="2">
        <v>7.24</v>
      </c>
      <c r="J15" s="2">
        <v>7.74</v>
      </c>
      <c r="K15" s="5">
        <v>7.49</v>
      </c>
      <c r="L15" s="2">
        <v>130.56</v>
      </c>
      <c r="M15" s="2">
        <v>138.36000000000001</v>
      </c>
      <c r="N15" s="5">
        <v>134.46</v>
      </c>
      <c r="O15" s="80">
        <f t="shared" si="0"/>
        <v>159.18</v>
      </c>
      <c r="P15" s="80">
        <f t="shared" si="0"/>
        <v>167.9</v>
      </c>
      <c r="Q15" s="21">
        <v>166.11</v>
      </c>
    </row>
    <row r="16" spans="1:17" ht="15.5">
      <c r="A16" s="149"/>
      <c r="B16" s="2">
        <v>180</v>
      </c>
      <c r="C16" s="2">
        <v>6.55</v>
      </c>
      <c r="D16" s="2">
        <v>6.89</v>
      </c>
      <c r="E16" s="5">
        <v>6.72</v>
      </c>
      <c r="F16" s="2">
        <v>19.010000000000002</v>
      </c>
      <c r="G16" s="10">
        <v>19.05</v>
      </c>
      <c r="H16" s="5">
        <v>19.03</v>
      </c>
      <c r="I16" s="2">
        <v>6.23</v>
      </c>
      <c r="J16" s="2">
        <v>6.35</v>
      </c>
      <c r="K16" s="5">
        <v>6.29</v>
      </c>
      <c r="L16" s="2">
        <v>135.38</v>
      </c>
      <c r="M16" s="2">
        <v>143</v>
      </c>
      <c r="N16" s="5">
        <v>139.19</v>
      </c>
      <c r="O16" s="80">
        <f t="shared" si="0"/>
        <v>167.17</v>
      </c>
      <c r="P16" s="80">
        <f t="shared" si="0"/>
        <v>175.29</v>
      </c>
      <c r="Q16" s="21">
        <v>185.31</v>
      </c>
    </row>
    <row r="17" spans="1:17" ht="15.5">
      <c r="A17" s="149"/>
      <c r="B17" s="2">
        <v>210</v>
      </c>
      <c r="C17" s="2">
        <v>3.74</v>
      </c>
      <c r="D17" s="2">
        <v>3.88</v>
      </c>
      <c r="E17" s="5">
        <v>3.81</v>
      </c>
      <c r="F17" s="2">
        <v>11.27</v>
      </c>
      <c r="G17" s="10">
        <v>10.969999999999999</v>
      </c>
      <c r="H17" s="5">
        <v>11.12</v>
      </c>
      <c r="I17" s="2">
        <v>8.1199999999999992</v>
      </c>
      <c r="J17" s="2">
        <v>8.3400000000000016</v>
      </c>
      <c r="K17" s="5">
        <v>8.23</v>
      </c>
      <c r="L17" s="2">
        <v>125.32</v>
      </c>
      <c r="M17" s="2">
        <v>129.4</v>
      </c>
      <c r="N17" s="5">
        <v>127.36</v>
      </c>
      <c r="O17" s="80">
        <f t="shared" si="0"/>
        <v>148.44999999999999</v>
      </c>
      <c r="P17" s="80">
        <f t="shared" si="0"/>
        <v>152.59</v>
      </c>
      <c r="Q17" s="21">
        <v>161.21</v>
      </c>
    </row>
    <row r="18" spans="1:17" ht="15.5">
      <c r="A18" s="38"/>
      <c r="B18" s="38"/>
      <c r="C18" s="38"/>
      <c r="D18" s="38"/>
      <c r="E18" s="63"/>
      <c r="F18" s="38"/>
      <c r="G18" s="38"/>
      <c r="H18" s="63"/>
      <c r="I18" s="38"/>
      <c r="J18" s="38"/>
      <c r="K18" s="63"/>
      <c r="L18" s="38"/>
      <c r="M18" s="38"/>
      <c r="N18" s="63"/>
      <c r="O18" s="38"/>
      <c r="P18" s="38"/>
      <c r="Q18" s="63"/>
    </row>
    <row r="19" spans="1:17" ht="15.5">
      <c r="A19" s="38"/>
      <c r="B19" s="38"/>
      <c r="C19" s="38"/>
      <c r="D19" s="38"/>
      <c r="E19" s="63"/>
      <c r="F19" s="38"/>
      <c r="G19" s="38"/>
      <c r="H19" s="63"/>
      <c r="I19" s="38"/>
      <c r="J19" s="38"/>
      <c r="K19" s="63"/>
      <c r="L19" s="38"/>
      <c r="M19" s="38"/>
      <c r="N19" s="63"/>
      <c r="O19" s="38"/>
      <c r="P19" s="38"/>
      <c r="Q19" s="63"/>
    </row>
    <row r="20" spans="1:17">
      <c r="A20" s="170" t="s">
        <v>253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7" ht="16">
      <c r="A21" s="149" t="s">
        <v>175</v>
      </c>
      <c r="B21" s="2" t="s">
        <v>207</v>
      </c>
      <c r="C21" s="2"/>
      <c r="D21" s="2"/>
      <c r="E21" s="82" t="s">
        <v>215</v>
      </c>
      <c r="F21" s="101"/>
      <c r="G21" s="101"/>
      <c r="H21" s="107" t="s">
        <v>209</v>
      </c>
      <c r="I21" s="108"/>
      <c r="J21" s="108"/>
      <c r="K21" s="107" t="s">
        <v>210</v>
      </c>
      <c r="L21" s="108"/>
      <c r="M21" s="108"/>
      <c r="N21" s="82" t="s">
        <v>211</v>
      </c>
      <c r="O21" s="101"/>
      <c r="P21" s="101"/>
      <c r="Q21" s="82" t="s">
        <v>212</v>
      </c>
    </row>
    <row r="22" spans="1:17" ht="16">
      <c r="A22" s="149"/>
      <c r="B22" s="2" t="s">
        <v>213</v>
      </c>
      <c r="C22" s="2"/>
      <c r="D22" s="2"/>
      <c r="E22" s="5" t="s">
        <v>214</v>
      </c>
      <c r="F22" s="2"/>
      <c r="G22" s="2"/>
      <c r="H22" s="5" t="s">
        <v>214</v>
      </c>
      <c r="I22" s="2"/>
      <c r="J22" s="2"/>
      <c r="K22" s="5" t="s">
        <v>214</v>
      </c>
      <c r="L22" s="2"/>
      <c r="M22" s="2"/>
      <c r="N22" s="5" t="s">
        <v>214</v>
      </c>
      <c r="O22" s="2"/>
      <c r="P22" s="2"/>
      <c r="Q22" s="5" t="s">
        <v>214</v>
      </c>
    </row>
    <row r="23" spans="1:17" ht="15.5">
      <c r="A23" s="2"/>
      <c r="B23" s="2"/>
      <c r="C23" s="2" t="s">
        <v>160</v>
      </c>
      <c r="D23" s="2" t="s">
        <v>161</v>
      </c>
      <c r="E23" s="10" t="s">
        <v>179</v>
      </c>
      <c r="F23" s="2" t="s">
        <v>160</v>
      </c>
      <c r="G23" s="2" t="s">
        <v>161</v>
      </c>
      <c r="H23" s="10" t="s">
        <v>179</v>
      </c>
      <c r="I23" s="2" t="s">
        <v>160</v>
      </c>
      <c r="J23" s="2" t="s">
        <v>161</v>
      </c>
      <c r="K23" s="10" t="s">
        <v>179</v>
      </c>
      <c r="L23" s="2" t="s">
        <v>160</v>
      </c>
      <c r="M23" s="2" t="s">
        <v>161</v>
      </c>
      <c r="N23" s="10" t="s">
        <v>179</v>
      </c>
      <c r="O23" s="2" t="s">
        <v>160</v>
      </c>
      <c r="P23" s="2" t="s">
        <v>161</v>
      </c>
      <c r="Q23" s="10" t="s">
        <v>179</v>
      </c>
    </row>
    <row r="24" spans="1:17" ht="15.5">
      <c r="A24" s="2" t="s">
        <v>189</v>
      </c>
      <c r="B24" s="2">
        <v>0</v>
      </c>
      <c r="C24" s="10">
        <v>2.7730000000000001</v>
      </c>
      <c r="D24" s="10">
        <v>3.0070000000000001</v>
      </c>
      <c r="E24" s="5">
        <v>2.89</v>
      </c>
      <c r="F24" s="10">
        <v>10.887</v>
      </c>
      <c r="G24" s="10">
        <v>10.192999999999998</v>
      </c>
      <c r="H24" s="5">
        <v>10.54</v>
      </c>
      <c r="I24" s="10">
        <v>3.5958000000000001</v>
      </c>
      <c r="J24" s="10">
        <v>3.3842000000000003</v>
      </c>
      <c r="K24" s="5">
        <v>3.49</v>
      </c>
      <c r="L24" s="10">
        <v>71.827799999999996</v>
      </c>
      <c r="M24" s="10">
        <v>74.012200000000007</v>
      </c>
      <c r="N24" s="5">
        <v>72.92</v>
      </c>
      <c r="O24" s="80">
        <f t="shared" ref="O24:P35" si="1">C24+F24+I24+L24</f>
        <v>89.08359999999999</v>
      </c>
      <c r="P24" s="80">
        <f t="shared" si="1"/>
        <v>90.596400000000003</v>
      </c>
      <c r="Q24" s="5">
        <v>89.84</v>
      </c>
    </row>
    <row r="25" spans="1:17" ht="15.5">
      <c r="A25" s="2"/>
      <c r="B25" s="2">
        <v>90</v>
      </c>
      <c r="C25" s="10">
        <v>3.9885999999999999</v>
      </c>
      <c r="D25" s="10">
        <v>3.7114000000000003</v>
      </c>
      <c r="E25" s="5">
        <v>3.85</v>
      </c>
      <c r="F25" s="10">
        <v>16.053599999999999</v>
      </c>
      <c r="G25" s="10">
        <v>16.146400000000003</v>
      </c>
      <c r="H25" s="5">
        <v>16.100000000000001</v>
      </c>
      <c r="I25" s="10">
        <v>6.085</v>
      </c>
      <c r="J25" s="10">
        <v>7.2350000000000003</v>
      </c>
      <c r="K25" s="5">
        <v>6.66</v>
      </c>
      <c r="L25" s="10">
        <v>71.574799999999996</v>
      </c>
      <c r="M25" s="10">
        <v>80.945200000000014</v>
      </c>
      <c r="N25" s="5">
        <v>76.260000000000005</v>
      </c>
      <c r="O25" s="80">
        <f t="shared" si="1"/>
        <v>97.701999999999998</v>
      </c>
      <c r="P25" s="80">
        <f t="shared" si="1"/>
        <v>108.03800000000001</v>
      </c>
      <c r="Q25" s="5">
        <v>102.87</v>
      </c>
    </row>
    <row r="26" spans="1:17" ht="15.5">
      <c r="A26" s="2"/>
      <c r="B26" s="2">
        <v>120</v>
      </c>
      <c r="C26" s="10">
        <v>4.5570000000000004</v>
      </c>
      <c r="D26" s="10">
        <v>4.3230000000000004</v>
      </c>
      <c r="E26" s="5">
        <v>4.4400000000000004</v>
      </c>
      <c r="F26" s="10">
        <v>16.7498</v>
      </c>
      <c r="G26" s="10">
        <v>16.190199999999997</v>
      </c>
      <c r="H26" s="5">
        <v>16.47</v>
      </c>
      <c r="I26" s="10">
        <v>7.9960000000000004</v>
      </c>
      <c r="J26" s="10">
        <v>7.3239999999999998</v>
      </c>
      <c r="K26" s="5">
        <v>7.66</v>
      </c>
      <c r="L26" s="10">
        <v>82.613600000000005</v>
      </c>
      <c r="M26" s="10">
        <v>80.166399999999996</v>
      </c>
      <c r="N26" s="5">
        <v>81.39</v>
      </c>
      <c r="O26" s="80">
        <f t="shared" si="1"/>
        <v>111.91640000000001</v>
      </c>
      <c r="P26" s="80">
        <f t="shared" si="1"/>
        <v>108.00359999999999</v>
      </c>
      <c r="Q26" s="5">
        <v>109.96</v>
      </c>
    </row>
    <row r="27" spans="1:17" ht="15.5">
      <c r="A27" s="2"/>
      <c r="B27" s="2">
        <v>150</v>
      </c>
      <c r="C27" s="10">
        <v>5.1932</v>
      </c>
      <c r="D27" s="10">
        <v>6.0867999999999993</v>
      </c>
      <c r="E27" s="5">
        <v>5.64</v>
      </c>
      <c r="F27" s="10">
        <v>20.9846</v>
      </c>
      <c r="G27" s="10">
        <v>22.715400000000002</v>
      </c>
      <c r="H27" s="5">
        <v>21.85</v>
      </c>
      <c r="I27" s="10">
        <v>8.8596000000000004</v>
      </c>
      <c r="J27" s="10">
        <v>8.8803999999999981</v>
      </c>
      <c r="K27" s="5">
        <v>8.8699999999999992</v>
      </c>
      <c r="L27" s="10">
        <v>92.933000000000007</v>
      </c>
      <c r="M27" s="10">
        <v>104.82699999999998</v>
      </c>
      <c r="N27" s="5">
        <v>98.88</v>
      </c>
      <c r="O27" s="80">
        <f t="shared" si="1"/>
        <v>127.97040000000001</v>
      </c>
      <c r="P27" s="80">
        <f t="shared" si="1"/>
        <v>142.50959999999998</v>
      </c>
      <c r="Q27" s="5">
        <v>135.24</v>
      </c>
    </row>
    <row r="28" spans="1:17" ht="15.5">
      <c r="A28" s="2"/>
      <c r="B28" s="2">
        <v>180</v>
      </c>
      <c r="C28" s="10">
        <v>4.0952000000000002</v>
      </c>
      <c r="D28" s="10">
        <v>4.8247999999999998</v>
      </c>
      <c r="E28" s="5">
        <v>4.46</v>
      </c>
      <c r="F28" s="10">
        <v>17.9148</v>
      </c>
      <c r="G28" s="10">
        <v>19.045200000000001</v>
      </c>
      <c r="H28" s="5">
        <v>18.48</v>
      </c>
      <c r="I28" s="10">
        <v>7.0270000000000001</v>
      </c>
      <c r="J28" s="10">
        <v>7.3129999999999997</v>
      </c>
      <c r="K28" s="5">
        <v>7.17</v>
      </c>
      <c r="L28" s="10">
        <v>91.223799999999997</v>
      </c>
      <c r="M28" s="10">
        <v>96.356200000000015</v>
      </c>
      <c r="N28" s="5">
        <v>93.79</v>
      </c>
      <c r="O28" s="80">
        <f t="shared" si="1"/>
        <v>120.26079999999999</v>
      </c>
      <c r="P28" s="80">
        <f t="shared" si="1"/>
        <v>127.53920000000002</v>
      </c>
      <c r="Q28" s="5">
        <v>123.89</v>
      </c>
    </row>
    <row r="29" spans="1:17" ht="15.5">
      <c r="A29" s="2"/>
      <c r="B29" s="2">
        <v>210</v>
      </c>
      <c r="C29" s="10">
        <v>4.1449999999999996</v>
      </c>
      <c r="D29" s="10">
        <v>5.0950000000000006</v>
      </c>
      <c r="E29" s="5">
        <v>4.62</v>
      </c>
      <c r="F29" s="10">
        <v>17.739599999999999</v>
      </c>
      <c r="G29" s="10">
        <v>18.560399999999998</v>
      </c>
      <c r="H29" s="5">
        <v>18.149999999999999</v>
      </c>
      <c r="I29" s="10">
        <v>7.4581999999999997</v>
      </c>
      <c r="J29" s="10">
        <v>7.5218000000000007</v>
      </c>
      <c r="K29" s="5">
        <v>7.49</v>
      </c>
      <c r="L29" s="10">
        <v>80.839799999999997</v>
      </c>
      <c r="M29" s="10">
        <v>86.400200000000012</v>
      </c>
      <c r="N29" s="5">
        <v>83.62</v>
      </c>
      <c r="O29" s="80">
        <f t="shared" si="1"/>
        <v>110.18259999999999</v>
      </c>
      <c r="P29" s="80">
        <f t="shared" si="1"/>
        <v>117.57740000000001</v>
      </c>
      <c r="Q29" s="5">
        <v>113.88</v>
      </c>
    </row>
    <row r="30" spans="1:17" ht="15.5">
      <c r="A30" s="2" t="s">
        <v>193</v>
      </c>
      <c r="B30" s="2">
        <v>0</v>
      </c>
      <c r="C30" s="10">
        <v>2.3026</v>
      </c>
      <c r="D30" s="10">
        <v>2.9973999999999998</v>
      </c>
      <c r="E30" s="5">
        <v>2.65</v>
      </c>
      <c r="F30" s="10">
        <v>8.7498000000000005</v>
      </c>
      <c r="G30" s="10">
        <v>8.5701999999999998</v>
      </c>
      <c r="H30" s="5">
        <v>8.66</v>
      </c>
      <c r="I30" s="10">
        <v>3.3994</v>
      </c>
      <c r="J30" s="10">
        <v>4.5206</v>
      </c>
      <c r="K30" s="5">
        <v>3.96</v>
      </c>
      <c r="L30" s="10">
        <v>63.243000000000002</v>
      </c>
      <c r="M30" s="10">
        <v>57.517000000000003</v>
      </c>
      <c r="N30" s="5">
        <v>60.38</v>
      </c>
      <c r="O30" s="80">
        <f t="shared" si="1"/>
        <v>77.694800000000001</v>
      </c>
      <c r="P30" s="80">
        <f t="shared" si="1"/>
        <v>73.605199999999996</v>
      </c>
      <c r="Q30" s="5">
        <v>75.650000000000006</v>
      </c>
    </row>
    <row r="31" spans="1:17" ht="15.5">
      <c r="A31" s="2"/>
      <c r="B31" s="2">
        <v>90</v>
      </c>
      <c r="C31" s="10">
        <v>3.2532000000000001</v>
      </c>
      <c r="D31" s="10">
        <v>3.4068000000000001</v>
      </c>
      <c r="E31" s="5">
        <v>3.33</v>
      </c>
      <c r="F31" s="10">
        <v>12.0246</v>
      </c>
      <c r="G31" s="10">
        <v>11.5154</v>
      </c>
      <c r="H31" s="5">
        <v>11.77</v>
      </c>
      <c r="I31" s="10">
        <v>5.4295999999999998</v>
      </c>
      <c r="J31" s="10">
        <v>4.6304000000000007</v>
      </c>
      <c r="K31" s="5">
        <v>5.03</v>
      </c>
      <c r="L31" s="10">
        <v>63.283999999999999</v>
      </c>
      <c r="M31" s="10">
        <v>57.896000000000008</v>
      </c>
      <c r="N31" s="5">
        <v>60.59</v>
      </c>
      <c r="O31" s="80">
        <f t="shared" si="1"/>
        <v>83.991399999999999</v>
      </c>
      <c r="P31" s="80">
        <f t="shared" si="1"/>
        <v>77.448600000000013</v>
      </c>
      <c r="Q31" s="5">
        <v>80.72</v>
      </c>
    </row>
    <row r="32" spans="1:17" ht="15.5">
      <c r="A32" s="2"/>
      <c r="B32" s="2">
        <v>120</v>
      </c>
      <c r="C32" s="10">
        <v>3.9289999999999998</v>
      </c>
      <c r="D32" s="10">
        <v>3.5710000000000002</v>
      </c>
      <c r="E32" s="5">
        <v>3.75</v>
      </c>
      <c r="F32" s="10">
        <v>13.8278</v>
      </c>
      <c r="G32" s="10">
        <v>13.112200000000001</v>
      </c>
      <c r="H32" s="5">
        <v>13.47</v>
      </c>
      <c r="I32" s="10">
        <v>5.6550000000000002</v>
      </c>
      <c r="J32" s="10">
        <v>5.9449999999999994</v>
      </c>
      <c r="K32" s="5">
        <v>5.8</v>
      </c>
      <c r="L32" s="10">
        <v>71.784599999999998</v>
      </c>
      <c r="M32" s="10">
        <v>64.235400000000013</v>
      </c>
      <c r="N32" s="5">
        <v>68.010000000000005</v>
      </c>
      <c r="O32" s="80">
        <f t="shared" si="1"/>
        <v>95.196399999999997</v>
      </c>
      <c r="P32" s="80">
        <f t="shared" si="1"/>
        <v>86.863600000000019</v>
      </c>
      <c r="Q32" s="5">
        <v>91.03</v>
      </c>
    </row>
    <row r="33" spans="1:17" ht="15.5">
      <c r="A33" s="2"/>
      <c r="B33" s="2">
        <v>150</v>
      </c>
      <c r="C33" s="10">
        <v>4.1748000000000003</v>
      </c>
      <c r="D33" s="10">
        <v>3.9851999999999999</v>
      </c>
      <c r="E33" s="5">
        <v>4.08</v>
      </c>
      <c r="F33" s="10">
        <v>16.7776</v>
      </c>
      <c r="G33" s="10">
        <v>13.602399999999999</v>
      </c>
      <c r="H33" s="5">
        <v>15.19</v>
      </c>
      <c r="I33" s="10">
        <v>4.0952000000000002</v>
      </c>
      <c r="J33" s="10">
        <v>5.3848000000000003</v>
      </c>
      <c r="K33" s="5">
        <v>4.74</v>
      </c>
      <c r="L33" s="10">
        <v>87.948800000000006</v>
      </c>
      <c r="M33" s="10">
        <v>81.551199999999994</v>
      </c>
      <c r="N33" s="5">
        <v>84.75</v>
      </c>
      <c r="O33" s="80">
        <f t="shared" si="1"/>
        <v>112.99640000000001</v>
      </c>
      <c r="P33" s="80">
        <f t="shared" si="1"/>
        <v>104.52359999999999</v>
      </c>
      <c r="Q33" s="5">
        <v>108.77</v>
      </c>
    </row>
    <row r="34" spans="1:17" ht="15.5">
      <c r="A34" s="2"/>
      <c r="B34" s="2">
        <v>180</v>
      </c>
      <c r="C34" s="10">
        <v>3.419</v>
      </c>
      <c r="D34" s="10">
        <v>2.7209999999999996</v>
      </c>
      <c r="E34" s="5">
        <v>3.07</v>
      </c>
      <c r="F34" s="10">
        <v>11.629799999999999</v>
      </c>
      <c r="G34" s="10">
        <v>10.690200000000001</v>
      </c>
      <c r="H34" s="5">
        <v>11.16</v>
      </c>
      <c r="I34" s="10">
        <v>3.1053999999999999</v>
      </c>
      <c r="J34" s="10">
        <v>4.2946000000000009</v>
      </c>
      <c r="K34" s="5">
        <v>3.7</v>
      </c>
      <c r="L34" s="10">
        <v>72.672399999999996</v>
      </c>
      <c r="M34" s="10">
        <v>61.507600000000011</v>
      </c>
      <c r="N34" s="5">
        <v>67.09</v>
      </c>
      <c r="O34" s="80">
        <f t="shared" si="1"/>
        <v>90.826599999999999</v>
      </c>
      <c r="P34" s="80">
        <f t="shared" si="1"/>
        <v>79.213400000000007</v>
      </c>
      <c r="Q34" s="5">
        <v>85.03</v>
      </c>
    </row>
    <row r="35" spans="1:17" ht="15.5">
      <c r="A35" s="2"/>
      <c r="B35" s="2">
        <v>210</v>
      </c>
      <c r="C35" s="10">
        <v>2.6652</v>
      </c>
      <c r="D35" s="10">
        <v>2.8348</v>
      </c>
      <c r="E35" s="5">
        <v>2.75</v>
      </c>
      <c r="F35" s="10">
        <v>10.044600000000001</v>
      </c>
      <c r="G35" s="10">
        <v>10.195399999999998</v>
      </c>
      <c r="H35" s="5">
        <v>10.119999999999999</v>
      </c>
      <c r="I35" s="10">
        <v>2.9575999999999998</v>
      </c>
      <c r="J35" s="10">
        <v>2.5024000000000002</v>
      </c>
      <c r="K35" s="5">
        <v>2.73</v>
      </c>
      <c r="L35" s="10">
        <v>62.813600000000001</v>
      </c>
      <c r="M35" s="10">
        <v>68.066399999999987</v>
      </c>
      <c r="N35" s="5">
        <v>65.44</v>
      </c>
      <c r="O35" s="80">
        <f t="shared" si="1"/>
        <v>78.480999999999995</v>
      </c>
      <c r="P35" s="80">
        <f t="shared" si="1"/>
        <v>83.59899999999999</v>
      </c>
      <c r="Q35" s="5">
        <v>81.040000000000006</v>
      </c>
    </row>
    <row r="36" spans="1:17" ht="15.5">
      <c r="A36" s="38"/>
      <c r="B36" s="38"/>
      <c r="C36" s="38"/>
      <c r="D36" s="38"/>
      <c r="E36" s="63"/>
      <c r="F36" s="38"/>
      <c r="G36" s="38"/>
      <c r="H36" s="63"/>
      <c r="I36" s="38"/>
      <c r="J36" s="38"/>
      <c r="K36" s="63"/>
      <c r="L36" s="38"/>
      <c r="M36" s="38"/>
      <c r="N36" s="63"/>
      <c r="O36" s="38"/>
      <c r="P36" s="38"/>
      <c r="Q36" s="63"/>
    </row>
    <row r="37" spans="1:17">
      <c r="A37" s="168" t="s">
        <v>216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</row>
    <row r="38" spans="1:17" ht="16">
      <c r="A38" s="149" t="s">
        <v>175</v>
      </c>
      <c r="B38" s="2" t="s">
        <v>207</v>
      </c>
      <c r="C38" s="2"/>
      <c r="D38" s="2"/>
      <c r="E38" s="82" t="s">
        <v>215</v>
      </c>
      <c r="F38" s="101"/>
      <c r="G38" s="101"/>
      <c r="H38" s="107" t="s">
        <v>209</v>
      </c>
      <c r="I38" s="108"/>
      <c r="J38" s="108"/>
      <c r="K38" s="107" t="s">
        <v>210</v>
      </c>
      <c r="L38" s="108"/>
      <c r="M38" s="108"/>
      <c r="N38" s="82" t="s">
        <v>211</v>
      </c>
      <c r="O38" s="101"/>
      <c r="P38" s="101"/>
      <c r="Q38" s="82" t="s">
        <v>212</v>
      </c>
    </row>
    <row r="39" spans="1:17" ht="16">
      <c r="A39" s="149"/>
      <c r="B39" s="2" t="s">
        <v>213</v>
      </c>
      <c r="C39" s="2"/>
      <c r="D39" s="2"/>
      <c r="E39" s="5" t="s">
        <v>214</v>
      </c>
      <c r="F39" s="2"/>
      <c r="G39" s="2"/>
      <c r="H39" s="5" t="s">
        <v>214</v>
      </c>
      <c r="I39" s="2"/>
      <c r="J39" s="2"/>
      <c r="K39" s="5" t="s">
        <v>214</v>
      </c>
      <c r="L39" s="2"/>
      <c r="M39" s="2"/>
      <c r="N39" s="5" t="s">
        <v>214</v>
      </c>
      <c r="O39" s="2"/>
      <c r="P39" s="2"/>
      <c r="Q39" s="5" t="s">
        <v>214</v>
      </c>
    </row>
    <row r="40" spans="1:17" ht="15.5">
      <c r="A40" s="2"/>
      <c r="B40" s="2"/>
      <c r="C40" s="2" t="s">
        <v>160</v>
      </c>
      <c r="D40" s="2" t="s">
        <v>161</v>
      </c>
      <c r="E40" s="10" t="s">
        <v>179</v>
      </c>
      <c r="F40" s="2" t="s">
        <v>160</v>
      </c>
      <c r="G40" s="2" t="s">
        <v>161</v>
      </c>
      <c r="H40" s="10" t="s">
        <v>179</v>
      </c>
      <c r="I40" s="2" t="s">
        <v>160</v>
      </c>
      <c r="J40" s="2" t="s">
        <v>161</v>
      </c>
      <c r="K40" s="10" t="s">
        <v>179</v>
      </c>
      <c r="L40" s="2" t="s">
        <v>160</v>
      </c>
      <c r="M40" s="2" t="s">
        <v>161</v>
      </c>
      <c r="N40" s="10" t="s">
        <v>179</v>
      </c>
      <c r="O40" s="2" t="s">
        <v>160</v>
      </c>
      <c r="P40" s="2" t="s">
        <v>161</v>
      </c>
      <c r="Q40" s="10" t="s">
        <v>179</v>
      </c>
    </row>
    <row r="41" spans="1:17" ht="15.5">
      <c r="A41" s="109" t="s">
        <v>189</v>
      </c>
      <c r="B41" s="2">
        <v>0</v>
      </c>
      <c r="C41" s="10">
        <v>2.7452700000000001</v>
      </c>
      <c r="D41" s="10">
        <v>2.4947300000000001</v>
      </c>
      <c r="E41" s="5">
        <v>2.62</v>
      </c>
      <c r="F41" s="10">
        <v>10.778130000000001</v>
      </c>
      <c r="G41" s="10">
        <v>12.86187</v>
      </c>
      <c r="H41" s="5">
        <v>11.82</v>
      </c>
      <c r="I41" s="10">
        <v>3.9598420000000001</v>
      </c>
      <c r="J41" s="10">
        <v>4.3601580000000002</v>
      </c>
      <c r="K41" s="5">
        <v>4.16</v>
      </c>
      <c r="L41" s="10">
        <v>91.109521999999998</v>
      </c>
      <c r="M41" s="10">
        <v>93.910478000000012</v>
      </c>
      <c r="N41" s="5">
        <v>92.51</v>
      </c>
      <c r="O41" s="80">
        <f t="shared" ref="O41:P52" si="2">C41+F41+I41+L41</f>
        <v>108.592764</v>
      </c>
      <c r="P41" s="80">
        <f t="shared" si="2"/>
        <v>113.62723600000001</v>
      </c>
      <c r="Q41" s="5">
        <v>111.12</v>
      </c>
    </row>
    <row r="42" spans="1:17" ht="15.5">
      <c r="A42" s="110" t="s">
        <v>217</v>
      </c>
      <c r="B42" s="2">
        <v>90</v>
      </c>
      <c r="C42" s="10">
        <v>3.9487139999999998</v>
      </c>
      <c r="D42" s="10">
        <v>2.5712859999999997</v>
      </c>
      <c r="E42" s="5">
        <v>3.26</v>
      </c>
      <c r="F42" s="10">
        <v>15.893063999999999</v>
      </c>
      <c r="G42" s="10">
        <v>14.566936000000002</v>
      </c>
      <c r="H42" s="5">
        <v>15.23</v>
      </c>
      <c r="I42" s="10">
        <v>6.1241500000000002</v>
      </c>
      <c r="J42" s="10">
        <v>6.4758499999999994</v>
      </c>
      <c r="K42" s="5">
        <v>6.3</v>
      </c>
      <c r="L42" s="10">
        <v>100.85905200000001</v>
      </c>
      <c r="M42" s="10">
        <v>107.68094799999999</v>
      </c>
      <c r="N42" s="5">
        <v>104.27</v>
      </c>
      <c r="O42" s="80">
        <f t="shared" si="2"/>
        <v>126.82498000000001</v>
      </c>
      <c r="P42" s="80">
        <f t="shared" si="2"/>
        <v>131.29501999999999</v>
      </c>
      <c r="Q42" s="5">
        <v>129.06</v>
      </c>
    </row>
    <row r="43" spans="1:17" ht="15.5">
      <c r="A43" s="37"/>
      <c r="B43" s="2">
        <v>120</v>
      </c>
      <c r="C43" s="10">
        <v>4.5114300000000007</v>
      </c>
      <c r="D43" s="10">
        <v>3.9685699999999997</v>
      </c>
      <c r="E43" s="5">
        <v>4.24</v>
      </c>
      <c r="F43" s="10">
        <v>15.582302</v>
      </c>
      <c r="G43" s="10">
        <v>15.757698</v>
      </c>
      <c r="H43" s="5">
        <v>15.67</v>
      </c>
      <c r="I43" s="10">
        <v>7.6160399999999999</v>
      </c>
      <c r="J43" s="10">
        <v>7.4239599999999992</v>
      </c>
      <c r="K43" s="5">
        <v>7.52</v>
      </c>
      <c r="L43" s="10">
        <v>111.787464</v>
      </c>
      <c r="M43" s="10">
        <v>122.47253599999999</v>
      </c>
      <c r="N43" s="5">
        <v>117.13</v>
      </c>
      <c r="O43" s="80">
        <f t="shared" si="2"/>
        <v>139.49723599999999</v>
      </c>
      <c r="P43" s="80">
        <f t="shared" si="2"/>
        <v>149.62276399999999</v>
      </c>
      <c r="Q43" s="5">
        <v>144.55000000000001</v>
      </c>
    </row>
    <row r="44" spans="1:17" ht="15.5">
      <c r="A44" s="37"/>
      <c r="B44" s="2">
        <v>150</v>
      </c>
      <c r="C44" s="10">
        <v>5.1412680000000002</v>
      </c>
      <c r="D44" s="10">
        <v>6.398731999999999</v>
      </c>
      <c r="E44" s="5">
        <v>5.77</v>
      </c>
      <c r="F44" s="10">
        <v>21.774754000000001</v>
      </c>
      <c r="G44" s="10">
        <v>23.765245999999998</v>
      </c>
      <c r="H44" s="5">
        <v>22.77</v>
      </c>
      <c r="I44" s="10">
        <v>9.7471004000000008</v>
      </c>
      <c r="J44" s="10">
        <v>9.7928995999999984</v>
      </c>
      <c r="K44" s="5">
        <v>9.77</v>
      </c>
      <c r="L44" s="10">
        <v>132.00367</v>
      </c>
      <c r="M44" s="10">
        <v>129.77632999999997</v>
      </c>
      <c r="N44" s="5">
        <v>130.88999999999999</v>
      </c>
      <c r="O44" s="80">
        <f t="shared" si="2"/>
        <v>168.66679240000002</v>
      </c>
      <c r="P44" s="80">
        <f t="shared" si="2"/>
        <v>169.73320759999996</v>
      </c>
      <c r="Q44" s="5">
        <v>169.19</v>
      </c>
    </row>
    <row r="45" spans="1:17" ht="15.5">
      <c r="A45" s="37"/>
      <c r="B45" s="2">
        <v>180</v>
      </c>
      <c r="C45" s="10">
        <v>4.0542480000000003</v>
      </c>
      <c r="D45" s="10">
        <v>4.3257520000000005</v>
      </c>
      <c r="E45" s="5">
        <v>4.1900000000000004</v>
      </c>
      <c r="F45" s="10">
        <v>17.735651999999998</v>
      </c>
      <c r="G45" s="10">
        <v>17.704348</v>
      </c>
      <c r="H45" s="5">
        <v>17.72</v>
      </c>
      <c r="I45" s="10">
        <v>7.9567300000000003</v>
      </c>
      <c r="J45" s="10">
        <v>8.7032699999999998</v>
      </c>
      <c r="K45" s="5">
        <v>8.33</v>
      </c>
      <c r="L45" s="10">
        <v>120.311562</v>
      </c>
      <c r="M45" s="10">
        <v>123.36843800000001</v>
      </c>
      <c r="N45" s="5">
        <v>121.84</v>
      </c>
      <c r="O45" s="80">
        <f t="shared" si="2"/>
        <v>150.05819199999999</v>
      </c>
      <c r="P45" s="80">
        <f t="shared" si="2"/>
        <v>154.10180800000001</v>
      </c>
      <c r="Q45" s="5">
        <v>152.08000000000001</v>
      </c>
    </row>
    <row r="46" spans="1:17" ht="15.5">
      <c r="A46" s="37"/>
      <c r="B46" s="2">
        <v>210</v>
      </c>
      <c r="C46" s="10">
        <v>4.1035499999999994</v>
      </c>
      <c r="D46" s="10">
        <v>3.3764500000000011</v>
      </c>
      <c r="E46" s="5">
        <v>3.74</v>
      </c>
      <c r="F46" s="10">
        <v>15.562203999999999</v>
      </c>
      <c r="G46" s="10">
        <v>14.477796</v>
      </c>
      <c r="H46" s="5">
        <v>15.02</v>
      </c>
      <c r="I46" s="10">
        <v>7.0836180000000004</v>
      </c>
      <c r="J46" s="10">
        <v>5.6963819999999989</v>
      </c>
      <c r="K46" s="5">
        <v>6.39</v>
      </c>
      <c r="L46" s="10">
        <v>110.031402</v>
      </c>
      <c r="M46" s="10">
        <v>110.188598</v>
      </c>
      <c r="N46" s="5">
        <v>110.11</v>
      </c>
      <c r="O46" s="80">
        <f t="shared" si="2"/>
        <v>136.78077400000001</v>
      </c>
      <c r="P46" s="80">
        <f t="shared" si="2"/>
        <v>133.739226</v>
      </c>
      <c r="Q46" s="5">
        <v>135.26</v>
      </c>
    </row>
    <row r="47" spans="1:17" ht="15.5">
      <c r="A47" s="109" t="s">
        <v>193</v>
      </c>
      <c r="B47" s="2">
        <v>0</v>
      </c>
      <c r="C47" s="10">
        <v>2.2795739999999998</v>
      </c>
      <c r="D47" s="10">
        <v>1.9204260000000004</v>
      </c>
      <c r="E47" s="5">
        <v>2.1</v>
      </c>
      <c r="F47" s="10">
        <v>9.6623020000000004</v>
      </c>
      <c r="G47" s="10">
        <v>8.7976980000000005</v>
      </c>
      <c r="H47" s="5">
        <v>9.23</v>
      </c>
      <c r="I47" s="10">
        <v>3.3654060000000001</v>
      </c>
      <c r="J47" s="10">
        <v>3.0145939999999998</v>
      </c>
      <c r="K47" s="5">
        <v>3.19</v>
      </c>
      <c r="L47" s="10">
        <v>82.610569999999996</v>
      </c>
      <c r="M47" s="10">
        <v>84.209429999999998</v>
      </c>
      <c r="N47" s="5">
        <v>83.41</v>
      </c>
      <c r="O47" s="80">
        <f t="shared" si="2"/>
        <v>97.917851999999996</v>
      </c>
      <c r="P47" s="80">
        <f t="shared" si="2"/>
        <v>97.942148000000003</v>
      </c>
      <c r="Q47" s="5">
        <v>97.93</v>
      </c>
    </row>
    <row r="48" spans="1:17" ht="15.5">
      <c r="A48" s="110" t="s">
        <v>218</v>
      </c>
      <c r="B48" s="2">
        <v>90</v>
      </c>
      <c r="C48" s="10">
        <v>3.2206679999999999</v>
      </c>
      <c r="D48" s="10">
        <v>2.079332</v>
      </c>
      <c r="E48" s="5">
        <v>2.65</v>
      </c>
      <c r="F48" s="10">
        <v>11.904354</v>
      </c>
      <c r="G48" s="10">
        <v>10.835645999999999</v>
      </c>
      <c r="H48" s="5">
        <v>11.37</v>
      </c>
      <c r="I48" s="10">
        <v>5.1753039999999997</v>
      </c>
      <c r="J48" s="10">
        <v>4.1646960000000002</v>
      </c>
      <c r="K48" s="5">
        <v>4.67</v>
      </c>
      <c r="L48" s="10">
        <v>92.651160000000004</v>
      </c>
      <c r="M48" s="10">
        <v>93.048839999999984</v>
      </c>
      <c r="N48" s="5">
        <v>92.85</v>
      </c>
      <c r="O48" s="80">
        <f t="shared" si="2"/>
        <v>112.951486</v>
      </c>
      <c r="P48" s="80">
        <f t="shared" si="2"/>
        <v>110.12851399999998</v>
      </c>
      <c r="Q48" s="5">
        <v>111.54</v>
      </c>
    </row>
    <row r="49" spans="1:17" ht="15.5">
      <c r="A49" s="37"/>
      <c r="B49" s="2">
        <v>120</v>
      </c>
      <c r="C49" s="10">
        <v>3.88971</v>
      </c>
      <c r="D49" s="10">
        <v>2.5502900000000004</v>
      </c>
      <c r="E49" s="5">
        <v>3.22</v>
      </c>
      <c r="F49" s="10">
        <v>13.689522</v>
      </c>
      <c r="G49" s="10">
        <v>12.430478000000001</v>
      </c>
      <c r="H49" s="5">
        <v>13.06</v>
      </c>
      <c r="I49" s="10">
        <v>5.5984500000000006</v>
      </c>
      <c r="J49" s="10">
        <v>5.7815500000000002</v>
      </c>
      <c r="K49" s="5">
        <v>5.69</v>
      </c>
      <c r="L49" s="10">
        <v>101.066754</v>
      </c>
      <c r="M49" s="10">
        <v>101.393246</v>
      </c>
      <c r="N49" s="5">
        <v>101.23</v>
      </c>
      <c r="O49" s="80">
        <f t="shared" si="2"/>
        <v>124.24443600000001</v>
      </c>
      <c r="P49" s="80">
        <f t="shared" si="2"/>
        <v>122.155564</v>
      </c>
      <c r="Q49" s="5">
        <v>123.2</v>
      </c>
    </row>
    <row r="50" spans="1:17" ht="15.5">
      <c r="A50" s="37"/>
      <c r="B50" s="2">
        <v>150</v>
      </c>
      <c r="C50" s="10">
        <v>4.1330520000000002</v>
      </c>
      <c r="D50" s="10">
        <v>5.1269479999999996</v>
      </c>
      <c r="E50" s="5">
        <v>4.63</v>
      </c>
      <c r="F50" s="10">
        <v>16.609824</v>
      </c>
      <c r="G50" s="10">
        <v>17.090176000000003</v>
      </c>
      <c r="H50" s="5">
        <v>16.850000000000001</v>
      </c>
      <c r="I50" s="10">
        <v>8.0542479999999994</v>
      </c>
      <c r="J50" s="10">
        <v>7.3657520000000005</v>
      </c>
      <c r="K50" s="5">
        <v>7.71</v>
      </c>
      <c r="L50" s="10">
        <v>117.069312</v>
      </c>
      <c r="M50" s="10">
        <v>113.250688</v>
      </c>
      <c r="N50" s="5">
        <v>115.16</v>
      </c>
      <c r="O50" s="80">
        <f t="shared" si="2"/>
        <v>145.86643599999999</v>
      </c>
      <c r="P50" s="80">
        <f t="shared" si="2"/>
        <v>142.833564</v>
      </c>
      <c r="Q50" s="5">
        <v>144.36000000000001</v>
      </c>
    </row>
    <row r="51" spans="1:17" ht="15.5">
      <c r="A51" s="37"/>
      <c r="B51" s="2">
        <v>180</v>
      </c>
      <c r="C51" s="10">
        <v>3.3848099999999999</v>
      </c>
      <c r="D51" s="10">
        <v>2.8151900000000003</v>
      </c>
      <c r="E51" s="5">
        <v>3.1</v>
      </c>
      <c r="F51" s="10">
        <v>12.513502000000001</v>
      </c>
      <c r="G51" s="10">
        <v>13.246498000000001</v>
      </c>
      <c r="H51" s="5">
        <v>12.88</v>
      </c>
      <c r="I51" s="10">
        <v>5.0743460000000002</v>
      </c>
      <c r="J51" s="10">
        <v>6.4456539999999993</v>
      </c>
      <c r="K51" s="5">
        <v>5.76</v>
      </c>
      <c r="L51" s="10">
        <v>101.94567600000001</v>
      </c>
      <c r="M51" s="10">
        <v>112.834324</v>
      </c>
      <c r="N51" s="5">
        <v>107.39</v>
      </c>
      <c r="O51" s="80">
        <f t="shared" si="2"/>
        <v>122.91833400000002</v>
      </c>
      <c r="P51" s="80">
        <f t="shared" si="2"/>
        <v>135.341666</v>
      </c>
      <c r="Q51" s="5">
        <v>129.13</v>
      </c>
    </row>
    <row r="52" spans="1:17" ht="15.5">
      <c r="A52" s="37"/>
      <c r="B52" s="2">
        <v>210</v>
      </c>
      <c r="C52" s="10">
        <v>2.6385480000000001</v>
      </c>
      <c r="D52" s="10">
        <v>2.6814520000000002</v>
      </c>
      <c r="E52" s="5">
        <v>2.66</v>
      </c>
      <c r="F52" s="10">
        <v>10.944153999999999</v>
      </c>
      <c r="G52" s="10">
        <v>12.455845999999999</v>
      </c>
      <c r="H52" s="5">
        <v>11.7</v>
      </c>
      <c r="I52" s="10">
        <v>3.9280240000000002</v>
      </c>
      <c r="J52" s="10">
        <v>3.811976</v>
      </c>
      <c r="K52" s="5">
        <v>3.87</v>
      </c>
      <c r="L52" s="10">
        <v>92.185463999999996</v>
      </c>
      <c r="M52" s="10">
        <v>100.01453599999999</v>
      </c>
      <c r="N52" s="5">
        <v>96.1</v>
      </c>
      <c r="O52" s="80">
        <f t="shared" si="2"/>
        <v>109.69619</v>
      </c>
      <c r="P52" s="80">
        <f t="shared" si="2"/>
        <v>118.96381</v>
      </c>
      <c r="Q52" s="5">
        <v>114.33</v>
      </c>
    </row>
    <row r="53" spans="1:17" ht="15.5">
      <c r="A53" s="38"/>
      <c r="B53" s="38"/>
      <c r="C53" s="38"/>
      <c r="D53" s="38"/>
      <c r="E53" s="63"/>
      <c r="F53" s="38"/>
      <c r="G53" s="38"/>
      <c r="H53" s="63"/>
      <c r="I53" s="38"/>
      <c r="J53" s="38"/>
      <c r="K53" s="63"/>
      <c r="L53" s="38"/>
      <c r="M53" s="38"/>
      <c r="N53" s="63"/>
      <c r="O53" s="38"/>
      <c r="P53" s="38"/>
      <c r="Q53" s="63"/>
    </row>
    <row r="54" spans="1:17" ht="15.5">
      <c r="A54" s="38"/>
      <c r="B54" s="38"/>
      <c r="C54" s="38"/>
      <c r="D54" s="38"/>
      <c r="E54" s="63"/>
      <c r="F54" s="38"/>
      <c r="G54" s="38"/>
      <c r="H54" s="63"/>
      <c r="I54" s="38"/>
      <c r="J54" s="38"/>
      <c r="K54" s="63"/>
      <c r="L54" s="38"/>
      <c r="M54" s="38"/>
      <c r="N54" s="63"/>
      <c r="O54" s="38"/>
      <c r="P54" s="38"/>
      <c r="Q54" s="63"/>
    </row>
    <row r="55" spans="1:17" ht="15.5">
      <c r="A55" s="38"/>
      <c r="B55" s="38"/>
      <c r="C55" s="38"/>
      <c r="D55" s="38"/>
      <c r="E55" s="63"/>
      <c r="F55" s="38"/>
      <c r="G55" s="38"/>
      <c r="H55" s="63"/>
      <c r="I55" s="38"/>
      <c r="J55" s="38"/>
      <c r="K55" s="63"/>
      <c r="L55" s="38"/>
      <c r="M55" s="38"/>
      <c r="N55" s="63"/>
      <c r="O55" s="38"/>
      <c r="P55" s="38"/>
      <c r="Q55" s="63"/>
    </row>
    <row r="56" spans="1:17" ht="15.5">
      <c r="A56" s="38"/>
      <c r="B56" s="38"/>
      <c r="C56" s="38"/>
      <c r="D56" s="38"/>
      <c r="E56" s="63"/>
      <c r="F56" s="38"/>
      <c r="G56" s="38"/>
      <c r="H56" s="63"/>
      <c r="I56" s="38"/>
      <c r="J56" s="38"/>
      <c r="K56" s="63"/>
      <c r="L56" s="38"/>
      <c r="M56" s="38"/>
      <c r="N56" s="63"/>
      <c r="O56" s="38"/>
      <c r="P56" s="38"/>
      <c r="Q56" s="63"/>
    </row>
    <row r="57" spans="1:17" ht="15.5">
      <c r="A57" s="38"/>
      <c r="B57" s="38"/>
      <c r="C57" s="38"/>
      <c r="D57" s="38"/>
      <c r="E57" s="63"/>
      <c r="F57" s="38"/>
      <c r="G57" s="38"/>
      <c r="H57" s="63"/>
      <c r="I57" s="38"/>
      <c r="J57" s="38"/>
      <c r="K57" s="63"/>
      <c r="L57" s="38"/>
      <c r="M57" s="38"/>
      <c r="N57" s="63"/>
      <c r="O57" s="38"/>
      <c r="P57" s="38"/>
      <c r="Q57" s="63"/>
    </row>
    <row r="58" spans="1:17" ht="15.5">
      <c r="A58" s="38"/>
      <c r="B58" s="38"/>
      <c r="C58" s="38"/>
      <c r="D58" s="38"/>
      <c r="E58" s="63"/>
      <c r="F58" s="38"/>
      <c r="G58" s="38"/>
      <c r="H58" s="63"/>
      <c r="I58" s="38"/>
      <c r="J58" s="38"/>
      <c r="K58" s="63"/>
      <c r="L58" s="38"/>
      <c r="M58" s="38"/>
      <c r="N58" s="63"/>
      <c r="O58" s="38"/>
      <c r="P58" s="38"/>
      <c r="Q58" s="63"/>
    </row>
    <row r="59" spans="1:17" ht="15.5">
      <c r="A59" s="38"/>
      <c r="B59" s="38"/>
      <c r="C59" s="38"/>
      <c r="D59" s="38"/>
      <c r="E59" s="63"/>
      <c r="F59" s="38"/>
      <c r="G59" s="38"/>
      <c r="H59" s="63"/>
      <c r="I59" s="38"/>
      <c r="J59" s="38"/>
      <c r="K59" s="63"/>
      <c r="L59" s="38"/>
      <c r="M59" s="38"/>
      <c r="N59" s="63"/>
      <c r="O59" s="38"/>
      <c r="P59" s="38"/>
      <c r="Q59" s="63"/>
    </row>
    <row r="60" spans="1:17" ht="15.5">
      <c r="A60" s="38"/>
      <c r="B60" s="38"/>
      <c r="C60" s="38"/>
      <c r="D60" s="38"/>
      <c r="E60" s="63"/>
      <c r="F60" s="38"/>
      <c r="G60" s="38"/>
      <c r="H60" s="63"/>
      <c r="I60" s="38"/>
      <c r="J60" s="38"/>
      <c r="K60" s="63"/>
      <c r="L60" s="38"/>
      <c r="M60" s="38"/>
      <c r="N60" s="63"/>
      <c r="O60" s="38"/>
      <c r="P60" s="38"/>
      <c r="Q60" s="63"/>
    </row>
    <row r="61" spans="1:17" ht="15.5">
      <c r="A61" s="38"/>
      <c r="B61" s="38"/>
      <c r="C61" s="38"/>
      <c r="D61" s="38"/>
      <c r="E61" s="63"/>
      <c r="F61" s="38"/>
      <c r="G61" s="38"/>
      <c r="H61" s="63"/>
      <c r="I61" s="38"/>
      <c r="J61" s="38"/>
      <c r="K61" s="63"/>
      <c r="L61" s="38"/>
      <c r="M61" s="38"/>
      <c r="N61" s="63"/>
      <c r="O61" s="38"/>
      <c r="P61" s="38"/>
      <c r="Q61" s="63"/>
    </row>
    <row r="62" spans="1:17" ht="15.5">
      <c r="A62" s="38"/>
      <c r="B62" s="38"/>
      <c r="C62" s="38"/>
      <c r="D62" s="38"/>
      <c r="E62" s="63"/>
      <c r="F62" s="38"/>
      <c r="G62" s="38"/>
      <c r="H62" s="63"/>
      <c r="I62" s="38"/>
      <c r="J62" s="38"/>
      <c r="K62" s="63"/>
      <c r="L62" s="38"/>
      <c r="M62" s="38"/>
      <c r="N62" s="63"/>
      <c r="O62" s="38"/>
      <c r="P62" s="38"/>
      <c r="Q62" s="63"/>
    </row>
    <row r="63" spans="1:17" ht="15.5">
      <c r="A63" s="38"/>
      <c r="B63" s="38"/>
      <c r="C63" s="38"/>
      <c r="D63" s="38"/>
      <c r="E63" s="63"/>
      <c r="F63" s="38"/>
      <c r="G63" s="38"/>
      <c r="H63" s="63"/>
      <c r="I63" s="38"/>
      <c r="J63" s="38"/>
      <c r="K63" s="63"/>
      <c r="L63" s="38"/>
      <c r="M63" s="38"/>
      <c r="N63" s="63"/>
      <c r="O63" s="38"/>
      <c r="P63" s="38"/>
      <c r="Q63" s="63"/>
    </row>
    <row r="64" spans="1:17" ht="15.5">
      <c r="A64" s="38"/>
      <c r="B64" s="38"/>
      <c r="C64" s="38"/>
      <c r="D64" s="38"/>
      <c r="E64" s="63"/>
      <c r="F64" s="38"/>
      <c r="G64" s="38"/>
      <c r="H64" s="63"/>
      <c r="I64" s="38"/>
      <c r="J64" s="38"/>
      <c r="K64" s="63"/>
      <c r="L64" s="38"/>
      <c r="M64" s="38"/>
      <c r="N64" s="63"/>
      <c r="O64" s="38"/>
      <c r="P64" s="38"/>
      <c r="Q64" s="63"/>
    </row>
    <row r="65" spans="1:17" ht="15.5">
      <c r="A65" s="38"/>
      <c r="B65" s="38"/>
      <c r="C65" s="38"/>
      <c r="D65" s="38"/>
      <c r="E65" s="63"/>
      <c r="F65" s="38"/>
      <c r="G65" s="38"/>
      <c r="H65" s="63"/>
      <c r="I65" s="38"/>
      <c r="J65" s="38"/>
      <c r="K65" s="63"/>
      <c r="L65" s="38"/>
      <c r="M65" s="38"/>
      <c r="N65" s="63"/>
      <c r="O65" s="38"/>
      <c r="P65" s="38"/>
      <c r="Q65" s="63"/>
    </row>
    <row r="66" spans="1:17" ht="15.5">
      <c r="A66" s="38"/>
      <c r="B66" s="38"/>
      <c r="C66" s="38"/>
      <c r="D66" s="38"/>
      <c r="E66" s="63"/>
      <c r="F66" s="38"/>
      <c r="G66" s="38"/>
      <c r="H66" s="63"/>
      <c r="I66" s="38"/>
      <c r="J66" s="38"/>
      <c r="K66" s="63"/>
      <c r="L66" s="38"/>
      <c r="M66" s="38"/>
      <c r="N66" s="63"/>
      <c r="O66" s="38"/>
      <c r="P66" s="38"/>
      <c r="Q66" s="63"/>
    </row>
    <row r="67" spans="1:17" ht="15.5">
      <c r="A67" s="38"/>
      <c r="B67" s="38"/>
      <c r="C67" s="38"/>
      <c r="D67" s="38"/>
      <c r="E67" s="63"/>
      <c r="F67" s="38"/>
      <c r="G67" s="38"/>
      <c r="H67" s="63"/>
      <c r="I67" s="38"/>
      <c r="J67" s="38"/>
      <c r="K67" s="63"/>
      <c r="L67" s="38"/>
      <c r="M67" s="38"/>
      <c r="N67" s="63"/>
      <c r="O67" s="38"/>
      <c r="P67" s="38"/>
      <c r="Q67" s="63"/>
    </row>
    <row r="68" spans="1:17" ht="15.5">
      <c r="A68" s="38"/>
      <c r="B68" s="38"/>
      <c r="C68" s="38"/>
      <c r="D68" s="38"/>
      <c r="E68" s="63"/>
      <c r="F68" s="38"/>
      <c r="G68" s="38"/>
      <c r="H68" s="63"/>
      <c r="I68" s="38"/>
      <c r="J68" s="38"/>
      <c r="K68" s="63"/>
      <c r="L68" s="38"/>
      <c r="M68" s="38"/>
      <c r="N68" s="63"/>
      <c r="O68" s="38"/>
      <c r="P68" s="38"/>
      <c r="Q68" s="63"/>
    </row>
  </sheetData>
  <mergeCells count="8">
    <mergeCell ref="A37:Q37"/>
    <mergeCell ref="A38:A39"/>
    <mergeCell ref="A2:Q2"/>
    <mergeCell ref="A3:A4"/>
    <mergeCell ref="A6:A11"/>
    <mergeCell ref="A12:A17"/>
    <mergeCell ref="A20:Q20"/>
    <mergeCell ref="A21:A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B6D8-9122-44AC-A100-2CBD16CBC1E2}">
  <dimension ref="A2:AF36"/>
  <sheetViews>
    <sheetView workbookViewId="0">
      <selection activeCell="M10" sqref="M10"/>
    </sheetView>
  </sheetViews>
  <sheetFormatPr defaultRowHeight="14.5"/>
  <sheetData>
    <row r="2" spans="1:32" ht="16">
      <c r="A2" s="2" t="s">
        <v>158</v>
      </c>
      <c r="B2" s="2"/>
      <c r="C2" s="2"/>
      <c r="D2" s="101"/>
      <c r="E2" s="2"/>
      <c r="F2" s="2"/>
      <c r="G2" s="2"/>
      <c r="H2" s="2"/>
      <c r="I2" s="2"/>
      <c r="J2" s="101"/>
      <c r="K2" s="2"/>
      <c r="L2" s="2"/>
      <c r="M2" s="2"/>
      <c r="N2" s="101"/>
      <c r="O2" s="2"/>
      <c r="P2" s="2"/>
      <c r="Q2" s="2"/>
      <c r="R2" s="10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8.5">
      <c r="A3" s="2" t="s">
        <v>170</v>
      </c>
      <c r="B3" s="2" t="s">
        <v>171</v>
      </c>
      <c r="C3" s="149" t="s">
        <v>219</v>
      </c>
      <c r="D3" s="149"/>
      <c r="E3" s="149"/>
      <c r="F3" s="149"/>
      <c r="G3" s="149"/>
      <c r="H3" s="169" t="s">
        <v>220</v>
      </c>
      <c r="I3" s="149"/>
      <c r="J3" s="149"/>
      <c r="K3" s="149"/>
      <c r="L3" s="149"/>
      <c r="M3" s="149" t="s">
        <v>221</v>
      </c>
      <c r="N3" s="149"/>
      <c r="O3" s="149"/>
      <c r="P3" s="149"/>
      <c r="Q3" s="149"/>
      <c r="R3" s="149" t="s">
        <v>222</v>
      </c>
      <c r="S3" s="149"/>
      <c r="T3" s="149"/>
      <c r="U3" s="149"/>
      <c r="V3" s="149"/>
      <c r="W3" s="149" t="s">
        <v>223</v>
      </c>
      <c r="X3" s="149"/>
      <c r="Y3" s="149"/>
      <c r="Z3" s="149"/>
      <c r="AA3" s="149"/>
      <c r="AB3" s="149" t="s">
        <v>224</v>
      </c>
      <c r="AC3" s="149"/>
      <c r="AD3" s="149"/>
      <c r="AE3" s="149"/>
      <c r="AF3" s="149"/>
    </row>
    <row r="4" spans="1:32" ht="15.5">
      <c r="A4" s="2"/>
      <c r="B4" s="2"/>
      <c r="C4" s="2" t="s">
        <v>160</v>
      </c>
      <c r="D4" s="2" t="s">
        <v>161</v>
      </c>
      <c r="E4" s="10" t="s">
        <v>179</v>
      </c>
      <c r="F4" s="10" t="s">
        <v>180</v>
      </c>
      <c r="G4" s="10"/>
      <c r="H4" s="2" t="s">
        <v>160</v>
      </c>
      <c r="I4" s="2" t="s">
        <v>161</v>
      </c>
      <c r="J4" s="10" t="s">
        <v>179</v>
      </c>
      <c r="K4" s="10" t="s">
        <v>180</v>
      </c>
      <c r="L4" s="10"/>
      <c r="M4" s="2" t="s">
        <v>160</v>
      </c>
      <c r="N4" s="2" t="s">
        <v>161</v>
      </c>
      <c r="O4" s="10" t="s">
        <v>179</v>
      </c>
      <c r="P4" s="10" t="s">
        <v>180</v>
      </c>
      <c r="Q4" s="10"/>
      <c r="R4" s="2" t="s">
        <v>160</v>
      </c>
      <c r="S4" s="2" t="s">
        <v>161</v>
      </c>
      <c r="T4" s="10" t="s">
        <v>179</v>
      </c>
      <c r="U4" s="10" t="s">
        <v>180</v>
      </c>
      <c r="V4" s="10"/>
      <c r="W4" s="2" t="s">
        <v>160</v>
      </c>
      <c r="X4" s="2" t="s">
        <v>161</v>
      </c>
      <c r="Y4" s="10" t="s">
        <v>179</v>
      </c>
      <c r="Z4" s="10" t="s">
        <v>180</v>
      </c>
      <c r="AA4" s="10"/>
      <c r="AB4" s="2" t="s">
        <v>160</v>
      </c>
      <c r="AC4" s="2" t="s">
        <v>161</v>
      </c>
      <c r="AD4" s="10" t="s">
        <v>179</v>
      </c>
      <c r="AE4" s="10" t="s">
        <v>180</v>
      </c>
      <c r="AF4" s="10"/>
    </row>
    <row r="5" spans="1:32" ht="16">
      <c r="A5" s="86" t="s">
        <v>33</v>
      </c>
      <c r="B5" s="5">
        <v>0</v>
      </c>
      <c r="C5" s="6">
        <v>525</v>
      </c>
      <c r="D5" s="6">
        <v>512</v>
      </c>
      <c r="E5" s="6">
        <f t="shared" ref="E5:E12" si="0">AVERAGE(C5:D5)</f>
        <v>518.5</v>
      </c>
      <c r="F5" s="6">
        <f t="shared" ref="F5:F12" si="1">STDEV(C5:D5)</f>
        <v>9.1923881554251174</v>
      </c>
      <c r="G5" s="83" t="s">
        <v>191</v>
      </c>
      <c r="H5" s="6">
        <v>31.697600000000001</v>
      </c>
      <c r="I5" s="6">
        <v>31.055199999999999</v>
      </c>
      <c r="J5" s="6">
        <f t="shared" ref="J5:J10" si="2">AVERAGE(H5,I5)</f>
        <v>31.3764</v>
      </c>
      <c r="K5" s="6">
        <f t="shared" ref="K5:K10" si="3">STDEV(H5:I5)</f>
        <v>0.4542453962342396</v>
      </c>
      <c r="L5" s="83" t="s">
        <v>192</v>
      </c>
      <c r="M5" s="6">
        <v>40.488095238095234</v>
      </c>
      <c r="N5" s="6">
        <v>40.552148437499994</v>
      </c>
      <c r="O5" s="6">
        <f t="shared" ref="O5:O10" si="4">AVERAGE(M5,N5)</f>
        <v>40.520121837797618</v>
      </c>
      <c r="P5" s="6">
        <f t="shared" ref="P5:P10" si="5">STDEV(M5:N5)</f>
        <v>4.5292451655800356E-2</v>
      </c>
      <c r="Q5" s="83" t="s">
        <v>184</v>
      </c>
      <c r="R5" s="6">
        <v>5023.1477999999997</v>
      </c>
      <c r="S5" s="6">
        <v>4923.4129999999996</v>
      </c>
      <c r="T5" s="6">
        <f t="shared" ref="T5:T12" si="6">AVERAGE(R5,S5)</f>
        <v>4973.2803999999996</v>
      </c>
      <c r="U5" s="6">
        <f t="shared" ref="U5:U12" si="7">STDEV(R5:S5)</f>
        <v>70.523153400284201</v>
      </c>
      <c r="V5" s="83" t="s">
        <v>192</v>
      </c>
      <c r="W5" s="5">
        <v>14419.83</v>
      </c>
      <c r="X5" s="5">
        <v>14565.56</v>
      </c>
      <c r="Y5" s="5">
        <v>14492.695</v>
      </c>
      <c r="Z5" s="5">
        <v>103.04667122231525</v>
      </c>
      <c r="AA5" s="5"/>
      <c r="AB5" s="5">
        <f>R5/W5</f>
        <v>0.34835000135230443</v>
      </c>
      <c r="AC5" s="5">
        <f t="shared" ref="AC5:AD12" si="8">S5/X5</f>
        <v>0.33801741917234901</v>
      </c>
      <c r="AD5" s="5">
        <f>T5/Y5</f>
        <v>0.34315773567304075</v>
      </c>
      <c r="AE5" s="5">
        <v>7.3062389266137567E-3</v>
      </c>
      <c r="AF5" s="5"/>
    </row>
    <row r="6" spans="1:32" ht="16">
      <c r="A6" s="86"/>
      <c r="B6" s="5">
        <v>90</v>
      </c>
      <c r="C6" s="6">
        <v>525</v>
      </c>
      <c r="D6" s="6">
        <v>533</v>
      </c>
      <c r="E6" s="6">
        <f t="shared" si="0"/>
        <v>529</v>
      </c>
      <c r="F6" s="6">
        <f t="shared" si="1"/>
        <v>5.6568542494923806</v>
      </c>
      <c r="G6" s="83" t="s">
        <v>195</v>
      </c>
      <c r="H6" s="6">
        <v>31.723999999999997</v>
      </c>
      <c r="I6" s="6">
        <v>31.6595714285715</v>
      </c>
      <c r="J6" s="6">
        <f t="shared" si="2"/>
        <v>31.69178571428575</v>
      </c>
      <c r="K6" s="6">
        <f t="shared" si="3"/>
        <v>4.5557879759252004E-2</v>
      </c>
      <c r="L6" s="83" t="s">
        <v>192</v>
      </c>
      <c r="M6" s="6">
        <v>39.691904761904759</v>
      </c>
      <c r="N6" s="6">
        <v>39.605460543163602</v>
      </c>
      <c r="O6" s="6">
        <f t="shared" si="4"/>
        <v>39.648682652534177</v>
      </c>
      <c r="P6" s="6">
        <f t="shared" si="5"/>
        <v>6.1125293266245308E-2</v>
      </c>
      <c r="Q6" s="83" t="s">
        <v>192</v>
      </c>
      <c r="R6" s="6">
        <v>5110.05</v>
      </c>
      <c r="S6" s="6">
        <v>5011.4856</v>
      </c>
      <c r="T6" s="6">
        <f t="shared" si="6"/>
        <v>5060.7677999999996</v>
      </c>
      <c r="U6" s="6">
        <f t="shared" si="7"/>
        <v>69.695555623583488</v>
      </c>
      <c r="V6" s="83" t="s">
        <v>192</v>
      </c>
      <c r="W6" s="5">
        <v>14093.014999999999</v>
      </c>
      <c r="X6" s="5">
        <v>14871.795</v>
      </c>
      <c r="Y6" s="5">
        <v>14482.404999999999</v>
      </c>
      <c r="Z6" s="5">
        <v>550.68061905245997</v>
      </c>
      <c r="AA6" s="5"/>
      <c r="AB6" s="5">
        <f t="shared" ref="AB6:AB12" si="9">R6/W6</f>
        <v>0.36259451934167392</v>
      </c>
      <c r="AC6" s="5">
        <f t="shared" si="8"/>
        <v>0.3369792012329379</v>
      </c>
      <c r="AD6" s="5">
        <f t="shared" si="8"/>
        <v>0.34944249936388327</v>
      </c>
      <c r="AE6" s="5">
        <v>1.8112765136937808E-2</v>
      </c>
      <c r="AF6" s="5"/>
    </row>
    <row r="7" spans="1:32" ht="16">
      <c r="A7" s="86"/>
      <c r="B7" s="5">
        <v>150</v>
      </c>
      <c r="C7" s="6">
        <v>550</v>
      </c>
      <c r="D7" s="6">
        <v>556</v>
      </c>
      <c r="E7" s="6">
        <f t="shared" si="0"/>
        <v>553</v>
      </c>
      <c r="F7" s="6">
        <f t="shared" si="1"/>
        <v>4.2426406871192848</v>
      </c>
      <c r="G7" s="83" t="s">
        <v>225</v>
      </c>
      <c r="H7" s="6">
        <v>32.516000000000005</v>
      </c>
      <c r="I7" s="6">
        <v>32.713999999999999</v>
      </c>
      <c r="J7" s="6">
        <f>AVERAGE(H7,I7)</f>
        <v>32.615000000000002</v>
      </c>
      <c r="K7" s="6">
        <f>STDEV(H7:I7)</f>
        <v>0.14000714267493167</v>
      </c>
      <c r="L7" s="83" t="s">
        <v>185</v>
      </c>
      <c r="M7" s="6">
        <v>40.059963768115935</v>
      </c>
      <c r="N7" s="6">
        <v>40.075737705117319</v>
      </c>
      <c r="O7" s="6">
        <f>AVERAGE(M7,N7)</f>
        <v>40.067850736616627</v>
      </c>
      <c r="P7" s="6">
        <f>STDEV(M7:N7)</f>
        <v>1.1153857819688232E-2</v>
      </c>
      <c r="Q7" s="83" t="s">
        <v>185</v>
      </c>
      <c r="R7" s="6">
        <v>5308.0566000000008</v>
      </c>
      <c r="S7" s="6">
        <v>5358.4673999999986</v>
      </c>
      <c r="T7" s="6">
        <f t="shared" si="6"/>
        <v>5333.2619999999997</v>
      </c>
      <c r="U7" s="6">
        <f t="shared" si="7"/>
        <v>35.645818525037278</v>
      </c>
      <c r="V7" s="83" t="s">
        <v>185</v>
      </c>
      <c r="W7" s="5">
        <v>15085.184999999999</v>
      </c>
      <c r="X7" s="5">
        <v>14336.395</v>
      </c>
      <c r="Y7" s="5">
        <v>14710.79</v>
      </c>
      <c r="Z7" s="5">
        <v>529.47448668467428</v>
      </c>
      <c r="AA7" s="5"/>
      <c r="AB7" s="5">
        <f t="shared" si="9"/>
        <v>0.35187215801463495</v>
      </c>
      <c r="AC7" s="5">
        <f t="shared" si="8"/>
        <v>0.37376672447989878</v>
      </c>
      <c r="AD7" s="5">
        <f t="shared" si="8"/>
        <v>0.36254082887458794</v>
      </c>
      <c r="AE7" s="5">
        <v>1.5481796418727633E-2</v>
      </c>
      <c r="AF7" s="5"/>
    </row>
    <row r="8" spans="1:32" ht="16">
      <c r="A8" s="86"/>
      <c r="B8" s="85">
        <v>210</v>
      </c>
      <c r="C8" s="6">
        <v>567</v>
      </c>
      <c r="D8" s="6">
        <v>554</v>
      </c>
      <c r="E8" s="6">
        <f t="shared" si="0"/>
        <v>560.5</v>
      </c>
      <c r="F8" s="6">
        <f t="shared" si="1"/>
        <v>9.1923881554251174</v>
      </c>
      <c r="G8" s="83" t="s">
        <v>184</v>
      </c>
      <c r="H8" s="6">
        <v>33.351999999999997</v>
      </c>
      <c r="I8" s="6">
        <v>33.083368421052576</v>
      </c>
      <c r="J8" s="6">
        <f>AVERAGE(H8,I8)</f>
        <v>33.217684210526286</v>
      </c>
      <c r="K8" s="6">
        <f>STDEV(H8:I8)</f>
        <v>0.18995121111457058</v>
      </c>
      <c r="L8" s="83" t="s">
        <v>184</v>
      </c>
      <c r="M8" s="6">
        <v>40.894973544973546</v>
      </c>
      <c r="N8" s="6">
        <v>40.674000196155802</v>
      </c>
      <c r="O8" s="6">
        <f>AVERAGE(M8,N8)</f>
        <v>40.784486870564677</v>
      </c>
      <c r="P8" s="6">
        <f>STDEV(M8:N8)</f>
        <v>0.15625175341052674</v>
      </c>
      <c r="Q8" s="83" t="s">
        <v>184</v>
      </c>
      <c r="R8" s="6">
        <v>5754.6895999999997</v>
      </c>
      <c r="S8" s="6">
        <v>5813.7948000000006</v>
      </c>
      <c r="T8" s="6">
        <f t="shared" si="6"/>
        <v>5784.2422000000006</v>
      </c>
      <c r="U8" s="6">
        <f t="shared" si="7"/>
        <v>41.793687723387748</v>
      </c>
      <c r="V8" s="83" t="s">
        <v>184</v>
      </c>
      <c r="W8" s="5">
        <v>15883.225</v>
      </c>
      <c r="X8" s="5">
        <v>15567.235000000001</v>
      </c>
      <c r="Y8" s="5">
        <v>15725.23</v>
      </c>
      <c r="Z8" s="5">
        <v>223.438671787137</v>
      </c>
      <c r="AA8" s="5"/>
      <c r="AB8" s="5">
        <f t="shared" si="9"/>
        <v>0.36231241451279572</v>
      </c>
      <c r="AC8" s="5">
        <f t="shared" si="8"/>
        <v>0.37346354699469753</v>
      </c>
      <c r="AD8" s="5">
        <f t="shared" si="8"/>
        <v>0.36783196175827004</v>
      </c>
      <c r="AE8" s="5">
        <v>7.8850413958623418E-3</v>
      </c>
      <c r="AF8" s="5"/>
    </row>
    <row r="9" spans="1:32" ht="16">
      <c r="A9" s="37" t="s">
        <v>34</v>
      </c>
      <c r="B9" s="2">
        <v>0</v>
      </c>
      <c r="C9" s="10">
        <v>477</v>
      </c>
      <c r="D9" s="10">
        <v>483</v>
      </c>
      <c r="E9" s="10">
        <f t="shared" si="0"/>
        <v>480</v>
      </c>
      <c r="F9" s="10">
        <f t="shared" si="1"/>
        <v>4.2426406871192848</v>
      </c>
      <c r="G9" s="81" t="s">
        <v>87</v>
      </c>
      <c r="H9" s="10">
        <v>30.888000000000002</v>
      </c>
      <c r="I9" s="10">
        <v>31.23548717948719</v>
      </c>
      <c r="J9" s="10">
        <f t="shared" si="2"/>
        <v>31.061743589743596</v>
      </c>
      <c r="K9" s="10">
        <f t="shared" si="3"/>
        <v>0.24571054099077816</v>
      </c>
      <c r="L9" s="81" t="s">
        <v>94</v>
      </c>
      <c r="M9" s="10">
        <v>39.396792452830184</v>
      </c>
      <c r="N9" s="10">
        <v>39.898503709123474</v>
      </c>
      <c r="O9" s="10">
        <f t="shared" si="4"/>
        <v>39.647648080976829</v>
      </c>
      <c r="P9" s="10">
        <f t="shared" si="5"/>
        <v>0.35476343152260786</v>
      </c>
      <c r="Q9" s="81" t="s">
        <v>96</v>
      </c>
      <c r="R9" s="10">
        <v>4578.3121999999994</v>
      </c>
      <c r="S9" s="10">
        <v>4606.3599999999997</v>
      </c>
      <c r="T9" s="10">
        <f t="shared" si="6"/>
        <v>4592.3360999999995</v>
      </c>
      <c r="U9" s="10">
        <f t="shared" si="7"/>
        <v>19.832789577364245</v>
      </c>
      <c r="V9" s="81" t="s">
        <v>87</v>
      </c>
      <c r="W9" s="2">
        <v>12945.514999999999</v>
      </c>
      <c r="X9" s="2">
        <v>13191.344999999999</v>
      </c>
      <c r="Y9" s="2">
        <v>13068.43</v>
      </c>
      <c r="Z9" s="2">
        <v>173.82806001908892</v>
      </c>
      <c r="AA9" s="2"/>
      <c r="AB9" s="5">
        <f t="shared" si="9"/>
        <v>0.35366010544964799</v>
      </c>
      <c r="AC9" s="5">
        <f t="shared" si="8"/>
        <v>0.34919562789086328</v>
      </c>
      <c r="AD9" s="5">
        <f t="shared" si="8"/>
        <v>0.35140687136863413</v>
      </c>
      <c r="AE9" s="2">
        <v>3.1568623562718296E-3</v>
      </c>
      <c r="AF9" s="2"/>
    </row>
    <row r="10" spans="1:32" ht="16">
      <c r="A10" s="87"/>
      <c r="B10" s="2">
        <v>90</v>
      </c>
      <c r="C10" s="10">
        <v>492</v>
      </c>
      <c r="D10" s="10">
        <v>506</v>
      </c>
      <c r="E10" s="10">
        <f t="shared" si="0"/>
        <v>499</v>
      </c>
      <c r="F10" s="10">
        <f t="shared" si="1"/>
        <v>9.8994949366116654</v>
      </c>
      <c r="G10" s="81" t="s">
        <v>88</v>
      </c>
      <c r="H10" s="10">
        <v>30.8352</v>
      </c>
      <c r="I10" s="10">
        <v>31.052492307692237</v>
      </c>
      <c r="J10" s="10">
        <f t="shared" si="2"/>
        <v>30.943846153846117</v>
      </c>
      <c r="K10" s="10">
        <f t="shared" si="3"/>
        <v>0.15364886426885432</v>
      </c>
      <c r="L10" s="81" t="s">
        <v>88</v>
      </c>
      <c r="M10" s="10">
        <v>38.861344455348387</v>
      </c>
      <c r="N10" s="10">
        <v>38.86403600096088</v>
      </c>
      <c r="O10" s="10">
        <f t="shared" si="4"/>
        <v>38.862690228154634</v>
      </c>
      <c r="P10" s="10">
        <f t="shared" si="5"/>
        <v>1.9032101544663594E-3</v>
      </c>
      <c r="Q10" s="81" t="s">
        <v>88</v>
      </c>
      <c r="R10" s="10">
        <v>4943.7696000000005</v>
      </c>
      <c r="S10" s="10">
        <v>4914.9276</v>
      </c>
      <c r="T10" s="10">
        <f t="shared" si="6"/>
        <v>4929.3486000000003</v>
      </c>
      <c r="U10" s="10">
        <f t="shared" si="7"/>
        <v>20.394373782982793</v>
      </c>
      <c r="V10" s="81" t="s">
        <v>88</v>
      </c>
      <c r="W10" s="2">
        <v>13146.55</v>
      </c>
      <c r="X10" s="2">
        <v>13218.584999999999</v>
      </c>
      <c r="Y10" s="2">
        <v>13182.567499999999</v>
      </c>
      <c r="Z10" s="2">
        <v>50.936436982772847</v>
      </c>
      <c r="AA10" s="2"/>
      <c r="AB10" s="5">
        <f t="shared" si="9"/>
        <v>0.37605072053124211</v>
      </c>
      <c r="AC10" s="5">
        <f t="shared" si="8"/>
        <v>0.37181949505185313</v>
      </c>
      <c r="AD10" s="5">
        <f t="shared" si="8"/>
        <v>0.37392932750012475</v>
      </c>
      <c r="AE10" s="2">
        <v>2.9919282292052468E-3</v>
      </c>
      <c r="AF10" s="2"/>
    </row>
    <row r="11" spans="1:32" ht="16">
      <c r="A11" s="87"/>
      <c r="B11" s="2">
        <v>150</v>
      </c>
      <c r="C11" s="10">
        <v>524</v>
      </c>
      <c r="D11" s="10">
        <v>529</v>
      </c>
      <c r="E11" s="10">
        <f t="shared" si="0"/>
        <v>526.5</v>
      </c>
      <c r="F11" s="10">
        <f t="shared" si="1"/>
        <v>3.5355339059327378</v>
      </c>
      <c r="G11" s="81" t="s">
        <v>105</v>
      </c>
      <c r="H11" s="10">
        <v>32.340000000000003</v>
      </c>
      <c r="I11" s="10">
        <v>32.165543859649198</v>
      </c>
      <c r="J11" s="10">
        <f>AVERAGE(H11,I11)</f>
        <v>32.252771929824604</v>
      </c>
      <c r="K11" s="10">
        <f>STDEV(H11:I11)</f>
        <v>0.12335911986168686</v>
      </c>
      <c r="L11" s="81" t="s">
        <v>96</v>
      </c>
      <c r="M11" s="10">
        <v>39.819618320610694</v>
      </c>
      <c r="N11" s="10">
        <v>39.611198196888182</v>
      </c>
      <c r="O11" s="10">
        <f>AVERAGE(M11,N11)</f>
        <v>39.715408258749434</v>
      </c>
      <c r="P11" s="10">
        <f>STDEV(M11:N11)</f>
        <v>0.14737528281992718</v>
      </c>
      <c r="Q11" s="81" t="s">
        <v>105</v>
      </c>
      <c r="R11" s="10">
        <v>4883.9537999999993</v>
      </c>
      <c r="S11" s="10">
        <v>4903.6833999999999</v>
      </c>
      <c r="T11" s="10">
        <f t="shared" si="6"/>
        <v>4893.8185999999996</v>
      </c>
      <c r="U11" s="10">
        <f t="shared" si="7"/>
        <v>13.950933950098513</v>
      </c>
      <c r="V11" s="81" t="s">
        <v>88</v>
      </c>
      <c r="W11" s="2">
        <v>13362.470000000001</v>
      </c>
      <c r="X11" s="2">
        <v>13553.264999999999</v>
      </c>
      <c r="Y11" s="2">
        <v>13457.8675</v>
      </c>
      <c r="Z11" s="2">
        <v>134.91243831648612</v>
      </c>
      <c r="AA11" s="2"/>
      <c r="AB11" s="5">
        <f t="shared" si="9"/>
        <v>0.36549783086510196</v>
      </c>
      <c r="AC11" s="5">
        <f t="shared" si="8"/>
        <v>0.3618082727667466</v>
      </c>
      <c r="AD11" s="5">
        <f t="shared" si="8"/>
        <v>0.36363997490687133</v>
      </c>
      <c r="AE11" s="2">
        <v>2.6089115509288188E-3</v>
      </c>
      <c r="AF11" s="2"/>
    </row>
    <row r="12" spans="1:32" ht="16">
      <c r="A12" s="87"/>
      <c r="B12" s="84">
        <v>210</v>
      </c>
      <c r="C12" s="10">
        <v>537</v>
      </c>
      <c r="D12" s="10">
        <v>541</v>
      </c>
      <c r="E12" s="10">
        <f t="shared" si="0"/>
        <v>539</v>
      </c>
      <c r="F12" s="10">
        <f t="shared" si="1"/>
        <v>2.8284271247461903</v>
      </c>
      <c r="G12" s="81" t="s">
        <v>96</v>
      </c>
      <c r="H12" s="10">
        <v>32.568799999999996</v>
      </c>
      <c r="I12" s="10">
        <v>32.520800000000058</v>
      </c>
      <c r="J12" s="10">
        <f>AVERAGE(H12,I12)</f>
        <v>32.544800000000023</v>
      </c>
      <c r="K12" s="10">
        <f>STDEV(H12:I12)</f>
        <v>3.3941125496910349E-2</v>
      </c>
      <c r="L12" s="81" t="s">
        <v>96</v>
      </c>
      <c r="M12" s="10">
        <v>39.984785847299818</v>
      </c>
      <c r="N12" s="10">
        <v>40.672141660836409</v>
      </c>
      <c r="O12" s="10">
        <f>AVERAGE(M12,N12)</f>
        <v>40.32846375406811</v>
      </c>
      <c r="P12" s="10">
        <f>STDEV(M12:N12)</f>
        <v>0.48603395683971973</v>
      </c>
      <c r="Q12" s="81" t="s">
        <v>96</v>
      </c>
      <c r="R12" s="10">
        <v>5366.7438000000002</v>
      </c>
      <c r="S12" s="10">
        <v>5347.4322000000002</v>
      </c>
      <c r="T12" s="10">
        <f t="shared" si="6"/>
        <v>5357.0879999999997</v>
      </c>
      <c r="U12" s="10">
        <f t="shared" si="7"/>
        <v>13.655363315562131</v>
      </c>
      <c r="V12" s="81" t="s">
        <v>96</v>
      </c>
      <c r="W12" s="2">
        <v>14618.815000000001</v>
      </c>
      <c r="X12" s="2">
        <v>14434.135</v>
      </c>
      <c r="Y12" s="2">
        <v>14526.475</v>
      </c>
      <c r="Z12" s="2">
        <v>130.58848034953181</v>
      </c>
      <c r="AA12" s="2"/>
      <c r="AB12" s="5">
        <f t="shared" si="9"/>
        <v>0.36711209492698282</v>
      </c>
      <c r="AC12" s="5">
        <f t="shared" si="8"/>
        <v>0.37047126135372849</v>
      </c>
      <c r="AD12" s="5">
        <f t="shared" si="8"/>
        <v>0.36878100158503696</v>
      </c>
      <c r="AE12" s="2">
        <v>2.3752893594860425E-3</v>
      </c>
      <c r="AF12" s="2"/>
    </row>
    <row r="13" spans="1:32" ht="15.5">
      <c r="A13" s="2" t="s">
        <v>166</v>
      </c>
      <c r="B13" s="2"/>
      <c r="C13" s="2"/>
      <c r="D13" s="2"/>
      <c r="E13" s="10">
        <f>AVERAGE(E5:E8)</f>
        <v>540.25</v>
      </c>
      <c r="F13" s="2"/>
      <c r="G13" s="2"/>
      <c r="H13" s="10"/>
      <c r="I13" s="10"/>
      <c r="J13" s="10"/>
      <c r="K13" s="10"/>
      <c r="L13" s="2"/>
      <c r="M13" s="10"/>
      <c r="N13" s="10"/>
      <c r="O13" s="10"/>
      <c r="P13" s="1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5">
      <c r="A14" s="2"/>
      <c r="B14" s="2"/>
      <c r="C14" s="10"/>
      <c r="D14" s="10"/>
      <c r="E14" s="10">
        <f>AVERAGE(E9:E12)</f>
        <v>511.125</v>
      </c>
      <c r="F14" s="10"/>
      <c r="G14" s="2"/>
      <c r="H14" s="10"/>
      <c r="I14" s="10"/>
      <c r="J14" s="10"/>
      <c r="K14" s="10"/>
      <c r="L14" s="2"/>
      <c r="M14" s="10"/>
      <c r="N14" s="10"/>
      <c r="O14" s="10"/>
      <c r="P14" s="10"/>
      <c r="Q14" s="2"/>
      <c r="R14" s="10"/>
      <c r="S14" s="10"/>
      <c r="T14" s="10"/>
      <c r="U14" s="1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8.5">
      <c r="A15" s="2" t="s">
        <v>170</v>
      </c>
      <c r="B15" s="2" t="s">
        <v>171</v>
      </c>
      <c r="C15" s="149" t="s">
        <v>219</v>
      </c>
      <c r="D15" s="149"/>
      <c r="E15" s="149"/>
      <c r="F15" s="149"/>
      <c r="G15" s="149"/>
      <c r="H15" s="169" t="s">
        <v>220</v>
      </c>
      <c r="I15" s="149"/>
      <c r="J15" s="149"/>
      <c r="K15" s="149"/>
      <c r="L15" s="149"/>
      <c r="M15" s="149" t="s">
        <v>221</v>
      </c>
      <c r="N15" s="149"/>
      <c r="O15" s="149"/>
      <c r="P15" s="149"/>
      <c r="Q15" s="149"/>
      <c r="R15" s="149" t="s">
        <v>222</v>
      </c>
      <c r="S15" s="149"/>
      <c r="T15" s="149"/>
      <c r="U15" s="149"/>
      <c r="V15" s="149"/>
      <c r="W15" s="149" t="s">
        <v>223</v>
      </c>
      <c r="X15" s="149"/>
      <c r="Y15" s="149"/>
      <c r="Z15" s="149"/>
      <c r="AA15" s="149"/>
      <c r="AB15" s="149" t="s">
        <v>224</v>
      </c>
      <c r="AC15" s="149"/>
      <c r="AD15" s="149"/>
      <c r="AE15" s="149"/>
      <c r="AF15" s="149"/>
    </row>
    <row r="16" spans="1:32" ht="15.5">
      <c r="A16" s="2"/>
      <c r="B16" s="2"/>
      <c r="C16" s="2" t="s">
        <v>160</v>
      </c>
      <c r="D16" s="2" t="s">
        <v>161</v>
      </c>
      <c r="E16" s="10" t="s">
        <v>179</v>
      </c>
      <c r="F16" s="10" t="s">
        <v>180</v>
      </c>
      <c r="G16" s="10"/>
      <c r="H16" s="2" t="s">
        <v>160</v>
      </c>
      <c r="I16" s="2" t="s">
        <v>161</v>
      </c>
      <c r="J16" s="10" t="s">
        <v>179</v>
      </c>
      <c r="K16" s="10" t="s">
        <v>180</v>
      </c>
      <c r="L16" s="10"/>
      <c r="M16" s="2" t="s">
        <v>160</v>
      </c>
      <c r="N16" s="2" t="s">
        <v>161</v>
      </c>
      <c r="O16" s="10" t="s">
        <v>179</v>
      </c>
      <c r="P16" s="10" t="s">
        <v>180</v>
      </c>
      <c r="Q16" s="10"/>
      <c r="R16" s="2" t="s">
        <v>160</v>
      </c>
      <c r="S16" s="2" t="s">
        <v>161</v>
      </c>
      <c r="T16" s="10" t="s">
        <v>179</v>
      </c>
      <c r="U16" s="10" t="s">
        <v>180</v>
      </c>
      <c r="V16" s="10"/>
      <c r="W16" s="2" t="s">
        <v>160</v>
      </c>
      <c r="X16" s="2" t="s">
        <v>161</v>
      </c>
      <c r="Y16" s="10" t="s">
        <v>179</v>
      </c>
      <c r="Z16" s="10" t="s">
        <v>180</v>
      </c>
      <c r="AA16" s="10"/>
      <c r="AB16" s="2" t="s">
        <v>160</v>
      </c>
      <c r="AC16" s="2" t="s">
        <v>161</v>
      </c>
      <c r="AD16" s="10" t="s">
        <v>179</v>
      </c>
      <c r="AE16" s="10" t="s">
        <v>180</v>
      </c>
      <c r="AF16" s="10"/>
    </row>
    <row r="17" spans="1:32" ht="15.5">
      <c r="A17" s="171" t="s">
        <v>33</v>
      </c>
      <c r="B17" s="14" t="s">
        <v>13</v>
      </c>
      <c r="C17" s="76">
        <v>465</v>
      </c>
      <c r="D17" s="76">
        <v>450.5</v>
      </c>
      <c r="E17" s="75">
        <f>AVERAGE(C17:D17)</f>
        <v>457.75</v>
      </c>
      <c r="F17" s="76">
        <f>STDEV(C17:D17)</f>
        <v>10.253048327204938</v>
      </c>
      <c r="G17" s="61" t="s">
        <v>226</v>
      </c>
      <c r="H17" s="10">
        <v>31.47</v>
      </c>
      <c r="I17" s="10">
        <v>30.93</v>
      </c>
      <c r="J17" s="10">
        <f>AVERAGE(H17:I17)</f>
        <v>31.2</v>
      </c>
      <c r="K17" s="10">
        <f>STDEV(H17:I17)</f>
        <v>0.38183766184073509</v>
      </c>
      <c r="L17" s="61" t="s">
        <v>227</v>
      </c>
      <c r="M17" s="10">
        <v>42.026315789473699</v>
      </c>
      <c r="N17" s="10">
        <v>42.113445378151297</v>
      </c>
      <c r="O17" s="10">
        <f t="shared" ref="O17:O24" si="10">AVERAGE(M17:N17)</f>
        <v>42.069880583812498</v>
      </c>
      <c r="P17" s="10">
        <f t="shared" ref="P17:P23" si="11">STDEV(M17:N17)</f>
        <v>6.1609922995924347E-2</v>
      </c>
      <c r="Q17" s="61" t="s">
        <v>228</v>
      </c>
      <c r="R17" s="76">
        <v>4381.7250000000004</v>
      </c>
      <c r="S17" s="76">
        <v>4487.6749999999993</v>
      </c>
      <c r="T17" s="76">
        <f>AVERAGE(R17:S17)</f>
        <v>4434.7</v>
      </c>
      <c r="U17" s="76">
        <f>STDEV(R17:S17)</f>
        <v>74.917963466713942</v>
      </c>
      <c r="V17" s="111" t="s">
        <v>227</v>
      </c>
      <c r="W17" s="75">
        <v>11432.25</v>
      </c>
      <c r="X17" s="75">
        <v>11114.2</v>
      </c>
      <c r="Y17" s="75">
        <f>AVERAGE(W17:X17)</f>
        <v>11273.225</v>
      </c>
      <c r="Z17" s="75">
        <f>STDEV(W17:X17)</f>
        <v>224.89531175638092</v>
      </c>
      <c r="AA17" s="111" t="s">
        <v>226</v>
      </c>
      <c r="AB17" s="112">
        <f>R17/W17</f>
        <v>0.38327757003214591</v>
      </c>
      <c r="AC17" s="112">
        <f>S17/X17</f>
        <v>0.40377849957711748</v>
      </c>
      <c r="AD17" s="112">
        <f>AVERAGE(AB17:AC17)</f>
        <v>0.39352803480463172</v>
      </c>
      <c r="AE17" s="75">
        <f>STDEV(AB17:AC17)</f>
        <v>1.4496346301877037E-2</v>
      </c>
      <c r="AF17" s="111" t="s">
        <v>227</v>
      </c>
    </row>
    <row r="18" spans="1:32" ht="15.5">
      <c r="A18" s="153"/>
      <c r="B18" s="14" t="s">
        <v>14</v>
      </c>
      <c r="C18" s="76">
        <v>462.5</v>
      </c>
      <c r="D18" s="76">
        <v>465.5</v>
      </c>
      <c r="E18" s="75">
        <f t="shared" ref="E18:E24" si="12">AVERAGE(C18:D18)</f>
        <v>464</v>
      </c>
      <c r="F18" s="76">
        <f t="shared" ref="F18:F24" si="13">STDEV(C18:D18)</f>
        <v>2.1213203435596424</v>
      </c>
      <c r="G18" s="61" t="s">
        <v>229</v>
      </c>
      <c r="H18" s="10">
        <v>31.4</v>
      </c>
      <c r="I18" s="10">
        <v>31.67</v>
      </c>
      <c r="J18" s="10">
        <f t="shared" ref="J18:J24" si="14">AVERAGE(H18:I18)</f>
        <v>31.535</v>
      </c>
      <c r="K18" s="10">
        <f>STDEV(H18:I18)</f>
        <v>0.19091883092037004</v>
      </c>
      <c r="L18" s="61" t="s">
        <v>227</v>
      </c>
      <c r="M18" s="10">
        <v>40.732394366197191</v>
      </c>
      <c r="N18" s="10">
        <v>41.135646687697161</v>
      </c>
      <c r="O18" s="10">
        <f t="shared" si="10"/>
        <v>40.93402052694718</v>
      </c>
      <c r="P18" s="10">
        <f t="shared" si="11"/>
        <v>0.28514245106184655</v>
      </c>
      <c r="Q18" s="61" t="s">
        <v>226</v>
      </c>
      <c r="R18" s="76">
        <v>4451.1000000000004</v>
      </c>
      <c r="S18" s="76">
        <v>4504.3999999999996</v>
      </c>
      <c r="T18" s="76">
        <f t="shared" ref="T18:T24" si="15">AVERAGE(R18:S18)</f>
        <v>4477.75</v>
      </c>
      <c r="U18" s="76">
        <f t="shared" ref="U18:U24" si="16">STDEV(R18:S18)</f>
        <v>37.688791437242472</v>
      </c>
      <c r="V18" s="111" t="s">
        <v>228</v>
      </c>
      <c r="W18" s="75">
        <v>13137.1</v>
      </c>
      <c r="X18" s="75">
        <v>12577.6</v>
      </c>
      <c r="Y18" s="75">
        <f t="shared" ref="Y18:Y24" si="17">AVERAGE(W18:X18)</f>
        <v>12857.35</v>
      </c>
      <c r="Z18" s="75">
        <f t="shared" ref="Z18:Z24" si="18">STDEV(W18:X18)</f>
        <v>395.62624407387335</v>
      </c>
      <c r="AA18" s="111" t="s">
        <v>228</v>
      </c>
      <c r="AB18" s="112">
        <f t="shared" ref="AB18:AE24" si="19">R18/W18</f>
        <v>0.33881906965768704</v>
      </c>
      <c r="AC18" s="112">
        <f t="shared" si="19"/>
        <v>0.35812873680193358</v>
      </c>
      <c r="AD18" s="112">
        <f t="shared" ref="AD18:AD24" si="20">AVERAGE(AB18:AC18)</f>
        <v>0.34847390322981031</v>
      </c>
      <c r="AE18" s="75">
        <f t="shared" ref="AE18:AE24" si="21">STDEV(AB18:AC18)</f>
        <v>1.36539965801518E-2</v>
      </c>
      <c r="AF18" s="111" t="s">
        <v>229</v>
      </c>
    </row>
    <row r="19" spans="1:32" ht="15.5">
      <c r="A19" s="153"/>
      <c r="B19" s="14" t="s">
        <v>15</v>
      </c>
      <c r="C19" s="76">
        <v>485</v>
      </c>
      <c r="D19" s="76">
        <v>532.5</v>
      </c>
      <c r="E19" s="75">
        <f>AVERAGE(C19:D19)</f>
        <v>508.75</v>
      </c>
      <c r="F19" s="76">
        <f>STDEV(C19:D19)</f>
        <v>33.587572106361009</v>
      </c>
      <c r="G19" s="61" t="s">
        <v>227</v>
      </c>
      <c r="H19" s="10">
        <v>31.5</v>
      </c>
      <c r="I19" s="10">
        <v>32</v>
      </c>
      <c r="J19" s="10">
        <f t="shared" si="14"/>
        <v>31.75</v>
      </c>
      <c r="K19" s="10">
        <f t="shared" ref="K19:K24" si="22">STDEV(H19:I19)</f>
        <v>0.35355339059327379</v>
      </c>
      <c r="L19" s="61" t="s">
        <v>227</v>
      </c>
      <c r="M19" s="10">
        <v>43.512195121951201</v>
      </c>
      <c r="N19" s="10">
        <v>43.3296703296703</v>
      </c>
      <c r="O19" s="10">
        <f t="shared" si="10"/>
        <v>43.420932725810751</v>
      </c>
      <c r="P19" s="10" t="e">
        <f>STDEV(#REF!)</f>
        <v>#REF!</v>
      </c>
      <c r="Q19" s="61" t="s">
        <v>230</v>
      </c>
      <c r="R19" s="76">
        <v>5200.9549999999999</v>
      </c>
      <c r="S19" s="76">
        <v>5081.8050000000003</v>
      </c>
      <c r="T19" s="76">
        <f t="shared" si="15"/>
        <v>5141.38</v>
      </c>
      <c r="U19" s="76">
        <f t="shared" si="16"/>
        <v>84.251772978376877</v>
      </c>
      <c r="V19" s="111" t="s">
        <v>227</v>
      </c>
      <c r="W19" s="75">
        <v>14082.600000000002</v>
      </c>
      <c r="X19" s="75">
        <v>14544.8</v>
      </c>
      <c r="Y19" s="75">
        <f t="shared" si="17"/>
        <v>14313.7</v>
      </c>
      <c r="Z19" s="75">
        <f t="shared" si="18"/>
        <v>326.82475426442022</v>
      </c>
      <c r="AA19" s="111" t="s">
        <v>227</v>
      </c>
      <c r="AB19" s="112">
        <f t="shared" si="19"/>
        <v>0.36931781063155944</v>
      </c>
      <c r="AC19" s="112">
        <f t="shared" si="19"/>
        <v>0.34938981629173316</v>
      </c>
      <c r="AD19" s="112">
        <f t="shared" si="19"/>
        <v>0.35919294102852511</v>
      </c>
      <c r="AE19" s="112">
        <f t="shared" si="19"/>
        <v>0.25778883600173169</v>
      </c>
      <c r="AF19" s="111" t="s">
        <v>228</v>
      </c>
    </row>
    <row r="20" spans="1:32" ht="15.5">
      <c r="A20" s="153"/>
      <c r="B20" s="14" t="s">
        <v>16</v>
      </c>
      <c r="C20" s="76">
        <v>459</v>
      </c>
      <c r="D20" s="76">
        <v>477.5</v>
      </c>
      <c r="E20" s="75">
        <f t="shared" si="12"/>
        <v>468.25</v>
      </c>
      <c r="F20" s="76">
        <f t="shared" si="13"/>
        <v>13.08147545195113</v>
      </c>
      <c r="G20" s="61" t="s">
        <v>229</v>
      </c>
      <c r="H20" s="10">
        <v>29.53</v>
      </c>
      <c r="I20" s="10">
        <v>28.59</v>
      </c>
      <c r="J20" s="10">
        <f t="shared" si="14"/>
        <v>29.060000000000002</v>
      </c>
      <c r="K20" s="10">
        <f t="shared" si="22"/>
        <v>0.66468037431535554</v>
      </c>
      <c r="L20" s="61" t="s">
        <v>228</v>
      </c>
      <c r="M20" s="10">
        <v>41.300366300366299</v>
      </c>
      <c r="N20" s="10">
        <v>40.190174326465929</v>
      </c>
      <c r="O20" s="10">
        <f t="shared" si="10"/>
        <v>40.745270313416114</v>
      </c>
      <c r="P20" s="10">
        <f t="shared" si="11"/>
        <v>0.78502427316383061</v>
      </c>
      <c r="Q20" s="61" t="s">
        <v>226</v>
      </c>
      <c r="R20" s="76">
        <v>4681.0050000000001</v>
      </c>
      <c r="S20" s="76">
        <v>4736.2550000000001</v>
      </c>
      <c r="T20" s="76">
        <f t="shared" si="15"/>
        <v>4708.63</v>
      </c>
      <c r="U20" s="76">
        <f t="shared" si="16"/>
        <v>39.067649660556754</v>
      </c>
      <c r="V20" s="111" t="s">
        <v>228</v>
      </c>
      <c r="W20" s="76">
        <v>13698.2</v>
      </c>
      <c r="X20" s="76">
        <v>14540.75</v>
      </c>
      <c r="Y20" s="75">
        <f t="shared" si="17"/>
        <v>14119.475</v>
      </c>
      <c r="Z20" s="75">
        <f t="shared" si="18"/>
        <v>595.77281848872508</v>
      </c>
      <c r="AA20" s="111" t="s">
        <v>227</v>
      </c>
      <c r="AB20" s="112">
        <f t="shared" si="19"/>
        <v>0.3417240951365873</v>
      </c>
      <c r="AC20" s="112">
        <f t="shared" si="19"/>
        <v>0.32572288224472601</v>
      </c>
      <c r="AD20" s="112">
        <f t="shared" si="19"/>
        <v>0.33348477900205215</v>
      </c>
      <c r="AE20" s="112">
        <f t="shared" si="19"/>
        <v>6.5574743338674329E-2</v>
      </c>
      <c r="AF20" s="111" t="s">
        <v>228</v>
      </c>
    </row>
    <row r="21" spans="1:32" ht="15.5">
      <c r="A21" s="171" t="s">
        <v>34</v>
      </c>
      <c r="B21" s="14" t="s">
        <v>13</v>
      </c>
      <c r="C21" s="76">
        <v>445.5</v>
      </c>
      <c r="D21" s="76">
        <v>442</v>
      </c>
      <c r="E21" s="75">
        <f t="shared" si="12"/>
        <v>443.75</v>
      </c>
      <c r="F21" s="76">
        <f t="shared" si="13"/>
        <v>2.4748737341529163</v>
      </c>
      <c r="G21" s="61" t="s">
        <v>228</v>
      </c>
      <c r="H21" s="10">
        <v>27.42</v>
      </c>
      <c r="I21" s="10">
        <v>27.13</v>
      </c>
      <c r="J21" s="10">
        <f t="shared" si="14"/>
        <v>27.274999999999999</v>
      </c>
      <c r="K21" s="10">
        <f t="shared" si="22"/>
        <v>0.20506096654410069</v>
      </c>
      <c r="L21" s="61" t="s">
        <v>231</v>
      </c>
      <c r="M21" s="10">
        <v>38.384615384615387</v>
      </c>
      <c r="N21" s="10">
        <v>38.443113772455085</v>
      </c>
      <c r="O21" s="10">
        <f t="shared" si="10"/>
        <v>38.41386457853524</v>
      </c>
      <c r="P21" s="10">
        <f t="shared" si="11"/>
        <v>4.1364606729931336E-2</v>
      </c>
      <c r="Q21" s="61" t="s">
        <v>226</v>
      </c>
      <c r="R21" s="76">
        <v>3832</v>
      </c>
      <c r="S21" s="76">
        <v>3946.8</v>
      </c>
      <c r="T21" s="76">
        <f t="shared" si="15"/>
        <v>3889.4</v>
      </c>
      <c r="U21" s="76">
        <f t="shared" si="16"/>
        <v>81.17585848021578</v>
      </c>
      <c r="V21" s="111" t="s">
        <v>229</v>
      </c>
      <c r="W21" s="76">
        <v>9260.65</v>
      </c>
      <c r="X21" s="76">
        <v>10337.049999999999</v>
      </c>
      <c r="Y21" s="75">
        <f t="shared" si="17"/>
        <v>9798.8499999999985</v>
      </c>
      <c r="Z21" s="75">
        <f t="shared" si="18"/>
        <v>761.12973926919949</v>
      </c>
      <c r="AA21" s="111" t="s">
        <v>226</v>
      </c>
      <c r="AB21" s="112">
        <f t="shared" si="19"/>
        <v>0.41379384816400577</v>
      </c>
      <c r="AC21" s="112">
        <f t="shared" si="19"/>
        <v>0.38181105828065071</v>
      </c>
      <c r="AD21" s="112">
        <f t="shared" si="20"/>
        <v>0.39780245322232821</v>
      </c>
      <c r="AE21" s="75">
        <f t="shared" si="21"/>
        <v>2.2615247607784879E-2</v>
      </c>
      <c r="AF21" s="111" t="s">
        <v>232</v>
      </c>
    </row>
    <row r="22" spans="1:32" ht="15.5">
      <c r="A22" s="153"/>
      <c r="B22" s="14" t="s">
        <v>14</v>
      </c>
      <c r="C22" s="76">
        <v>461.5</v>
      </c>
      <c r="D22" s="76">
        <v>450</v>
      </c>
      <c r="E22" s="75">
        <f t="shared" si="12"/>
        <v>455.75</v>
      </c>
      <c r="F22" s="76">
        <f t="shared" si="13"/>
        <v>8.1317279836452965</v>
      </c>
      <c r="G22" s="61" t="s">
        <v>232</v>
      </c>
      <c r="H22" s="10">
        <v>25.25</v>
      </c>
      <c r="I22" s="10">
        <v>25</v>
      </c>
      <c r="J22" s="10">
        <f t="shared" si="14"/>
        <v>25.125</v>
      </c>
      <c r="K22" s="10">
        <f t="shared" si="22"/>
        <v>0.17677669529663689</v>
      </c>
      <c r="L22" s="61" t="s">
        <v>233</v>
      </c>
      <c r="M22" s="10">
        <v>38.418803418803414</v>
      </c>
      <c r="N22" s="10">
        <v>38.846918489065601</v>
      </c>
      <c r="O22" s="10">
        <f t="shared" si="10"/>
        <v>38.632860953934511</v>
      </c>
      <c r="P22" s="10">
        <f t="shared" si="11"/>
        <v>0.30272306931054782</v>
      </c>
      <c r="Q22" s="61" t="s">
        <v>229</v>
      </c>
      <c r="R22" s="76">
        <v>3810.355</v>
      </c>
      <c r="S22" s="76">
        <v>4163.3050000000003</v>
      </c>
      <c r="T22" s="76">
        <f t="shared" si="15"/>
        <v>3986.83</v>
      </c>
      <c r="U22" s="76">
        <f t="shared" si="16"/>
        <v>249.57333841979215</v>
      </c>
      <c r="V22" s="111" t="s">
        <v>231</v>
      </c>
      <c r="W22" s="76">
        <v>11212.85</v>
      </c>
      <c r="X22" s="76">
        <v>10719.4</v>
      </c>
      <c r="Y22" s="75">
        <f t="shared" si="17"/>
        <v>10966.125</v>
      </c>
      <c r="Z22" s="75">
        <f t="shared" si="18"/>
        <v>348.92184117650237</v>
      </c>
      <c r="AA22" s="111" t="s">
        <v>228</v>
      </c>
      <c r="AB22" s="112">
        <f t="shared" si="19"/>
        <v>0.33982038464797082</v>
      </c>
      <c r="AC22" s="112">
        <f t="shared" si="19"/>
        <v>0.38838974196316961</v>
      </c>
      <c r="AD22" s="112">
        <f t="shared" si="20"/>
        <v>0.36410506330557024</v>
      </c>
      <c r="AE22" s="75">
        <f t="shared" si="21"/>
        <v>3.4343721915449509E-2</v>
      </c>
      <c r="AF22" s="111" t="s">
        <v>234</v>
      </c>
    </row>
    <row r="23" spans="1:32" ht="15.5">
      <c r="A23" s="153"/>
      <c r="B23" s="14" t="s">
        <v>15</v>
      </c>
      <c r="C23" s="76">
        <v>456.5</v>
      </c>
      <c r="D23" s="76">
        <v>463</v>
      </c>
      <c r="E23" s="75">
        <f t="shared" si="12"/>
        <v>459.75</v>
      </c>
      <c r="F23" s="76">
        <f t="shared" si="13"/>
        <v>4.5961940777125587</v>
      </c>
      <c r="G23" s="61" t="s">
        <v>227</v>
      </c>
      <c r="H23" s="10">
        <v>31.1</v>
      </c>
      <c r="I23" s="10">
        <v>30.7</v>
      </c>
      <c r="J23" s="10">
        <f t="shared" si="14"/>
        <v>30.9</v>
      </c>
      <c r="K23" s="10">
        <f t="shared" si="22"/>
        <v>0.28284271247462051</v>
      </c>
      <c r="L23" s="61" t="s">
        <v>227</v>
      </c>
      <c r="M23" s="10">
        <v>41.448275862069003</v>
      </c>
      <c r="N23" s="10">
        <v>41.505154639175302</v>
      </c>
      <c r="O23" s="10">
        <f t="shared" si="10"/>
        <v>41.476715250622149</v>
      </c>
      <c r="P23" s="10">
        <f t="shared" si="11"/>
        <v>4.0219368997461917E-2</v>
      </c>
      <c r="Q23" s="61" t="s">
        <v>227</v>
      </c>
      <c r="R23" s="76">
        <v>4787.954999999999</v>
      </c>
      <c r="S23" s="76">
        <v>4611.5050000000001</v>
      </c>
      <c r="T23" s="76">
        <f t="shared" si="15"/>
        <v>4699.7299999999996</v>
      </c>
      <c r="U23" s="76">
        <f t="shared" si="16"/>
        <v>124.76899154036553</v>
      </c>
      <c r="V23" s="111" t="s">
        <v>227</v>
      </c>
      <c r="W23" s="75">
        <v>12031.55</v>
      </c>
      <c r="X23" s="75">
        <v>12521.3</v>
      </c>
      <c r="Y23" s="75">
        <f t="shared" si="17"/>
        <v>12276.424999999999</v>
      </c>
      <c r="Z23" s="75">
        <f t="shared" si="18"/>
        <v>346.30554608611163</v>
      </c>
      <c r="AA23" s="111" t="s">
        <v>227</v>
      </c>
      <c r="AB23" s="112">
        <f t="shared" si="19"/>
        <v>0.39794997319547348</v>
      </c>
      <c r="AC23" s="112">
        <f t="shared" si="19"/>
        <v>0.36829282901935106</v>
      </c>
      <c r="AD23" s="112">
        <f t="shared" si="20"/>
        <v>0.38312140110741227</v>
      </c>
      <c r="AE23" s="75">
        <f t="shared" si="21"/>
        <v>2.0970767757563288E-2</v>
      </c>
      <c r="AF23" s="111" t="s">
        <v>229</v>
      </c>
    </row>
    <row r="24" spans="1:32" ht="15.5">
      <c r="A24" s="153"/>
      <c r="B24" s="14" t="s">
        <v>16</v>
      </c>
      <c r="C24" s="76">
        <v>454</v>
      </c>
      <c r="D24" s="76">
        <v>458.5</v>
      </c>
      <c r="E24" s="75">
        <f t="shared" si="12"/>
        <v>456.25</v>
      </c>
      <c r="F24" s="76">
        <f t="shared" si="13"/>
        <v>3.1819805153394638</v>
      </c>
      <c r="G24" s="61" t="s">
        <v>232</v>
      </c>
      <c r="H24" s="10">
        <v>30.38</v>
      </c>
      <c r="I24" s="10">
        <v>30.62</v>
      </c>
      <c r="J24" s="10">
        <f t="shared" si="14"/>
        <v>30.5</v>
      </c>
      <c r="K24" s="10">
        <f t="shared" si="22"/>
        <v>0.1697056274847728</v>
      </c>
      <c r="L24" s="61" t="s">
        <v>227</v>
      </c>
      <c r="M24" s="10">
        <v>38.885400313971743</v>
      </c>
      <c r="N24" s="10">
        <v>39.634782608695652</v>
      </c>
      <c r="O24" s="10">
        <f t="shared" si="10"/>
        <v>39.260091461333701</v>
      </c>
      <c r="P24" s="10">
        <f>STDEV(M24:N24)</f>
        <v>0.52989330230041143</v>
      </c>
      <c r="Q24" s="61" t="s">
        <v>228</v>
      </c>
      <c r="R24" s="76">
        <v>4309.6549999999997</v>
      </c>
      <c r="S24" s="76">
        <v>4257.4049999999997</v>
      </c>
      <c r="T24" s="76">
        <f t="shared" si="15"/>
        <v>4283.53</v>
      </c>
      <c r="U24" s="76">
        <f t="shared" si="16"/>
        <v>36.946329316997108</v>
      </c>
      <c r="V24" s="111" t="s">
        <v>232</v>
      </c>
      <c r="W24" s="76">
        <v>9573.15</v>
      </c>
      <c r="X24" s="76">
        <v>9583.9</v>
      </c>
      <c r="Y24" s="75">
        <f t="shared" si="17"/>
        <v>9578.5249999999996</v>
      </c>
      <c r="Z24" s="75">
        <f t="shared" si="18"/>
        <v>7.601397897755386</v>
      </c>
      <c r="AA24" s="111" t="s">
        <v>226</v>
      </c>
      <c r="AB24" s="112">
        <f t="shared" si="19"/>
        <v>0.45018149720833789</v>
      </c>
      <c r="AC24" s="112">
        <f t="shared" si="19"/>
        <v>0.4442246893227183</v>
      </c>
      <c r="AD24" s="112">
        <f t="shared" si="20"/>
        <v>0.4472030932655281</v>
      </c>
      <c r="AE24" s="75">
        <f t="shared" si="21"/>
        <v>4.2120992501471092E-3</v>
      </c>
      <c r="AF24" s="111" t="s">
        <v>227</v>
      </c>
    </row>
    <row r="25" spans="1:32" ht="15.5">
      <c r="A25" s="2"/>
      <c r="B25" s="2"/>
      <c r="C25" s="10"/>
      <c r="D25" s="10"/>
      <c r="E25" s="10">
        <f>AVERAGE(E17:E20)</f>
        <v>474.6875</v>
      </c>
      <c r="F25" s="10"/>
      <c r="G25" s="2"/>
      <c r="H25" s="10"/>
      <c r="I25" s="10"/>
      <c r="J25" s="10"/>
      <c r="K25" s="10"/>
      <c r="L25" s="2"/>
      <c r="M25" s="10"/>
      <c r="N25" s="10"/>
      <c r="O25" s="10"/>
      <c r="P25" s="10"/>
      <c r="Q25" s="2"/>
      <c r="R25" s="10"/>
      <c r="S25" s="10"/>
      <c r="T25" s="10"/>
      <c r="U25" s="10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5">
      <c r="A26" s="2" t="s">
        <v>167</v>
      </c>
      <c r="B26" s="2"/>
      <c r="C26" s="10"/>
      <c r="D26" s="10"/>
      <c r="E26" s="10">
        <f>AVERAGE(E21:E24)</f>
        <v>453.875</v>
      </c>
      <c r="F26" s="10"/>
      <c r="G26" s="2"/>
      <c r="H26" s="10"/>
      <c r="I26" s="10"/>
      <c r="J26" s="10"/>
      <c r="K26" s="10"/>
      <c r="L26" s="2"/>
      <c r="M26" s="10"/>
      <c r="N26" s="10"/>
      <c r="O26" s="10"/>
      <c r="P26" s="10"/>
      <c r="Q26" s="2"/>
      <c r="R26" s="50"/>
      <c r="S26" s="50"/>
      <c r="T26" s="50"/>
      <c r="U26" s="5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8.5">
      <c r="A27" s="2" t="s">
        <v>170</v>
      </c>
      <c r="B27" s="2" t="s">
        <v>171</v>
      </c>
      <c r="C27" s="149" t="s">
        <v>219</v>
      </c>
      <c r="D27" s="149"/>
      <c r="E27" s="149"/>
      <c r="F27" s="149"/>
      <c r="G27" s="149"/>
      <c r="H27" s="169" t="s">
        <v>220</v>
      </c>
      <c r="I27" s="149"/>
      <c r="J27" s="149"/>
      <c r="K27" s="149"/>
      <c r="L27" s="149"/>
      <c r="M27" s="149" t="s">
        <v>221</v>
      </c>
      <c r="N27" s="149"/>
      <c r="O27" s="149"/>
      <c r="P27" s="149"/>
      <c r="Q27" s="149"/>
      <c r="R27" s="149" t="s">
        <v>222</v>
      </c>
      <c r="S27" s="149"/>
      <c r="T27" s="149"/>
      <c r="U27" s="149"/>
      <c r="V27" s="149"/>
      <c r="W27" s="149" t="s">
        <v>223</v>
      </c>
      <c r="X27" s="149"/>
      <c r="Y27" s="149"/>
      <c r="Z27" s="149"/>
      <c r="AA27" s="149"/>
      <c r="AB27" s="149" t="s">
        <v>224</v>
      </c>
      <c r="AC27" s="149"/>
      <c r="AD27" s="149"/>
      <c r="AE27" s="149"/>
      <c r="AF27" s="149"/>
    </row>
    <row r="28" spans="1:32" ht="15.5">
      <c r="A28" s="2"/>
      <c r="B28" s="2"/>
      <c r="C28" s="2" t="s">
        <v>160</v>
      </c>
      <c r="D28" s="2" t="s">
        <v>161</v>
      </c>
      <c r="E28" s="10" t="s">
        <v>179</v>
      </c>
      <c r="F28" s="10" t="s">
        <v>180</v>
      </c>
      <c r="G28" s="10"/>
      <c r="H28" s="2" t="s">
        <v>160</v>
      </c>
      <c r="I28" s="2" t="s">
        <v>161</v>
      </c>
      <c r="J28" s="10" t="s">
        <v>179</v>
      </c>
      <c r="K28" s="10" t="s">
        <v>180</v>
      </c>
      <c r="L28" s="10"/>
      <c r="M28" s="2" t="s">
        <v>160</v>
      </c>
      <c r="N28" s="2" t="s">
        <v>161</v>
      </c>
      <c r="O28" s="10" t="s">
        <v>179</v>
      </c>
      <c r="P28" s="10" t="s">
        <v>180</v>
      </c>
      <c r="Q28" s="10"/>
      <c r="R28" s="2" t="s">
        <v>160</v>
      </c>
      <c r="S28" s="2" t="s">
        <v>161</v>
      </c>
      <c r="T28" s="10" t="s">
        <v>179</v>
      </c>
      <c r="U28" s="10" t="s">
        <v>180</v>
      </c>
      <c r="V28" s="10"/>
      <c r="W28" s="2" t="s">
        <v>160</v>
      </c>
      <c r="X28" s="2" t="s">
        <v>235</v>
      </c>
      <c r="Y28" s="2" t="s">
        <v>54</v>
      </c>
      <c r="Z28" s="2" t="s">
        <v>162</v>
      </c>
      <c r="AA28" s="10"/>
      <c r="AB28" s="2" t="s">
        <v>160</v>
      </c>
      <c r="AC28" s="2" t="s">
        <v>161</v>
      </c>
      <c r="AD28" s="10" t="s">
        <v>179</v>
      </c>
      <c r="AE28" s="10" t="s">
        <v>180</v>
      </c>
      <c r="AF28" s="10"/>
    </row>
    <row r="29" spans="1:32" ht="16">
      <c r="A29" s="167" t="s">
        <v>33</v>
      </c>
      <c r="B29" s="14" t="s">
        <v>13</v>
      </c>
      <c r="C29" s="76">
        <v>438</v>
      </c>
      <c r="D29" s="76">
        <v>430</v>
      </c>
      <c r="E29" s="76">
        <f t="shared" ref="E29:E36" si="23">AVERAGE(C29:D29)</f>
        <v>434</v>
      </c>
      <c r="F29" s="76">
        <f t="shared" ref="F29:F36" si="24">STDEV(C29:D29)</f>
        <v>5.6568542494923806</v>
      </c>
      <c r="G29" s="102" t="s">
        <v>100</v>
      </c>
      <c r="H29" s="10">
        <v>31.2</v>
      </c>
      <c r="I29" s="10">
        <v>31</v>
      </c>
      <c r="J29" s="10">
        <f>AVERAGE(H29:I29)</f>
        <v>31.1</v>
      </c>
      <c r="K29" s="10">
        <f>STDEV(H29:I29)</f>
        <v>0.141421356237309</v>
      </c>
      <c r="L29" s="102" t="s">
        <v>88</v>
      </c>
      <c r="M29" s="10">
        <v>40.367924528301899</v>
      </c>
      <c r="N29" s="10">
        <v>40.646153846153801</v>
      </c>
      <c r="O29" s="10">
        <f>AVERAGE(M29:N29)</f>
        <v>40.507039187227846</v>
      </c>
      <c r="P29" s="10">
        <f>STDEV(M29:N29)</f>
        <v>0.1967378373779877</v>
      </c>
      <c r="Q29" s="102" t="s">
        <v>88</v>
      </c>
      <c r="R29" s="76">
        <v>4505</v>
      </c>
      <c r="S29" s="76">
        <f>T29*2-R29</f>
        <v>4628.1000000000004</v>
      </c>
      <c r="T29" s="76">
        <v>4566.55</v>
      </c>
      <c r="U29" s="76">
        <f>STDEV(R29:S29)</f>
        <v>87.044844764064251</v>
      </c>
      <c r="V29" s="102" t="s">
        <v>100</v>
      </c>
      <c r="W29" s="2">
        <v>13043.25</v>
      </c>
      <c r="X29" s="2">
        <v>13466.650000000001</v>
      </c>
      <c r="Y29" s="2">
        <v>13254.95</v>
      </c>
      <c r="Z29" s="2">
        <v>299.38901115438523</v>
      </c>
      <c r="AA29" s="2"/>
      <c r="AB29" s="2">
        <v>0.34538937764744215</v>
      </c>
      <c r="AC29" s="2">
        <v>0.34367121741487305</v>
      </c>
      <c r="AD29" s="2">
        <v>0.3445302975311576</v>
      </c>
      <c r="AE29" s="2">
        <v>1.2149227516146657E-3</v>
      </c>
      <c r="AF29" s="2"/>
    </row>
    <row r="30" spans="1:32" ht="16">
      <c r="A30" s="153"/>
      <c r="B30" s="14" t="s">
        <v>14</v>
      </c>
      <c r="C30" s="76">
        <v>459</v>
      </c>
      <c r="D30" s="76">
        <v>446.5</v>
      </c>
      <c r="E30" s="76">
        <f t="shared" si="23"/>
        <v>452.75</v>
      </c>
      <c r="F30" s="76">
        <f t="shared" si="24"/>
        <v>8.8388347648318444</v>
      </c>
      <c r="G30" s="102" t="s">
        <v>87</v>
      </c>
      <c r="H30" s="10">
        <v>31.2</v>
      </c>
      <c r="I30" s="10">
        <v>31.55</v>
      </c>
      <c r="J30" s="10">
        <f t="shared" ref="J30:J36" si="25">AVERAGE(H30:I30)</f>
        <v>31.375</v>
      </c>
      <c r="K30" s="10">
        <f t="shared" ref="K30:K36" si="26">STDEV(H30:I30)</f>
        <v>0.24748737341529264</v>
      </c>
      <c r="L30" s="102" t="s">
        <v>94</v>
      </c>
      <c r="M30" s="10">
        <v>40.132625994694997</v>
      </c>
      <c r="N30" s="10">
        <v>40.900826446281002</v>
      </c>
      <c r="O30" s="10">
        <f t="shared" ref="O30:O36" si="27">AVERAGE(M30:N30)</f>
        <v>40.516726220487996</v>
      </c>
      <c r="P30" s="10">
        <f t="shared" ref="P30:P36" si="28">STDEV(M30:N30)</f>
        <v>0.5431997486270318</v>
      </c>
      <c r="Q30" s="102" t="s">
        <v>88</v>
      </c>
      <c r="R30" s="76">
        <v>4949.75</v>
      </c>
      <c r="S30" s="76">
        <f t="shared" ref="S30:S36" si="29">T30*2-R30</f>
        <v>4818.1499999999996</v>
      </c>
      <c r="T30" s="76">
        <v>4883.95</v>
      </c>
      <c r="U30" s="76">
        <f t="shared" ref="U30:U36" si="30">STDEV(R30:S30)</f>
        <v>93.055252404149911</v>
      </c>
      <c r="V30" s="102" t="s">
        <v>87</v>
      </c>
      <c r="W30" s="2">
        <v>14267.7</v>
      </c>
      <c r="X30" s="2">
        <v>14473.85</v>
      </c>
      <c r="Y30" s="2">
        <v>14370.775000000001</v>
      </c>
      <c r="Z30" s="2">
        <v>145.77006294160651</v>
      </c>
      <c r="AA30" s="2"/>
      <c r="AB30" s="2">
        <v>0.34691996607722336</v>
      </c>
      <c r="AC30" s="2">
        <v>0.33288655057223887</v>
      </c>
      <c r="AD30" s="2">
        <v>0.33990325832473112</v>
      </c>
      <c r="AE30" s="2">
        <v>9.9231232667829732E-3</v>
      </c>
      <c r="AF30" s="2"/>
    </row>
    <row r="31" spans="1:32" ht="16">
      <c r="A31" s="153"/>
      <c r="B31" s="14" t="s">
        <v>15</v>
      </c>
      <c r="C31" s="76">
        <v>483</v>
      </c>
      <c r="D31" s="76">
        <v>490.5</v>
      </c>
      <c r="E31" s="76">
        <f t="shared" si="23"/>
        <v>486.75</v>
      </c>
      <c r="F31" s="76">
        <f t="shared" si="24"/>
        <v>5.3033008588991066</v>
      </c>
      <c r="G31" s="102" t="s">
        <v>96</v>
      </c>
      <c r="H31" s="10">
        <v>31.857142857142858</v>
      </c>
      <c r="I31" s="10">
        <v>32.3333333333333</v>
      </c>
      <c r="J31" s="10">
        <f t="shared" si="25"/>
        <v>32.095238095238081</v>
      </c>
      <c r="K31" s="10">
        <f t="shared" si="26"/>
        <v>0.33671751485071311</v>
      </c>
      <c r="L31" s="102" t="s">
        <v>96</v>
      </c>
      <c r="M31" s="10">
        <v>41.834080717488803</v>
      </c>
      <c r="N31" s="10">
        <v>42.272727272727302</v>
      </c>
      <c r="O31" s="10">
        <f t="shared" si="27"/>
        <v>42.053403995108056</v>
      </c>
      <c r="P31" s="10">
        <f t="shared" si="28"/>
        <v>0.31016995375326217</v>
      </c>
      <c r="Q31" s="102" t="s">
        <v>96</v>
      </c>
      <c r="R31" s="76">
        <v>5660.38</v>
      </c>
      <c r="S31" s="76">
        <f t="shared" si="29"/>
        <v>5489.7</v>
      </c>
      <c r="T31" s="76">
        <v>5575.04</v>
      </c>
      <c r="U31" s="76">
        <f t="shared" si="30"/>
        <v>120.68898541292013</v>
      </c>
      <c r="V31" s="102" t="s">
        <v>96</v>
      </c>
      <c r="W31" s="2">
        <v>15097.55</v>
      </c>
      <c r="X31" s="2">
        <v>15047.35</v>
      </c>
      <c r="Y31" s="2">
        <v>15072.45</v>
      </c>
      <c r="Z31" s="2">
        <v>35.496760415563919</v>
      </c>
      <c r="AA31" s="2"/>
      <c r="AB31" s="2">
        <v>0.37492043411017023</v>
      </c>
      <c r="AC31" s="2">
        <v>0.36482835848172601</v>
      </c>
      <c r="AD31" s="2">
        <v>0.36987439629594809</v>
      </c>
      <c r="AE31" s="2">
        <v>7.1361751131203957E-3</v>
      </c>
      <c r="AF31" s="2"/>
    </row>
    <row r="32" spans="1:32" ht="16">
      <c r="A32" s="153"/>
      <c r="B32" s="14" t="s">
        <v>16</v>
      </c>
      <c r="C32" s="76">
        <v>455</v>
      </c>
      <c r="D32" s="76">
        <v>464</v>
      </c>
      <c r="E32" s="76">
        <f t="shared" si="23"/>
        <v>459.5</v>
      </c>
      <c r="F32" s="76">
        <f t="shared" si="24"/>
        <v>6.3639610306789276</v>
      </c>
      <c r="G32" s="102" t="s">
        <v>90</v>
      </c>
      <c r="H32" s="10">
        <v>31.294117647058801</v>
      </c>
      <c r="I32" s="10">
        <v>31.8888888888889</v>
      </c>
      <c r="J32" s="10">
        <f t="shared" si="25"/>
        <v>31.591503267973849</v>
      </c>
      <c r="K32" s="10">
        <f t="shared" si="26"/>
        <v>0.42056677835280681</v>
      </c>
      <c r="L32" s="102" t="s">
        <v>106</v>
      </c>
      <c r="M32" s="10">
        <v>40.522427440633201</v>
      </c>
      <c r="N32" s="10">
        <v>41.196808510638299</v>
      </c>
      <c r="O32" s="10">
        <f t="shared" si="27"/>
        <v>40.85961797563575</v>
      </c>
      <c r="P32" s="10">
        <f t="shared" si="28"/>
        <v>0.47685942770444406</v>
      </c>
      <c r="Q32" s="102" t="s">
        <v>94</v>
      </c>
      <c r="R32" s="76">
        <v>5058.25</v>
      </c>
      <c r="S32" s="76">
        <f t="shared" si="29"/>
        <v>4932.2000000000007</v>
      </c>
      <c r="T32" s="76">
        <v>4995.2250000000004</v>
      </c>
      <c r="U32" s="76">
        <f t="shared" si="30"/>
        <v>89.130809768563807</v>
      </c>
      <c r="V32" s="102" t="s">
        <v>90</v>
      </c>
      <c r="W32" s="2">
        <v>16604.25</v>
      </c>
      <c r="X32" s="2">
        <v>15372.85</v>
      </c>
      <c r="Y32" s="2">
        <v>15988.55</v>
      </c>
      <c r="Z32" s="2">
        <v>870.73129035311433</v>
      </c>
      <c r="AA32" s="2"/>
      <c r="AB32" s="2">
        <v>0.322507791679841</v>
      </c>
      <c r="AC32" s="2">
        <v>0.35666450918339804</v>
      </c>
      <c r="AD32" s="2">
        <v>0.33958615043161955</v>
      </c>
      <c r="AE32" s="2">
        <v>2.4152446569838421E-2</v>
      </c>
      <c r="AF32" s="2"/>
    </row>
    <row r="33" spans="1:32" ht="16">
      <c r="A33" s="167" t="s">
        <v>34</v>
      </c>
      <c r="B33" s="14" t="s">
        <v>13</v>
      </c>
      <c r="C33" s="76">
        <v>416.5</v>
      </c>
      <c r="D33" s="76">
        <v>410.5</v>
      </c>
      <c r="E33" s="76">
        <f t="shared" si="23"/>
        <v>413.5</v>
      </c>
      <c r="F33" s="76">
        <f t="shared" si="24"/>
        <v>4.2426406871192848</v>
      </c>
      <c r="G33" s="102" t="s">
        <v>87</v>
      </c>
      <c r="H33" s="10">
        <v>30.923076923076898</v>
      </c>
      <c r="I33" s="10">
        <v>30.866666666666699</v>
      </c>
      <c r="J33" s="10">
        <f t="shared" si="25"/>
        <v>30.894871794871797</v>
      </c>
      <c r="K33" s="10">
        <f t="shared" si="26"/>
        <v>3.9888074836123881E-2</v>
      </c>
      <c r="L33" s="102" t="s">
        <v>94</v>
      </c>
      <c r="M33" s="10">
        <v>38.453744493392101</v>
      </c>
      <c r="N33" s="10">
        <v>38.694560669456102</v>
      </c>
      <c r="O33" s="10">
        <f t="shared" si="27"/>
        <v>38.574152581424102</v>
      </c>
      <c r="P33" s="10">
        <f t="shared" si="28"/>
        <v>0.17028275111426888</v>
      </c>
      <c r="Q33" s="102" t="s">
        <v>87</v>
      </c>
      <c r="R33" s="76">
        <v>4237.45</v>
      </c>
      <c r="S33" s="76">
        <f t="shared" si="29"/>
        <v>4065.0999999999995</v>
      </c>
      <c r="T33" s="76">
        <v>4151.2749999999996</v>
      </c>
      <c r="U33" s="76">
        <f t="shared" si="30"/>
        <v>121.86985373750173</v>
      </c>
      <c r="V33" s="102" t="s">
        <v>88</v>
      </c>
      <c r="W33" s="2">
        <v>11928.05</v>
      </c>
      <c r="X33" s="2">
        <v>12178.7</v>
      </c>
      <c r="Y33" s="2">
        <v>12053.375</v>
      </c>
      <c r="Z33" s="2">
        <v>177.23631470440915</v>
      </c>
      <c r="AA33" s="2"/>
      <c r="AB33" s="2">
        <v>0.35525085827105018</v>
      </c>
      <c r="AC33" s="2">
        <v>0.33378767848785168</v>
      </c>
      <c r="AD33" s="2">
        <v>0.3445192683794509</v>
      </c>
      <c r="AE33" s="2">
        <v>1.5176759970525675E-2</v>
      </c>
      <c r="AF33" s="2"/>
    </row>
    <row r="34" spans="1:32" ht="16">
      <c r="A34" s="153"/>
      <c r="B34" s="14" t="s">
        <v>14</v>
      </c>
      <c r="C34" s="76">
        <v>432.5</v>
      </c>
      <c r="D34" s="76">
        <v>438.5</v>
      </c>
      <c r="E34" s="76">
        <f t="shared" si="23"/>
        <v>435.5</v>
      </c>
      <c r="F34" s="76">
        <f t="shared" si="24"/>
        <v>4.2426406871192848</v>
      </c>
      <c r="G34" s="102" t="s">
        <v>88</v>
      </c>
      <c r="H34" s="10">
        <v>31.214285714285715</v>
      </c>
      <c r="I34" s="10">
        <v>30.833333333333002</v>
      </c>
      <c r="J34" s="10">
        <f t="shared" si="25"/>
        <v>31.023809523809359</v>
      </c>
      <c r="K34" s="10">
        <f t="shared" si="26"/>
        <v>0.26937401188082472</v>
      </c>
      <c r="L34" s="102" t="s">
        <v>94</v>
      </c>
      <c r="M34" s="10">
        <v>39.393592677345502</v>
      </c>
      <c r="N34" s="10">
        <v>38.9280397022332</v>
      </c>
      <c r="O34" s="10">
        <f t="shared" si="27"/>
        <v>39.160816189789351</v>
      </c>
      <c r="P34" s="10">
        <f t="shared" si="28"/>
        <v>0.32919566570348119</v>
      </c>
      <c r="Q34" s="102" t="s">
        <v>90</v>
      </c>
      <c r="R34" s="76">
        <v>4482.3500000000004</v>
      </c>
      <c r="S34" s="76">
        <f t="shared" si="29"/>
        <v>4352.8999999999996</v>
      </c>
      <c r="T34" s="76">
        <v>4417.625</v>
      </c>
      <c r="U34" s="76">
        <f t="shared" si="30"/>
        <v>91.534972824599095</v>
      </c>
      <c r="V34" s="102" t="s">
        <v>103</v>
      </c>
      <c r="W34" s="2">
        <v>13136.75</v>
      </c>
      <c r="X34" s="2">
        <v>13127.699999999999</v>
      </c>
      <c r="Y34" s="2">
        <v>13132.224999999999</v>
      </c>
      <c r="Z34" s="2">
        <v>6.3993163697390267</v>
      </c>
      <c r="AA34" s="2"/>
      <c r="AB34" s="2">
        <v>0.34120691951966814</v>
      </c>
      <c r="AC34" s="2">
        <v>0.33158131279660563</v>
      </c>
      <c r="AD34" s="2">
        <v>0.33639411615813686</v>
      </c>
      <c r="AE34" s="2">
        <v>6.8063317869123214E-3</v>
      </c>
      <c r="AF34" s="2"/>
    </row>
    <row r="35" spans="1:32" ht="16">
      <c r="A35" s="153"/>
      <c r="B35" s="14" t="s">
        <v>15</v>
      </c>
      <c r="C35" s="76">
        <v>464</v>
      </c>
      <c r="D35" s="76">
        <v>473</v>
      </c>
      <c r="E35" s="76">
        <f t="shared" si="23"/>
        <v>468.5</v>
      </c>
      <c r="F35" s="76">
        <f t="shared" si="24"/>
        <v>6.3639610306789276</v>
      </c>
      <c r="G35" s="102" t="s">
        <v>96</v>
      </c>
      <c r="H35" s="10">
        <v>32.0833333333333</v>
      </c>
      <c r="I35" s="10">
        <v>31.666666666666998</v>
      </c>
      <c r="J35" s="10">
        <f t="shared" si="25"/>
        <v>31.875000000000149</v>
      </c>
      <c r="K35" s="10">
        <f t="shared" si="26"/>
        <v>0.29462782549413691</v>
      </c>
      <c r="L35" s="102" t="s">
        <v>96</v>
      </c>
      <c r="M35" s="10">
        <v>41.953488372092998</v>
      </c>
      <c r="N35" s="10">
        <v>41.867403314917098</v>
      </c>
      <c r="O35" s="10">
        <f t="shared" si="27"/>
        <v>41.910445843505045</v>
      </c>
      <c r="P35" s="10">
        <f t="shared" si="28"/>
        <v>6.0871327687910697E-2</v>
      </c>
      <c r="Q35" s="102" t="s">
        <v>96</v>
      </c>
      <c r="R35" s="76">
        <v>5145.33</v>
      </c>
      <c r="S35" s="76">
        <f t="shared" si="29"/>
        <v>5015.0499999999993</v>
      </c>
      <c r="T35" s="76">
        <v>5080.1899999999996</v>
      </c>
      <c r="U35" s="76">
        <f t="shared" si="30"/>
        <v>92.121871452983882</v>
      </c>
      <c r="V35" s="102" t="s">
        <v>96</v>
      </c>
      <c r="W35" s="2">
        <v>14089.2</v>
      </c>
      <c r="X35" s="2">
        <v>14019.2</v>
      </c>
      <c r="Y35" s="2">
        <v>14054.2</v>
      </c>
      <c r="Z35" s="2">
        <v>49.497474683058329</v>
      </c>
      <c r="AA35" s="2"/>
      <c r="AB35" s="2">
        <v>0.36519674644408479</v>
      </c>
      <c r="AC35" s="2">
        <v>0.35772725975804603</v>
      </c>
      <c r="AD35" s="2">
        <v>0.36146200310106541</v>
      </c>
      <c r="AE35" s="2">
        <v>5.2817246876806327E-3</v>
      </c>
      <c r="AF35" s="2"/>
    </row>
    <row r="36" spans="1:32" ht="16">
      <c r="A36" s="153"/>
      <c r="B36" s="14" t="s">
        <v>16</v>
      </c>
      <c r="C36" s="76">
        <v>437.5</v>
      </c>
      <c r="D36" s="76">
        <v>431</v>
      </c>
      <c r="E36" s="76">
        <f t="shared" si="23"/>
        <v>434.25</v>
      </c>
      <c r="F36" s="76">
        <f t="shared" si="24"/>
        <v>4.5961940777125587</v>
      </c>
      <c r="G36" s="102" t="s">
        <v>88</v>
      </c>
      <c r="H36" s="10">
        <v>30.3571428571429</v>
      </c>
      <c r="I36" s="10">
        <v>30.5</v>
      </c>
      <c r="J36" s="10">
        <f t="shared" si="25"/>
        <v>30.428571428571452</v>
      </c>
      <c r="K36" s="10">
        <f t="shared" si="26"/>
        <v>0.10101525445519056</v>
      </c>
      <c r="L36" s="102" t="s">
        <v>88</v>
      </c>
      <c r="M36" s="10">
        <v>39.777126099706699</v>
      </c>
      <c r="N36" s="10">
        <v>39.235294117647101</v>
      </c>
      <c r="O36" s="10">
        <f t="shared" si="27"/>
        <v>39.506210108676896</v>
      </c>
      <c r="P36" s="10">
        <f t="shared" si="28"/>
        <v>0.38313306877808967</v>
      </c>
      <c r="Q36" s="102" t="s">
        <v>88</v>
      </c>
      <c r="R36" s="76">
        <v>4403.1000000000004</v>
      </c>
      <c r="S36" s="76">
        <f t="shared" si="29"/>
        <v>4523.1000000000004</v>
      </c>
      <c r="T36" s="76">
        <v>4463.1000000000004</v>
      </c>
      <c r="U36" s="76">
        <f t="shared" si="30"/>
        <v>84.852813742385706</v>
      </c>
      <c r="V36" s="102" t="s">
        <v>103</v>
      </c>
      <c r="W36" s="2">
        <v>14648.15</v>
      </c>
      <c r="X36" s="2">
        <v>14724.1</v>
      </c>
      <c r="Y36" s="2">
        <v>14686.125</v>
      </c>
      <c r="Z36" s="2">
        <v>53.704760031118795</v>
      </c>
      <c r="AA36" s="2"/>
      <c r="AB36" s="2">
        <v>0.30059085959660437</v>
      </c>
      <c r="AC36" s="2">
        <v>0.30719025271493677</v>
      </c>
      <c r="AD36" s="2">
        <v>0.30389055615577054</v>
      </c>
      <c r="AE36" s="2">
        <v>4.6664756256886821E-3</v>
      </c>
      <c r="AF36" s="2"/>
    </row>
  </sheetData>
  <mergeCells count="22">
    <mergeCell ref="W27:AA27"/>
    <mergeCell ref="AB27:AF27"/>
    <mergeCell ref="A29:A32"/>
    <mergeCell ref="A33:A36"/>
    <mergeCell ref="A17:A20"/>
    <mergeCell ref="A21:A24"/>
    <mergeCell ref="C27:G27"/>
    <mergeCell ref="H27:L27"/>
    <mergeCell ref="M27:Q27"/>
    <mergeCell ref="R27:V27"/>
    <mergeCell ref="AB15:AF15"/>
    <mergeCell ref="C3:G3"/>
    <mergeCell ref="H3:L3"/>
    <mergeCell ref="M3:Q3"/>
    <mergeCell ref="R3:V3"/>
    <mergeCell ref="W3:AA3"/>
    <mergeCell ref="AB3:AF3"/>
    <mergeCell ref="C15:G15"/>
    <mergeCell ref="H15:L15"/>
    <mergeCell ref="M15:Q15"/>
    <mergeCell ref="R15:V15"/>
    <mergeCell ref="W15:AA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14D0-6ADB-445B-958C-EF13A68F1DE1}">
  <dimension ref="A2:AR75"/>
  <sheetViews>
    <sheetView workbookViewId="0">
      <selection activeCell="L1" sqref="L1"/>
    </sheetView>
  </sheetViews>
  <sheetFormatPr defaultRowHeight="14.5"/>
  <sheetData>
    <row r="2" spans="1:44">
      <c r="V2" t="s">
        <v>236</v>
      </c>
      <c r="AH2" t="s">
        <v>237</v>
      </c>
      <c r="AI2" t="s">
        <v>236</v>
      </c>
      <c r="AJ2" t="s">
        <v>236</v>
      </c>
    </row>
    <row r="3" spans="1:44" ht="16" thickBot="1">
      <c r="A3" s="38" t="s">
        <v>19</v>
      </c>
      <c r="B3" s="38" t="s">
        <v>20</v>
      </c>
      <c r="C3" s="38" t="s">
        <v>238</v>
      </c>
      <c r="D3" s="38" t="s">
        <v>22</v>
      </c>
      <c r="E3" s="38" t="s">
        <v>239</v>
      </c>
      <c r="F3" s="38" t="s">
        <v>209</v>
      </c>
      <c r="G3" s="38" t="s">
        <v>210</v>
      </c>
      <c r="H3" s="38" t="s">
        <v>240</v>
      </c>
      <c r="I3" s="38" t="s">
        <v>31</v>
      </c>
      <c r="J3" s="38"/>
      <c r="L3" s="38" t="s">
        <v>19</v>
      </c>
      <c r="M3" s="38" t="s">
        <v>20</v>
      </c>
      <c r="N3" s="38" t="s">
        <v>238</v>
      </c>
      <c r="O3" s="38" t="s">
        <v>22</v>
      </c>
      <c r="P3" s="38" t="s">
        <v>43</v>
      </c>
      <c r="Q3" s="38" t="s">
        <v>44</v>
      </c>
      <c r="R3" s="38" t="s">
        <v>45</v>
      </c>
      <c r="S3" s="38" t="s">
        <v>32</v>
      </c>
      <c r="T3" t="s">
        <v>241</v>
      </c>
      <c r="U3" s="38" t="s">
        <v>242</v>
      </c>
      <c r="V3" s="38" t="s">
        <v>243</v>
      </c>
      <c r="W3" s="38" t="s">
        <v>240</v>
      </c>
      <c r="X3" s="38"/>
      <c r="Y3" s="38" t="s">
        <v>19</v>
      </c>
      <c r="Z3" s="38" t="s">
        <v>20</v>
      </c>
      <c r="AA3" s="38" t="s">
        <v>238</v>
      </c>
      <c r="AB3" s="38" t="s">
        <v>22</v>
      </c>
      <c r="AC3" s="38" t="s">
        <v>25</v>
      </c>
      <c r="AD3" s="38" t="s">
        <v>26</v>
      </c>
      <c r="AE3" s="38" t="s">
        <v>27</v>
      </c>
      <c r="AF3" s="38" t="s">
        <v>28</v>
      </c>
      <c r="AG3" s="38" t="s">
        <v>29</v>
      </c>
      <c r="AH3" s="38" t="s">
        <v>30</v>
      </c>
      <c r="AI3" s="38" t="s">
        <v>32</v>
      </c>
      <c r="AJ3" s="38" t="s">
        <v>244</v>
      </c>
      <c r="AK3" s="38" t="s">
        <v>46</v>
      </c>
      <c r="AM3" t="s">
        <v>20</v>
      </c>
      <c r="AN3" t="s">
        <v>238</v>
      </c>
      <c r="AO3" t="s">
        <v>22</v>
      </c>
      <c r="AP3" t="s">
        <v>245</v>
      </c>
      <c r="AQ3" t="s">
        <v>246</v>
      </c>
      <c r="AR3" t="s">
        <v>247</v>
      </c>
    </row>
    <row r="4" spans="1:44" ht="15.5">
      <c r="A4" s="24">
        <v>2014</v>
      </c>
      <c r="B4">
        <v>1</v>
      </c>
      <c r="C4" s="113" t="s">
        <v>189</v>
      </c>
      <c r="D4" s="114">
        <v>0</v>
      </c>
      <c r="E4">
        <v>3.85</v>
      </c>
      <c r="F4">
        <v>13.15</v>
      </c>
      <c r="G4">
        <v>5.71</v>
      </c>
      <c r="H4">
        <v>114.11</v>
      </c>
      <c r="I4">
        <v>136.82</v>
      </c>
      <c r="L4" s="24">
        <v>2014</v>
      </c>
      <c r="M4">
        <v>1</v>
      </c>
      <c r="N4" s="113" t="s">
        <v>189</v>
      </c>
      <c r="O4" s="114">
        <v>0</v>
      </c>
      <c r="P4">
        <v>525</v>
      </c>
      <c r="Q4">
        <v>31.697600000000001</v>
      </c>
      <c r="R4">
        <v>40.488095238095234</v>
      </c>
      <c r="S4">
        <v>5023.1477999999997</v>
      </c>
      <c r="T4">
        <v>0.34835000135230443</v>
      </c>
      <c r="U4">
        <v>136.82</v>
      </c>
      <c r="V4">
        <v>540.49070327999993</v>
      </c>
      <c r="W4">
        <v>114.11</v>
      </c>
      <c r="Y4" s="24">
        <v>2014</v>
      </c>
      <c r="Z4">
        <v>1</v>
      </c>
      <c r="AA4" s="113" t="s">
        <v>189</v>
      </c>
      <c r="AB4" s="114">
        <v>0</v>
      </c>
      <c r="AC4">
        <v>1.35</v>
      </c>
      <c r="AD4">
        <v>1.1299999999999999</v>
      </c>
      <c r="AE4" s="115">
        <v>3.42</v>
      </c>
      <c r="AF4" s="115">
        <v>3.4</v>
      </c>
      <c r="AG4">
        <v>0.99415204678362568</v>
      </c>
      <c r="AH4">
        <v>10.76</v>
      </c>
      <c r="AI4">
        <v>5023.1477999999997</v>
      </c>
      <c r="AJ4">
        <f>AI4*AH4/100</f>
        <v>540.49070327999993</v>
      </c>
      <c r="AK4">
        <v>11.452327284127412</v>
      </c>
      <c r="AM4">
        <v>1</v>
      </c>
      <c r="AN4" t="s">
        <v>33</v>
      </c>
      <c r="AO4">
        <v>0</v>
      </c>
      <c r="AP4">
        <v>11.452327284127412</v>
      </c>
      <c r="AQ4">
        <v>11.333600046682644</v>
      </c>
      <c r="AR4">
        <v>14.00365338819427</v>
      </c>
    </row>
    <row r="5" spans="1:44" ht="15.5">
      <c r="A5" s="28">
        <v>2014</v>
      </c>
      <c r="B5">
        <v>1</v>
      </c>
      <c r="C5" s="116" t="s">
        <v>189</v>
      </c>
      <c r="D5" s="117">
        <v>90</v>
      </c>
      <c r="E5">
        <v>4.07</v>
      </c>
      <c r="F5">
        <v>13.32</v>
      </c>
      <c r="G5">
        <v>8.25</v>
      </c>
      <c r="H5">
        <v>134.26</v>
      </c>
      <c r="I5">
        <v>159.89999999999998</v>
      </c>
      <c r="L5" s="28">
        <v>2014</v>
      </c>
      <c r="M5">
        <v>1</v>
      </c>
      <c r="N5" s="116" t="s">
        <v>189</v>
      </c>
      <c r="O5" s="117">
        <v>90</v>
      </c>
      <c r="P5">
        <v>525</v>
      </c>
      <c r="Q5">
        <v>31.723999999999997</v>
      </c>
      <c r="R5">
        <v>39.691904761904759</v>
      </c>
      <c r="S5">
        <v>5110.05</v>
      </c>
      <c r="T5">
        <v>0.36259451934167392</v>
      </c>
      <c r="U5">
        <v>159.89999999999998</v>
      </c>
      <c r="V5">
        <v>596.34283500000004</v>
      </c>
      <c r="W5">
        <v>134.26</v>
      </c>
      <c r="Y5" s="28">
        <v>2014</v>
      </c>
      <c r="Z5">
        <v>1</v>
      </c>
      <c r="AA5" s="116" t="s">
        <v>189</v>
      </c>
      <c r="AB5" s="117">
        <v>90</v>
      </c>
      <c r="AC5">
        <v>1.54</v>
      </c>
      <c r="AD5">
        <v>1.32</v>
      </c>
      <c r="AE5" s="115">
        <v>3.6</v>
      </c>
      <c r="AF5" s="115">
        <v>3.71</v>
      </c>
      <c r="AG5">
        <v>1.0305555555555554</v>
      </c>
      <c r="AH5">
        <v>11.67</v>
      </c>
      <c r="AI5">
        <v>5110.05</v>
      </c>
      <c r="AJ5">
        <f t="shared" ref="AJ5:AJ68" si="0">AI5*AH5/100</f>
        <v>596.34283500000004</v>
      </c>
      <c r="AK5">
        <v>11.020152726517528</v>
      </c>
      <c r="AM5">
        <v>1</v>
      </c>
      <c r="AN5" t="s">
        <v>33</v>
      </c>
      <c r="AO5">
        <v>90</v>
      </c>
      <c r="AP5">
        <v>11.020152726517528</v>
      </c>
      <c r="AQ5">
        <v>11.397536080637359</v>
      </c>
      <c r="AR5">
        <v>14.665699932530519</v>
      </c>
    </row>
    <row r="6" spans="1:44" ht="15.5">
      <c r="A6" s="28">
        <v>2014</v>
      </c>
      <c r="B6">
        <v>1</v>
      </c>
      <c r="C6" s="116" t="s">
        <v>189</v>
      </c>
      <c r="D6" s="117">
        <v>150</v>
      </c>
      <c r="E6">
        <v>7.34</v>
      </c>
      <c r="F6">
        <v>14.27</v>
      </c>
      <c r="G6">
        <v>8.02</v>
      </c>
      <c r="H6">
        <v>145.85</v>
      </c>
      <c r="I6">
        <v>175.48</v>
      </c>
      <c r="L6" s="28">
        <v>2014</v>
      </c>
      <c r="M6">
        <v>1</v>
      </c>
      <c r="N6" s="116" t="s">
        <v>189</v>
      </c>
      <c r="O6" s="117">
        <v>150</v>
      </c>
      <c r="P6">
        <v>550</v>
      </c>
      <c r="Q6">
        <v>32.516000000000005</v>
      </c>
      <c r="R6">
        <v>40.059963768115935</v>
      </c>
      <c r="S6">
        <v>5308.0566000000008</v>
      </c>
      <c r="T6">
        <v>0.35187215801463495</v>
      </c>
      <c r="U6">
        <v>175.48</v>
      </c>
      <c r="V6">
        <v>721.89569760000018</v>
      </c>
      <c r="W6">
        <v>145.85</v>
      </c>
      <c r="Y6" s="28">
        <v>2014</v>
      </c>
      <c r="Z6">
        <v>1</v>
      </c>
      <c r="AA6" s="116" t="s">
        <v>189</v>
      </c>
      <c r="AB6" s="117">
        <v>150</v>
      </c>
      <c r="AC6">
        <v>1.85</v>
      </c>
      <c r="AD6">
        <v>1.54</v>
      </c>
      <c r="AE6" s="115">
        <v>4.07</v>
      </c>
      <c r="AF6" s="115">
        <v>4.3099999999999996</v>
      </c>
      <c r="AG6">
        <v>1.0589680589680588</v>
      </c>
      <c r="AH6">
        <v>13.6</v>
      </c>
      <c r="AI6">
        <v>5308.0566000000008</v>
      </c>
      <c r="AJ6">
        <f t="shared" si="0"/>
        <v>721.89569760000018</v>
      </c>
      <c r="AK6">
        <v>13.160451596615607</v>
      </c>
      <c r="AM6">
        <v>1</v>
      </c>
      <c r="AN6" t="s">
        <v>33</v>
      </c>
      <c r="AO6">
        <v>150</v>
      </c>
      <c r="AP6">
        <v>13.160451596615607</v>
      </c>
      <c r="AQ6">
        <v>13.168169244954409</v>
      </c>
      <c r="AR6">
        <v>16.27565755774808</v>
      </c>
    </row>
    <row r="7" spans="1:44" ht="15.5">
      <c r="A7" s="28">
        <v>2014</v>
      </c>
      <c r="B7">
        <v>1</v>
      </c>
      <c r="C7" s="116" t="s">
        <v>189</v>
      </c>
      <c r="D7" s="117">
        <v>210</v>
      </c>
      <c r="E7">
        <v>5.25</v>
      </c>
      <c r="F7">
        <v>14.02</v>
      </c>
      <c r="G7">
        <v>6.59</v>
      </c>
      <c r="H7">
        <v>133.51</v>
      </c>
      <c r="I7">
        <v>159.37</v>
      </c>
      <c r="L7" s="28">
        <v>2014</v>
      </c>
      <c r="M7">
        <v>1</v>
      </c>
      <c r="N7" s="116" t="s">
        <v>189</v>
      </c>
      <c r="O7" s="117">
        <v>210</v>
      </c>
      <c r="P7">
        <v>567</v>
      </c>
      <c r="Q7">
        <v>33.351999999999997</v>
      </c>
      <c r="R7">
        <v>40.894973544973546</v>
      </c>
      <c r="S7">
        <v>5754.6895999999997</v>
      </c>
      <c r="T7">
        <v>0.36231241451279572</v>
      </c>
      <c r="U7">
        <v>159.37</v>
      </c>
      <c r="V7">
        <v>705.52494495999997</v>
      </c>
      <c r="W7">
        <v>133.51</v>
      </c>
      <c r="Y7" s="28">
        <v>2014</v>
      </c>
      <c r="Z7">
        <v>1</v>
      </c>
      <c r="AA7" s="116" t="s">
        <v>189</v>
      </c>
      <c r="AB7" s="117">
        <v>210</v>
      </c>
      <c r="AC7">
        <v>1.72</v>
      </c>
      <c r="AD7">
        <v>1.42</v>
      </c>
      <c r="AE7" s="115">
        <v>3.91</v>
      </c>
      <c r="AF7" s="115">
        <v>4.1500000000000004</v>
      </c>
      <c r="AG7">
        <v>1.0613810741687979</v>
      </c>
      <c r="AH7">
        <v>12.26</v>
      </c>
      <c r="AI7">
        <v>5754.6895999999997</v>
      </c>
      <c r="AJ7">
        <f t="shared" si="0"/>
        <v>705.52494495999997</v>
      </c>
      <c r="AK7">
        <v>13.686181502231769</v>
      </c>
      <c r="AM7">
        <v>1</v>
      </c>
      <c r="AN7" t="s">
        <v>33</v>
      </c>
      <c r="AO7">
        <v>210</v>
      </c>
      <c r="AP7">
        <v>13.686181502231769</v>
      </c>
      <c r="AQ7">
        <v>11.593898505404674</v>
      </c>
      <c r="AR7">
        <v>14.768786157034784</v>
      </c>
    </row>
    <row r="8" spans="1:44" ht="15.5">
      <c r="A8" s="28">
        <v>2014</v>
      </c>
      <c r="B8">
        <v>1</v>
      </c>
      <c r="C8" s="113" t="s">
        <v>193</v>
      </c>
      <c r="D8" s="117">
        <v>0</v>
      </c>
      <c r="E8">
        <v>3.37</v>
      </c>
      <c r="F8">
        <v>13.01</v>
      </c>
      <c r="G8">
        <v>6.53</v>
      </c>
      <c r="H8">
        <v>105.35</v>
      </c>
      <c r="I8">
        <v>128.26</v>
      </c>
      <c r="L8" s="28">
        <v>2014</v>
      </c>
      <c r="M8">
        <v>1</v>
      </c>
      <c r="N8" s="113" t="s">
        <v>193</v>
      </c>
      <c r="O8" s="117">
        <v>0</v>
      </c>
      <c r="P8">
        <v>477</v>
      </c>
      <c r="Q8">
        <v>30.888000000000002</v>
      </c>
      <c r="R8">
        <v>39.396792452830184</v>
      </c>
      <c r="S8">
        <v>4578.3121999999994</v>
      </c>
      <c r="T8">
        <v>0.35366010544964799</v>
      </c>
      <c r="U8">
        <v>128.26</v>
      </c>
      <c r="V8">
        <v>519.63843469999995</v>
      </c>
      <c r="W8">
        <v>105.35</v>
      </c>
      <c r="Y8" s="28">
        <v>2014</v>
      </c>
      <c r="Z8">
        <v>1</v>
      </c>
      <c r="AA8" s="113" t="s">
        <v>193</v>
      </c>
      <c r="AB8" s="117">
        <v>0</v>
      </c>
      <c r="AC8">
        <v>1.58</v>
      </c>
      <c r="AD8">
        <v>1.18</v>
      </c>
      <c r="AE8" s="115">
        <v>3.46</v>
      </c>
      <c r="AF8" s="115">
        <v>3.54</v>
      </c>
      <c r="AG8">
        <v>1.023121387283237</v>
      </c>
      <c r="AH8" s="118">
        <v>11.35</v>
      </c>
      <c r="AI8">
        <v>4578.3121999999994</v>
      </c>
      <c r="AJ8">
        <f t="shared" si="0"/>
        <v>519.63843469999995</v>
      </c>
      <c r="AK8">
        <v>11.448305589704379</v>
      </c>
      <c r="AM8">
        <v>1</v>
      </c>
      <c r="AN8" t="s">
        <v>34</v>
      </c>
      <c r="AO8">
        <v>0</v>
      </c>
      <c r="AP8">
        <v>11.448305589704379</v>
      </c>
      <c r="AQ8">
        <v>10.022418635813123</v>
      </c>
      <c r="AR8">
        <v>13.664385652853879</v>
      </c>
    </row>
    <row r="9" spans="1:44" ht="15.5">
      <c r="A9" s="28">
        <v>2014</v>
      </c>
      <c r="B9">
        <v>1</v>
      </c>
      <c r="C9" s="116" t="s">
        <v>193</v>
      </c>
      <c r="D9" s="117">
        <v>90</v>
      </c>
      <c r="E9">
        <v>4.34</v>
      </c>
      <c r="F9">
        <v>12.27</v>
      </c>
      <c r="G9">
        <v>4.5199999999999996</v>
      </c>
      <c r="H9">
        <v>125.8</v>
      </c>
      <c r="I9">
        <v>146.93</v>
      </c>
      <c r="L9" s="28">
        <v>2014</v>
      </c>
      <c r="M9">
        <v>1</v>
      </c>
      <c r="N9" s="116" t="s">
        <v>193</v>
      </c>
      <c r="O9" s="117">
        <v>90</v>
      </c>
      <c r="P9">
        <v>492</v>
      </c>
      <c r="Q9">
        <v>30.8352</v>
      </c>
      <c r="R9">
        <v>38.861344455348387</v>
      </c>
      <c r="S9">
        <v>4943.7696000000005</v>
      </c>
      <c r="T9">
        <v>0.37605072053124211</v>
      </c>
      <c r="U9">
        <v>146.93</v>
      </c>
      <c r="V9">
        <v>591.27484416000016</v>
      </c>
      <c r="W9">
        <v>125.8</v>
      </c>
      <c r="Y9" s="28">
        <v>2014</v>
      </c>
      <c r="Z9">
        <v>1</v>
      </c>
      <c r="AA9" s="116" t="s">
        <v>193</v>
      </c>
      <c r="AB9" s="117">
        <v>90</v>
      </c>
      <c r="AC9">
        <v>1.6</v>
      </c>
      <c r="AD9">
        <v>1.27</v>
      </c>
      <c r="AE9" s="115">
        <v>3.67</v>
      </c>
      <c r="AF9" s="115">
        <v>3.81</v>
      </c>
      <c r="AG9">
        <v>1.0381471389645778</v>
      </c>
      <c r="AH9" s="119">
        <v>11.96</v>
      </c>
      <c r="AI9">
        <v>4943.7696000000005</v>
      </c>
      <c r="AJ9">
        <f t="shared" si="0"/>
        <v>591.27484416000016</v>
      </c>
      <c r="AK9">
        <v>11.727692918598471</v>
      </c>
      <c r="AM9">
        <v>1</v>
      </c>
      <c r="AN9" t="s">
        <v>34</v>
      </c>
      <c r="AO9">
        <v>90</v>
      </c>
      <c r="AP9">
        <v>11.727692918598471</v>
      </c>
      <c r="AQ9">
        <v>10.177754518533645</v>
      </c>
      <c r="AR9">
        <v>14.234215939553282</v>
      </c>
    </row>
    <row r="10" spans="1:44" ht="15.5">
      <c r="A10" s="28">
        <v>2014</v>
      </c>
      <c r="B10">
        <v>1</v>
      </c>
      <c r="C10" s="116" t="s">
        <v>193</v>
      </c>
      <c r="D10" s="117">
        <v>150</v>
      </c>
      <c r="E10">
        <v>4.26</v>
      </c>
      <c r="F10">
        <v>17.12</v>
      </c>
      <c r="G10">
        <v>7.24</v>
      </c>
      <c r="H10">
        <v>130.56</v>
      </c>
      <c r="I10">
        <v>159.18</v>
      </c>
      <c r="L10" s="28">
        <v>2014</v>
      </c>
      <c r="M10">
        <v>1</v>
      </c>
      <c r="N10" s="116" t="s">
        <v>193</v>
      </c>
      <c r="O10" s="117">
        <v>150</v>
      </c>
      <c r="P10">
        <v>524</v>
      </c>
      <c r="Q10">
        <v>32.340000000000003</v>
      </c>
      <c r="R10">
        <v>39.819618320610694</v>
      </c>
      <c r="S10">
        <v>4883.9537999999993</v>
      </c>
      <c r="T10">
        <v>0.36549783086510196</v>
      </c>
      <c r="U10">
        <v>159.18</v>
      </c>
      <c r="V10">
        <v>680.82315971999981</v>
      </c>
      <c r="W10">
        <v>130.56</v>
      </c>
      <c r="Y10" s="28">
        <v>2014</v>
      </c>
      <c r="Z10">
        <v>1</v>
      </c>
      <c r="AA10" s="116" t="s">
        <v>193</v>
      </c>
      <c r="AB10" s="117">
        <v>150</v>
      </c>
      <c r="AC10">
        <v>2.0499999999999998</v>
      </c>
      <c r="AD10">
        <v>1.48</v>
      </c>
      <c r="AE10" s="115">
        <v>4.13</v>
      </c>
      <c r="AF10" s="115">
        <v>4.42</v>
      </c>
      <c r="AG10">
        <v>1.0702179176755449</v>
      </c>
      <c r="AH10" s="119">
        <v>13.94</v>
      </c>
      <c r="AI10">
        <v>4883.9537999999993</v>
      </c>
      <c r="AJ10">
        <f t="shared" si="0"/>
        <v>680.82315971999981</v>
      </c>
      <c r="AK10">
        <v>11.576584774161251</v>
      </c>
      <c r="AM10">
        <v>1</v>
      </c>
      <c r="AN10" t="s">
        <v>34</v>
      </c>
      <c r="AO10">
        <v>150</v>
      </c>
      <c r="AP10">
        <v>11.576584774161251</v>
      </c>
      <c r="AQ10">
        <v>11.719440426911373</v>
      </c>
      <c r="AR10">
        <v>15.633637080672628</v>
      </c>
    </row>
    <row r="11" spans="1:44" ht="15.5">
      <c r="A11" s="28">
        <v>2014</v>
      </c>
      <c r="B11">
        <v>1</v>
      </c>
      <c r="C11" s="120" t="s">
        <v>193</v>
      </c>
      <c r="D11" s="121">
        <v>210</v>
      </c>
      <c r="E11">
        <v>3.74</v>
      </c>
      <c r="F11">
        <v>11.27</v>
      </c>
      <c r="G11">
        <v>8.1199999999999992</v>
      </c>
      <c r="H11">
        <v>125.32</v>
      </c>
      <c r="I11">
        <v>148.44999999999999</v>
      </c>
      <c r="L11" s="28">
        <v>2014</v>
      </c>
      <c r="M11">
        <v>1</v>
      </c>
      <c r="N11" s="120" t="s">
        <v>193</v>
      </c>
      <c r="O11" s="121">
        <v>210</v>
      </c>
      <c r="P11">
        <v>537</v>
      </c>
      <c r="Q11">
        <v>32.568799999999996</v>
      </c>
      <c r="R11">
        <v>39.984785847299818</v>
      </c>
      <c r="S11">
        <v>5366.7438000000002</v>
      </c>
      <c r="T11">
        <v>0.36711209492698282</v>
      </c>
      <c r="U11">
        <v>148.44999999999999</v>
      </c>
      <c r="V11">
        <v>696.06667086000004</v>
      </c>
      <c r="W11">
        <v>125.32</v>
      </c>
      <c r="Y11" s="28">
        <v>2014</v>
      </c>
      <c r="Z11">
        <v>1</v>
      </c>
      <c r="AA11" s="120" t="s">
        <v>193</v>
      </c>
      <c r="AB11" s="121">
        <v>210</v>
      </c>
      <c r="AC11">
        <v>1.85</v>
      </c>
      <c r="AD11">
        <v>1.33</v>
      </c>
      <c r="AE11" s="115">
        <v>4.03</v>
      </c>
      <c r="AF11" s="115">
        <v>4.28</v>
      </c>
      <c r="AG11">
        <v>1.0620347394540943</v>
      </c>
      <c r="AH11" s="122">
        <v>12.97</v>
      </c>
      <c r="AI11">
        <v>5366.7438000000002</v>
      </c>
      <c r="AJ11">
        <f t="shared" si="0"/>
        <v>696.06667086000004</v>
      </c>
      <c r="AK11">
        <v>13.871298250661631</v>
      </c>
      <c r="AM11">
        <v>1</v>
      </c>
      <c r="AN11" t="s">
        <v>34</v>
      </c>
      <c r="AO11">
        <v>210</v>
      </c>
      <c r="AP11">
        <v>13.871298250661631</v>
      </c>
      <c r="AQ11">
        <v>10.420439341231416</v>
      </c>
      <c r="AR11">
        <v>14.632993134283144</v>
      </c>
    </row>
    <row r="12" spans="1:44" ht="15.5">
      <c r="A12" s="28">
        <v>2014</v>
      </c>
      <c r="B12">
        <v>2</v>
      </c>
      <c r="C12" s="113" t="s">
        <v>189</v>
      </c>
      <c r="D12" s="123">
        <v>0</v>
      </c>
      <c r="E12">
        <v>3.3299999999999996</v>
      </c>
      <c r="F12">
        <v>12.83</v>
      </c>
      <c r="G12">
        <v>6.1700000000000008</v>
      </c>
      <c r="H12">
        <v>124.11</v>
      </c>
      <c r="I12">
        <v>146.44</v>
      </c>
      <c r="L12" s="28">
        <v>2014</v>
      </c>
      <c r="M12">
        <v>2</v>
      </c>
      <c r="N12" s="113" t="s">
        <v>189</v>
      </c>
      <c r="O12" s="123">
        <v>0</v>
      </c>
      <c r="P12">
        <v>465</v>
      </c>
      <c r="Q12">
        <v>31.055199999999999</v>
      </c>
      <c r="R12">
        <v>40.552148437499994</v>
      </c>
      <c r="S12">
        <v>4923.4129999999996</v>
      </c>
      <c r="T12">
        <v>0.33801741917234901</v>
      </c>
      <c r="U12">
        <v>146.44</v>
      </c>
      <c r="V12">
        <v>531.7286039999999</v>
      </c>
      <c r="W12">
        <v>124.11</v>
      </c>
      <c r="Y12" s="28">
        <v>2014</v>
      </c>
      <c r="Z12">
        <v>2</v>
      </c>
      <c r="AA12" s="113" t="s">
        <v>189</v>
      </c>
      <c r="AB12" s="123">
        <v>0</v>
      </c>
      <c r="AC12">
        <v>1.37</v>
      </c>
      <c r="AD12">
        <v>1.1499999999999999</v>
      </c>
      <c r="AE12" s="115">
        <v>3.4000000000000004</v>
      </c>
      <c r="AF12" s="115">
        <v>3.4200000000000004</v>
      </c>
      <c r="AG12">
        <v>1.0058823529411764</v>
      </c>
      <c r="AH12">
        <v>10.799999999999999</v>
      </c>
      <c r="AI12">
        <v>4923.4129999999996</v>
      </c>
      <c r="AJ12">
        <f t="shared" si="0"/>
        <v>531.7286039999999</v>
      </c>
      <c r="AK12">
        <v>11.209520950197502</v>
      </c>
      <c r="AM12">
        <v>2</v>
      </c>
      <c r="AN12" t="s">
        <v>33</v>
      </c>
      <c r="AO12">
        <v>0</v>
      </c>
      <c r="AP12">
        <v>11.209520950197502</v>
      </c>
      <c r="AQ12">
        <v>11.69834378724163</v>
      </c>
      <c r="AR12">
        <v>14.18230317489334</v>
      </c>
    </row>
    <row r="13" spans="1:44" ht="15.5">
      <c r="A13" s="28">
        <v>2014</v>
      </c>
      <c r="B13">
        <v>2</v>
      </c>
      <c r="C13" s="116" t="s">
        <v>189</v>
      </c>
      <c r="D13" s="124">
        <v>90</v>
      </c>
      <c r="E13">
        <v>3.6499999999999995</v>
      </c>
      <c r="F13">
        <v>12</v>
      </c>
      <c r="G13">
        <v>8.8500000000000014</v>
      </c>
      <c r="H13">
        <v>128.26</v>
      </c>
      <c r="I13">
        <v>152.76</v>
      </c>
      <c r="L13" s="28">
        <v>2014</v>
      </c>
      <c r="M13">
        <v>2</v>
      </c>
      <c r="N13" s="116" t="s">
        <v>189</v>
      </c>
      <c r="O13" s="124">
        <v>90</v>
      </c>
      <c r="P13">
        <v>462.5</v>
      </c>
      <c r="Q13">
        <v>31.6595714285715</v>
      </c>
      <c r="R13">
        <v>39.605460543163602</v>
      </c>
      <c r="S13">
        <v>5011.4856</v>
      </c>
      <c r="T13">
        <v>0.3369792012329379</v>
      </c>
      <c r="U13">
        <v>152.76</v>
      </c>
      <c r="V13">
        <v>585.84266663999995</v>
      </c>
      <c r="W13">
        <v>128.26</v>
      </c>
      <c r="Y13" s="28">
        <v>2014</v>
      </c>
      <c r="Z13">
        <v>2</v>
      </c>
      <c r="AA13" s="116" t="s">
        <v>189</v>
      </c>
      <c r="AB13" s="124">
        <v>90</v>
      </c>
      <c r="AC13">
        <v>1.56</v>
      </c>
      <c r="AD13">
        <v>1.36</v>
      </c>
      <c r="AE13" s="115">
        <v>3.6199999999999997</v>
      </c>
      <c r="AF13" s="115">
        <v>3.7300000000000004</v>
      </c>
      <c r="AG13">
        <v>1.0303867403314919</v>
      </c>
      <c r="AH13">
        <v>11.69</v>
      </c>
      <c r="AI13">
        <v>5011.4856</v>
      </c>
      <c r="AJ13">
        <f t="shared" si="0"/>
        <v>585.84266663999995</v>
      </c>
      <c r="AK13">
        <v>10.810236434154424</v>
      </c>
      <c r="AM13">
        <v>2</v>
      </c>
      <c r="AN13" t="s">
        <v>33</v>
      </c>
      <c r="AO13">
        <v>90</v>
      </c>
      <c r="AP13">
        <v>10.810236434154424</v>
      </c>
      <c r="AQ13">
        <v>11.615133200176388</v>
      </c>
      <c r="AR13">
        <v>14.474760341943073</v>
      </c>
    </row>
    <row r="14" spans="1:44" ht="15.5">
      <c r="A14" s="28">
        <v>2014</v>
      </c>
      <c r="B14">
        <v>2</v>
      </c>
      <c r="C14" s="116" t="s">
        <v>189</v>
      </c>
      <c r="D14" s="124">
        <v>150</v>
      </c>
      <c r="E14">
        <v>7.68</v>
      </c>
      <c r="F14">
        <v>14.190000000000001</v>
      </c>
      <c r="G14">
        <v>8.52</v>
      </c>
      <c r="H14">
        <v>149.87000000000003</v>
      </c>
      <c r="I14">
        <v>180.26000000000005</v>
      </c>
      <c r="L14" s="28">
        <v>2014</v>
      </c>
      <c r="M14">
        <v>2</v>
      </c>
      <c r="N14" s="116" t="s">
        <v>189</v>
      </c>
      <c r="O14" s="124">
        <v>150</v>
      </c>
      <c r="P14">
        <v>485</v>
      </c>
      <c r="Q14">
        <v>32.713999999999999</v>
      </c>
      <c r="R14">
        <v>40.075737705117319</v>
      </c>
      <c r="S14">
        <v>5358.4673999999986</v>
      </c>
      <c r="T14">
        <v>0.37376672447989878</v>
      </c>
      <c r="U14">
        <v>180.26000000000005</v>
      </c>
      <c r="V14">
        <v>729.8232598799998</v>
      </c>
      <c r="W14">
        <v>149.87000000000003</v>
      </c>
      <c r="Y14" s="28">
        <v>2014</v>
      </c>
      <c r="Z14">
        <v>2</v>
      </c>
      <c r="AA14" s="116" t="s">
        <v>189</v>
      </c>
      <c r="AB14" s="124">
        <v>150</v>
      </c>
      <c r="AC14">
        <v>1.87</v>
      </c>
      <c r="AD14">
        <v>1.52</v>
      </c>
      <c r="AE14" s="115">
        <v>4.09</v>
      </c>
      <c r="AF14" s="115">
        <v>4.330000000000001</v>
      </c>
      <c r="AG14">
        <v>1.0586797066014673</v>
      </c>
      <c r="AH14">
        <v>13.62</v>
      </c>
      <c r="AI14">
        <v>5358.4673999999986</v>
      </c>
      <c r="AJ14">
        <f t="shared" si="0"/>
        <v>729.8232598799998</v>
      </c>
      <c r="AK14">
        <v>12.860066073583111</v>
      </c>
      <c r="AM14">
        <v>2</v>
      </c>
      <c r="AN14" t="s">
        <v>33</v>
      </c>
      <c r="AO14">
        <v>150</v>
      </c>
      <c r="AP14">
        <v>12.860066073583111</v>
      </c>
      <c r="AQ14">
        <v>13.519985274008624</v>
      </c>
      <c r="AR14">
        <v>16.058000396468131</v>
      </c>
    </row>
    <row r="15" spans="1:44" ht="15.5">
      <c r="A15" s="28">
        <v>2014</v>
      </c>
      <c r="B15">
        <v>2</v>
      </c>
      <c r="C15" s="116" t="s">
        <v>189</v>
      </c>
      <c r="D15" s="124">
        <v>210</v>
      </c>
      <c r="E15">
        <v>5.5299999999999994</v>
      </c>
      <c r="F15">
        <v>13.16</v>
      </c>
      <c r="G15">
        <v>6.73</v>
      </c>
      <c r="H15">
        <v>133.65000000000003</v>
      </c>
      <c r="I15">
        <v>159.07000000000002</v>
      </c>
      <c r="L15" s="28">
        <v>2014</v>
      </c>
      <c r="M15">
        <v>2</v>
      </c>
      <c r="N15" s="116" t="s">
        <v>189</v>
      </c>
      <c r="O15" s="124">
        <v>210</v>
      </c>
      <c r="P15">
        <v>459</v>
      </c>
      <c r="Q15">
        <v>33.083368421052576</v>
      </c>
      <c r="R15">
        <v>40.674000196155802</v>
      </c>
      <c r="S15">
        <v>5813.7948000000006</v>
      </c>
      <c r="T15">
        <v>0.37346354699469753</v>
      </c>
      <c r="U15">
        <v>159.07000000000002</v>
      </c>
      <c r="V15">
        <v>715.09676040000011</v>
      </c>
      <c r="W15">
        <v>133.65000000000003</v>
      </c>
      <c r="Y15" s="28">
        <v>2014</v>
      </c>
      <c r="Z15">
        <v>2</v>
      </c>
      <c r="AA15" s="116" t="s">
        <v>189</v>
      </c>
      <c r="AB15" s="124">
        <v>210</v>
      </c>
      <c r="AC15">
        <v>1.74</v>
      </c>
      <c r="AD15">
        <v>1.44</v>
      </c>
      <c r="AE15" s="115">
        <v>3.9299999999999997</v>
      </c>
      <c r="AF15" s="115">
        <v>4.1899999999999995</v>
      </c>
      <c r="AG15">
        <v>1.0661577608142494</v>
      </c>
      <c r="AH15" s="118">
        <v>12.299999999999999</v>
      </c>
      <c r="AI15">
        <v>5813.7948000000006</v>
      </c>
      <c r="AJ15">
        <f t="shared" si="0"/>
        <v>715.09676040000011</v>
      </c>
      <c r="AK15">
        <v>13.38907178369894</v>
      </c>
      <c r="AM15">
        <v>2</v>
      </c>
      <c r="AN15" t="s">
        <v>33</v>
      </c>
      <c r="AO15">
        <v>210</v>
      </c>
      <c r="AP15">
        <v>13.38907178369894</v>
      </c>
      <c r="AQ15">
        <v>11.973021079665367</v>
      </c>
      <c r="AR15">
        <v>14.903491546449697</v>
      </c>
    </row>
    <row r="16" spans="1:44" ht="15.5">
      <c r="A16" s="28">
        <v>2014</v>
      </c>
      <c r="B16">
        <v>2</v>
      </c>
      <c r="C16" s="113" t="s">
        <v>193</v>
      </c>
      <c r="D16" s="117">
        <v>0</v>
      </c>
      <c r="E16">
        <v>3.1899999999999995</v>
      </c>
      <c r="F16">
        <v>11.63</v>
      </c>
      <c r="G16">
        <v>6.7299999999999995</v>
      </c>
      <c r="H16">
        <v>112.23000000000002</v>
      </c>
      <c r="I16">
        <v>133.78000000000003</v>
      </c>
      <c r="L16" s="28">
        <v>2014</v>
      </c>
      <c r="M16">
        <v>2</v>
      </c>
      <c r="N16" s="113" t="s">
        <v>193</v>
      </c>
      <c r="O16" s="124">
        <v>0</v>
      </c>
      <c r="P16">
        <v>445.5</v>
      </c>
      <c r="Q16">
        <v>31.23548717948719</v>
      </c>
      <c r="R16">
        <v>39.898503709123474</v>
      </c>
      <c r="S16">
        <v>4606.3599999999997</v>
      </c>
      <c r="T16">
        <v>0.34919562789086328</v>
      </c>
      <c r="U16">
        <v>133.78000000000003</v>
      </c>
      <c r="V16">
        <v>523.74313199999995</v>
      </c>
      <c r="W16">
        <v>112.23000000000002</v>
      </c>
      <c r="Y16" s="28">
        <v>2014</v>
      </c>
      <c r="Z16">
        <v>2</v>
      </c>
      <c r="AA16" s="113" t="s">
        <v>193</v>
      </c>
      <c r="AB16" s="124">
        <v>0</v>
      </c>
      <c r="AC16">
        <v>1.6</v>
      </c>
      <c r="AD16">
        <v>1.2</v>
      </c>
      <c r="AE16" s="115">
        <v>3.4800000000000004</v>
      </c>
      <c r="AF16" s="115">
        <v>3.5599999999999996</v>
      </c>
      <c r="AG16">
        <v>1.0229885057471262</v>
      </c>
      <c r="AH16" s="119">
        <v>11.37</v>
      </c>
      <c r="AI16">
        <v>4606.3599999999997</v>
      </c>
      <c r="AJ16">
        <f t="shared" si="0"/>
        <v>523.74313199999995</v>
      </c>
      <c r="AK16">
        <v>11.217084786467735</v>
      </c>
      <c r="AM16">
        <v>2</v>
      </c>
      <c r="AN16" t="s">
        <v>34</v>
      </c>
      <c r="AO16">
        <v>0</v>
      </c>
      <c r="AP16">
        <v>11.217084786467735</v>
      </c>
      <c r="AQ16">
        <v>9.9221918926503232</v>
      </c>
      <c r="AR16">
        <v>13.80671398287814</v>
      </c>
    </row>
    <row r="17" spans="1:44" ht="15.5">
      <c r="A17" s="28">
        <v>2014</v>
      </c>
      <c r="B17">
        <v>2</v>
      </c>
      <c r="C17" s="116" t="s">
        <v>193</v>
      </c>
      <c r="D17" s="117">
        <v>90</v>
      </c>
      <c r="E17">
        <v>4.74</v>
      </c>
      <c r="F17">
        <v>13.21</v>
      </c>
      <c r="G17">
        <v>5.0999999999999996</v>
      </c>
      <c r="H17">
        <v>121.52</v>
      </c>
      <c r="I17">
        <v>144.57</v>
      </c>
      <c r="L17" s="28">
        <v>2014</v>
      </c>
      <c r="M17">
        <v>2</v>
      </c>
      <c r="N17" s="116" t="s">
        <v>193</v>
      </c>
      <c r="O17" s="124">
        <v>90</v>
      </c>
      <c r="P17">
        <v>461.5</v>
      </c>
      <c r="Q17">
        <v>31.052492307692237</v>
      </c>
      <c r="R17">
        <v>38.86403600096088</v>
      </c>
      <c r="S17">
        <v>4914.9276</v>
      </c>
      <c r="T17">
        <v>0.37181949505185313</v>
      </c>
      <c r="U17">
        <v>144.57</v>
      </c>
      <c r="V17">
        <v>588.80832648000001</v>
      </c>
      <c r="W17">
        <v>121.52</v>
      </c>
      <c r="Y17" s="28">
        <v>2014</v>
      </c>
      <c r="Z17">
        <v>2</v>
      </c>
      <c r="AA17" s="116" t="s">
        <v>193</v>
      </c>
      <c r="AB17" s="124">
        <v>90</v>
      </c>
      <c r="AC17">
        <v>1.62</v>
      </c>
      <c r="AD17">
        <v>1.31</v>
      </c>
      <c r="AE17" s="115">
        <v>3.6500000000000004</v>
      </c>
      <c r="AF17" s="115">
        <v>3.7899999999999996</v>
      </c>
      <c r="AG17">
        <v>1.0383561643835615</v>
      </c>
      <c r="AH17" s="119">
        <v>11.98</v>
      </c>
      <c r="AI17">
        <v>4914.9276</v>
      </c>
      <c r="AJ17">
        <f t="shared" si="0"/>
        <v>588.80832648000001</v>
      </c>
      <c r="AK17">
        <v>11.489275784029164</v>
      </c>
      <c r="AM17">
        <v>2</v>
      </c>
      <c r="AN17" t="s">
        <v>34</v>
      </c>
      <c r="AO17">
        <v>90</v>
      </c>
      <c r="AP17">
        <v>11.489275784029164</v>
      </c>
      <c r="AQ17">
        <v>10.152355487649606</v>
      </c>
      <c r="AR17">
        <v>14.042896932164922</v>
      </c>
    </row>
    <row r="18" spans="1:44" ht="15.5">
      <c r="A18" s="28">
        <v>2014</v>
      </c>
      <c r="B18">
        <v>2</v>
      </c>
      <c r="C18" s="116" t="s">
        <v>193</v>
      </c>
      <c r="D18" s="117">
        <v>150</v>
      </c>
      <c r="E18">
        <v>5.2799999999999994</v>
      </c>
      <c r="F18">
        <v>16.52</v>
      </c>
      <c r="G18">
        <v>7.74</v>
      </c>
      <c r="H18">
        <v>138.36000000000001</v>
      </c>
      <c r="I18">
        <v>167.9</v>
      </c>
      <c r="L18" s="28">
        <v>2014</v>
      </c>
      <c r="M18">
        <v>2</v>
      </c>
      <c r="N18" s="116" t="s">
        <v>193</v>
      </c>
      <c r="O18" s="124">
        <v>150</v>
      </c>
      <c r="P18">
        <v>456.5</v>
      </c>
      <c r="Q18">
        <v>32.165543859649198</v>
      </c>
      <c r="R18">
        <v>39.611198196888182</v>
      </c>
      <c r="S18">
        <v>4903.6833999999999</v>
      </c>
      <c r="T18">
        <v>0.3618082727667466</v>
      </c>
      <c r="U18">
        <v>167.9</v>
      </c>
      <c r="V18">
        <v>685.53493932000015</v>
      </c>
      <c r="W18">
        <v>138.36000000000001</v>
      </c>
      <c r="Y18" s="28">
        <v>2014</v>
      </c>
      <c r="Z18">
        <v>2</v>
      </c>
      <c r="AA18" s="116" t="s">
        <v>193</v>
      </c>
      <c r="AB18" s="124">
        <v>150</v>
      </c>
      <c r="AC18">
        <v>2.0700000000000003</v>
      </c>
      <c r="AD18">
        <v>1.5</v>
      </c>
      <c r="AE18" s="115">
        <v>4.1700000000000008</v>
      </c>
      <c r="AF18" s="115">
        <v>4.4399999999999995</v>
      </c>
      <c r="AG18">
        <v>1.0647482014388485</v>
      </c>
      <c r="AH18" s="122">
        <v>13.980000000000002</v>
      </c>
      <c r="AI18">
        <v>4903.6833999999999</v>
      </c>
      <c r="AJ18">
        <f t="shared" si="0"/>
        <v>685.53493932000015</v>
      </c>
      <c r="AK18">
        <v>11.355857446813921</v>
      </c>
      <c r="AM18">
        <v>2</v>
      </c>
      <c r="AN18" t="s">
        <v>34</v>
      </c>
      <c r="AO18">
        <v>150</v>
      </c>
      <c r="AP18">
        <v>11.355857446813921</v>
      </c>
      <c r="AQ18">
        <v>11.59739907215477</v>
      </c>
      <c r="AR18">
        <v>15.761287646236031</v>
      </c>
    </row>
    <row r="19" spans="1:44" ht="15.5">
      <c r="A19" s="28">
        <v>2014</v>
      </c>
      <c r="B19">
        <v>2</v>
      </c>
      <c r="C19" s="120" t="s">
        <v>193</v>
      </c>
      <c r="D19" s="121">
        <v>210</v>
      </c>
      <c r="E19">
        <v>3.88</v>
      </c>
      <c r="F19">
        <v>10.969999999999999</v>
      </c>
      <c r="G19">
        <v>8.3400000000000016</v>
      </c>
      <c r="H19">
        <v>129.4</v>
      </c>
      <c r="I19">
        <v>152.59</v>
      </c>
      <c r="L19" s="28">
        <v>2014</v>
      </c>
      <c r="M19">
        <v>2</v>
      </c>
      <c r="N19" s="120" t="s">
        <v>193</v>
      </c>
      <c r="O19" s="125">
        <v>210</v>
      </c>
      <c r="P19">
        <v>454</v>
      </c>
      <c r="Q19">
        <v>32.520800000000058</v>
      </c>
      <c r="R19">
        <v>40.672141660836409</v>
      </c>
      <c r="S19">
        <v>5347.4322000000002</v>
      </c>
      <c r="T19">
        <v>0.37047126135372849</v>
      </c>
      <c r="U19">
        <v>152.59</v>
      </c>
      <c r="V19">
        <v>694.63144278000004</v>
      </c>
      <c r="W19">
        <v>129.4</v>
      </c>
      <c r="Y19" s="28">
        <v>2014</v>
      </c>
      <c r="Z19">
        <v>2</v>
      </c>
      <c r="AA19" s="120" t="s">
        <v>193</v>
      </c>
      <c r="AB19" s="125">
        <v>210</v>
      </c>
      <c r="AC19">
        <v>1.8900000000000001</v>
      </c>
      <c r="AD19">
        <v>1.35</v>
      </c>
      <c r="AE19" s="115">
        <v>4.089999999999999</v>
      </c>
      <c r="AF19" s="115">
        <v>4.3</v>
      </c>
      <c r="AG19">
        <v>1.0513447432762839</v>
      </c>
      <c r="AH19">
        <v>12.99</v>
      </c>
      <c r="AI19">
        <v>5347.4322000000002</v>
      </c>
      <c r="AJ19">
        <f t="shared" si="0"/>
        <v>694.63144278000004</v>
      </c>
      <c r="AK19">
        <v>13.579683871027683</v>
      </c>
      <c r="AM19">
        <v>2</v>
      </c>
      <c r="AN19" t="s">
        <v>34</v>
      </c>
      <c r="AO19">
        <v>210</v>
      </c>
      <c r="AP19">
        <v>13.579683871027683</v>
      </c>
      <c r="AQ19">
        <v>10.556546812233529</v>
      </c>
      <c r="AR19">
        <v>14.366937952752307</v>
      </c>
    </row>
    <row r="20" spans="1:44" ht="15.5">
      <c r="A20" s="28">
        <v>2014</v>
      </c>
      <c r="B20">
        <v>3</v>
      </c>
      <c r="C20" s="113" t="s">
        <v>189</v>
      </c>
      <c r="D20" s="92">
        <v>0</v>
      </c>
      <c r="E20">
        <v>3.59</v>
      </c>
      <c r="F20">
        <v>12.99</v>
      </c>
      <c r="G20">
        <v>5.94</v>
      </c>
      <c r="H20">
        <v>119.11</v>
      </c>
      <c r="I20">
        <v>141.79</v>
      </c>
      <c r="L20" s="28">
        <v>2014</v>
      </c>
      <c r="M20">
        <v>3</v>
      </c>
      <c r="N20" s="113" t="s">
        <v>189</v>
      </c>
      <c r="O20" s="126">
        <v>0</v>
      </c>
      <c r="P20">
        <v>438</v>
      </c>
      <c r="Q20">
        <v>31.3764</v>
      </c>
      <c r="R20">
        <v>40.520121837797618</v>
      </c>
      <c r="S20">
        <v>4973.2803999999996</v>
      </c>
      <c r="T20">
        <v>0.34318371026232675</v>
      </c>
      <c r="U20">
        <v>141.79</v>
      </c>
      <c r="V20">
        <v>536.1196271199999</v>
      </c>
      <c r="W20">
        <v>119.11</v>
      </c>
      <c r="Y20" s="28">
        <v>2014</v>
      </c>
      <c r="Z20">
        <v>3</v>
      </c>
      <c r="AA20" s="113" t="s">
        <v>189</v>
      </c>
      <c r="AB20" s="126">
        <v>0</v>
      </c>
      <c r="AC20">
        <v>1.36</v>
      </c>
      <c r="AD20">
        <v>1.1399999999999999</v>
      </c>
      <c r="AE20" s="115">
        <v>3.41</v>
      </c>
      <c r="AF20" s="115">
        <v>3.41</v>
      </c>
      <c r="AG20">
        <v>1</v>
      </c>
      <c r="AH20">
        <v>10.78</v>
      </c>
      <c r="AI20">
        <v>4973.2803999999996</v>
      </c>
      <c r="AJ20">
        <f t="shared" si="0"/>
        <v>536.1196271199999</v>
      </c>
      <c r="AK20">
        <v>11.330924117162457</v>
      </c>
      <c r="AM20">
        <v>3</v>
      </c>
      <c r="AN20" t="s">
        <v>33</v>
      </c>
      <c r="AO20">
        <v>0</v>
      </c>
      <c r="AP20">
        <v>11.330924117162457</v>
      </c>
      <c r="AQ20">
        <v>11.515971916962137</v>
      </c>
      <c r="AR20">
        <v>14.092978281543804</v>
      </c>
    </row>
    <row r="21" spans="1:44" ht="15.5">
      <c r="A21" s="28">
        <v>2014</v>
      </c>
      <c r="B21">
        <v>3</v>
      </c>
      <c r="C21" s="116" t="s">
        <v>189</v>
      </c>
      <c r="D21" s="94">
        <v>90</v>
      </c>
      <c r="E21">
        <v>3.86</v>
      </c>
      <c r="F21">
        <v>12.66</v>
      </c>
      <c r="G21">
        <v>8.5500000000000007</v>
      </c>
      <c r="H21">
        <v>131.26</v>
      </c>
      <c r="I21">
        <v>153.76</v>
      </c>
      <c r="L21" s="28">
        <v>2014</v>
      </c>
      <c r="M21">
        <v>3</v>
      </c>
      <c r="N21" s="116" t="s">
        <v>189</v>
      </c>
      <c r="O21" s="127">
        <v>90</v>
      </c>
      <c r="P21">
        <v>459</v>
      </c>
      <c r="Q21">
        <v>31.69178571428575</v>
      </c>
      <c r="R21">
        <v>39.648682652534177</v>
      </c>
      <c r="S21">
        <v>5060.7677999999996</v>
      </c>
      <c r="T21">
        <v>0.34978686028730588</v>
      </c>
      <c r="U21">
        <v>153.76</v>
      </c>
      <c r="V21">
        <v>591.09767903999989</v>
      </c>
      <c r="W21">
        <v>131.26</v>
      </c>
      <c r="Y21" s="28">
        <v>2014</v>
      </c>
      <c r="Z21">
        <v>3</v>
      </c>
      <c r="AA21" s="116" t="s">
        <v>189</v>
      </c>
      <c r="AB21" s="127">
        <v>90</v>
      </c>
      <c r="AC21">
        <v>1.55</v>
      </c>
      <c r="AD21">
        <v>1.34</v>
      </c>
      <c r="AE21" s="115">
        <v>3.61</v>
      </c>
      <c r="AF21" s="115">
        <v>3.72</v>
      </c>
      <c r="AG21">
        <v>1.030470914127424</v>
      </c>
      <c r="AH21">
        <v>11.68</v>
      </c>
      <c r="AI21">
        <v>5060.7677999999996</v>
      </c>
      <c r="AJ21">
        <f t="shared" si="0"/>
        <v>591.09767903999989</v>
      </c>
      <c r="AK21">
        <v>10.915194580335976</v>
      </c>
      <c r="AM21">
        <v>3</v>
      </c>
      <c r="AN21" t="s">
        <v>33</v>
      </c>
      <c r="AO21">
        <v>90</v>
      </c>
      <c r="AP21">
        <v>10.915194580335976</v>
      </c>
      <c r="AQ21">
        <v>11.506334640406873</v>
      </c>
      <c r="AR21">
        <v>14.570230137236795</v>
      </c>
    </row>
    <row r="22" spans="1:44" ht="15.5">
      <c r="A22" s="28">
        <v>2014</v>
      </c>
      <c r="B22">
        <v>3</v>
      </c>
      <c r="C22" s="116" t="s">
        <v>189</v>
      </c>
      <c r="D22" s="94">
        <v>150</v>
      </c>
      <c r="E22">
        <v>7.51</v>
      </c>
      <c r="F22">
        <v>14.23</v>
      </c>
      <c r="G22">
        <v>8.27</v>
      </c>
      <c r="H22">
        <v>147.86000000000001</v>
      </c>
      <c r="I22">
        <v>186.16</v>
      </c>
      <c r="L22" s="28">
        <v>2014</v>
      </c>
      <c r="M22">
        <v>3</v>
      </c>
      <c r="N22" s="116" t="s">
        <v>189</v>
      </c>
      <c r="O22" s="127">
        <v>150</v>
      </c>
      <c r="P22">
        <v>483</v>
      </c>
      <c r="Q22">
        <v>32.615000000000002</v>
      </c>
      <c r="R22">
        <v>40.067850736616627</v>
      </c>
      <c r="S22">
        <v>5333.2619999999997</v>
      </c>
      <c r="T22">
        <v>0.36281944124726684</v>
      </c>
      <c r="U22">
        <v>186.16</v>
      </c>
      <c r="V22">
        <v>725.85695819999989</v>
      </c>
      <c r="W22">
        <v>147.86000000000001</v>
      </c>
      <c r="Y22" s="28">
        <v>2014</v>
      </c>
      <c r="Z22">
        <v>3</v>
      </c>
      <c r="AA22" s="116" t="s">
        <v>189</v>
      </c>
      <c r="AB22" s="127">
        <v>150</v>
      </c>
      <c r="AC22">
        <v>1.86</v>
      </c>
      <c r="AD22">
        <v>1.53</v>
      </c>
      <c r="AE22" s="115">
        <v>4.08</v>
      </c>
      <c r="AF22" s="115">
        <v>4.32</v>
      </c>
      <c r="AG22">
        <v>1.0588235294117647</v>
      </c>
      <c r="AH22">
        <v>13.61</v>
      </c>
      <c r="AI22">
        <v>5333.2619999999997</v>
      </c>
      <c r="AJ22">
        <f t="shared" si="0"/>
        <v>725.85695819999989</v>
      </c>
      <c r="AK22">
        <v>13.010258835099359</v>
      </c>
      <c r="AM22">
        <v>3</v>
      </c>
      <c r="AN22" t="s">
        <v>33</v>
      </c>
      <c r="AO22">
        <v>150</v>
      </c>
      <c r="AP22">
        <v>13.010258835099359</v>
      </c>
      <c r="AQ22">
        <v>13.344077259481516</v>
      </c>
      <c r="AR22">
        <v>16.166828977108104</v>
      </c>
    </row>
    <row r="23" spans="1:44" ht="15.5">
      <c r="A23" s="28">
        <v>2014</v>
      </c>
      <c r="B23">
        <v>3</v>
      </c>
      <c r="C23" s="116" t="s">
        <v>189</v>
      </c>
      <c r="D23" s="94">
        <v>210</v>
      </c>
      <c r="E23">
        <v>5.39</v>
      </c>
      <c r="F23">
        <v>13.59</v>
      </c>
      <c r="G23">
        <v>6.66</v>
      </c>
      <c r="H23">
        <v>133.58000000000001</v>
      </c>
      <c r="I23">
        <v>169.53</v>
      </c>
      <c r="L23" s="28">
        <v>2014</v>
      </c>
      <c r="M23">
        <v>3</v>
      </c>
      <c r="N23" s="116" t="s">
        <v>189</v>
      </c>
      <c r="O23" s="127">
        <v>210</v>
      </c>
      <c r="P23">
        <v>455</v>
      </c>
      <c r="Q23">
        <v>33.217684210526286</v>
      </c>
      <c r="R23">
        <v>40.784486870564677</v>
      </c>
      <c r="S23">
        <v>5784.2422000000006</v>
      </c>
      <c r="T23">
        <v>0.36788798075374662</v>
      </c>
      <c r="U23">
        <v>169.53</v>
      </c>
      <c r="V23">
        <v>710.30494216000011</v>
      </c>
      <c r="W23">
        <v>133.58000000000001</v>
      </c>
      <c r="Y23" s="28">
        <v>2014</v>
      </c>
      <c r="Z23">
        <v>3</v>
      </c>
      <c r="AA23" s="116" t="s">
        <v>189</v>
      </c>
      <c r="AB23" s="127">
        <v>210</v>
      </c>
      <c r="AC23">
        <v>1.73</v>
      </c>
      <c r="AD23">
        <v>1.43</v>
      </c>
      <c r="AE23" s="115">
        <v>3.92</v>
      </c>
      <c r="AF23" s="115">
        <v>4.17</v>
      </c>
      <c r="AG23">
        <v>1.0637755102040816</v>
      </c>
      <c r="AH23">
        <v>12.28</v>
      </c>
      <c r="AI23">
        <v>5784.2422000000006</v>
      </c>
      <c r="AJ23">
        <f t="shared" si="0"/>
        <v>710.30494216000011</v>
      </c>
      <c r="AK23">
        <v>13.537626642965353</v>
      </c>
      <c r="AM23">
        <v>3</v>
      </c>
      <c r="AN23" t="s">
        <v>33</v>
      </c>
      <c r="AO23">
        <v>210</v>
      </c>
      <c r="AP23">
        <v>13.537626642965353</v>
      </c>
      <c r="AQ23">
        <v>11.78345979253502</v>
      </c>
      <c r="AR23">
        <v>14.836138851742241</v>
      </c>
    </row>
    <row r="24" spans="1:44" ht="15.5">
      <c r="A24" s="28">
        <v>2014</v>
      </c>
      <c r="B24">
        <v>3</v>
      </c>
      <c r="C24" s="113" t="s">
        <v>193</v>
      </c>
      <c r="D24" s="94">
        <v>0</v>
      </c>
      <c r="E24">
        <v>3.28</v>
      </c>
      <c r="F24">
        <v>12.32</v>
      </c>
      <c r="G24">
        <v>6.63</v>
      </c>
      <c r="H24">
        <v>108.79</v>
      </c>
      <c r="I24">
        <v>136.88</v>
      </c>
      <c r="L24" s="28">
        <v>2014</v>
      </c>
      <c r="M24">
        <v>3</v>
      </c>
      <c r="N24" s="113" t="s">
        <v>193</v>
      </c>
      <c r="O24" s="127">
        <v>0</v>
      </c>
      <c r="P24">
        <v>416.5</v>
      </c>
      <c r="Q24">
        <v>31.061743589743596</v>
      </c>
      <c r="R24">
        <v>39.647648080976829</v>
      </c>
      <c r="S24">
        <v>4592.3360999999995</v>
      </c>
      <c r="T24">
        <v>0.35142786667025561</v>
      </c>
      <c r="U24">
        <v>136.88</v>
      </c>
      <c r="V24">
        <v>521.68938095999988</v>
      </c>
      <c r="W24">
        <v>108.79</v>
      </c>
      <c r="Y24" s="28">
        <v>2014</v>
      </c>
      <c r="Z24">
        <v>3</v>
      </c>
      <c r="AA24" s="113" t="s">
        <v>193</v>
      </c>
      <c r="AB24" s="127">
        <v>0</v>
      </c>
      <c r="AC24">
        <v>1.59</v>
      </c>
      <c r="AD24">
        <v>1.19</v>
      </c>
      <c r="AE24" s="115">
        <v>3.47</v>
      </c>
      <c r="AF24" s="115">
        <v>3.55</v>
      </c>
      <c r="AG24">
        <v>1.0230547550432276</v>
      </c>
      <c r="AH24">
        <v>11.36</v>
      </c>
      <c r="AI24">
        <v>4592.3360999999995</v>
      </c>
      <c r="AJ24">
        <f t="shared" si="0"/>
        <v>521.68938095999988</v>
      </c>
      <c r="AK24">
        <v>11.332695188086056</v>
      </c>
      <c r="AM24">
        <v>3</v>
      </c>
      <c r="AN24" t="s">
        <v>34</v>
      </c>
      <c r="AO24">
        <v>0</v>
      </c>
      <c r="AP24">
        <v>11.332695188086056</v>
      </c>
      <c r="AQ24">
        <v>9.9723052642317231</v>
      </c>
      <c r="AR24">
        <v>13.735549817866008</v>
      </c>
    </row>
    <row r="25" spans="1:44" ht="15.5">
      <c r="A25" s="28">
        <v>2014</v>
      </c>
      <c r="B25">
        <v>3</v>
      </c>
      <c r="C25" s="116" t="s">
        <v>193</v>
      </c>
      <c r="D25" s="94">
        <v>90</v>
      </c>
      <c r="E25">
        <v>4.54</v>
      </c>
      <c r="F25">
        <v>12.74</v>
      </c>
      <c r="G25">
        <v>4.8099999999999996</v>
      </c>
      <c r="H25">
        <v>123.66</v>
      </c>
      <c r="I25">
        <v>141.6</v>
      </c>
      <c r="L25" s="28">
        <v>2014</v>
      </c>
      <c r="M25">
        <v>3</v>
      </c>
      <c r="N25" s="116" t="s">
        <v>193</v>
      </c>
      <c r="O25" s="127">
        <v>90</v>
      </c>
      <c r="P25">
        <v>432.5</v>
      </c>
      <c r="Q25">
        <v>30.943846153846117</v>
      </c>
      <c r="R25">
        <v>38.862690228154634</v>
      </c>
      <c r="S25">
        <v>4929.3486000000003</v>
      </c>
      <c r="T25">
        <v>0.37393510779154759</v>
      </c>
      <c r="U25">
        <v>141.6</v>
      </c>
      <c r="V25">
        <v>590.04302742000004</v>
      </c>
      <c r="W25">
        <v>123.66</v>
      </c>
      <c r="Y25" s="28">
        <v>2014</v>
      </c>
      <c r="Z25">
        <v>3</v>
      </c>
      <c r="AA25" s="116" t="s">
        <v>193</v>
      </c>
      <c r="AB25" s="127">
        <v>90</v>
      </c>
      <c r="AC25">
        <v>1.61</v>
      </c>
      <c r="AD25">
        <v>1.29</v>
      </c>
      <c r="AE25" s="115">
        <v>3.66</v>
      </c>
      <c r="AF25" s="115">
        <v>3.8</v>
      </c>
      <c r="AG25">
        <v>1.0382513661202184</v>
      </c>
      <c r="AH25">
        <v>11.97</v>
      </c>
      <c r="AI25">
        <v>4929.3486000000003</v>
      </c>
      <c r="AJ25">
        <f t="shared" si="0"/>
        <v>590.04302742000004</v>
      </c>
      <c r="AK25">
        <v>11.608484351313818</v>
      </c>
      <c r="AM25">
        <v>3</v>
      </c>
      <c r="AN25" t="s">
        <v>34</v>
      </c>
      <c r="AO25">
        <v>90</v>
      </c>
      <c r="AP25">
        <v>11.608484351313818</v>
      </c>
      <c r="AQ25">
        <v>10.165055003091625</v>
      </c>
      <c r="AR25">
        <v>14.138556435859101</v>
      </c>
    </row>
    <row r="26" spans="1:44" ht="15.5">
      <c r="A26" s="28">
        <v>2014</v>
      </c>
      <c r="B26">
        <v>3</v>
      </c>
      <c r="C26" s="116" t="s">
        <v>193</v>
      </c>
      <c r="D26" s="94">
        <v>150</v>
      </c>
      <c r="E26">
        <v>4.7699999999999996</v>
      </c>
      <c r="F26">
        <v>16.82</v>
      </c>
      <c r="G26">
        <v>7.49</v>
      </c>
      <c r="H26">
        <v>134.46</v>
      </c>
      <c r="I26">
        <v>166.11</v>
      </c>
      <c r="L26" s="28">
        <v>2014</v>
      </c>
      <c r="M26">
        <v>3</v>
      </c>
      <c r="N26" s="116" t="s">
        <v>193</v>
      </c>
      <c r="O26" s="127">
        <v>150</v>
      </c>
      <c r="P26">
        <v>464</v>
      </c>
      <c r="Q26">
        <v>32.252771929824604</v>
      </c>
      <c r="R26">
        <v>39.715408258749434</v>
      </c>
      <c r="S26">
        <v>4893.8185999999996</v>
      </c>
      <c r="T26">
        <v>0.36365305181592428</v>
      </c>
      <c r="U26">
        <v>166.11</v>
      </c>
      <c r="V26">
        <v>683.17707655999993</v>
      </c>
      <c r="W26">
        <v>134.46</v>
      </c>
      <c r="Y26" s="28">
        <v>2014</v>
      </c>
      <c r="Z26">
        <v>3</v>
      </c>
      <c r="AA26" s="116" t="s">
        <v>193</v>
      </c>
      <c r="AB26" s="127">
        <v>150</v>
      </c>
      <c r="AC26">
        <v>2.06</v>
      </c>
      <c r="AD26">
        <v>1.49</v>
      </c>
      <c r="AE26" s="115">
        <v>4.1500000000000004</v>
      </c>
      <c r="AF26" s="115">
        <v>4.43</v>
      </c>
      <c r="AG26">
        <v>1.0674698795180722</v>
      </c>
      <c r="AH26">
        <v>13.96</v>
      </c>
      <c r="AI26">
        <v>4893.8185999999996</v>
      </c>
      <c r="AJ26">
        <f t="shared" si="0"/>
        <v>683.17707655999993</v>
      </c>
      <c r="AK26">
        <v>11.466221110487586</v>
      </c>
      <c r="AM26">
        <v>3</v>
      </c>
      <c r="AN26" t="s">
        <v>34</v>
      </c>
      <c r="AO26">
        <v>150</v>
      </c>
      <c r="AP26">
        <v>11.466221110487586</v>
      </c>
      <c r="AQ26">
        <v>11.658419749533071</v>
      </c>
      <c r="AR26">
        <v>15.69746236345433</v>
      </c>
    </row>
    <row r="27" spans="1:44" ht="16" thickBot="1">
      <c r="A27" s="28">
        <v>2014</v>
      </c>
      <c r="B27">
        <v>3</v>
      </c>
      <c r="C27" s="120" t="s">
        <v>193</v>
      </c>
      <c r="D27" s="97">
        <v>210</v>
      </c>
      <c r="E27">
        <v>3.81</v>
      </c>
      <c r="F27">
        <v>11.12</v>
      </c>
      <c r="G27">
        <v>8.23</v>
      </c>
      <c r="H27">
        <v>127.36</v>
      </c>
      <c r="I27">
        <v>161.21</v>
      </c>
      <c r="L27" s="28">
        <v>2014</v>
      </c>
      <c r="M27">
        <v>3</v>
      </c>
      <c r="N27" s="120" t="s">
        <v>193</v>
      </c>
      <c r="O27" s="128">
        <v>210</v>
      </c>
      <c r="P27">
        <v>437.5</v>
      </c>
      <c r="Q27">
        <v>32.544800000000023</v>
      </c>
      <c r="R27">
        <v>40.32846375406811</v>
      </c>
      <c r="S27">
        <v>5357.0879999999997</v>
      </c>
      <c r="T27">
        <v>0.36879167814035563</v>
      </c>
      <c r="U27">
        <v>161.21</v>
      </c>
      <c r="V27">
        <v>695.35002240000006</v>
      </c>
      <c r="W27">
        <v>127.36</v>
      </c>
      <c r="Y27" s="28">
        <v>2014</v>
      </c>
      <c r="Z27">
        <v>3</v>
      </c>
      <c r="AA27" s="120" t="s">
        <v>193</v>
      </c>
      <c r="AB27" s="128">
        <v>210</v>
      </c>
      <c r="AC27">
        <v>1.87</v>
      </c>
      <c r="AD27">
        <v>1.34</v>
      </c>
      <c r="AE27" s="115">
        <v>4.0599999999999996</v>
      </c>
      <c r="AF27" s="115">
        <v>4.29</v>
      </c>
      <c r="AG27">
        <v>1.0566502463054188</v>
      </c>
      <c r="AH27">
        <v>12.98</v>
      </c>
      <c r="AI27">
        <v>5357.0879999999997</v>
      </c>
      <c r="AJ27">
        <f t="shared" si="0"/>
        <v>695.35002240000006</v>
      </c>
      <c r="AK27">
        <v>13.725491060844657</v>
      </c>
      <c r="AM27">
        <v>3</v>
      </c>
      <c r="AN27" t="s">
        <v>34</v>
      </c>
      <c r="AO27">
        <v>210</v>
      </c>
      <c r="AP27">
        <v>13.725491060844657</v>
      </c>
      <c r="AQ27">
        <v>10.488493076732473</v>
      </c>
      <c r="AR27">
        <v>14.499965543517725</v>
      </c>
    </row>
    <row r="28" spans="1:44" ht="15.5">
      <c r="A28" s="24">
        <v>2015</v>
      </c>
      <c r="B28">
        <v>1</v>
      </c>
      <c r="C28" s="113" t="s">
        <v>189</v>
      </c>
      <c r="D28" s="92">
        <v>0</v>
      </c>
      <c r="E28" s="129">
        <v>2.7730000000000001</v>
      </c>
      <c r="F28" s="130">
        <v>10.887</v>
      </c>
      <c r="G28" s="130">
        <v>3.5958000000000001</v>
      </c>
      <c r="H28" s="130">
        <v>71.827799999999996</v>
      </c>
      <c r="I28" s="131">
        <v>89.08359999999999</v>
      </c>
      <c r="L28" s="24">
        <v>2015</v>
      </c>
      <c r="M28">
        <v>1</v>
      </c>
      <c r="N28" s="113" t="s">
        <v>189</v>
      </c>
      <c r="O28" s="92">
        <v>0</v>
      </c>
      <c r="P28">
        <v>512</v>
      </c>
      <c r="Q28">
        <v>31.47</v>
      </c>
      <c r="R28">
        <v>42.026315789473699</v>
      </c>
      <c r="S28">
        <v>4381.7250000000004</v>
      </c>
      <c r="T28">
        <v>0.38327757003214591</v>
      </c>
      <c r="U28" s="131">
        <v>89.08359999999999</v>
      </c>
      <c r="V28">
        <v>521.42527500000006</v>
      </c>
      <c r="W28" s="130">
        <v>71.827799999999996</v>
      </c>
      <c r="Y28" s="24">
        <v>2015</v>
      </c>
      <c r="Z28">
        <v>1</v>
      </c>
      <c r="AA28" s="113" t="s">
        <v>189</v>
      </c>
      <c r="AB28" s="92">
        <v>0</v>
      </c>
      <c r="AC28" s="41">
        <v>1.64</v>
      </c>
      <c r="AD28" s="41">
        <v>1.37</v>
      </c>
      <c r="AE28" s="41">
        <v>3.7</v>
      </c>
      <c r="AF28" s="41">
        <v>3.71</v>
      </c>
      <c r="AG28" s="41">
        <v>1.0027027027027027</v>
      </c>
      <c r="AH28" s="41">
        <v>11.9</v>
      </c>
      <c r="AI28">
        <v>4381.7250000000004</v>
      </c>
      <c r="AJ28">
        <f t="shared" si="0"/>
        <v>521.42527500000006</v>
      </c>
      <c r="AK28">
        <v>11.333600046682644</v>
      </c>
    </row>
    <row r="29" spans="1:44" ht="15.5">
      <c r="A29" s="28">
        <v>2015</v>
      </c>
      <c r="B29">
        <v>1</v>
      </c>
      <c r="C29" s="116" t="s">
        <v>189</v>
      </c>
      <c r="D29" s="94">
        <v>90</v>
      </c>
      <c r="E29" s="132">
        <v>3.9885999999999999</v>
      </c>
      <c r="F29">
        <v>16.053599999999999</v>
      </c>
      <c r="G29">
        <v>6.085</v>
      </c>
      <c r="H29">
        <v>71.574799999999996</v>
      </c>
      <c r="I29" s="133">
        <v>97.701999999999998</v>
      </c>
      <c r="L29" s="28">
        <v>2015</v>
      </c>
      <c r="M29">
        <v>1</v>
      </c>
      <c r="N29" s="116" t="s">
        <v>189</v>
      </c>
      <c r="O29" s="94">
        <v>90</v>
      </c>
      <c r="P29">
        <v>533</v>
      </c>
      <c r="Q29">
        <v>31.4</v>
      </c>
      <c r="R29">
        <v>40.732394366197191</v>
      </c>
      <c r="S29">
        <v>4451.1000000000004</v>
      </c>
      <c r="T29">
        <v>0.33881906965768704</v>
      </c>
      <c r="U29" s="133">
        <v>97.701999999999998</v>
      </c>
      <c r="V29">
        <v>552.38151000000005</v>
      </c>
      <c r="W29">
        <v>71.574799999999996</v>
      </c>
      <c r="Y29" s="28">
        <v>2015</v>
      </c>
      <c r="Z29">
        <v>1</v>
      </c>
      <c r="AA29" s="116" t="s">
        <v>189</v>
      </c>
      <c r="AB29" s="94">
        <v>90</v>
      </c>
      <c r="AC29" s="41">
        <v>1.87</v>
      </c>
      <c r="AD29" s="41">
        <v>1.61</v>
      </c>
      <c r="AE29" s="41">
        <v>3.9</v>
      </c>
      <c r="AF29" s="41">
        <v>4.0199999999999996</v>
      </c>
      <c r="AG29" s="41">
        <v>1.0307692307692307</v>
      </c>
      <c r="AH29" s="41">
        <v>12.41</v>
      </c>
      <c r="AI29">
        <v>4451.1000000000004</v>
      </c>
      <c r="AJ29">
        <f t="shared" si="0"/>
        <v>552.38151000000005</v>
      </c>
      <c r="AK29">
        <v>11.397536080637359</v>
      </c>
    </row>
    <row r="30" spans="1:44" ht="15.5">
      <c r="A30" s="28">
        <v>2015</v>
      </c>
      <c r="B30">
        <v>1</v>
      </c>
      <c r="C30" s="116" t="s">
        <v>189</v>
      </c>
      <c r="D30" s="94">
        <v>150</v>
      </c>
      <c r="E30" s="132">
        <v>5.1932</v>
      </c>
      <c r="F30">
        <v>20.9846</v>
      </c>
      <c r="G30">
        <v>8.8596000000000004</v>
      </c>
      <c r="H30">
        <v>92.933000000000007</v>
      </c>
      <c r="I30" s="133">
        <v>127.97040000000001</v>
      </c>
      <c r="L30" s="28">
        <v>2015</v>
      </c>
      <c r="M30">
        <v>1</v>
      </c>
      <c r="N30" s="116" t="s">
        <v>189</v>
      </c>
      <c r="O30" s="94">
        <v>150</v>
      </c>
      <c r="P30">
        <v>556</v>
      </c>
      <c r="Q30">
        <v>31.5</v>
      </c>
      <c r="R30">
        <v>43.512195121951201</v>
      </c>
      <c r="S30">
        <v>5200.9549999999999</v>
      </c>
      <c r="T30">
        <v>0.36931781063155944</v>
      </c>
      <c r="U30" s="133">
        <v>127.97040000000001</v>
      </c>
      <c r="V30">
        <v>709.9303574999999</v>
      </c>
      <c r="W30">
        <v>92.933000000000007</v>
      </c>
      <c r="Y30" s="28">
        <v>2015</v>
      </c>
      <c r="Z30">
        <v>1</v>
      </c>
      <c r="AA30" s="116" t="s">
        <v>189</v>
      </c>
      <c r="AB30" s="94">
        <v>150</v>
      </c>
      <c r="AC30" s="41">
        <v>2.17</v>
      </c>
      <c r="AD30" s="41">
        <v>1.68</v>
      </c>
      <c r="AE30" s="41">
        <v>4.26</v>
      </c>
      <c r="AF30" s="41">
        <v>4.51</v>
      </c>
      <c r="AG30" s="41">
        <v>1.0586854460093897</v>
      </c>
      <c r="AH30" s="41">
        <v>13.65</v>
      </c>
      <c r="AI30">
        <v>5200.9549999999999</v>
      </c>
      <c r="AJ30">
        <f t="shared" si="0"/>
        <v>709.9303574999999</v>
      </c>
      <c r="AK30">
        <v>13.168169244954409</v>
      </c>
    </row>
    <row r="31" spans="1:44" ht="15.5">
      <c r="A31" s="28">
        <v>2015</v>
      </c>
      <c r="B31">
        <v>1</v>
      </c>
      <c r="C31" s="116" t="s">
        <v>189</v>
      </c>
      <c r="D31" s="94">
        <v>210</v>
      </c>
      <c r="E31" s="132">
        <v>4.1449999999999996</v>
      </c>
      <c r="F31">
        <v>17.739599999999999</v>
      </c>
      <c r="G31">
        <v>7.4581999999999997</v>
      </c>
      <c r="H31">
        <v>80.839799999999997</v>
      </c>
      <c r="I31" s="133">
        <v>110.18259999999999</v>
      </c>
      <c r="L31" s="28">
        <v>2015</v>
      </c>
      <c r="M31">
        <v>1</v>
      </c>
      <c r="N31" s="116" t="s">
        <v>189</v>
      </c>
      <c r="O31" s="94">
        <v>210</v>
      </c>
      <c r="P31">
        <v>554</v>
      </c>
      <c r="Q31">
        <v>29.53</v>
      </c>
      <c r="R31">
        <v>41.300366300366299</v>
      </c>
      <c r="S31">
        <v>4681.0050000000001</v>
      </c>
      <c r="T31">
        <v>0.3765315880918661</v>
      </c>
      <c r="U31" s="133">
        <v>110.18259999999999</v>
      </c>
      <c r="V31">
        <v>620.23316250000005</v>
      </c>
      <c r="W31">
        <v>80.839799999999997</v>
      </c>
      <c r="Y31" s="28">
        <v>2015</v>
      </c>
      <c r="Z31">
        <v>1</v>
      </c>
      <c r="AA31" s="116" t="s">
        <v>189</v>
      </c>
      <c r="AB31" s="94">
        <v>210</v>
      </c>
      <c r="AC31" s="41">
        <v>2.0499999999999998</v>
      </c>
      <c r="AD31" s="41">
        <v>1.53</v>
      </c>
      <c r="AE31" s="41">
        <v>4.12</v>
      </c>
      <c r="AF31" s="41">
        <v>4.37</v>
      </c>
      <c r="AG31" s="41">
        <v>1.0606796116504855</v>
      </c>
      <c r="AH31" s="41">
        <v>13.25</v>
      </c>
      <c r="AI31">
        <v>4681.0050000000001</v>
      </c>
      <c r="AJ31">
        <f t="shared" si="0"/>
        <v>620.23316250000005</v>
      </c>
      <c r="AK31">
        <v>11.593898505404674</v>
      </c>
    </row>
    <row r="32" spans="1:44" ht="15.5">
      <c r="A32" s="28">
        <v>2015</v>
      </c>
      <c r="B32">
        <v>1</v>
      </c>
      <c r="C32" s="113" t="s">
        <v>193</v>
      </c>
      <c r="D32" s="94">
        <v>0</v>
      </c>
      <c r="E32" s="132">
        <v>2.3026</v>
      </c>
      <c r="F32">
        <v>8.7498000000000005</v>
      </c>
      <c r="G32">
        <v>3.3994</v>
      </c>
      <c r="H32">
        <v>63.243000000000002</v>
      </c>
      <c r="I32" s="133">
        <v>77.694800000000001</v>
      </c>
      <c r="L32" s="28">
        <v>2015</v>
      </c>
      <c r="M32">
        <v>1</v>
      </c>
      <c r="N32" s="113" t="s">
        <v>193</v>
      </c>
      <c r="O32" s="94">
        <v>0</v>
      </c>
      <c r="P32">
        <v>483</v>
      </c>
      <c r="Q32">
        <v>27.42</v>
      </c>
      <c r="R32">
        <v>38.384615384615387</v>
      </c>
      <c r="S32">
        <v>3832</v>
      </c>
      <c r="T32">
        <v>0.41379384816400577</v>
      </c>
      <c r="U32" s="133">
        <v>77.694800000000001</v>
      </c>
      <c r="V32">
        <v>474.01839999999999</v>
      </c>
      <c r="W32">
        <v>63.243000000000002</v>
      </c>
      <c r="Y32" s="28">
        <v>2015</v>
      </c>
      <c r="Z32">
        <v>1</v>
      </c>
      <c r="AA32" s="113" t="s">
        <v>193</v>
      </c>
      <c r="AB32" s="94">
        <v>0</v>
      </c>
      <c r="AC32" s="41">
        <v>1.87</v>
      </c>
      <c r="AD32" s="41">
        <v>1.42</v>
      </c>
      <c r="AE32" s="41">
        <v>3.78</v>
      </c>
      <c r="AF32" s="41">
        <v>3.86</v>
      </c>
      <c r="AG32" s="41">
        <v>1.0211640211640212</v>
      </c>
      <c r="AH32" s="41">
        <v>12.37</v>
      </c>
      <c r="AI32">
        <v>3832</v>
      </c>
      <c r="AJ32">
        <f t="shared" si="0"/>
        <v>474.01839999999999</v>
      </c>
      <c r="AK32">
        <v>10.022418635813123</v>
      </c>
    </row>
    <row r="33" spans="1:37" ht="15.5">
      <c r="A33" s="28">
        <v>2015</v>
      </c>
      <c r="B33">
        <v>1</v>
      </c>
      <c r="C33" s="116" t="s">
        <v>193</v>
      </c>
      <c r="D33" s="94">
        <v>90</v>
      </c>
      <c r="E33" s="132">
        <v>3.2532000000000001</v>
      </c>
      <c r="F33">
        <v>12.0246</v>
      </c>
      <c r="G33">
        <v>5.4295999999999998</v>
      </c>
      <c r="H33">
        <v>63.283999999999999</v>
      </c>
      <c r="I33" s="133">
        <v>83.991399999999999</v>
      </c>
      <c r="L33" s="28">
        <v>2015</v>
      </c>
      <c r="M33">
        <v>1</v>
      </c>
      <c r="N33" s="116" t="s">
        <v>193</v>
      </c>
      <c r="O33" s="94">
        <v>90</v>
      </c>
      <c r="P33">
        <v>506</v>
      </c>
      <c r="Q33">
        <v>25.25</v>
      </c>
      <c r="R33">
        <v>38.418803418803414</v>
      </c>
      <c r="S33">
        <v>3810.355</v>
      </c>
      <c r="T33">
        <v>0.33982038464797082</v>
      </c>
      <c r="U33" s="133">
        <v>83.991399999999999</v>
      </c>
      <c r="V33">
        <v>493.82200800000004</v>
      </c>
      <c r="W33">
        <v>63.283999999999999</v>
      </c>
      <c r="Y33" s="28">
        <v>2015</v>
      </c>
      <c r="Z33">
        <v>1</v>
      </c>
      <c r="AA33" s="116" t="s">
        <v>193</v>
      </c>
      <c r="AB33" s="94">
        <v>90</v>
      </c>
      <c r="AC33" s="41">
        <v>1.94</v>
      </c>
      <c r="AD33" s="41">
        <v>1.63</v>
      </c>
      <c r="AE33" s="41">
        <v>3.94</v>
      </c>
      <c r="AF33" s="41">
        <v>4.1100000000000003</v>
      </c>
      <c r="AG33" s="41">
        <v>1.0431472081218276</v>
      </c>
      <c r="AH33" s="41">
        <v>12.96</v>
      </c>
      <c r="AI33">
        <v>3810.355</v>
      </c>
      <c r="AJ33">
        <f t="shared" si="0"/>
        <v>493.82200800000004</v>
      </c>
      <c r="AK33">
        <v>10.177754518533645</v>
      </c>
    </row>
    <row r="34" spans="1:37" ht="15.5">
      <c r="A34" s="28">
        <v>2015</v>
      </c>
      <c r="B34">
        <v>1</v>
      </c>
      <c r="C34" s="116" t="s">
        <v>193</v>
      </c>
      <c r="D34" s="94">
        <v>150</v>
      </c>
      <c r="E34" s="132">
        <v>4.1748000000000003</v>
      </c>
      <c r="F34">
        <v>16.7776</v>
      </c>
      <c r="G34">
        <v>4.0952000000000002</v>
      </c>
      <c r="H34">
        <v>87.948800000000006</v>
      </c>
      <c r="I34" s="133">
        <v>112.99640000000001</v>
      </c>
      <c r="L34" s="28">
        <v>2015</v>
      </c>
      <c r="M34">
        <v>1</v>
      </c>
      <c r="N34" s="116" t="s">
        <v>193</v>
      </c>
      <c r="O34" s="94">
        <v>150</v>
      </c>
      <c r="P34">
        <v>529</v>
      </c>
      <c r="Q34">
        <v>31.1</v>
      </c>
      <c r="R34">
        <v>41.448275862069003</v>
      </c>
      <c r="S34">
        <v>4787.954999999999</v>
      </c>
      <c r="T34">
        <v>0.39794997319547348</v>
      </c>
      <c r="U34" s="133">
        <v>112.99640000000001</v>
      </c>
      <c r="V34">
        <v>700.4778164999999</v>
      </c>
      <c r="W34">
        <v>87.948800000000006</v>
      </c>
      <c r="Y34" s="28">
        <v>2015</v>
      </c>
      <c r="Z34">
        <v>1</v>
      </c>
      <c r="AA34" s="116" t="s">
        <v>193</v>
      </c>
      <c r="AB34" s="94">
        <v>150</v>
      </c>
      <c r="AC34" s="41">
        <v>2.35</v>
      </c>
      <c r="AD34" s="41">
        <v>1.85</v>
      </c>
      <c r="AE34" s="41">
        <v>4.43</v>
      </c>
      <c r="AF34" s="41">
        <v>4.74</v>
      </c>
      <c r="AG34" s="41">
        <v>1.0699774266365689</v>
      </c>
      <c r="AH34" s="41">
        <v>14.63</v>
      </c>
      <c r="AI34">
        <v>4787.954999999999</v>
      </c>
      <c r="AJ34">
        <f t="shared" si="0"/>
        <v>700.4778164999999</v>
      </c>
      <c r="AK34">
        <v>11.719440426911373</v>
      </c>
    </row>
    <row r="35" spans="1:37" ht="15.5">
      <c r="A35" s="28">
        <v>2015</v>
      </c>
      <c r="B35">
        <v>1</v>
      </c>
      <c r="C35" s="120" t="s">
        <v>193</v>
      </c>
      <c r="D35" s="97">
        <v>210</v>
      </c>
      <c r="E35" s="134">
        <v>2.6652</v>
      </c>
      <c r="F35" s="135">
        <v>10.044600000000001</v>
      </c>
      <c r="G35" s="135">
        <v>2.9575999999999998</v>
      </c>
      <c r="H35" s="135">
        <v>62.813600000000001</v>
      </c>
      <c r="I35" s="136">
        <v>78.480999999999995</v>
      </c>
      <c r="L35" s="28">
        <v>2015</v>
      </c>
      <c r="M35">
        <v>1</v>
      </c>
      <c r="N35" s="120" t="s">
        <v>193</v>
      </c>
      <c r="O35" s="97">
        <v>210</v>
      </c>
      <c r="P35">
        <v>541</v>
      </c>
      <c r="Q35">
        <v>30.38</v>
      </c>
      <c r="R35">
        <v>38.885400313971743</v>
      </c>
      <c r="S35">
        <v>4309.6549999999997</v>
      </c>
      <c r="T35">
        <v>0.45018149720833789</v>
      </c>
      <c r="U35" s="136">
        <v>78.480999999999995</v>
      </c>
      <c r="V35">
        <v>605.9374929999999</v>
      </c>
      <c r="W35" s="135">
        <v>62.813600000000001</v>
      </c>
      <c r="Y35" s="28">
        <v>2015</v>
      </c>
      <c r="Z35">
        <v>1</v>
      </c>
      <c r="AA35" s="120" t="s">
        <v>193</v>
      </c>
      <c r="AB35" s="97">
        <v>210</v>
      </c>
      <c r="AC35" s="41">
        <v>2.21</v>
      </c>
      <c r="AD35" s="41">
        <v>1.72</v>
      </c>
      <c r="AE35" s="41">
        <v>4.2699999999999996</v>
      </c>
      <c r="AF35" s="41">
        <v>4.58</v>
      </c>
      <c r="AG35" s="41">
        <v>1.0725995316159251</v>
      </c>
      <c r="AH35" s="41">
        <v>14.06</v>
      </c>
      <c r="AI35">
        <v>4309.6549999999997</v>
      </c>
      <c r="AJ35">
        <f t="shared" si="0"/>
        <v>605.9374929999999</v>
      </c>
      <c r="AK35">
        <v>10.420439341231416</v>
      </c>
    </row>
    <row r="36" spans="1:37" ht="15.5">
      <c r="A36" s="28">
        <v>2015</v>
      </c>
      <c r="B36">
        <v>2</v>
      </c>
      <c r="C36" s="113" t="s">
        <v>189</v>
      </c>
      <c r="D36" s="92">
        <v>0</v>
      </c>
      <c r="E36" s="129">
        <v>3.0070000000000001</v>
      </c>
      <c r="F36" s="130">
        <v>10.192999999999998</v>
      </c>
      <c r="G36" s="130">
        <v>3.3842000000000003</v>
      </c>
      <c r="H36" s="130">
        <v>74.012200000000007</v>
      </c>
      <c r="I36" s="131">
        <v>90.596400000000003</v>
      </c>
      <c r="L36" s="28">
        <v>2015</v>
      </c>
      <c r="M36">
        <v>2</v>
      </c>
      <c r="N36" s="113" t="s">
        <v>189</v>
      </c>
      <c r="O36" s="92">
        <v>0</v>
      </c>
      <c r="P36">
        <v>450.5</v>
      </c>
      <c r="Q36">
        <v>30.93</v>
      </c>
      <c r="R36">
        <v>42.113445378151297</v>
      </c>
      <c r="S36">
        <v>4487.6749999999993</v>
      </c>
      <c r="T36">
        <v>0.40377849957711748</v>
      </c>
      <c r="U36" s="131">
        <v>90.596400000000003</v>
      </c>
      <c r="V36">
        <v>536.44808867048448</v>
      </c>
      <c r="W36" s="130">
        <v>74.012200000000007</v>
      </c>
      <c r="Y36" s="28">
        <v>2015</v>
      </c>
      <c r="Z36">
        <v>2</v>
      </c>
      <c r="AA36" s="113" t="s">
        <v>189</v>
      </c>
      <c r="AB36" s="92">
        <v>0</v>
      </c>
      <c r="AC36" s="41">
        <v>1.6801841740000005</v>
      </c>
      <c r="AD36" s="41">
        <v>1.41879836772</v>
      </c>
      <c r="AE36" s="41">
        <v>3.7154012463599999</v>
      </c>
      <c r="AF36" s="41">
        <v>3.69104596768</v>
      </c>
      <c r="AG36" s="41">
        <v>0.99344477835230827</v>
      </c>
      <c r="AH36" s="41">
        <v>11.953808791199998</v>
      </c>
      <c r="AI36">
        <v>4487.6749999999993</v>
      </c>
      <c r="AJ36">
        <f t="shared" si="0"/>
        <v>536.44808867048448</v>
      </c>
      <c r="AK36">
        <v>11.69834378724163</v>
      </c>
    </row>
    <row r="37" spans="1:37" ht="15.5">
      <c r="A37" s="28">
        <v>2015</v>
      </c>
      <c r="B37">
        <v>2</v>
      </c>
      <c r="C37" s="116" t="s">
        <v>189</v>
      </c>
      <c r="D37" s="94">
        <v>90</v>
      </c>
      <c r="E37" s="132">
        <v>3.7114000000000003</v>
      </c>
      <c r="F37">
        <v>16.146400000000003</v>
      </c>
      <c r="G37">
        <v>7.2350000000000003</v>
      </c>
      <c r="H37">
        <v>80.945200000000014</v>
      </c>
      <c r="I37" s="133">
        <v>108.03800000000001</v>
      </c>
      <c r="L37" s="28">
        <v>2015</v>
      </c>
      <c r="M37">
        <v>2</v>
      </c>
      <c r="N37" s="116" t="s">
        <v>189</v>
      </c>
      <c r="O37" s="94">
        <v>90</v>
      </c>
      <c r="P37">
        <v>465.5</v>
      </c>
      <c r="Q37">
        <v>31.67</v>
      </c>
      <c r="R37">
        <v>41.135646687697161</v>
      </c>
      <c r="S37">
        <v>4504.3999999999996</v>
      </c>
      <c r="T37">
        <v>0.35812873680193358</v>
      </c>
      <c r="U37" s="133">
        <v>108.03800000000001</v>
      </c>
      <c r="V37">
        <v>561.92694137087994</v>
      </c>
      <c r="W37">
        <v>80.945200000000014</v>
      </c>
      <c r="Y37" s="28">
        <v>2015</v>
      </c>
      <c r="Z37">
        <v>2</v>
      </c>
      <c r="AA37" s="116" t="s">
        <v>189</v>
      </c>
      <c r="AB37" s="94">
        <v>90</v>
      </c>
      <c r="AC37" s="41">
        <v>1.8347932316</v>
      </c>
      <c r="AD37" s="41">
        <v>1.5691085119999999</v>
      </c>
      <c r="AE37" s="41">
        <v>3.9170464602400004</v>
      </c>
      <c r="AF37" s="41">
        <v>3.9788242208000009</v>
      </c>
      <c r="AG37" s="41">
        <v>1.0157715159079872</v>
      </c>
      <c r="AH37" s="41">
        <v>12.47506752</v>
      </c>
      <c r="AI37">
        <v>4504.3999999999996</v>
      </c>
      <c r="AJ37">
        <f t="shared" si="0"/>
        <v>561.92694137087994</v>
      </c>
      <c r="AK37">
        <v>11.615133200176388</v>
      </c>
    </row>
    <row r="38" spans="1:37" ht="15.5">
      <c r="A38" s="28">
        <v>2015</v>
      </c>
      <c r="B38">
        <v>2</v>
      </c>
      <c r="C38" s="116" t="s">
        <v>189</v>
      </c>
      <c r="D38" s="94">
        <v>150</v>
      </c>
      <c r="E38" s="132">
        <v>6.0867999999999993</v>
      </c>
      <c r="F38">
        <v>22.715400000000002</v>
      </c>
      <c r="G38">
        <v>8.8803999999999981</v>
      </c>
      <c r="H38">
        <v>104.82699999999998</v>
      </c>
      <c r="I38" s="133">
        <v>142.50959999999998</v>
      </c>
      <c r="L38" s="28">
        <v>2015</v>
      </c>
      <c r="M38">
        <v>2</v>
      </c>
      <c r="N38" s="116" t="s">
        <v>189</v>
      </c>
      <c r="O38" s="94">
        <v>150</v>
      </c>
      <c r="P38">
        <v>532.5</v>
      </c>
      <c r="Q38">
        <v>32</v>
      </c>
      <c r="R38">
        <v>43.3296703296703</v>
      </c>
      <c r="S38">
        <v>5081.8050000000003</v>
      </c>
      <c r="T38">
        <v>0.34938981629173316</v>
      </c>
      <c r="U38" s="133">
        <v>142.50959999999998</v>
      </c>
      <c r="V38">
        <v>695.75092508849036</v>
      </c>
      <c r="W38">
        <v>104.82699999999998</v>
      </c>
      <c r="Y38" s="28">
        <v>2015</v>
      </c>
      <c r="Z38">
        <v>2</v>
      </c>
      <c r="AA38" s="116" t="s">
        <v>189</v>
      </c>
      <c r="AB38" s="94">
        <v>150</v>
      </c>
      <c r="AC38" s="41">
        <v>2.15447291</v>
      </c>
      <c r="AD38" s="41">
        <v>1.7010540327999999</v>
      </c>
      <c r="AE38" s="41">
        <v>4.3073098017600007</v>
      </c>
      <c r="AF38" s="41">
        <v>4.536221728000001</v>
      </c>
      <c r="AG38" s="41">
        <v>1.0531449876548153</v>
      </c>
      <c r="AH38" s="41">
        <v>13.691019727999999</v>
      </c>
      <c r="AI38">
        <v>5081.8050000000003</v>
      </c>
      <c r="AJ38">
        <f t="shared" si="0"/>
        <v>695.75092508849036</v>
      </c>
      <c r="AK38">
        <v>13.519985274008624</v>
      </c>
    </row>
    <row r="39" spans="1:37" ht="15.5">
      <c r="A39" s="28">
        <v>2015</v>
      </c>
      <c r="B39">
        <v>2</v>
      </c>
      <c r="C39" s="116" t="s">
        <v>189</v>
      </c>
      <c r="D39" s="94">
        <v>210</v>
      </c>
      <c r="E39" s="132">
        <v>5.0950000000000006</v>
      </c>
      <c r="F39">
        <v>18.560399999999998</v>
      </c>
      <c r="G39">
        <v>7.5218000000000007</v>
      </c>
      <c r="H39">
        <v>86.400200000000012</v>
      </c>
      <c r="I39" s="133">
        <v>117.57740000000001</v>
      </c>
      <c r="L39" s="28">
        <v>2015</v>
      </c>
      <c r="M39">
        <v>2</v>
      </c>
      <c r="N39" s="116" t="s">
        <v>189</v>
      </c>
      <c r="O39" s="94">
        <v>210</v>
      </c>
      <c r="P39">
        <v>477.5</v>
      </c>
      <c r="Q39">
        <v>28.59</v>
      </c>
      <c r="R39">
        <v>40.190174326465929</v>
      </c>
      <c r="S39">
        <v>4736.2550000000001</v>
      </c>
      <c r="T39">
        <v>0.36966146863126037</v>
      </c>
      <c r="U39" s="133">
        <v>117.57740000000001</v>
      </c>
      <c r="V39">
        <v>628.51529788723019</v>
      </c>
      <c r="W39">
        <v>86.400200000000012</v>
      </c>
      <c r="Y39" s="28">
        <v>2015</v>
      </c>
      <c r="Z39">
        <v>2</v>
      </c>
      <c r="AA39" s="116" t="s">
        <v>189</v>
      </c>
      <c r="AB39" s="94">
        <v>210</v>
      </c>
      <c r="AC39" s="41">
        <v>2.0032946244000005</v>
      </c>
      <c r="AD39" s="41">
        <v>1.54932403</v>
      </c>
      <c r="AE39" s="41">
        <v>4.1321080088000004</v>
      </c>
      <c r="AF39" s="41">
        <v>4.3818539519999993</v>
      </c>
      <c r="AG39" s="41">
        <v>1.0604403231154955</v>
      </c>
      <c r="AH39" s="41">
        <v>13.270301068824001</v>
      </c>
      <c r="AI39">
        <v>4736.2550000000001</v>
      </c>
      <c r="AJ39">
        <f t="shared" si="0"/>
        <v>628.51529788723019</v>
      </c>
      <c r="AK39">
        <v>11.973021079665367</v>
      </c>
    </row>
    <row r="40" spans="1:37" ht="15.5">
      <c r="A40" s="28">
        <v>2015</v>
      </c>
      <c r="B40">
        <v>2</v>
      </c>
      <c r="C40" s="113" t="s">
        <v>193</v>
      </c>
      <c r="D40" s="94">
        <v>0</v>
      </c>
      <c r="E40" s="132">
        <v>2.9973999999999998</v>
      </c>
      <c r="F40">
        <v>8.5701999999999998</v>
      </c>
      <c r="G40">
        <v>4.5206</v>
      </c>
      <c r="H40">
        <v>57.517000000000003</v>
      </c>
      <c r="I40" s="133">
        <v>73.605199999999996</v>
      </c>
      <c r="L40" s="28">
        <v>2015</v>
      </c>
      <c r="M40">
        <v>2</v>
      </c>
      <c r="N40" s="113" t="s">
        <v>193</v>
      </c>
      <c r="O40" s="94">
        <v>0</v>
      </c>
      <c r="P40">
        <v>442</v>
      </c>
      <c r="Q40">
        <v>27.13</v>
      </c>
      <c r="R40">
        <v>38.443113772455085</v>
      </c>
      <c r="S40">
        <v>3946.8</v>
      </c>
      <c r="T40">
        <v>0.38181105828065071</v>
      </c>
      <c r="U40" s="133">
        <v>73.605199999999996</v>
      </c>
      <c r="V40">
        <v>488.63263213564801</v>
      </c>
      <c r="W40">
        <v>57.517000000000003</v>
      </c>
      <c r="Y40" s="28">
        <v>2015</v>
      </c>
      <c r="Z40">
        <v>2</v>
      </c>
      <c r="AA40" s="113" t="s">
        <v>193</v>
      </c>
      <c r="AB40" s="94">
        <v>0</v>
      </c>
      <c r="AC40" s="41">
        <v>1.9103677660000002</v>
      </c>
      <c r="AD40" s="41">
        <v>1.4558342800000004</v>
      </c>
      <c r="AE40" s="41">
        <v>3.7664894614400004</v>
      </c>
      <c r="AF40" s="41">
        <v>3.8348427776</v>
      </c>
      <c r="AG40" s="41">
        <v>1.0181477518680928</v>
      </c>
      <c r="AH40" s="41">
        <v>12.380476136</v>
      </c>
      <c r="AI40">
        <v>3946.8</v>
      </c>
      <c r="AJ40">
        <f t="shared" si="0"/>
        <v>488.63263213564801</v>
      </c>
      <c r="AK40">
        <v>9.9221918926503232</v>
      </c>
    </row>
    <row r="41" spans="1:37" ht="15.5">
      <c r="A41" s="28">
        <v>2015</v>
      </c>
      <c r="B41">
        <v>2</v>
      </c>
      <c r="C41" s="116" t="s">
        <v>193</v>
      </c>
      <c r="D41" s="94">
        <v>90</v>
      </c>
      <c r="E41" s="132">
        <v>3.4068000000000001</v>
      </c>
      <c r="F41">
        <v>11.5154</v>
      </c>
      <c r="G41">
        <v>4.6304000000000007</v>
      </c>
      <c r="H41">
        <v>57.896000000000008</v>
      </c>
      <c r="I41" s="133">
        <v>77.448600000000013</v>
      </c>
      <c r="L41" s="28">
        <v>2015</v>
      </c>
      <c r="M41">
        <v>2</v>
      </c>
      <c r="N41" s="116" t="s">
        <v>193</v>
      </c>
      <c r="O41" s="94">
        <v>90</v>
      </c>
      <c r="P41">
        <v>450</v>
      </c>
      <c r="Q41">
        <v>25</v>
      </c>
      <c r="R41">
        <v>38.846918489065601</v>
      </c>
      <c r="S41">
        <v>4163.3050000000003</v>
      </c>
      <c r="T41">
        <v>0.38838974196316961</v>
      </c>
      <c r="U41" s="133">
        <v>77.448600000000013</v>
      </c>
      <c r="V41">
        <v>541.48508708029192</v>
      </c>
      <c r="W41">
        <v>57.896000000000008</v>
      </c>
      <c r="Y41" s="28">
        <v>2015</v>
      </c>
      <c r="Z41">
        <v>2</v>
      </c>
      <c r="AA41" s="116" t="s">
        <v>193</v>
      </c>
      <c r="AB41" s="94">
        <v>90</v>
      </c>
      <c r="AC41" s="41">
        <v>1.8809204972000004</v>
      </c>
      <c r="AD41" s="41">
        <v>1.6515485503200003</v>
      </c>
      <c r="AE41" s="41">
        <v>3.9760818416000006</v>
      </c>
      <c r="AF41" s="41">
        <v>4.0804034592000002</v>
      </c>
      <c r="AG41" s="41">
        <v>1.0262372913224593</v>
      </c>
      <c r="AH41" s="41">
        <v>13.006135439999998</v>
      </c>
      <c r="AI41">
        <v>4163.3050000000003</v>
      </c>
      <c r="AJ41">
        <f t="shared" si="0"/>
        <v>541.48508708029192</v>
      </c>
      <c r="AK41">
        <v>10.152355487649606</v>
      </c>
    </row>
    <row r="42" spans="1:37" ht="15.5">
      <c r="A42" s="28">
        <v>2015</v>
      </c>
      <c r="B42">
        <v>2</v>
      </c>
      <c r="C42" s="116" t="s">
        <v>193</v>
      </c>
      <c r="D42" s="94">
        <v>150</v>
      </c>
      <c r="E42" s="132">
        <v>3.9851999999999999</v>
      </c>
      <c r="F42">
        <v>13.602399999999999</v>
      </c>
      <c r="G42">
        <v>5.3848000000000003</v>
      </c>
      <c r="H42">
        <v>81.551199999999994</v>
      </c>
      <c r="I42" s="133">
        <v>104.52359999999999</v>
      </c>
      <c r="L42" s="28">
        <v>2015</v>
      </c>
      <c r="M42">
        <v>2</v>
      </c>
      <c r="N42" s="116" t="s">
        <v>193</v>
      </c>
      <c r="O42" s="94">
        <v>150</v>
      </c>
      <c r="P42">
        <v>463</v>
      </c>
      <c r="Q42">
        <v>30.7</v>
      </c>
      <c r="R42">
        <v>41.505154639175302</v>
      </c>
      <c r="S42">
        <v>4611.5050000000001</v>
      </c>
      <c r="T42">
        <v>0.36829282901935106</v>
      </c>
      <c r="U42" s="133">
        <v>104.52359999999999</v>
      </c>
      <c r="V42">
        <v>675.66365673276005</v>
      </c>
      <c r="W42">
        <v>81.551199999999994</v>
      </c>
      <c r="Y42" s="28">
        <v>2015</v>
      </c>
      <c r="Z42">
        <v>2</v>
      </c>
      <c r="AA42" s="116" t="s">
        <v>193</v>
      </c>
      <c r="AB42" s="94">
        <v>150</v>
      </c>
      <c r="AC42" s="41">
        <v>2.3703435516</v>
      </c>
      <c r="AD42" s="41">
        <v>1.8078719861480002</v>
      </c>
      <c r="AE42" s="41">
        <v>4.4628061432000017</v>
      </c>
      <c r="AF42" s="41">
        <v>4.7562313599999992</v>
      </c>
      <c r="AG42" s="41">
        <v>1.0657490393677733</v>
      </c>
      <c r="AH42" s="41">
        <v>14.651695200000001</v>
      </c>
      <c r="AI42">
        <v>4611.5050000000001</v>
      </c>
      <c r="AJ42">
        <f t="shared" si="0"/>
        <v>675.66365673276005</v>
      </c>
      <c r="AK42">
        <v>11.59739907215477</v>
      </c>
    </row>
    <row r="43" spans="1:37" ht="15.5">
      <c r="A43" s="28">
        <v>2015</v>
      </c>
      <c r="B43">
        <v>2</v>
      </c>
      <c r="C43" s="120" t="s">
        <v>193</v>
      </c>
      <c r="D43" s="97">
        <v>210</v>
      </c>
      <c r="E43" s="134">
        <v>2.8348</v>
      </c>
      <c r="F43" s="135">
        <v>10.195399999999998</v>
      </c>
      <c r="G43" s="135">
        <v>2.5024000000000002</v>
      </c>
      <c r="H43" s="135">
        <v>68.066399999999987</v>
      </c>
      <c r="I43" s="136">
        <v>83.59899999999999</v>
      </c>
      <c r="L43" s="28">
        <v>2015</v>
      </c>
      <c r="M43">
        <v>2</v>
      </c>
      <c r="N43" s="120" t="s">
        <v>193</v>
      </c>
      <c r="O43" s="97">
        <v>210</v>
      </c>
      <c r="P43">
        <v>458.5</v>
      </c>
      <c r="Q43">
        <v>30.62</v>
      </c>
      <c r="R43">
        <v>39.634782608695652</v>
      </c>
      <c r="S43">
        <v>4257.4049999999997</v>
      </c>
      <c r="T43">
        <v>0.4442246893227183</v>
      </c>
      <c r="U43" s="136">
        <v>83.59899999999999</v>
      </c>
      <c r="V43">
        <v>600.0475685536295</v>
      </c>
      <c r="W43" s="135">
        <v>68.066399999999987</v>
      </c>
      <c r="Y43" s="28">
        <v>2015</v>
      </c>
      <c r="Z43">
        <v>2</v>
      </c>
      <c r="AA43" s="120" t="s">
        <v>193</v>
      </c>
      <c r="AB43" s="97">
        <v>210</v>
      </c>
      <c r="AC43" s="41">
        <v>2.1814257429259998</v>
      </c>
      <c r="AD43" s="41">
        <v>1.7425348267999998</v>
      </c>
      <c r="AE43" s="41">
        <v>4.2424309720000011</v>
      </c>
      <c r="AF43" s="41">
        <v>4.5998596227200004</v>
      </c>
      <c r="AG43" s="41">
        <v>1.0842509054546849</v>
      </c>
      <c r="AH43" s="41">
        <v>14.094209231999999</v>
      </c>
      <c r="AI43">
        <v>4257.4049999999997</v>
      </c>
      <c r="AJ43">
        <f t="shared" si="0"/>
        <v>600.0475685536295</v>
      </c>
      <c r="AK43">
        <v>10.556546812233529</v>
      </c>
    </row>
    <row r="44" spans="1:37" ht="15.5">
      <c r="A44" s="28">
        <v>2015</v>
      </c>
      <c r="B44">
        <v>3</v>
      </c>
      <c r="C44" s="113" t="s">
        <v>189</v>
      </c>
      <c r="D44" s="92">
        <v>0</v>
      </c>
      <c r="E44" s="129">
        <v>2.89</v>
      </c>
      <c r="F44" s="130">
        <v>10.54</v>
      </c>
      <c r="G44" s="130">
        <v>3.49</v>
      </c>
      <c r="H44" s="130">
        <v>72.92</v>
      </c>
      <c r="I44" s="131">
        <v>89.84</v>
      </c>
      <c r="L44" s="28">
        <v>2015</v>
      </c>
      <c r="M44">
        <v>3</v>
      </c>
      <c r="N44" s="113" t="s">
        <v>189</v>
      </c>
      <c r="O44" s="92">
        <v>0</v>
      </c>
      <c r="P44">
        <v>430</v>
      </c>
      <c r="Q44">
        <v>31.2</v>
      </c>
      <c r="R44">
        <v>42.069880583812498</v>
      </c>
      <c r="S44">
        <v>4434.7</v>
      </c>
      <c r="T44">
        <v>0.39352803480463172</v>
      </c>
      <c r="U44" s="131">
        <v>89.84</v>
      </c>
      <c r="V44">
        <v>528.92242923167316</v>
      </c>
      <c r="W44" s="130">
        <v>72.92</v>
      </c>
      <c r="Y44" s="28">
        <v>2015</v>
      </c>
      <c r="Z44">
        <v>3</v>
      </c>
      <c r="AA44" s="113" t="s">
        <v>189</v>
      </c>
      <c r="AB44" s="92">
        <v>0</v>
      </c>
      <c r="AC44">
        <v>1.6600920870000002</v>
      </c>
      <c r="AD44">
        <v>1.3943991838600001</v>
      </c>
      <c r="AE44">
        <v>3.70770062318</v>
      </c>
      <c r="AF44">
        <v>3.70052298384</v>
      </c>
      <c r="AG44">
        <v>0.99806412651142151</v>
      </c>
      <c r="AH44">
        <v>11.926904395599999</v>
      </c>
      <c r="AI44">
        <v>4434.7</v>
      </c>
      <c r="AJ44">
        <f t="shared" si="0"/>
        <v>528.92242923167316</v>
      </c>
      <c r="AK44">
        <v>11.515971916962137</v>
      </c>
    </row>
    <row r="45" spans="1:37" ht="15.5">
      <c r="A45" s="28">
        <v>2015</v>
      </c>
      <c r="B45">
        <v>3</v>
      </c>
      <c r="C45" s="116" t="s">
        <v>189</v>
      </c>
      <c r="D45" s="94">
        <v>90</v>
      </c>
      <c r="E45" s="132">
        <v>3.85</v>
      </c>
      <c r="F45">
        <v>16.100000000000001</v>
      </c>
      <c r="G45">
        <v>6.66</v>
      </c>
      <c r="H45">
        <v>76.260000000000005</v>
      </c>
      <c r="I45" s="133">
        <v>102.87</v>
      </c>
      <c r="L45" s="28">
        <v>2015</v>
      </c>
      <c r="M45">
        <v>3</v>
      </c>
      <c r="N45" s="116" t="s">
        <v>189</v>
      </c>
      <c r="O45" s="94">
        <v>90</v>
      </c>
      <c r="P45">
        <v>446.5</v>
      </c>
      <c r="Q45">
        <v>31.535</v>
      </c>
      <c r="R45">
        <v>40.93402052694718</v>
      </c>
      <c r="S45">
        <v>4477.75</v>
      </c>
      <c r="T45">
        <v>0.34847390322981031</v>
      </c>
      <c r="U45" s="133">
        <v>102.87</v>
      </c>
      <c r="V45">
        <v>557.14555543839992</v>
      </c>
      <c r="W45">
        <v>76.260000000000005</v>
      </c>
      <c r="Y45" s="28">
        <v>2015</v>
      </c>
      <c r="Z45">
        <v>3</v>
      </c>
      <c r="AA45" s="116" t="s">
        <v>189</v>
      </c>
      <c r="AB45" s="94">
        <v>90</v>
      </c>
      <c r="AC45">
        <v>1.8523966158</v>
      </c>
      <c r="AD45">
        <v>1.589554256</v>
      </c>
      <c r="AE45">
        <v>3.9085232301200001</v>
      </c>
      <c r="AF45">
        <v>3.9994121104000002</v>
      </c>
      <c r="AG45">
        <v>1.0232540207461449</v>
      </c>
      <c r="AH45">
        <v>12.44253376</v>
      </c>
      <c r="AI45">
        <v>4477.75</v>
      </c>
      <c r="AJ45">
        <f t="shared" si="0"/>
        <v>557.14555543839992</v>
      </c>
      <c r="AK45">
        <v>11.506334640406873</v>
      </c>
    </row>
    <row r="46" spans="1:37" ht="15.5">
      <c r="A46" s="28">
        <v>2015</v>
      </c>
      <c r="B46">
        <v>3</v>
      </c>
      <c r="C46" s="116" t="s">
        <v>189</v>
      </c>
      <c r="D46" s="94">
        <v>150</v>
      </c>
      <c r="E46" s="132">
        <v>5.64</v>
      </c>
      <c r="F46">
        <v>21.85</v>
      </c>
      <c r="G46">
        <v>8.8699999999999992</v>
      </c>
      <c r="H46">
        <v>98.88</v>
      </c>
      <c r="I46" s="133">
        <v>135.24</v>
      </c>
      <c r="L46" s="28">
        <v>2015</v>
      </c>
      <c r="M46">
        <v>3</v>
      </c>
      <c r="N46" s="116" t="s">
        <v>189</v>
      </c>
      <c r="O46" s="94">
        <v>150</v>
      </c>
      <c r="P46">
        <v>490.5</v>
      </c>
      <c r="Q46">
        <v>31.75</v>
      </c>
      <c r="R46">
        <v>43.420932725810751</v>
      </c>
      <c r="S46">
        <v>5141.38</v>
      </c>
      <c r="T46">
        <v>0.3593538134616463</v>
      </c>
      <c r="U46" s="133">
        <v>135.24</v>
      </c>
      <c r="V46">
        <v>702.85286004572322</v>
      </c>
      <c r="W46">
        <v>98.88</v>
      </c>
      <c r="Y46" s="28">
        <v>2015</v>
      </c>
      <c r="Z46">
        <v>3</v>
      </c>
      <c r="AA46" s="116" t="s">
        <v>189</v>
      </c>
      <c r="AB46" s="94">
        <v>150</v>
      </c>
      <c r="AC46">
        <v>2.1622364549999999</v>
      </c>
      <c r="AD46">
        <v>1.6905270163999999</v>
      </c>
      <c r="AE46">
        <v>4.2836549008800002</v>
      </c>
      <c r="AF46">
        <v>4.5231108640000004</v>
      </c>
      <c r="AG46">
        <v>1.0558999192653937</v>
      </c>
      <c r="AH46">
        <v>13.670509864</v>
      </c>
      <c r="AI46">
        <v>5141.38</v>
      </c>
      <c r="AJ46">
        <f t="shared" si="0"/>
        <v>702.85286004572322</v>
      </c>
      <c r="AK46">
        <v>13.344077259481516</v>
      </c>
    </row>
    <row r="47" spans="1:37" ht="15.5">
      <c r="A47" s="28">
        <v>2015</v>
      </c>
      <c r="B47">
        <v>3</v>
      </c>
      <c r="C47" s="116" t="s">
        <v>189</v>
      </c>
      <c r="D47" s="94">
        <v>210</v>
      </c>
      <c r="E47" s="132">
        <v>4.62</v>
      </c>
      <c r="F47">
        <v>18.149999999999999</v>
      </c>
      <c r="G47">
        <v>7.49</v>
      </c>
      <c r="H47">
        <v>83.62</v>
      </c>
      <c r="I47" s="133">
        <v>113.88</v>
      </c>
      <c r="L47" s="28">
        <v>2015</v>
      </c>
      <c r="M47">
        <v>3</v>
      </c>
      <c r="N47" s="116" t="s">
        <v>189</v>
      </c>
      <c r="O47" s="94">
        <v>210</v>
      </c>
      <c r="P47">
        <v>464</v>
      </c>
      <c r="Q47">
        <v>29.060000000000002</v>
      </c>
      <c r="R47">
        <v>40.745270313416114</v>
      </c>
      <c r="S47">
        <v>4708.63</v>
      </c>
      <c r="T47">
        <v>0.37309652836156326</v>
      </c>
      <c r="U47" s="133">
        <v>113.88</v>
      </c>
      <c r="V47">
        <v>624.37142610848377</v>
      </c>
      <c r="W47">
        <v>83.62</v>
      </c>
      <c r="Y47" s="28">
        <v>2015</v>
      </c>
      <c r="Z47">
        <v>3</v>
      </c>
      <c r="AA47" s="116" t="s">
        <v>189</v>
      </c>
      <c r="AB47" s="94">
        <v>210</v>
      </c>
      <c r="AC47">
        <v>2.0266473122000002</v>
      </c>
      <c r="AD47">
        <v>1.539662015</v>
      </c>
      <c r="AE47">
        <v>4.1260540044000003</v>
      </c>
      <c r="AF47">
        <v>4.3759269759999997</v>
      </c>
      <c r="AG47">
        <v>1.0605597918334408</v>
      </c>
      <c r="AH47">
        <v>13.260150534412</v>
      </c>
      <c r="AI47">
        <v>4708.63</v>
      </c>
      <c r="AJ47">
        <f t="shared" si="0"/>
        <v>624.37142610848377</v>
      </c>
      <c r="AK47">
        <v>11.78345979253502</v>
      </c>
    </row>
    <row r="48" spans="1:37" ht="15.5">
      <c r="A48" s="28">
        <v>2015</v>
      </c>
      <c r="B48">
        <v>3</v>
      </c>
      <c r="C48" s="113" t="s">
        <v>193</v>
      </c>
      <c r="D48" s="94">
        <v>0</v>
      </c>
      <c r="E48" s="132">
        <v>2.65</v>
      </c>
      <c r="F48">
        <v>8.66</v>
      </c>
      <c r="G48">
        <v>3.96</v>
      </c>
      <c r="H48">
        <v>60.38</v>
      </c>
      <c r="I48" s="133">
        <v>75.650000000000006</v>
      </c>
      <c r="L48" s="28">
        <v>2015</v>
      </c>
      <c r="M48">
        <v>3</v>
      </c>
      <c r="N48" s="113" t="s">
        <v>193</v>
      </c>
      <c r="O48" s="94">
        <v>0</v>
      </c>
      <c r="P48">
        <v>410.5</v>
      </c>
      <c r="Q48">
        <v>27.274999999999999</v>
      </c>
      <c r="R48">
        <v>38.41386457853524</v>
      </c>
      <c r="S48">
        <v>3889.4</v>
      </c>
      <c r="T48">
        <v>0.39780245322232821</v>
      </c>
      <c r="U48" s="133">
        <v>75.650000000000006</v>
      </c>
      <c r="V48">
        <v>481.322509416792</v>
      </c>
      <c r="W48">
        <v>60.38</v>
      </c>
      <c r="Y48" s="28">
        <v>2015</v>
      </c>
      <c r="Z48">
        <v>3</v>
      </c>
      <c r="AA48" s="113" t="s">
        <v>193</v>
      </c>
      <c r="AB48" s="94">
        <v>0</v>
      </c>
      <c r="AC48">
        <v>1.8901838830000002</v>
      </c>
      <c r="AD48">
        <v>1.4379171400000001</v>
      </c>
      <c r="AE48">
        <v>3.7732447307200001</v>
      </c>
      <c r="AF48">
        <v>3.8474213888</v>
      </c>
      <c r="AG48">
        <v>1.0196585865412036</v>
      </c>
      <c r="AH48">
        <v>12.375238068</v>
      </c>
      <c r="AI48">
        <v>3889.4</v>
      </c>
      <c r="AJ48">
        <f t="shared" si="0"/>
        <v>481.322509416792</v>
      </c>
      <c r="AK48">
        <v>9.9723052642317231</v>
      </c>
    </row>
    <row r="49" spans="1:37" ht="15.5">
      <c r="A49" s="28">
        <v>2015</v>
      </c>
      <c r="B49">
        <v>3</v>
      </c>
      <c r="C49" s="116" t="s">
        <v>193</v>
      </c>
      <c r="D49" s="94">
        <v>90</v>
      </c>
      <c r="E49" s="132">
        <v>3.33</v>
      </c>
      <c r="F49">
        <v>11.77</v>
      </c>
      <c r="G49">
        <v>5.03</v>
      </c>
      <c r="H49">
        <v>60.59</v>
      </c>
      <c r="I49" s="133">
        <v>80.72</v>
      </c>
      <c r="L49" s="28">
        <v>2015</v>
      </c>
      <c r="M49">
        <v>3</v>
      </c>
      <c r="N49" s="116" t="s">
        <v>193</v>
      </c>
      <c r="O49" s="94">
        <v>90</v>
      </c>
      <c r="P49">
        <v>438.5</v>
      </c>
      <c r="Q49">
        <v>25.125</v>
      </c>
      <c r="R49">
        <v>38.632860953934511</v>
      </c>
      <c r="S49">
        <v>3986.83</v>
      </c>
      <c r="T49">
        <v>0.36410506330557024</v>
      </c>
      <c r="U49" s="133">
        <v>80.72</v>
      </c>
      <c r="V49">
        <v>517.61283878127597</v>
      </c>
      <c r="W49">
        <v>60.59</v>
      </c>
      <c r="Y49" s="28">
        <v>2015</v>
      </c>
      <c r="Z49">
        <v>3</v>
      </c>
      <c r="AA49" s="116" t="s">
        <v>193</v>
      </c>
      <c r="AB49" s="94">
        <v>90</v>
      </c>
      <c r="AC49">
        <v>1.9104602486000002</v>
      </c>
      <c r="AD49">
        <v>1.6407742751600001</v>
      </c>
      <c r="AE49">
        <v>3.9580409208000003</v>
      </c>
      <c r="AF49">
        <v>4.0952017296000003</v>
      </c>
      <c r="AG49">
        <v>1.0346537116580081</v>
      </c>
      <c r="AH49">
        <v>12.983067719999999</v>
      </c>
      <c r="AI49">
        <v>3986.83</v>
      </c>
      <c r="AJ49">
        <f t="shared" si="0"/>
        <v>517.61283878127597</v>
      </c>
      <c r="AK49">
        <v>10.165055003091625</v>
      </c>
    </row>
    <row r="50" spans="1:37" ht="15.5">
      <c r="A50" s="28">
        <v>2015</v>
      </c>
      <c r="B50">
        <v>3</v>
      </c>
      <c r="C50" s="116" t="s">
        <v>193</v>
      </c>
      <c r="D50" s="94">
        <v>150</v>
      </c>
      <c r="E50" s="132">
        <v>4.08</v>
      </c>
      <c r="F50">
        <v>15.19</v>
      </c>
      <c r="G50">
        <v>4.74</v>
      </c>
      <c r="H50">
        <v>84.75</v>
      </c>
      <c r="I50" s="133">
        <v>108.77</v>
      </c>
      <c r="L50" s="28">
        <v>2015</v>
      </c>
      <c r="M50">
        <v>3</v>
      </c>
      <c r="N50" s="116" t="s">
        <v>193</v>
      </c>
      <c r="O50" s="94">
        <v>150</v>
      </c>
      <c r="P50">
        <v>473</v>
      </c>
      <c r="Q50">
        <v>30.9</v>
      </c>
      <c r="R50">
        <v>41.476715250622149</v>
      </c>
      <c r="S50">
        <v>4699.7299999999996</v>
      </c>
      <c r="T50">
        <v>0.38312140110741227</v>
      </c>
      <c r="U50" s="133">
        <v>108.77</v>
      </c>
      <c r="V50">
        <v>688.08030691147997</v>
      </c>
      <c r="W50">
        <v>84.75</v>
      </c>
      <c r="Y50" s="28">
        <v>2015</v>
      </c>
      <c r="Z50">
        <v>3</v>
      </c>
      <c r="AA50" s="116" t="s">
        <v>193</v>
      </c>
      <c r="AB50" s="94">
        <v>150</v>
      </c>
      <c r="AC50">
        <v>2.3601717758</v>
      </c>
      <c r="AD50">
        <v>1.8289359930740001</v>
      </c>
      <c r="AE50">
        <v>4.4464030716000007</v>
      </c>
      <c r="AF50">
        <v>4.7481156799999997</v>
      </c>
      <c r="AG50">
        <v>1.0678554336036454</v>
      </c>
      <c r="AH50">
        <v>14.640847600000001</v>
      </c>
      <c r="AI50">
        <v>4699.7299999999996</v>
      </c>
      <c r="AJ50">
        <f t="shared" si="0"/>
        <v>688.08030691147997</v>
      </c>
      <c r="AK50">
        <v>11.658419749533071</v>
      </c>
    </row>
    <row r="51" spans="1:37" ht="16" thickBot="1">
      <c r="A51" s="31">
        <v>2015</v>
      </c>
      <c r="B51">
        <v>3</v>
      </c>
      <c r="C51" s="120" t="s">
        <v>193</v>
      </c>
      <c r="D51" s="97">
        <v>210</v>
      </c>
      <c r="E51" s="134">
        <v>2.75</v>
      </c>
      <c r="F51" s="135">
        <v>10.119999999999999</v>
      </c>
      <c r="G51" s="135">
        <v>2.73</v>
      </c>
      <c r="H51" s="135">
        <v>65.44</v>
      </c>
      <c r="I51" s="136">
        <v>81.040000000000006</v>
      </c>
      <c r="L51" s="31">
        <v>2015</v>
      </c>
      <c r="M51">
        <v>3</v>
      </c>
      <c r="N51" s="120" t="s">
        <v>193</v>
      </c>
      <c r="O51" s="97">
        <v>210</v>
      </c>
      <c r="P51">
        <v>431</v>
      </c>
      <c r="Q51">
        <v>30.5</v>
      </c>
      <c r="R51">
        <v>39.260091461333701</v>
      </c>
      <c r="S51">
        <v>4283.53</v>
      </c>
      <c r="T51">
        <v>0.4472030932655281</v>
      </c>
      <c r="U51" s="136">
        <v>81.040000000000006</v>
      </c>
      <c r="V51">
        <v>602.9969993577447</v>
      </c>
      <c r="W51" s="135">
        <v>65.44</v>
      </c>
      <c r="Y51" s="31">
        <v>2015</v>
      </c>
      <c r="Z51">
        <v>3</v>
      </c>
      <c r="AA51" s="120" t="s">
        <v>193</v>
      </c>
      <c r="AB51" s="97">
        <v>210</v>
      </c>
      <c r="AC51">
        <v>2.1957128714629999</v>
      </c>
      <c r="AD51">
        <v>1.7312674133999999</v>
      </c>
      <c r="AE51">
        <v>4.2562154860000003</v>
      </c>
      <c r="AF51">
        <v>4.5899298113600002</v>
      </c>
      <c r="AG51">
        <v>1.0784063510077646</v>
      </c>
      <c r="AH51">
        <v>14.077104616</v>
      </c>
      <c r="AI51">
        <v>4283.53</v>
      </c>
      <c r="AJ51">
        <f t="shared" si="0"/>
        <v>602.9969993577447</v>
      </c>
      <c r="AK51">
        <v>10.488493076732473</v>
      </c>
    </row>
    <row r="52" spans="1:37" ht="15.5">
      <c r="A52" s="24">
        <v>2016</v>
      </c>
      <c r="B52">
        <v>1</v>
      </c>
      <c r="C52" s="113" t="s">
        <v>189</v>
      </c>
      <c r="D52" s="92">
        <v>0</v>
      </c>
      <c r="E52">
        <v>2.7452700000000001</v>
      </c>
      <c r="F52">
        <v>10.778130000000001</v>
      </c>
      <c r="G52">
        <v>3.9598420000000001</v>
      </c>
      <c r="H52">
        <v>91.109521999999998</v>
      </c>
      <c r="I52">
        <v>108.592764</v>
      </c>
      <c r="L52" s="24">
        <v>2016</v>
      </c>
      <c r="M52">
        <v>1</v>
      </c>
      <c r="N52" s="113" t="s">
        <v>189</v>
      </c>
      <c r="O52" s="92">
        <v>0</v>
      </c>
      <c r="P52">
        <v>518.5</v>
      </c>
      <c r="Q52">
        <v>31.2</v>
      </c>
      <c r="R52">
        <v>40.367924528301899</v>
      </c>
      <c r="S52">
        <v>4505</v>
      </c>
      <c r="T52">
        <v>0.34538937764744215</v>
      </c>
      <c r="U52">
        <v>108.592764</v>
      </c>
      <c r="V52">
        <v>615.70900702799997</v>
      </c>
      <c r="W52">
        <v>91.109521999999998</v>
      </c>
      <c r="Y52" s="24">
        <v>2016</v>
      </c>
      <c r="Z52">
        <v>1</v>
      </c>
      <c r="AA52" s="113" t="s">
        <v>189</v>
      </c>
      <c r="AB52" s="92">
        <v>0</v>
      </c>
      <c r="AC52">
        <v>2.6876669887999998</v>
      </c>
      <c r="AD52">
        <v>1.5230719880000001</v>
      </c>
      <c r="AE52">
        <v>3.8934024288</v>
      </c>
      <c r="AF52">
        <v>3.9420383999999999</v>
      </c>
      <c r="AG52">
        <v>1.0124918941952246</v>
      </c>
      <c r="AH52">
        <v>13.667236559999999</v>
      </c>
      <c r="AI52">
        <v>4505</v>
      </c>
      <c r="AJ52">
        <f t="shared" si="0"/>
        <v>615.70900702799997</v>
      </c>
      <c r="AK52">
        <v>14.00365338819427</v>
      </c>
    </row>
    <row r="53" spans="1:37" ht="15.5">
      <c r="A53" s="28">
        <v>2016</v>
      </c>
      <c r="B53">
        <v>1</v>
      </c>
      <c r="C53" s="116" t="s">
        <v>189</v>
      </c>
      <c r="D53" s="94">
        <v>90</v>
      </c>
      <c r="E53">
        <v>3.9487139999999998</v>
      </c>
      <c r="F53">
        <v>15.893063999999999</v>
      </c>
      <c r="G53">
        <v>6.1241500000000002</v>
      </c>
      <c r="H53">
        <v>100.85905200000001</v>
      </c>
      <c r="I53">
        <v>126.82498000000001</v>
      </c>
      <c r="L53" s="28">
        <v>2016</v>
      </c>
      <c r="M53">
        <v>1</v>
      </c>
      <c r="N53" s="116" t="s">
        <v>189</v>
      </c>
      <c r="O53" s="94">
        <v>90</v>
      </c>
      <c r="P53">
        <v>529</v>
      </c>
      <c r="Q53">
        <v>31.2</v>
      </c>
      <c r="R53">
        <v>40.132625994694997</v>
      </c>
      <c r="S53">
        <v>4949.75</v>
      </c>
      <c r="T53">
        <v>0.34691996607722336</v>
      </c>
      <c r="U53">
        <v>126.82498000000001</v>
      </c>
      <c r="V53">
        <v>664.43601109079998</v>
      </c>
      <c r="W53">
        <v>100.85905200000001</v>
      </c>
      <c r="Y53" s="28">
        <v>2016</v>
      </c>
      <c r="Z53">
        <v>1</v>
      </c>
      <c r="AA53" s="116" t="s">
        <v>189</v>
      </c>
      <c r="AB53" s="94">
        <v>90</v>
      </c>
      <c r="AC53">
        <v>2.7081044147199997</v>
      </c>
      <c r="AD53">
        <v>1.5279091199999999</v>
      </c>
      <c r="AE53">
        <v>3.9153222751999999</v>
      </c>
      <c r="AF53">
        <v>3.9620777601600001</v>
      </c>
      <c r="AG53">
        <v>1.0119416695928591</v>
      </c>
      <c r="AH53">
        <v>13.423627680000001</v>
      </c>
      <c r="AI53">
        <v>4949.75</v>
      </c>
      <c r="AJ53">
        <f t="shared" si="0"/>
        <v>664.43601109079998</v>
      </c>
      <c r="AK53">
        <v>14.665699932530519</v>
      </c>
    </row>
    <row r="54" spans="1:37" ht="15.5">
      <c r="A54" s="28">
        <v>2016</v>
      </c>
      <c r="B54">
        <v>1</v>
      </c>
      <c r="C54" s="116" t="s">
        <v>189</v>
      </c>
      <c r="D54" s="94">
        <v>150</v>
      </c>
      <c r="E54">
        <v>5.1412680000000002</v>
      </c>
      <c r="F54">
        <v>21.774754000000001</v>
      </c>
      <c r="G54">
        <v>9.7471004000000008</v>
      </c>
      <c r="H54">
        <v>132.00367</v>
      </c>
      <c r="I54">
        <v>168.66679240000002</v>
      </c>
      <c r="L54" s="28">
        <v>2016</v>
      </c>
      <c r="M54">
        <v>1</v>
      </c>
      <c r="N54" s="116" t="s">
        <v>189</v>
      </c>
      <c r="O54" s="94">
        <v>150</v>
      </c>
      <c r="P54">
        <v>553</v>
      </c>
      <c r="Q54">
        <v>31.857142857142858</v>
      </c>
      <c r="R54">
        <v>41.834080717488803</v>
      </c>
      <c r="S54">
        <v>5660.38</v>
      </c>
      <c r="T54">
        <v>0.37492043411017023</v>
      </c>
      <c r="U54">
        <v>168.66679240000002</v>
      </c>
      <c r="V54">
        <v>820.72725953417762</v>
      </c>
      <c r="W54">
        <v>132.00367</v>
      </c>
      <c r="Y54" s="28">
        <v>2016</v>
      </c>
      <c r="Z54">
        <v>1</v>
      </c>
      <c r="AA54" s="116" t="s">
        <v>189</v>
      </c>
      <c r="AB54" s="94">
        <v>150</v>
      </c>
      <c r="AC54">
        <v>2.9538620527999999</v>
      </c>
      <c r="AD54">
        <v>1.7083657299999999</v>
      </c>
      <c r="AE54">
        <v>3.9615230312</v>
      </c>
      <c r="AF54">
        <v>4.1982257636</v>
      </c>
      <c r="AG54">
        <v>1.0597504370253021</v>
      </c>
      <c r="AH54">
        <v>14.499508151999999</v>
      </c>
      <c r="AI54">
        <v>5660.38</v>
      </c>
      <c r="AJ54">
        <f t="shared" si="0"/>
        <v>820.72725953417762</v>
      </c>
      <c r="AK54">
        <v>16.27565755774808</v>
      </c>
    </row>
    <row r="55" spans="1:37" ht="15.5">
      <c r="A55" s="28">
        <v>2016</v>
      </c>
      <c r="B55">
        <v>1</v>
      </c>
      <c r="C55" s="116" t="s">
        <v>189</v>
      </c>
      <c r="D55" s="94">
        <v>210</v>
      </c>
      <c r="E55">
        <v>4.1035499999999994</v>
      </c>
      <c r="F55">
        <v>15.562203999999999</v>
      </c>
      <c r="G55">
        <v>7.0836180000000004</v>
      </c>
      <c r="H55">
        <v>110.031402</v>
      </c>
      <c r="I55">
        <v>136.78077400000001</v>
      </c>
      <c r="L55" s="28">
        <v>2016</v>
      </c>
      <c r="M55">
        <v>1</v>
      </c>
      <c r="N55" s="116" t="s">
        <v>189</v>
      </c>
      <c r="O55" s="94">
        <v>210</v>
      </c>
      <c r="P55">
        <v>560.5</v>
      </c>
      <c r="Q55">
        <v>31.294117647058801</v>
      </c>
      <c r="R55">
        <v>40.522427440633201</v>
      </c>
      <c r="S55">
        <v>5058.25</v>
      </c>
      <c r="T55">
        <v>0.322507791679841</v>
      </c>
      <c r="U55">
        <v>136.78077400000001</v>
      </c>
      <c r="V55">
        <v>710.66766747780002</v>
      </c>
      <c r="W55">
        <v>110.031402</v>
      </c>
      <c r="Y55" s="28">
        <v>2016</v>
      </c>
      <c r="Z55">
        <v>1</v>
      </c>
      <c r="AA55" s="116" t="s">
        <v>189</v>
      </c>
      <c r="AB55" s="94">
        <v>210</v>
      </c>
      <c r="AC55">
        <v>2.9384693120000001</v>
      </c>
      <c r="AD55">
        <v>1.5965930373199999</v>
      </c>
      <c r="AE55">
        <v>3.8737078980000001</v>
      </c>
      <c r="AF55">
        <v>4.0366433153600001</v>
      </c>
      <c r="AG55">
        <v>1.0420618749916903</v>
      </c>
      <c r="AH55">
        <v>14.049674640000001</v>
      </c>
      <c r="AI55">
        <v>5058.25</v>
      </c>
      <c r="AJ55">
        <f t="shared" si="0"/>
        <v>710.66766747780002</v>
      </c>
      <c r="AK55">
        <v>14.768786157034784</v>
      </c>
    </row>
    <row r="56" spans="1:37" ht="15.5">
      <c r="A56" s="28">
        <v>2016</v>
      </c>
      <c r="B56">
        <v>1</v>
      </c>
      <c r="C56" s="113" t="s">
        <v>193</v>
      </c>
      <c r="D56" s="94">
        <v>0</v>
      </c>
      <c r="E56">
        <v>2.2795739999999998</v>
      </c>
      <c r="F56">
        <v>9.6623020000000004</v>
      </c>
      <c r="G56">
        <v>3.3654060000000001</v>
      </c>
      <c r="H56">
        <v>82.610569999999996</v>
      </c>
      <c r="I56">
        <v>97.917851999999996</v>
      </c>
      <c r="L56" s="28">
        <v>2016</v>
      </c>
      <c r="M56">
        <v>1</v>
      </c>
      <c r="N56" s="113" t="s">
        <v>193</v>
      </c>
      <c r="O56" s="94">
        <v>0</v>
      </c>
      <c r="P56">
        <v>480</v>
      </c>
      <c r="Q56">
        <v>30.923076923076898</v>
      </c>
      <c r="R56">
        <v>38.453744493392101</v>
      </c>
      <c r="S56">
        <v>4237.45</v>
      </c>
      <c r="T56">
        <v>0.35525085827105018</v>
      </c>
      <c r="U56">
        <v>97.917851999999996</v>
      </c>
      <c r="V56">
        <v>571.81879179600003</v>
      </c>
      <c r="W56">
        <v>82.610569999999996</v>
      </c>
      <c r="Y56" s="28">
        <v>2016</v>
      </c>
      <c r="Z56">
        <v>1</v>
      </c>
      <c r="AA56" s="113" t="s">
        <v>193</v>
      </c>
      <c r="AB56" s="94">
        <v>0</v>
      </c>
      <c r="AC56">
        <v>2.4928437970799999</v>
      </c>
      <c r="AD56">
        <v>1.432801328</v>
      </c>
      <c r="AE56">
        <v>3.6539657999999999</v>
      </c>
      <c r="AF56">
        <v>3.7055772095999999</v>
      </c>
      <c r="AG56">
        <v>1.0141247653713672</v>
      </c>
      <c r="AH56">
        <v>13.494408000000002</v>
      </c>
      <c r="AI56">
        <v>4237.45</v>
      </c>
      <c r="AJ56">
        <f t="shared" si="0"/>
        <v>571.81879179600003</v>
      </c>
      <c r="AK56">
        <v>13.664385652853879</v>
      </c>
    </row>
    <row r="57" spans="1:37" ht="15.5">
      <c r="A57" s="28">
        <v>2016</v>
      </c>
      <c r="B57">
        <v>1</v>
      </c>
      <c r="C57" s="116" t="s">
        <v>193</v>
      </c>
      <c r="D57" s="94">
        <v>90</v>
      </c>
      <c r="E57">
        <v>3.2206679999999999</v>
      </c>
      <c r="F57">
        <v>11.904354</v>
      </c>
      <c r="G57">
        <v>5.1753039999999997</v>
      </c>
      <c r="H57">
        <v>92.651160000000004</v>
      </c>
      <c r="I57">
        <v>112.951486</v>
      </c>
      <c r="L57" s="28">
        <v>2016</v>
      </c>
      <c r="M57">
        <v>1</v>
      </c>
      <c r="N57" s="116" t="s">
        <v>193</v>
      </c>
      <c r="O57" s="94">
        <v>90</v>
      </c>
      <c r="P57">
        <v>499</v>
      </c>
      <c r="Q57">
        <v>31.214285714285715</v>
      </c>
      <c r="R57">
        <v>39.393592677345502</v>
      </c>
      <c r="S57">
        <v>4482.3500000000004</v>
      </c>
      <c r="T57">
        <v>0.34120691951966814</v>
      </c>
      <c r="U57">
        <v>112.951486</v>
      </c>
      <c r="V57">
        <v>611.23963807680002</v>
      </c>
      <c r="W57">
        <v>92.651160000000004</v>
      </c>
      <c r="Y57" s="28">
        <v>2016</v>
      </c>
      <c r="Z57">
        <v>1</v>
      </c>
      <c r="AA57" s="116" t="s">
        <v>193</v>
      </c>
      <c r="AB57" s="94">
        <v>90</v>
      </c>
      <c r="AC57">
        <v>2.6183003795199999</v>
      </c>
      <c r="AD57">
        <v>1.4659477000000001</v>
      </c>
      <c r="AE57">
        <v>3.81022233832</v>
      </c>
      <c r="AF57">
        <v>3.8999523599999999</v>
      </c>
      <c r="AG57">
        <v>1.0235498125076774</v>
      </c>
      <c r="AH57">
        <v>13.6365888</v>
      </c>
      <c r="AI57">
        <v>4482.3500000000004</v>
      </c>
      <c r="AJ57">
        <f t="shared" si="0"/>
        <v>611.23963807680002</v>
      </c>
      <c r="AK57">
        <v>14.234215939553282</v>
      </c>
    </row>
    <row r="58" spans="1:37" ht="15.5">
      <c r="A58" s="28">
        <v>2016</v>
      </c>
      <c r="B58">
        <v>1</v>
      </c>
      <c r="C58" s="116" t="s">
        <v>193</v>
      </c>
      <c r="D58" s="94">
        <v>150</v>
      </c>
      <c r="E58">
        <v>4.1330520000000002</v>
      </c>
      <c r="F58">
        <v>16.609824</v>
      </c>
      <c r="G58">
        <v>8.0542479999999994</v>
      </c>
      <c r="H58">
        <v>117.069312</v>
      </c>
      <c r="I58">
        <v>145.86643599999999</v>
      </c>
      <c r="L58" s="28">
        <v>2016</v>
      </c>
      <c r="M58">
        <v>1</v>
      </c>
      <c r="N58" s="116" t="s">
        <v>193</v>
      </c>
      <c r="O58" s="94">
        <v>150</v>
      </c>
      <c r="P58">
        <v>526.5</v>
      </c>
      <c r="Q58">
        <v>32.0833333333333</v>
      </c>
      <c r="R58">
        <v>41.953488372092998</v>
      </c>
      <c r="S58">
        <v>5145.33</v>
      </c>
      <c r="T58">
        <v>0.36519674644408479</v>
      </c>
      <c r="U58">
        <v>145.86643599999999</v>
      </c>
      <c r="V58">
        <v>719.42558948852252</v>
      </c>
      <c r="W58">
        <v>117.069312</v>
      </c>
      <c r="Y58" s="28">
        <v>2016</v>
      </c>
      <c r="Z58">
        <v>1</v>
      </c>
      <c r="AA58" s="116" t="s">
        <v>193</v>
      </c>
      <c r="AB58" s="94">
        <v>150</v>
      </c>
      <c r="AC58">
        <v>2.7411903140800002</v>
      </c>
      <c r="AD58">
        <v>1.4859560528</v>
      </c>
      <c r="AE58">
        <v>3.8536162319999998</v>
      </c>
      <c r="AF58">
        <v>3.9380819728400001</v>
      </c>
      <c r="AG58">
        <v>1.0219185657717045</v>
      </c>
      <c r="AH58">
        <v>13.9821078432</v>
      </c>
      <c r="AI58">
        <v>5145.33</v>
      </c>
      <c r="AJ58">
        <f t="shared" si="0"/>
        <v>719.42558948852252</v>
      </c>
      <c r="AK58">
        <v>15.633637080672628</v>
      </c>
    </row>
    <row r="59" spans="1:37" ht="15.5">
      <c r="A59" s="28">
        <v>2016</v>
      </c>
      <c r="B59">
        <v>1</v>
      </c>
      <c r="C59" s="120" t="s">
        <v>193</v>
      </c>
      <c r="D59" s="97">
        <v>210</v>
      </c>
      <c r="E59">
        <v>2.6385480000000001</v>
      </c>
      <c r="F59">
        <v>10.944153999999999</v>
      </c>
      <c r="G59">
        <v>3.9280240000000002</v>
      </c>
      <c r="H59">
        <v>92.185463999999996</v>
      </c>
      <c r="I59">
        <v>109.69619</v>
      </c>
      <c r="L59" s="28">
        <v>2016</v>
      </c>
      <c r="M59">
        <v>1</v>
      </c>
      <c r="N59" s="120" t="s">
        <v>193</v>
      </c>
      <c r="O59" s="97">
        <v>210</v>
      </c>
      <c r="P59">
        <v>539</v>
      </c>
      <c r="Q59">
        <v>30.3571428571429</v>
      </c>
      <c r="R59">
        <v>39.777126099706699</v>
      </c>
      <c r="S59">
        <v>4403.1000000000004</v>
      </c>
      <c r="T59">
        <v>0.30059085959660437</v>
      </c>
      <c r="U59">
        <v>109.69619</v>
      </c>
      <c r="V59">
        <v>641.49042175919999</v>
      </c>
      <c r="W59">
        <v>92.185463999999996</v>
      </c>
      <c r="Y59" s="28">
        <v>2016</v>
      </c>
      <c r="Z59">
        <v>1</v>
      </c>
      <c r="AA59" s="120" t="s">
        <v>193</v>
      </c>
      <c r="AB59" s="97">
        <v>210</v>
      </c>
      <c r="AC59">
        <v>2.7567499191680001</v>
      </c>
      <c r="AD59">
        <v>1.63605873492</v>
      </c>
      <c r="AE59">
        <v>4.0244391120799996</v>
      </c>
      <c r="AF59">
        <v>4.0682257960000001</v>
      </c>
      <c r="AG59">
        <v>1.010880195401284</v>
      </c>
      <c r="AH59">
        <v>14.569063199999999</v>
      </c>
      <c r="AI59">
        <v>4403.1000000000004</v>
      </c>
      <c r="AJ59">
        <f t="shared" si="0"/>
        <v>641.49042175919999</v>
      </c>
      <c r="AK59">
        <v>14.632993134283144</v>
      </c>
    </row>
    <row r="60" spans="1:37" ht="15.5">
      <c r="A60" s="28">
        <v>2016</v>
      </c>
      <c r="B60">
        <v>2</v>
      </c>
      <c r="C60" s="113" t="s">
        <v>189</v>
      </c>
      <c r="D60" s="92">
        <v>0</v>
      </c>
      <c r="E60">
        <v>2.4947300000000001</v>
      </c>
      <c r="F60">
        <v>12.86187</v>
      </c>
      <c r="G60">
        <v>4.3601580000000002</v>
      </c>
      <c r="H60">
        <v>93.910478000000012</v>
      </c>
      <c r="I60">
        <v>113.62723600000001</v>
      </c>
      <c r="L60" s="28">
        <v>2016</v>
      </c>
      <c r="M60">
        <v>2</v>
      </c>
      <c r="N60" s="113" t="s">
        <v>189</v>
      </c>
      <c r="O60" s="92">
        <v>0</v>
      </c>
      <c r="P60">
        <v>457.75</v>
      </c>
      <c r="Q60">
        <v>31</v>
      </c>
      <c r="R60">
        <v>40.646153846153801</v>
      </c>
      <c r="S60">
        <v>4628.1000000000004</v>
      </c>
      <c r="T60">
        <v>0.34367121741487305</v>
      </c>
      <c r="U60">
        <v>113.62723600000001</v>
      </c>
      <c r="V60">
        <v>623.06964752688009</v>
      </c>
      <c r="W60">
        <v>93.910478000000012</v>
      </c>
      <c r="Y60" s="28">
        <v>2016</v>
      </c>
      <c r="Z60">
        <v>2</v>
      </c>
      <c r="AA60" s="113" t="s">
        <v>189</v>
      </c>
      <c r="AB60" s="92">
        <v>0</v>
      </c>
      <c r="AC60">
        <v>2.57177575</v>
      </c>
      <c r="AD60">
        <v>1.5040657022799999</v>
      </c>
      <c r="AE60">
        <v>3.8099656808</v>
      </c>
      <c r="AF60">
        <v>3.9275630425600001</v>
      </c>
      <c r="AG60">
        <v>1.0308657273089419</v>
      </c>
      <c r="AH60">
        <v>13.462752480000001</v>
      </c>
      <c r="AI60">
        <v>4628.1000000000004</v>
      </c>
      <c r="AJ60">
        <f t="shared" si="0"/>
        <v>623.06964752688009</v>
      </c>
      <c r="AK60">
        <v>14.18230317489334</v>
      </c>
    </row>
    <row r="61" spans="1:37" ht="15.5">
      <c r="A61" s="28">
        <v>2016</v>
      </c>
      <c r="B61">
        <v>2</v>
      </c>
      <c r="C61" s="116" t="s">
        <v>189</v>
      </c>
      <c r="D61" s="94">
        <v>90</v>
      </c>
      <c r="E61">
        <v>2.5712859999999997</v>
      </c>
      <c r="F61">
        <v>14.566936000000002</v>
      </c>
      <c r="G61">
        <v>6.4758499999999994</v>
      </c>
      <c r="H61">
        <v>107.68094799999999</v>
      </c>
      <c r="I61">
        <v>131.29501999999999</v>
      </c>
      <c r="L61" s="28">
        <v>2016</v>
      </c>
      <c r="M61">
        <v>2</v>
      </c>
      <c r="N61" s="116" t="s">
        <v>189</v>
      </c>
      <c r="O61" s="94">
        <v>90</v>
      </c>
      <c r="P61">
        <v>464</v>
      </c>
      <c r="Q61">
        <v>31.55</v>
      </c>
      <c r="R61">
        <v>40.900826446281002</v>
      </c>
      <c r="S61">
        <v>4818.1499999999996</v>
      </c>
      <c r="T61">
        <v>0.33288655057223887</v>
      </c>
      <c r="U61">
        <v>131.29501999999999</v>
      </c>
      <c r="V61">
        <v>668.83399768799995</v>
      </c>
      <c r="W61">
        <v>107.68094799999999</v>
      </c>
      <c r="Y61" s="28">
        <v>2016</v>
      </c>
      <c r="Z61">
        <v>2</v>
      </c>
      <c r="AA61" s="116" t="s">
        <v>189</v>
      </c>
      <c r="AB61" s="94">
        <v>90</v>
      </c>
      <c r="AC61">
        <v>2.6612118249200001</v>
      </c>
      <c r="AD61">
        <v>1.5936293492</v>
      </c>
      <c r="AE61">
        <v>3.8362406032799998</v>
      </c>
      <c r="AF61">
        <v>3.9913124</v>
      </c>
      <c r="AG61">
        <v>1.0404228547571841</v>
      </c>
      <c r="AH61">
        <v>13.881552000000001</v>
      </c>
      <c r="AI61">
        <v>4818.1499999999996</v>
      </c>
      <c r="AJ61">
        <f t="shared" si="0"/>
        <v>668.83399768799995</v>
      </c>
      <c r="AK61">
        <v>14.474760341943073</v>
      </c>
    </row>
    <row r="62" spans="1:37" ht="15.5">
      <c r="A62" s="28">
        <v>2016</v>
      </c>
      <c r="B62">
        <v>2</v>
      </c>
      <c r="C62" s="116" t="s">
        <v>189</v>
      </c>
      <c r="D62" s="94">
        <v>150</v>
      </c>
      <c r="E62">
        <v>6.398731999999999</v>
      </c>
      <c r="F62">
        <v>23.765245999999998</v>
      </c>
      <c r="G62">
        <v>9.7928995999999984</v>
      </c>
      <c r="H62">
        <v>129.77632999999997</v>
      </c>
      <c r="I62">
        <v>169.73320759999996</v>
      </c>
      <c r="L62" s="28">
        <v>2016</v>
      </c>
      <c r="M62">
        <v>2</v>
      </c>
      <c r="N62" s="116" t="s">
        <v>189</v>
      </c>
      <c r="O62" s="94">
        <v>150</v>
      </c>
      <c r="P62">
        <v>508.75</v>
      </c>
      <c r="Q62">
        <v>32.3333333333333</v>
      </c>
      <c r="R62">
        <v>42.272727272727302</v>
      </c>
      <c r="S62">
        <v>5489.7</v>
      </c>
      <c r="T62">
        <v>0.36482835848172601</v>
      </c>
      <c r="U62">
        <v>169.73320759999996</v>
      </c>
      <c r="V62">
        <v>781.78158936000011</v>
      </c>
      <c r="W62">
        <v>129.77632999999997</v>
      </c>
      <c r="Y62" s="28">
        <v>2016</v>
      </c>
      <c r="Z62">
        <v>2</v>
      </c>
      <c r="AA62" s="116" t="s">
        <v>189</v>
      </c>
      <c r="AB62" s="94">
        <v>150</v>
      </c>
      <c r="AC62">
        <v>2.8547424191999999</v>
      </c>
      <c r="AD62">
        <v>1.6710995071999999</v>
      </c>
      <c r="AE62">
        <v>4.0625679999999997</v>
      </c>
      <c r="AF62">
        <v>4.2514803075999996</v>
      </c>
      <c r="AG62">
        <v>1.0465007127511465</v>
      </c>
      <c r="AH62">
        <v>14.240880000000001</v>
      </c>
      <c r="AI62">
        <v>5489.7</v>
      </c>
      <c r="AJ62">
        <f t="shared" si="0"/>
        <v>781.78158936000011</v>
      </c>
      <c r="AK62">
        <v>16.058000396468131</v>
      </c>
    </row>
    <row r="63" spans="1:37" ht="15.5">
      <c r="A63" s="28">
        <v>2016</v>
      </c>
      <c r="B63">
        <v>2</v>
      </c>
      <c r="C63" s="116" t="s">
        <v>189</v>
      </c>
      <c r="D63" s="94">
        <v>210</v>
      </c>
      <c r="E63">
        <v>3.3764500000000011</v>
      </c>
      <c r="F63">
        <v>14.477796</v>
      </c>
      <c r="G63">
        <v>5.6963819999999989</v>
      </c>
      <c r="H63">
        <v>110.188598</v>
      </c>
      <c r="I63">
        <v>133.739226</v>
      </c>
      <c r="L63" s="28">
        <v>2016</v>
      </c>
      <c r="M63">
        <v>2</v>
      </c>
      <c r="N63" s="116" t="s">
        <v>189</v>
      </c>
      <c r="O63" s="94">
        <v>210</v>
      </c>
      <c r="P63">
        <v>468.25</v>
      </c>
      <c r="Q63">
        <v>31.8888888888889</v>
      </c>
      <c r="R63">
        <v>41.196808510638299</v>
      </c>
      <c r="S63">
        <v>4932.2000000000007</v>
      </c>
      <c r="T63">
        <v>0.35666450918339804</v>
      </c>
      <c r="U63">
        <v>133.739226</v>
      </c>
      <c r="V63">
        <v>698.71817957760004</v>
      </c>
      <c r="W63">
        <v>110.188598</v>
      </c>
      <c r="Y63" s="28">
        <v>2016</v>
      </c>
      <c r="Z63">
        <v>2</v>
      </c>
      <c r="AA63" s="116" t="s">
        <v>189</v>
      </c>
      <c r="AB63" s="94">
        <v>210</v>
      </c>
      <c r="AC63">
        <v>3.0375270092799997</v>
      </c>
      <c r="AD63">
        <v>1.6265915520000001</v>
      </c>
      <c r="AE63">
        <v>3.9773304168000001</v>
      </c>
      <c r="AF63">
        <v>4.1237098625600002</v>
      </c>
      <c r="AG63">
        <v>1.0368034411075586</v>
      </c>
      <c r="AH63">
        <v>14.166460800000001</v>
      </c>
      <c r="AI63">
        <v>4932.2000000000007</v>
      </c>
      <c r="AJ63">
        <f t="shared" si="0"/>
        <v>698.71817957760004</v>
      </c>
      <c r="AK63">
        <v>14.903491546449697</v>
      </c>
    </row>
    <row r="64" spans="1:37" ht="15.5">
      <c r="A64" s="28">
        <v>2016</v>
      </c>
      <c r="B64">
        <v>2</v>
      </c>
      <c r="C64" s="113" t="s">
        <v>193</v>
      </c>
      <c r="D64" s="94">
        <v>0</v>
      </c>
      <c r="E64">
        <v>1.9204260000000004</v>
      </c>
      <c r="F64">
        <v>8.7976980000000005</v>
      </c>
      <c r="G64">
        <v>3.0145939999999998</v>
      </c>
      <c r="H64">
        <v>84.209429999999998</v>
      </c>
      <c r="I64">
        <v>97.942148000000003</v>
      </c>
      <c r="L64" s="28">
        <v>2016</v>
      </c>
      <c r="M64">
        <v>2</v>
      </c>
      <c r="N64" s="113" t="s">
        <v>193</v>
      </c>
      <c r="O64" s="94">
        <v>0</v>
      </c>
      <c r="P64">
        <v>443.75</v>
      </c>
      <c r="Q64">
        <v>30.866666666666699</v>
      </c>
      <c r="R64">
        <v>38.694560669456102</v>
      </c>
      <c r="S64">
        <v>4065.0999999999995</v>
      </c>
      <c r="T64">
        <v>0.33378767848785168</v>
      </c>
      <c r="U64">
        <v>97.942148000000003</v>
      </c>
      <c r="V64">
        <v>542.24011171199993</v>
      </c>
      <c r="W64">
        <v>84.209429999999998</v>
      </c>
      <c r="Y64" s="28">
        <v>2016</v>
      </c>
      <c r="Z64">
        <v>2</v>
      </c>
      <c r="AA64" s="113" t="s">
        <v>193</v>
      </c>
      <c r="AB64" s="94">
        <v>0</v>
      </c>
      <c r="AC64">
        <v>2.6129199999999999</v>
      </c>
      <c r="AD64">
        <v>1.4851407999999999</v>
      </c>
      <c r="AE64">
        <v>3.7152303120000001</v>
      </c>
      <c r="AF64">
        <v>3.7373796000000001</v>
      </c>
      <c r="AG64">
        <v>1.0059617536841414</v>
      </c>
      <c r="AH64">
        <v>13.338912000000001</v>
      </c>
      <c r="AI64">
        <v>4065.0999999999995</v>
      </c>
      <c r="AJ64">
        <f t="shared" si="0"/>
        <v>542.24011171199993</v>
      </c>
      <c r="AK64">
        <v>13.80671398287814</v>
      </c>
    </row>
    <row r="65" spans="1:37" ht="15.5">
      <c r="A65" s="28">
        <v>2016</v>
      </c>
      <c r="B65">
        <v>2</v>
      </c>
      <c r="C65" s="116" t="s">
        <v>193</v>
      </c>
      <c r="D65" s="94">
        <v>90</v>
      </c>
      <c r="E65">
        <v>2.079332</v>
      </c>
      <c r="F65">
        <v>10.835645999999999</v>
      </c>
      <c r="G65">
        <v>4.1646960000000002</v>
      </c>
      <c r="H65">
        <v>93.048839999999984</v>
      </c>
      <c r="I65">
        <v>110.12851399999998</v>
      </c>
      <c r="L65" s="28">
        <v>2016</v>
      </c>
      <c r="M65">
        <v>2</v>
      </c>
      <c r="N65" s="116" t="s">
        <v>193</v>
      </c>
      <c r="O65" s="94">
        <v>90</v>
      </c>
      <c r="P65">
        <v>455.75</v>
      </c>
      <c r="Q65">
        <v>30.833333333333002</v>
      </c>
      <c r="R65">
        <v>38.9280397022332</v>
      </c>
      <c r="S65">
        <v>4352.8999999999996</v>
      </c>
      <c r="T65">
        <v>0.33158131279660563</v>
      </c>
      <c r="U65">
        <v>110.12851399999998</v>
      </c>
      <c r="V65">
        <v>580.60764645237612</v>
      </c>
      <c r="W65">
        <v>93.048839999999984</v>
      </c>
      <c r="Y65" s="28">
        <v>2016</v>
      </c>
      <c r="Z65">
        <v>2</v>
      </c>
      <c r="AA65" s="116" t="s">
        <v>193</v>
      </c>
      <c r="AB65" s="94">
        <v>90</v>
      </c>
      <c r="AC65">
        <v>2.5620069372000001</v>
      </c>
      <c r="AD65">
        <v>1.5335304272000001</v>
      </c>
      <c r="AE65">
        <v>3.7390997088</v>
      </c>
      <c r="AF65">
        <v>3.82597904036</v>
      </c>
      <c r="AG65">
        <v>1.0232353610029519</v>
      </c>
      <c r="AH65">
        <v>13.338409944000002</v>
      </c>
      <c r="AI65">
        <v>4352.8999999999996</v>
      </c>
      <c r="AJ65">
        <f t="shared" si="0"/>
        <v>580.60764645237612</v>
      </c>
      <c r="AK65">
        <v>14.042896932164922</v>
      </c>
    </row>
    <row r="66" spans="1:37" ht="15.5">
      <c r="A66" s="28">
        <v>2016</v>
      </c>
      <c r="B66">
        <v>2</v>
      </c>
      <c r="C66" s="116" t="s">
        <v>193</v>
      </c>
      <c r="D66" s="94">
        <v>150</v>
      </c>
      <c r="E66">
        <v>5.1269479999999996</v>
      </c>
      <c r="F66">
        <v>17.090176000000003</v>
      </c>
      <c r="G66">
        <v>7.3657520000000005</v>
      </c>
      <c r="H66">
        <v>113.250688</v>
      </c>
      <c r="I66">
        <v>142.833564</v>
      </c>
      <c r="L66" s="28">
        <v>2016</v>
      </c>
      <c r="M66">
        <v>2</v>
      </c>
      <c r="N66" s="116" t="s">
        <v>193</v>
      </c>
      <c r="O66" s="94">
        <v>150</v>
      </c>
      <c r="P66">
        <v>459.75</v>
      </c>
      <c r="Q66">
        <v>31.666666666666998</v>
      </c>
      <c r="R66">
        <v>41.867403314917098</v>
      </c>
      <c r="S66">
        <v>5015.0499999999993</v>
      </c>
      <c r="T66">
        <v>0.35772725975804603</v>
      </c>
      <c r="U66">
        <v>142.833564</v>
      </c>
      <c r="V66">
        <v>706.67406657648962</v>
      </c>
      <c r="W66">
        <v>113.250688</v>
      </c>
      <c r="Y66" s="28">
        <v>2016</v>
      </c>
      <c r="Z66">
        <v>2</v>
      </c>
      <c r="AA66" s="116" t="s">
        <v>193</v>
      </c>
      <c r="AB66" s="94">
        <v>150</v>
      </c>
      <c r="AC66">
        <v>2.6138096833119997</v>
      </c>
      <c r="AD66">
        <v>1.5670260432000001</v>
      </c>
      <c r="AE66">
        <v>3.83327844072</v>
      </c>
      <c r="AF66">
        <v>4.0126931360000002</v>
      </c>
      <c r="AG66">
        <v>1.0468045037830074</v>
      </c>
      <c r="AH66">
        <v>14.091067219200001</v>
      </c>
      <c r="AI66">
        <v>5015.0499999999993</v>
      </c>
      <c r="AJ66">
        <f t="shared" si="0"/>
        <v>706.67406657648962</v>
      </c>
      <c r="AK66">
        <v>15.761287646236031</v>
      </c>
    </row>
    <row r="67" spans="1:37" ht="15.5">
      <c r="A67" s="28">
        <v>2016</v>
      </c>
      <c r="B67">
        <v>2</v>
      </c>
      <c r="C67" s="120" t="s">
        <v>193</v>
      </c>
      <c r="D67" s="97">
        <v>210</v>
      </c>
      <c r="E67">
        <v>2.6814520000000002</v>
      </c>
      <c r="F67">
        <v>12.455845999999999</v>
      </c>
      <c r="G67">
        <v>3.811976</v>
      </c>
      <c r="H67">
        <v>100.01453599999999</v>
      </c>
      <c r="I67">
        <v>118.96381</v>
      </c>
      <c r="L67" s="28">
        <v>2016</v>
      </c>
      <c r="M67">
        <v>2</v>
      </c>
      <c r="N67" s="120" t="s">
        <v>193</v>
      </c>
      <c r="O67" s="97">
        <v>210</v>
      </c>
      <c r="P67">
        <v>456.25</v>
      </c>
      <c r="Q67">
        <v>30.5</v>
      </c>
      <c r="R67">
        <v>39.235294117647101</v>
      </c>
      <c r="S67">
        <v>4523.1000000000004</v>
      </c>
      <c r="T67">
        <v>0.30719025271493677</v>
      </c>
      <c r="U67">
        <v>118.96381</v>
      </c>
      <c r="V67">
        <v>642.06670968000014</v>
      </c>
      <c r="W67">
        <v>100.01453599999999</v>
      </c>
      <c r="Y67" s="28">
        <v>2016</v>
      </c>
      <c r="Z67">
        <v>2</v>
      </c>
      <c r="AA67" s="120" t="s">
        <v>193</v>
      </c>
      <c r="AB67" s="97">
        <v>210</v>
      </c>
      <c r="AC67">
        <v>2.8058469312000001</v>
      </c>
      <c r="AD67">
        <v>1.6658280000000001</v>
      </c>
      <c r="AE67">
        <v>3.9562710711200002</v>
      </c>
      <c r="AF67">
        <v>4.1320515999999996</v>
      </c>
      <c r="AG67">
        <v>1.044430860706983</v>
      </c>
      <c r="AH67">
        <v>14.195280000000002</v>
      </c>
      <c r="AI67">
        <v>4523.1000000000004</v>
      </c>
      <c r="AJ67">
        <f t="shared" si="0"/>
        <v>642.06670968000014</v>
      </c>
      <c r="AK67">
        <v>14.366937952752307</v>
      </c>
    </row>
    <row r="68" spans="1:37" ht="15.5">
      <c r="A68" s="28">
        <v>2016</v>
      </c>
      <c r="B68">
        <v>3</v>
      </c>
      <c r="C68" s="113" t="s">
        <v>189</v>
      </c>
      <c r="D68" s="92">
        <v>0</v>
      </c>
      <c r="E68">
        <v>2.62</v>
      </c>
      <c r="F68">
        <v>11.82</v>
      </c>
      <c r="G68">
        <v>4.16</v>
      </c>
      <c r="H68">
        <v>92.51</v>
      </c>
      <c r="I68">
        <v>111.12</v>
      </c>
      <c r="L68" s="28">
        <v>2016</v>
      </c>
      <c r="M68">
        <v>3</v>
      </c>
      <c r="N68" s="113" t="s">
        <v>189</v>
      </c>
      <c r="O68" s="92">
        <v>0</v>
      </c>
      <c r="P68">
        <v>434</v>
      </c>
      <c r="Q68">
        <v>31.1</v>
      </c>
      <c r="R68">
        <v>40.507039187227846</v>
      </c>
      <c r="S68">
        <v>4566.55</v>
      </c>
      <c r="T68">
        <v>0.3445302975311576</v>
      </c>
      <c r="U68">
        <v>111.12</v>
      </c>
      <c r="V68">
        <v>619.45225725306</v>
      </c>
      <c r="W68">
        <v>92.51</v>
      </c>
      <c r="Y68" s="28">
        <v>2016</v>
      </c>
      <c r="Z68">
        <v>3</v>
      </c>
      <c r="AA68" s="113" t="s">
        <v>189</v>
      </c>
      <c r="AB68" s="92">
        <v>0</v>
      </c>
      <c r="AC68">
        <v>2.6297213693999999</v>
      </c>
      <c r="AD68">
        <v>1.51356884514</v>
      </c>
      <c r="AE68">
        <v>3.8516840547999998</v>
      </c>
      <c r="AF68">
        <v>3.9348007212800002</v>
      </c>
      <c r="AG68">
        <v>1.0216788107520833</v>
      </c>
      <c r="AH68">
        <v>13.564994519999999</v>
      </c>
      <c r="AI68">
        <v>4566.55</v>
      </c>
      <c r="AJ68">
        <f t="shared" si="0"/>
        <v>619.45225725306</v>
      </c>
      <c r="AK68">
        <v>14.092978281543804</v>
      </c>
    </row>
    <row r="69" spans="1:37" ht="15.5">
      <c r="A69" s="28">
        <v>2016</v>
      </c>
      <c r="B69">
        <v>3</v>
      </c>
      <c r="C69" s="116" t="s">
        <v>189</v>
      </c>
      <c r="D69" s="94">
        <v>90</v>
      </c>
      <c r="E69">
        <v>3.26</v>
      </c>
      <c r="F69">
        <v>15.23</v>
      </c>
      <c r="G69">
        <v>6.3</v>
      </c>
      <c r="H69">
        <v>104.27</v>
      </c>
      <c r="I69">
        <v>129.06</v>
      </c>
      <c r="L69" s="28">
        <v>2016</v>
      </c>
      <c r="M69">
        <v>3</v>
      </c>
      <c r="N69" s="116" t="s">
        <v>189</v>
      </c>
      <c r="O69" s="94">
        <v>90</v>
      </c>
      <c r="P69">
        <v>452.75</v>
      </c>
      <c r="Q69">
        <v>31.375</v>
      </c>
      <c r="R69">
        <v>40.516726220487996</v>
      </c>
      <c r="S69">
        <v>4883.95</v>
      </c>
      <c r="T69">
        <v>0.33990325832473112</v>
      </c>
      <c r="U69">
        <v>129.06</v>
      </c>
      <c r="V69">
        <v>666.78566149068001</v>
      </c>
      <c r="W69">
        <v>104.27</v>
      </c>
      <c r="Y69" s="28">
        <v>2016</v>
      </c>
      <c r="Z69">
        <v>3</v>
      </c>
      <c r="AA69" s="116" t="s">
        <v>189</v>
      </c>
      <c r="AB69" s="94">
        <v>90</v>
      </c>
      <c r="AC69">
        <v>2.6846581198199999</v>
      </c>
      <c r="AD69">
        <v>1.5607692345999999</v>
      </c>
      <c r="AE69">
        <v>3.8757814392399998</v>
      </c>
      <c r="AF69">
        <v>3.9766950800799998</v>
      </c>
      <c r="AG69">
        <v>1.0261822621750216</v>
      </c>
      <c r="AH69">
        <v>13.652589840000001</v>
      </c>
      <c r="AI69">
        <v>4883.95</v>
      </c>
      <c r="AJ69">
        <f t="shared" ref="AJ69:AJ75" si="1">AI69*AH69/100</f>
        <v>666.78566149068001</v>
      </c>
      <c r="AK69">
        <v>14.570230137236795</v>
      </c>
    </row>
    <row r="70" spans="1:37" ht="15.5">
      <c r="A70" s="28">
        <v>2016</v>
      </c>
      <c r="B70">
        <v>3</v>
      </c>
      <c r="C70" s="116" t="s">
        <v>189</v>
      </c>
      <c r="D70" s="94">
        <v>150</v>
      </c>
      <c r="E70">
        <v>5.77</v>
      </c>
      <c r="F70">
        <v>22.77</v>
      </c>
      <c r="G70">
        <v>9.77</v>
      </c>
      <c r="H70">
        <v>130.88999999999999</v>
      </c>
      <c r="I70">
        <v>169.19</v>
      </c>
      <c r="L70" s="28">
        <v>2016</v>
      </c>
      <c r="M70">
        <v>3</v>
      </c>
      <c r="N70" s="116" t="s">
        <v>189</v>
      </c>
      <c r="O70" s="94">
        <v>150</v>
      </c>
      <c r="P70">
        <v>486.75</v>
      </c>
      <c r="Q70">
        <v>32.095238095238081</v>
      </c>
      <c r="R70">
        <v>42.053403995108056</v>
      </c>
      <c r="S70">
        <v>5575.04</v>
      </c>
      <c r="T70">
        <v>0.36987439629594809</v>
      </c>
      <c r="U70">
        <v>169.19</v>
      </c>
      <c r="V70">
        <v>801.14406781463038</v>
      </c>
      <c r="W70">
        <v>130.88999999999999</v>
      </c>
      <c r="Y70" s="28">
        <v>2016</v>
      </c>
      <c r="Z70">
        <v>3</v>
      </c>
      <c r="AA70" s="116" t="s">
        <v>189</v>
      </c>
      <c r="AB70" s="94">
        <v>150</v>
      </c>
      <c r="AC70">
        <v>2.9043022359999999</v>
      </c>
      <c r="AD70">
        <v>1.6897326185999999</v>
      </c>
      <c r="AE70">
        <v>4.0120455155999997</v>
      </c>
      <c r="AF70">
        <v>4.2248530355999998</v>
      </c>
      <c r="AG70">
        <v>1.0531255748882242</v>
      </c>
      <c r="AH70">
        <v>14.370194076000001</v>
      </c>
      <c r="AI70">
        <v>5575.04</v>
      </c>
      <c r="AJ70">
        <f t="shared" si="1"/>
        <v>801.14406781463038</v>
      </c>
      <c r="AK70">
        <v>16.166828977108104</v>
      </c>
    </row>
    <row r="71" spans="1:37" ht="15.5">
      <c r="A71" s="28">
        <v>2016</v>
      </c>
      <c r="B71">
        <v>3</v>
      </c>
      <c r="C71" s="116" t="s">
        <v>189</v>
      </c>
      <c r="D71" s="94">
        <v>210</v>
      </c>
      <c r="E71">
        <v>3.74</v>
      </c>
      <c r="F71">
        <v>15.02</v>
      </c>
      <c r="G71">
        <v>6.39</v>
      </c>
      <c r="H71">
        <v>110.11</v>
      </c>
      <c r="I71">
        <v>135.26</v>
      </c>
      <c r="L71" s="28">
        <v>2016</v>
      </c>
      <c r="M71">
        <v>3</v>
      </c>
      <c r="N71" s="116" t="s">
        <v>189</v>
      </c>
      <c r="O71" s="94">
        <v>210</v>
      </c>
      <c r="P71">
        <v>459.5</v>
      </c>
      <c r="Q71">
        <v>31.591503267973849</v>
      </c>
      <c r="R71">
        <v>40.85961797563575</v>
      </c>
      <c r="S71">
        <v>4995.2250000000004</v>
      </c>
      <c r="T71">
        <v>0.33958615043161955</v>
      </c>
      <c r="U71">
        <v>135.26</v>
      </c>
      <c r="V71">
        <v>704.72972576637005</v>
      </c>
      <c r="W71">
        <v>110.11</v>
      </c>
      <c r="Y71" s="28">
        <v>2016</v>
      </c>
      <c r="Z71">
        <v>3</v>
      </c>
      <c r="AA71" s="116" t="s">
        <v>189</v>
      </c>
      <c r="AB71" s="94">
        <v>210</v>
      </c>
      <c r="AC71">
        <v>2.9879981606400001</v>
      </c>
      <c r="AD71">
        <v>1.6115922946599999</v>
      </c>
      <c r="AE71">
        <v>3.9255191574000001</v>
      </c>
      <c r="AF71">
        <v>4.0801765889600006</v>
      </c>
      <c r="AG71">
        <v>1.0394326580496245</v>
      </c>
      <c r="AH71">
        <v>14.108067720000001</v>
      </c>
      <c r="AI71">
        <v>4995.2250000000004</v>
      </c>
      <c r="AJ71">
        <f t="shared" si="1"/>
        <v>704.72972576637005</v>
      </c>
      <c r="AK71">
        <v>14.836138851742241</v>
      </c>
    </row>
    <row r="72" spans="1:37" ht="15.5">
      <c r="A72" s="28">
        <v>2016</v>
      </c>
      <c r="B72">
        <v>3</v>
      </c>
      <c r="C72" s="113" t="s">
        <v>193</v>
      </c>
      <c r="D72" s="94">
        <v>0</v>
      </c>
      <c r="E72">
        <v>2.1</v>
      </c>
      <c r="F72">
        <v>9.23</v>
      </c>
      <c r="G72">
        <v>3.19</v>
      </c>
      <c r="H72">
        <v>83.41</v>
      </c>
      <c r="I72">
        <v>97.93</v>
      </c>
      <c r="L72" s="28">
        <v>2016</v>
      </c>
      <c r="M72">
        <v>3</v>
      </c>
      <c r="N72" s="113" t="s">
        <v>193</v>
      </c>
      <c r="O72" s="94">
        <v>0</v>
      </c>
      <c r="P72">
        <v>413.5</v>
      </c>
      <c r="Q72">
        <v>30.894871794871797</v>
      </c>
      <c r="R72">
        <v>38.574152581424102</v>
      </c>
      <c r="S72">
        <v>4151.2749999999996</v>
      </c>
      <c r="T72">
        <v>0.3445192683794509</v>
      </c>
      <c r="U72">
        <v>97.93</v>
      </c>
      <c r="V72">
        <v>556.96245241499992</v>
      </c>
      <c r="W72">
        <v>83.41</v>
      </c>
      <c r="Y72" s="28">
        <v>2016</v>
      </c>
      <c r="Z72">
        <v>3</v>
      </c>
      <c r="AA72" s="113" t="s">
        <v>193</v>
      </c>
      <c r="AB72" s="94">
        <v>0</v>
      </c>
      <c r="AC72">
        <v>2.5528818985399999</v>
      </c>
      <c r="AD72">
        <v>1.458971064</v>
      </c>
      <c r="AE72">
        <v>3.684598056</v>
      </c>
      <c r="AF72">
        <v>3.7214784048</v>
      </c>
      <c r="AG72">
        <v>1.0100432595277544</v>
      </c>
      <c r="AH72">
        <v>13.41666</v>
      </c>
      <c r="AI72">
        <v>4151.2749999999996</v>
      </c>
      <c r="AJ72">
        <f t="shared" si="1"/>
        <v>556.96245241499992</v>
      </c>
      <c r="AK72">
        <v>13.735549817866008</v>
      </c>
    </row>
    <row r="73" spans="1:37" ht="15.5">
      <c r="A73" s="28">
        <v>2016</v>
      </c>
      <c r="B73">
        <v>3</v>
      </c>
      <c r="C73" s="116" t="s">
        <v>193</v>
      </c>
      <c r="D73" s="94">
        <v>90</v>
      </c>
      <c r="E73">
        <v>2.65</v>
      </c>
      <c r="F73">
        <v>11.37</v>
      </c>
      <c r="G73">
        <v>4.67</v>
      </c>
      <c r="H73">
        <v>92.85</v>
      </c>
      <c r="I73">
        <v>111.54</v>
      </c>
      <c r="L73" s="28">
        <v>2016</v>
      </c>
      <c r="M73">
        <v>3</v>
      </c>
      <c r="N73" s="116" t="s">
        <v>193</v>
      </c>
      <c r="O73" s="94">
        <v>90</v>
      </c>
      <c r="P73">
        <v>435.5</v>
      </c>
      <c r="Q73">
        <v>31.023809523809359</v>
      </c>
      <c r="R73">
        <v>39.160816189789351</v>
      </c>
      <c r="S73">
        <v>4417.625</v>
      </c>
      <c r="T73">
        <v>0.33639411615813686</v>
      </c>
      <c r="U73">
        <v>111.54</v>
      </c>
      <c r="V73">
        <v>595.82714413231508</v>
      </c>
      <c r="W73">
        <v>92.85</v>
      </c>
      <c r="Y73" s="28">
        <v>2016</v>
      </c>
      <c r="Z73">
        <v>3</v>
      </c>
      <c r="AA73" s="116" t="s">
        <v>193</v>
      </c>
      <c r="AB73" s="94">
        <v>90</v>
      </c>
      <c r="AC73">
        <v>2.5901536583600002</v>
      </c>
      <c r="AD73">
        <v>1.4997390636000001</v>
      </c>
      <c r="AE73">
        <v>3.7746610235600002</v>
      </c>
      <c r="AF73">
        <v>3.8629657001800002</v>
      </c>
      <c r="AG73">
        <v>1.0233925867553146</v>
      </c>
      <c r="AH73">
        <v>13.487499372000002</v>
      </c>
      <c r="AI73">
        <v>4417.625</v>
      </c>
      <c r="AJ73">
        <f t="shared" si="1"/>
        <v>595.82714413231508</v>
      </c>
      <c r="AK73">
        <v>14.138556435859101</v>
      </c>
    </row>
    <row r="74" spans="1:37" ht="15.5">
      <c r="A74" s="28">
        <v>2016</v>
      </c>
      <c r="B74">
        <v>3</v>
      </c>
      <c r="C74" s="116" t="s">
        <v>193</v>
      </c>
      <c r="D74" s="94">
        <v>150</v>
      </c>
      <c r="E74">
        <v>4.63</v>
      </c>
      <c r="F74">
        <v>16.850000000000001</v>
      </c>
      <c r="G74">
        <v>7.71</v>
      </c>
      <c r="H74">
        <v>115.16</v>
      </c>
      <c r="I74">
        <v>144.36000000000001</v>
      </c>
      <c r="L74" s="28">
        <v>2016</v>
      </c>
      <c r="M74">
        <v>3</v>
      </c>
      <c r="N74" s="116" t="s">
        <v>193</v>
      </c>
      <c r="O74" s="94">
        <v>150</v>
      </c>
      <c r="P74">
        <v>468.5</v>
      </c>
      <c r="Q74">
        <v>31.875000000000149</v>
      </c>
      <c r="R74">
        <v>41.910445843505045</v>
      </c>
      <c r="S74">
        <v>5080.1899999999996</v>
      </c>
      <c r="T74">
        <v>0.36146200310106541</v>
      </c>
      <c r="U74">
        <v>144.36000000000001</v>
      </c>
      <c r="V74">
        <v>713.08531610126931</v>
      </c>
      <c r="W74">
        <v>115.16</v>
      </c>
      <c r="Y74" s="28">
        <v>2016</v>
      </c>
      <c r="Z74">
        <v>3</v>
      </c>
      <c r="AA74" s="116" t="s">
        <v>193</v>
      </c>
      <c r="AB74" s="94">
        <v>150</v>
      </c>
      <c r="AC74">
        <v>2.6774999986959997</v>
      </c>
      <c r="AD74">
        <v>1.526491048</v>
      </c>
      <c r="AE74">
        <v>3.8434473363599997</v>
      </c>
      <c r="AF74">
        <v>3.9753875544200001</v>
      </c>
      <c r="AG74">
        <v>1.0343615347773558</v>
      </c>
      <c r="AH74">
        <v>14.0365875312</v>
      </c>
      <c r="AI74">
        <v>5080.1899999999996</v>
      </c>
      <c r="AJ74">
        <f t="shared" si="1"/>
        <v>713.08531610126931</v>
      </c>
      <c r="AK74">
        <v>15.69746236345433</v>
      </c>
    </row>
    <row r="75" spans="1:37" ht="16" thickBot="1">
      <c r="A75" s="31">
        <v>2016</v>
      </c>
      <c r="B75">
        <v>3</v>
      </c>
      <c r="C75" s="120" t="s">
        <v>193</v>
      </c>
      <c r="D75" s="97">
        <v>210</v>
      </c>
      <c r="E75">
        <v>2.66</v>
      </c>
      <c r="F75">
        <v>11.7</v>
      </c>
      <c r="G75">
        <v>3.87</v>
      </c>
      <c r="H75">
        <v>96.1</v>
      </c>
      <c r="I75">
        <v>114.33</v>
      </c>
      <c r="L75" s="31">
        <v>2016</v>
      </c>
      <c r="M75">
        <v>3</v>
      </c>
      <c r="N75" s="120" t="s">
        <v>193</v>
      </c>
      <c r="O75" s="97">
        <v>210</v>
      </c>
      <c r="P75">
        <v>434.25</v>
      </c>
      <c r="Q75">
        <v>30.428571428571452</v>
      </c>
      <c r="R75">
        <v>39.506210108676896</v>
      </c>
      <c r="S75">
        <v>4463.1000000000004</v>
      </c>
      <c r="T75">
        <v>0.30389055615577054</v>
      </c>
      <c r="U75">
        <v>114.33</v>
      </c>
      <c r="V75">
        <v>641.89070067960006</v>
      </c>
      <c r="W75">
        <v>96.1</v>
      </c>
      <c r="Y75" s="31">
        <v>2016</v>
      </c>
      <c r="Z75">
        <v>3</v>
      </c>
      <c r="AA75" s="120" t="s">
        <v>193</v>
      </c>
      <c r="AB75" s="97">
        <v>210</v>
      </c>
      <c r="AC75">
        <v>2.7812984251840001</v>
      </c>
      <c r="AD75">
        <v>1.65094336746</v>
      </c>
      <c r="AE75">
        <v>3.9903550915999997</v>
      </c>
      <c r="AF75">
        <v>4.1001386980000003</v>
      </c>
      <c r="AG75">
        <v>1.0276555280541335</v>
      </c>
      <c r="AH75">
        <v>14.3821716</v>
      </c>
      <c r="AI75">
        <v>4463.1000000000004</v>
      </c>
      <c r="AJ75">
        <f t="shared" si="1"/>
        <v>641.89070067960006</v>
      </c>
      <c r="AK75">
        <v>14.499965543517725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CF08-6283-4916-906E-994133C8C245}">
  <dimension ref="A1:U68"/>
  <sheetViews>
    <sheetView workbookViewId="0">
      <selection activeCell="H10" sqref="H10"/>
    </sheetView>
  </sheetViews>
  <sheetFormatPr defaultRowHeight="14.5"/>
  <cols>
    <col min="7" max="7" width="10.90625" customWidth="1"/>
    <col min="13" max="13" width="14.36328125" customWidth="1"/>
    <col min="14" max="14" width="10.90625" customWidth="1"/>
    <col min="18" max="18" width="8.7265625" style="139"/>
  </cols>
  <sheetData>
    <row r="1" spans="1:21" ht="18.5" customHeight="1">
      <c r="A1" s="178" t="s">
        <v>250</v>
      </c>
      <c r="B1" s="178"/>
    </row>
    <row r="2" spans="1:21" ht="15.5">
      <c r="A2" s="178"/>
      <c r="B2" s="178"/>
      <c r="C2" s="38" t="s">
        <v>168</v>
      </c>
      <c r="D2" s="38"/>
      <c r="E2" s="38"/>
      <c r="F2" s="38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0"/>
      <c r="S2" s="2"/>
      <c r="T2" s="2"/>
      <c r="U2" s="2"/>
    </row>
    <row r="3" spans="1:21" ht="16" thickBot="1">
      <c r="A3" s="78" t="s">
        <v>169</v>
      </c>
      <c r="B3" s="38"/>
      <c r="C3" s="38"/>
      <c r="D3" s="38"/>
      <c r="E3" s="38"/>
      <c r="F3" s="38"/>
      <c r="G3" s="179" t="s">
        <v>173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140"/>
      <c r="S3" s="10"/>
      <c r="T3" s="79"/>
      <c r="U3" s="80"/>
    </row>
    <row r="4" spans="1:21" ht="33" customHeight="1" thickBot="1">
      <c r="A4" s="2" t="s">
        <v>170</v>
      </c>
      <c r="B4" s="2" t="s">
        <v>171</v>
      </c>
      <c r="C4" s="149" t="s">
        <v>172</v>
      </c>
      <c r="D4" s="149"/>
      <c r="E4" s="149"/>
      <c r="F4" s="149"/>
      <c r="G4" s="179"/>
      <c r="H4" s="149" t="s">
        <v>24</v>
      </c>
      <c r="I4" s="149"/>
      <c r="J4" s="149"/>
      <c r="K4" s="172" t="s">
        <v>174</v>
      </c>
      <c r="L4" s="173"/>
      <c r="M4" s="173"/>
      <c r="N4" s="174"/>
      <c r="O4" s="2" t="s">
        <v>175</v>
      </c>
      <c r="P4" s="149" t="s">
        <v>176</v>
      </c>
      <c r="Q4" s="149"/>
      <c r="R4" s="149"/>
      <c r="S4" s="149"/>
      <c r="T4" s="149"/>
      <c r="U4" s="80"/>
    </row>
    <row r="5" spans="1:21" ht="15.5">
      <c r="A5" s="2"/>
      <c r="B5" s="2"/>
      <c r="C5" s="2" t="s">
        <v>177</v>
      </c>
      <c r="D5" s="2" t="s">
        <v>178</v>
      </c>
      <c r="E5" s="2" t="s">
        <v>179</v>
      </c>
      <c r="F5" s="2" t="s">
        <v>180</v>
      </c>
      <c r="G5" s="2"/>
      <c r="H5" s="2" t="s">
        <v>177</v>
      </c>
      <c r="I5" s="2" t="s">
        <v>178</v>
      </c>
      <c r="J5" s="2" t="s">
        <v>179</v>
      </c>
      <c r="K5" s="2" t="s">
        <v>177</v>
      </c>
      <c r="L5" s="2" t="s">
        <v>178</v>
      </c>
      <c r="M5" s="2" t="s">
        <v>179</v>
      </c>
      <c r="N5" s="2"/>
      <c r="O5" s="2"/>
      <c r="P5" s="2" t="s">
        <v>177</v>
      </c>
      <c r="Q5" s="2" t="s">
        <v>178</v>
      </c>
      <c r="R5" s="20" t="s">
        <v>179</v>
      </c>
      <c r="S5" s="2" t="s">
        <v>181</v>
      </c>
      <c r="T5" s="80"/>
      <c r="U5" s="80"/>
    </row>
    <row r="6" spans="1:21" ht="16">
      <c r="A6" s="35" t="s">
        <v>182</v>
      </c>
      <c r="B6" s="2">
        <v>0</v>
      </c>
      <c r="C6" s="10">
        <v>418.24068483108999</v>
      </c>
      <c r="D6" s="10">
        <v>424.79063866238602</v>
      </c>
      <c r="E6" s="10">
        <f t="shared" ref="E6:E13" si="0">AVERAGE(C6:D6)</f>
        <v>421.51566174673803</v>
      </c>
      <c r="F6" s="10">
        <f t="shared" ref="F6:F13" si="1">STDEV(C6:D6)</f>
        <v>4.6315167705682256</v>
      </c>
      <c r="G6" s="14">
        <v>171.8</v>
      </c>
      <c r="H6" s="14">
        <v>286.25</v>
      </c>
      <c r="I6" s="14">
        <v>292.43</v>
      </c>
      <c r="J6" s="10">
        <f t="shared" ref="J6:J13" si="2">AVERAGE(H6:I6)</f>
        <v>289.34000000000003</v>
      </c>
      <c r="K6" s="10">
        <f>C6+G6-H6</f>
        <v>303.79068483108995</v>
      </c>
      <c r="L6" s="10">
        <f>D6+G6-I6</f>
        <v>304.16063866238602</v>
      </c>
      <c r="M6" s="10">
        <f t="shared" ref="M6:M13" si="3">AVERAGE(K6:L6)</f>
        <v>303.97566174673796</v>
      </c>
      <c r="N6" s="81" t="s">
        <v>96</v>
      </c>
      <c r="O6" s="10">
        <v>1740.75</v>
      </c>
      <c r="P6" s="10">
        <f>O6/K6</f>
        <v>5.7300966978887811</v>
      </c>
      <c r="Q6" s="10">
        <f>O6/L6</f>
        <v>5.7231271201143414</v>
      </c>
      <c r="R6" s="23">
        <f>O6/M6</f>
        <v>5.7266097884189584</v>
      </c>
      <c r="S6" s="10">
        <f t="shared" ref="S6:S13" si="4">STDEV(P6:Q6)</f>
        <v>4.9282357063133069E-3</v>
      </c>
      <c r="T6" s="81" t="s">
        <v>103</v>
      </c>
      <c r="U6" s="80"/>
    </row>
    <row r="7" spans="1:21" ht="16">
      <c r="A7" s="2"/>
      <c r="B7" s="2">
        <v>150</v>
      </c>
      <c r="C7" s="10">
        <v>418.24068483108999</v>
      </c>
      <c r="D7" s="10">
        <v>424.79063866238602</v>
      </c>
      <c r="E7" s="10">
        <f t="shared" si="0"/>
        <v>421.51566174673803</v>
      </c>
      <c r="F7" s="10">
        <f t="shared" si="1"/>
        <v>4.6315167705682256</v>
      </c>
      <c r="G7" s="14">
        <v>171.8</v>
      </c>
      <c r="H7" s="10">
        <v>308.52950510350001</v>
      </c>
      <c r="I7" s="10">
        <v>306.53393213159052</v>
      </c>
      <c r="J7" s="10">
        <f t="shared" si="2"/>
        <v>307.53171861754527</v>
      </c>
      <c r="K7" s="10">
        <f t="shared" ref="K7:K13" si="5">C7+G7-H7</f>
        <v>281.51117972758993</v>
      </c>
      <c r="L7" s="10">
        <f t="shared" ref="L7:L13" si="6">D7+G7-I7</f>
        <v>290.05670653079551</v>
      </c>
      <c r="M7" s="10">
        <f t="shared" si="3"/>
        <v>285.78394312919272</v>
      </c>
      <c r="N7" s="81" t="s">
        <v>103</v>
      </c>
      <c r="O7" s="10">
        <v>2262.75</v>
      </c>
      <c r="P7" s="10">
        <f t="shared" ref="P7:P13" si="7">O7/J7</f>
        <v>7.3577776307816132</v>
      </c>
      <c r="Q7" s="10">
        <f t="shared" ref="Q7:Q13" si="8">O7/L7</f>
        <v>7.8010607893314212</v>
      </c>
      <c r="R7" s="23">
        <f t="shared" ref="R7:R13" si="9">O7/M7</f>
        <v>7.9176946585032297</v>
      </c>
      <c r="S7" s="10">
        <f t="shared" si="4"/>
        <v>0.31344852739636075</v>
      </c>
      <c r="T7" s="81" t="s">
        <v>96</v>
      </c>
      <c r="U7" s="80"/>
    </row>
    <row r="8" spans="1:21" ht="16">
      <c r="A8" s="2"/>
      <c r="B8" s="2">
        <v>180</v>
      </c>
      <c r="C8" s="10">
        <v>418.24068483108999</v>
      </c>
      <c r="D8" s="10">
        <v>424.79063866238602</v>
      </c>
      <c r="E8" s="10">
        <f t="shared" si="0"/>
        <v>421.51566174673803</v>
      </c>
      <c r="F8" s="10">
        <f t="shared" si="1"/>
        <v>4.6315167705682256</v>
      </c>
      <c r="G8" s="14">
        <v>171.8</v>
      </c>
      <c r="H8" s="10">
        <v>317.84658025714498</v>
      </c>
      <c r="I8" s="10">
        <v>319.8376337769331</v>
      </c>
      <c r="J8" s="10">
        <f t="shared" si="2"/>
        <v>318.84210701703904</v>
      </c>
      <c r="K8" s="10">
        <f t="shared" si="5"/>
        <v>272.19410457394497</v>
      </c>
      <c r="L8" s="10">
        <f t="shared" si="6"/>
        <v>276.75300488545292</v>
      </c>
      <c r="M8" s="10">
        <f t="shared" si="3"/>
        <v>274.47355472969895</v>
      </c>
      <c r="N8" s="81" t="s">
        <v>94</v>
      </c>
      <c r="O8" s="10">
        <v>2197.5</v>
      </c>
      <c r="P8" s="10">
        <f t="shared" si="7"/>
        <v>6.8921260763170302</v>
      </c>
      <c r="Q8" s="10">
        <f t="shared" si="8"/>
        <v>7.9402931899855522</v>
      </c>
      <c r="R8" s="23">
        <f t="shared" si="9"/>
        <v>8.006235799890062</v>
      </c>
      <c r="S8" s="10">
        <f t="shared" si="4"/>
        <v>0.74116607389174272</v>
      </c>
      <c r="T8" s="81" t="s">
        <v>96</v>
      </c>
      <c r="U8" s="80"/>
    </row>
    <row r="9" spans="1:21" ht="16">
      <c r="A9" s="2"/>
      <c r="B9" s="2">
        <v>210</v>
      </c>
      <c r="C9" s="10">
        <v>418.24068483108999</v>
      </c>
      <c r="D9" s="10">
        <v>424.79063866238602</v>
      </c>
      <c r="E9" s="10">
        <f t="shared" si="0"/>
        <v>421.51566174673803</v>
      </c>
      <c r="F9" s="10">
        <f t="shared" si="1"/>
        <v>4.6315167705682256</v>
      </c>
      <c r="G9" s="14">
        <v>171.8</v>
      </c>
      <c r="H9" s="10">
        <v>330.07368886710003</v>
      </c>
      <c r="I9" s="10">
        <v>324.1239039794246</v>
      </c>
      <c r="J9" s="10">
        <f t="shared" si="2"/>
        <v>327.09879642326234</v>
      </c>
      <c r="K9" s="10">
        <f t="shared" si="5"/>
        <v>259.96699596398992</v>
      </c>
      <c r="L9" s="10">
        <f t="shared" si="6"/>
        <v>272.46673468296143</v>
      </c>
      <c r="M9" s="10">
        <f t="shared" si="3"/>
        <v>266.21686532347564</v>
      </c>
      <c r="N9" s="81" t="s">
        <v>88</v>
      </c>
      <c r="O9" s="10">
        <v>1989.75</v>
      </c>
      <c r="P9" s="10">
        <f t="shared" si="7"/>
        <v>6.0830245227355864</v>
      </c>
      <c r="Q9" s="10">
        <f t="shared" si="8"/>
        <v>7.3027263394749671</v>
      </c>
      <c r="R9" s="23">
        <f t="shared" si="9"/>
        <v>7.4741695932084848</v>
      </c>
      <c r="S9" s="10">
        <f t="shared" si="4"/>
        <v>0.86245942564196776</v>
      </c>
      <c r="T9" s="81" t="s">
        <v>105</v>
      </c>
      <c r="U9" s="80"/>
    </row>
    <row r="10" spans="1:21" ht="16">
      <c r="A10" s="82" t="s">
        <v>183</v>
      </c>
      <c r="B10" s="5">
        <v>0</v>
      </c>
      <c r="C10" s="6">
        <v>488.62098949289998</v>
      </c>
      <c r="D10" s="6">
        <v>493.44394903749003</v>
      </c>
      <c r="E10" s="6">
        <f t="shared" si="0"/>
        <v>491.032469265195</v>
      </c>
      <c r="F10" s="6">
        <f t="shared" si="1"/>
        <v>3.4103473993680065</v>
      </c>
      <c r="G10" s="13">
        <v>171.8</v>
      </c>
      <c r="H10" s="13">
        <v>291</v>
      </c>
      <c r="I10" s="13">
        <v>290.26</v>
      </c>
      <c r="J10" s="6">
        <f t="shared" si="2"/>
        <v>290.63</v>
      </c>
      <c r="K10" s="6">
        <f>C10+G10-H10</f>
        <v>369.42098949289993</v>
      </c>
      <c r="L10" s="6">
        <f t="shared" si="6"/>
        <v>374.98394903748999</v>
      </c>
      <c r="M10" s="6">
        <f t="shared" si="3"/>
        <v>372.20246926519496</v>
      </c>
      <c r="N10" s="83" t="s">
        <v>184</v>
      </c>
      <c r="O10" s="6">
        <v>1917.9</v>
      </c>
      <c r="P10" s="6">
        <f t="shared" si="7"/>
        <v>6.5991122733372336</v>
      </c>
      <c r="Q10" s="6">
        <f t="shared" si="8"/>
        <v>5.1146189188173841</v>
      </c>
      <c r="R10" s="22">
        <f t="shared" si="9"/>
        <v>5.1528406132993512</v>
      </c>
      <c r="S10" s="10">
        <f t="shared" si="4"/>
        <v>1.0496953176073447</v>
      </c>
      <c r="T10" s="83" t="s">
        <v>184</v>
      </c>
      <c r="U10" s="80"/>
    </row>
    <row r="11" spans="1:21" ht="16">
      <c r="A11" s="5"/>
      <c r="B11" s="5">
        <v>150</v>
      </c>
      <c r="C11" s="6">
        <v>488.62098949289998</v>
      </c>
      <c r="D11" s="6">
        <v>493.44394903749003</v>
      </c>
      <c r="E11" s="6">
        <f t="shared" si="0"/>
        <v>491.032469265195</v>
      </c>
      <c r="F11" s="6">
        <f t="shared" si="1"/>
        <v>3.4103473993680065</v>
      </c>
      <c r="G11" s="13">
        <v>171.8</v>
      </c>
      <c r="H11" s="6">
        <v>293.89021174577999</v>
      </c>
      <c r="I11" s="6">
        <v>289.99016712720805</v>
      </c>
      <c r="J11" s="6">
        <f t="shared" si="2"/>
        <v>291.94018943649405</v>
      </c>
      <c r="K11" s="6">
        <f t="shared" si="5"/>
        <v>366.53077774711994</v>
      </c>
      <c r="L11" s="6">
        <f t="shared" si="6"/>
        <v>375.25378191028193</v>
      </c>
      <c r="M11" s="6">
        <f t="shared" si="3"/>
        <v>370.89227982870091</v>
      </c>
      <c r="N11" s="83" t="s">
        <v>184</v>
      </c>
      <c r="O11" s="6">
        <v>2566.8000000000002</v>
      </c>
      <c r="P11" s="6">
        <f t="shared" si="7"/>
        <v>8.7922118737898476</v>
      </c>
      <c r="Q11" s="6">
        <f t="shared" si="8"/>
        <v>6.840170902298027</v>
      </c>
      <c r="R11" s="22">
        <f t="shared" si="9"/>
        <v>6.920607787213835</v>
      </c>
      <c r="S11" s="10">
        <f t="shared" si="4"/>
        <v>1.3803014080958365</v>
      </c>
      <c r="T11" s="83" t="s">
        <v>184</v>
      </c>
      <c r="U11" s="80"/>
    </row>
    <row r="12" spans="1:21" ht="16">
      <c r="A12" s="5"/>
      <c r="B12" s="5">
        <v>180</v>
      </c>
      <c r="C12" s="6">
        <v>488.62098949289998</v>
      </c>
      <c r="D12" s="6">
        <v>493.44394903749003</v>
      </c>
      <c r="E12" s="6">
        <f t="shared" si="0"/>
        <v>491.032469265195</v>
      </c>
      <c r="F12" s="6">
        <f t="shared" si="1"/>
        <v>3.4103473993680065</v>
      </c>
      <c r="G12" s="13">
        <v>171.8</v>
      </c>
      <c r="H12" s="6">
        <v>282.49108062890002</v>
      </c>
      <c r="I12" s="6">
        <v>286.16247064018</v>
      </c>
      <c r="J12" s="6">
        <f t="shared" si="2"/>
        <v>284.32677563454001</v>
      </c>
      <c r="K12" s="6">
        <f t="shared" si="5"/>
        <v>377.92990886399991</v>
      </c>
      <c r="L12" s="6">
        <f t="shared" si="6"/>
        <v>379.08147839730998</v>
      </c>
      <c r="M12" s="6">
        <f t="shared" si="3"/>
        <v>378.50569363065495</v>
      </c>
      <c r="N12" s="83" t="s">
        <v>184</v>
      </c>
      <c r="O12" s="6">
        <v>2626.95</v>
      </c>
      <c r="P12" s="6">
        <f t="shared" si="7"/>
        <v>9.2391931577227009</v>
      </c>
      <c r="Q12" s="6">
        <f t="shared" si="8"/>
        <v>6.9297767094986646</v>
      </c>
      <c r="R12" s="22">
        <f t="shared" si="9"/>
        <v>6.9403183207155985</v>
      </c>
      <c r="S12" s="10">
        <f t="shared" si="4"/>
        <v>1.6330040311229725</v>
      </c>
      <c r="T12" s="83" t="s">
        <v>184</v>
      </c>
      <c r="U12" s="80"/>
    </row>
    <row r="13" spans="1:21" ht="16">
      <c r="A13" s="5"/>
      <c r="B13" s="5">
        <v>210</v>
      </c>
      <c r="C13" s="6">
        <v>488.62098949289998</v>
      </c>
      <c r="D13" s="6">
        <v>493.44394903749003</v>
      </c>
      <c r="E13" s="6">
        <f t="shared" si="0"/>
        <v>491.032469265195</v>
      </c>
      <c r="F13" s="6">
        <f t="shared" si="1"/>
        <v>3.4103473993680065</v>
      </c>
      <c r="G13" s="13">
        <v>171.8</v>
      </c>
      <c r="H13" s="6">
        <v>310.32255600489998</v>
      </c>
      <c r="I13" s="6">
        <v>314.47180411889383</v>
      </c>
      <c r="J13" s="6">
        <f t="shared" si="2"/>
        <v>312.3971800618969</v>
      </c>
      <c r="K13" s="6">
        <f t="shared" si="5"/>
        <v>350.09843348799996</v>
      </c>
      <c r="L13" s="6">
        <f t="shared" si="6"/>
        <v>350.77214491859615</v>
      </c>
      <c r="M13" s="6">
        <f t="shared" si="3"/>
        <v>350.43528920329805</v>
      </c>
      <c r="N13" s="83" t="s">
        <v>185</v>
      </c>
      <c r="O13" s="6">
        <v>2280</v>
      </c>
      <c r="P13" s="6">
        <f t="shared" si="7"/>
        <v>7.2984013477594498</v>
      </c>
      <c r="Q13" s="6">
        <f t="shared" si="8"/>
        <v>6.4999459992158748</v>
      </c>
      <c r="R13" s="22">
        <f t="shared" si="9"/>
        <v>6.5061940684783703</v>
      </c>
      <c r="S13" s="10">
        <f t="shared" si="4"/>
        <v>0.56459319142983022</v>
      </c>
      <c r="T13" s="83" t="s">
        <v>184</v>
      </c>
      <c r="U13" s="80"/>
    </row>
    <row r="14" spans="1:21" ht="15.5">
      <c r="A14" s="2"/>
      <c r="B14" s="2"/>
      <c r="C14" s="10"/>
      <c r="D14" s="10"/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0"/>
      <c r="S14" s="10"/>
      <c r="T14" s="2"/>
      <c r="U14" s="80"/>
    </row>
    <row r="15" spans="1:21" ht="15.5" customHeight="1" thickBot="1">
      <c r="A15" s="78" t="s">
        <v>186</v>
      </c>
      <c r="B15" s="38"/>
      <c r="C15" s="38"/>
      <c r="D15" s="38"/>
      <c r="E15" s="38"/>
      <c r="F15" s="38"/>
      <c r="G15" s="179" t="s">
        <v>173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40"/>
      <c r="S15" s="2"/>
      <c r="T15" s="2"/>
      <c r="U15" s="2"/>
    </row>
    <row r="16" spans="1:21" ht="26" customHeight="1" thickBot="1">
      <c r="A16" s="2" t="s">
        <v>170</v>
      </c>
      <c r="B16" s="2" t="s">
        <v>171</v>
      </c>
      <c r="C16" s="149" t="s">
        <v>172</v>
      </c>
      <c r="D16" s="149"/>
      <c r="E16" s="149"/>
      <c r="F16" s="149"/>
      <c r="G16" s="179"/>
      <c r="H16" s="149" t="s">
        <v>187</v>
      </c>
      <c r="I16" s="149"/>
      <c r="J16" s="149"/>
      <c r="K16" s="175" t="s">
        <v>188</v>
      </c>
      <c r="L16" s="176"/>
      <c r="M16" s="176"/>
      <c r="N16" s="177"/>
      <c r="O16" s="2" t="s">
        <v>175</v>
      </c>
      <c r="P16" s="149" t="s">
        <v>176</v>
      </c>
      <c r="Q16" s="149"/>
      <c r="R16" s="149"/>
      <c r="S16" s="149"/>
      <c r="T16" s="149"/>
      <c r="U16" s="80"/>
    </row>
    <row r="17" spans="1:21" ht="15.5">
      <c r="A17" s="2"/>
      <c r="B17" s="2"/>
      <c r="C17" s="2" t="s">
        <v>177</v>
      </c>
      <c r="D17" s="2" t="s">
        <v>178</v>
      </c>
      <c r="E17" s="2" t="s">
        <v>179</v>
      </c>
      <c r="F17" s="2" t="s">
        <v>180</v>
      </c>
      <c r="G17" s="2"/>
      <c r="H17" s="2" t="s">
        <v>177</v>
      </c>
      <c r="I17" s="2" t="s">
        <v>178</v>
      </c>
      <c r="J17" s="2" t="s">
        <v>179</v>
      </c>
      <c r="K17" s="2" t="s">
        <v>177</v>
      </c>
      <c r="L17" s="2" t="s">
        <v>178</v>
      </c>
      <c r="M17" s="2" t="s">
        <v>179</v>
      </c>
      <c r="N17" s="2"/>
      <c r="O17" s="2"/>
      <c r="P17" s="2" t="s">
        <v>177</v>
      </c>
      <c r="Q17" s="2" t="s">
        <v>178</v>
      </c>
      <c r="R17" s="20" t="s">
        <v>179</v>
      </c>
      <c r="S17" s="2" t="s">
        <v>181</v>
      </c>
      <c r="T17" s="80"/>
      <c r="U17" s="80"/>
    </row>
    <row r="18" spans="1:21" ht="16">
      <c r="A18" s="180" t="s">
        <v>189</v>
      </c>
      <c r="B18" s="84">
        <v>0</v>
      </c>
      <c r="C18" s="10">
        <v>585.55097625861481</v>
      </c>
      <c r="D18" s="10">
        <v>587.05732496140593</v>
      </c>
      <c r="E18" s="10">
        <f t="shared" ref="E18:E28" si="10">AVERAGE(C18:D18)</f>
        <v>586.30415061001031</v>
      </c>
      <c r="F18" s="10">
        <f t="shared" ref="F18:F28" si="11">STDEV(C18:D18)</f>
        <v>1.0651493825751568</v>
      </c>
      <c r="G18" s="14">
        <v>190.5</v>
      </c>
      <c r="H18" s="10">
        <v>418.66347999999999</v>
      </c>
      <c r="I18" s="10">
        <v>427.97651999999999</v>
      </c>
      <c r="J18" s="10">
        <f>AVERAGE(H18:I18)</f>
        <v>423.32</v>
      </c>
      <c r="K18" s="10">
        <f t="shared" ref="K18:K28" si="12">C18+G18-H18</f>
        <v>357.38749625861482</v>
      </c>
      <c r="L18" s="10">
        <f t="shared" ref="L18:L28" si="13">D18+G18-I18</f>
        <v>349.58080496140593</v>
      </c>
      <c r="M18" s="14">
        <v>472.17317435139557</v>
      </c>
      <c r="N18" s="81" t="s">
        <v>88</v>
      </c>
      <c r="O18" s="10">
        <v>4519.2</v>
      </c>
      <c r="P18" s="10">
        <f>O18/J18</f>
        <v>10.675611830293867</v>
      </c>
      <c r="Q18" s="10">
        <f>O18/L18</f>
        <v>12.927483248111761</v>
      </c>
      <c r="R18" s="23">
        <f t="shared" ref="R18:R25" si="14">O18/M18</f>
        <v>9.5710646972010522</v>
      </c>
      <c r="S18" s="10">
        <f>STDEV(P18:Q18)</f>
        <v>1.5923135498991978</v>
      </c>
      <c r="T18" s="81" t="s">
        <v>103</v>
      </c>
      <c r="U18" s="80"/>
    </row>
    <row r="19" spans="1:21" ht="16">
      <c r="A19" s="180"/>
      <c r="B19" s="2">
        <v>150</v>
      </c>
      <c r="C19" s="10">
        <v>585.55097625861481</v>
      </c>
      <c r="D19" s="10">
        <v>587.05732496140593</v>
      </c>
      <c r="E19" s="10">
        <f t="shared" si="10"/>
        <v>586.30415061001031</v>
      </c>
      <c r="F19" s="10">
        <f t="shared" si="11"/>
        <v>1.0651493825751568</v>
      </c>
      <c r="G19" s="14">
        <v>190.5</v>
      </c>
      <c r="H19" s="10">
        <v>386.90668999999997</v>
      </c>
      <c r="I19" s="10">
        <v>395.51330999999999</v>
      </c>
      <c r="J19" s="10">
        <f t="shared" ref="J19:J28" si="15">AVERAGE(H19:I19)</f>
        <v>391.21</v>
      </c>
      <c r="K19" s="10">
        <f t="shared" si="12"/>
        <v>389.14428625861484</v>
      </c>
      <c r="L19" s="10">
        <f t="shared" si="13"/>
        <v>382.04401496140594</v>
      </c>
      <c r="M19" s="14">
        <v>504.28317435139559</v>
      </c>
      <c r="N19" s="81" t="s">
        <v>103</v>
      </c>
      <c r="O19" s="10">
        <v>5131.6499999999996</v>
      </c>
      <c r="P19" s="10">
        <f t="shared" ref="P19:P25" si="16">O19/J19</f>
        <v>13.117379412591703</v>
      </c>
      <c r="Q19" s="10">
        <f t="shared" ref="Q19:Q25" si="17">O19/L19</f>
        <v>13.432091065523952</v>
      </c>
      <c r="R19" s="23">
        <f t="shared" si="14"/>
        <v>10.176127741323674</v>
      </c>
      <c r="S19" s="10">
        <f t="shared" ref="S19:S29" si="18">STDEV(P19:Q19)</f>
        <v>0.22253474390682088</v>
      </c>
      <c r="T19" s="81" t="s">
        <v>105</v>
      </c>
      <c r="U19" s="80"/>
    </row>
    <row r="20" spans="1:21" ht="16">
      <c r="A20" s="180"/>
      <c r="B20" s="2">
        <v>180</v>
      </c>
      <c r="C20" s="10">
        <v>585.55097625861481</v>
      </c>
      <c r="D20" s="10">
        <v>587.05732496140593</v>
      </c>
      <c r="E20" s="10">
        <f t="shared" si="10"/>
        <v>586.30415061001031</v>
      </c>
      <c r="F20" s="10">
        <f t="shared" si="11"/>
        <v>1.0651493825751568</v>
      </c>
      <c r="G20" s="14">
        <v>190.5</v>
      </c>
      <c r="H20" s="10">
        <v>368.82279821735978</v>
      </c>
      <c r="I20" s="10">
        <v>377.0271476215882</v>
      </c>
      <c r="J20" s="10">
        <f t="shared" si="15"/>
        <v>372.92497291947399</v>
      </c>
      <c r="K20" s="10">
        <f t="shared" si="12"/>
        <v>407.22817804125503</v>
      </c>
      <c r="L20" s="10">
        <f t="shared" si="13"/>
        <v>400.53017733981773</v>
      </c>
      <c r="M20" s="14">
        <v>522.56820143192158</v>
      </c>
      <c r="N20" s="81" t="s">
        <v>96</v>
      </c>
      <c r="O20" s="10">
        <v>5380.38</v>
      </c>
      <c r="P20" s="10">
        <f t="shared" si="16"/>
        <v>14.427513282039683</v>
      </c>
      <c r="Q20" s="10">
        <f t="shared" si="17"/>
        <v>13.433145127127785</v>
      </c>
      <c r="R20" s="23">
        <f t="shared" si="14"/>
        <v>10.296034058821196</v>
      </c>
      <c r="S20" s="10">
        <f t="shared" si="18"/>
        <v>0.70312446533415851</v>
      </c>
      <c r="T20" s="81" t="s">
        <v>105</v>
      </c>
      <c r="U20" s="80"/>
    </row>
    <row r="21" spans="1:21" ht="16">
      <c r="A21" s="180"/>
      <c r="B21" s="2">
        <v>210</v>
      </c>
      <c r="C21" s="10">
        <v>585.55097625861481</v>
      </c>
      <c r="D21" s="10">
        <v>587.05732496140593</v>
      </c>
      <c r="E21" s="10">
        <f t="shared" si="10"/>
        <v>586.30415061001031</v>
      </c>
      <c r="F21" s="10">
        <f t="shared" si="11"/>
        <v>1.0651493825751568</v>
      </c>
      <c r="G21" s="14">
        <v>190.5</v>
      </c>
      <c r="H21" s="10">
        <v>361.19268999999997</v>
      </c>
      <c r="I21" s="10">
        <v>369.22730999999999</v>
      </c>
      <c r="J21" s="10">
        <f t="shared" si="15"/>
        <v>365.21</v>
      </c>
      <c r="K21" s="10">
        <f t="shared" si="12"/>
        <v>414.85828625861484</v>
      </c>
      <c r="L21" s="10">
        <f t="shared" si="13"/>
        <v>408.33001496140594</v>
      </c>
      <c r="M21" s="14">
        <v>530.28317435139559</v>
      </c>
      <c r="N21" s="81" t="s">
        <v>96</v>
      </c>
      <c r="O21" s="10">
        <v>6019.95</v>
      </c>
      <c r="P21" s="10">
        <f t="shared" si="16"/>
        <v>16.48353002382191</v>
      </c>
      <c r="Q21" s="10">
        <f t="shared" si="17"/>
        <v>14.742854503529422</v>
      </c>
      <c r="R21" s="23">
        <f t="shared" si="14"/>
        <v>11.352330775652408</v>
      </c>
      <c r="S21" s="10">
        <f t="shared" si="18"/>
        <v>1.2308434642442398</v>
      </c>
      <c r="T21" s="81" t="s">
        <v>96</v>
      </c>
      <c r="U21" s="80"/>
    </row>
    <row r="22" spans="1:21" ht="16">
      <c r="A22" s="181" t="s">
        <v>190</v>
      </c>
      <c r="B22" s="85">
        <v>0</v>
      </c>
      <c r="C22" s="6">
        <v>619.54608258846883</v>
      </c>
      <c r="D22" s="6">
        <v>622.6508115211019</v>
      </c>
      <c r="E22" s="6">
        <f t="shared" si="10"/>
        <v>621.09844705478531</v>
      </c>
      <c r="F22" s="6">
        <f t="shared" si="11"/>
        <v>2.1953748820109125</v>
      </c>
      <c r="G22" s="13">
        <v>190.5</v>
      </c>
      <c r="H22" s="6">
        <v>406.59768000000003</v>
      </c>
      <c r="I22" s="6">
        <v>415.64231999999998</v>
      </c>
      <c r="J22" s="6">
        <f t="shared" si="15"/>
        <v>411.12</v>
      </c>
      <c r="K22" s="6">
        <f t="shared" si="12"/>
        <v>403.44840258846881</v>
      </c>
      <c r="L22" s="6">
        <f t="shared" si="13"/>
        <v>397.50849152110192</v>
      </c>
      <c r="M22" s="13">
        <v>484.37317435139556</v>
      </c>
      <c r="N22" s="83" t="s">
        <v>191</v>
      </c>
      <c r="O22" s="6">
        <v>4683.1499999999996</v>
      </c>
      <c r="P22" s="6">
        <f t="shared" si="16"/>
        <v>11.391199649737302</v>
      </c>
      <c r="Q22" s="6">
        <f t="shared" si="17"/>
        <v>11.781257758996558</v>
      </c>
      <c r="R22" s="22">
        <f t="shared" si="14"/>
        <v>9.6684751509433102</v>
      </c>
      <c r="S22" s="10">
        <f t="shared" si="18"/>
        <v>0.27581273411402296</v>
      </c>
      <c r="T22" s="83" t="s">
        <v>184</v>
      </c>
      <c r="U22" s="80"/>
    </row>
    <row r="23" spans="1:21" ht="16">
      <c r="A23" s="181"/>
      <c r="B23" s="5">
        <v>150</v>
      </c>
      <c r="C23" s="6">
        <v>619.54608258846883</v>
      </c>
      <c r="D23" s="6">
        <v>622.6508115211019</v>
      </c>
      <c r="E23" s="6">
        <f t="shared" si="10"/>
        <v>621.09844705478531</v>
      </c>
      <c r="F23" s="6">
        <f t="shared" si="11"/>
        <v>2.1953748820109125</v>
      </c>
      <c r="G23" s="13">
        <v>190.5</v>
      </c>
      <c r="H23" s="6">
        <v>377.24416000000002</v>
      </c>
      <c r="I23" s="6">
        <v>385.63583999999997</v>
      </c>
      <c r="J23" s="6">
        <f t="shared" si="15"/>
        <v>381.44</v>
      </c>
      <c r="K23" s="6">
        <f t="shared" si="12"/>
        <v>432.80192258846881</v>
      </c>
      <c r="L23" s="6">
        <f t="shared" si="13"/>
        <v>427.51497152110193</v>
      </c>
      <c r="M23" s="13">
        <v>514.05317435139557</v>
      </c>
      <c r="N23" s="83" t="s">
        <v>192</v>
      </c>
      <c r="O23" s="6">
        <v>5270.4</v>
      </c>
      <c r="P23" s="6">
        <f t="shared" si="16"/>
        <v>13.817114093959731</v>
      </c>
      <c r="Q23" s="6">
        <f t="shared" si="17"/>
        <v>12.327989312860486</v>
      </c>
      <c r="R23" s="22">
        <f t="shared" si="14"/>
        <v>10.252635841904691</v>
      </c>
      <c r="S23" s="10">
        <f t="shared" si="18"/>
        <v>1.0529702307482087</v>
      </c>
      <c r="T23" s="83" t="s">
        <v>184</v>
      </c>
      <c r="U23" s="80"/>
    </row>
    <row r="24" spans="1:21" ht="16">
      <c r="A24" s="181"/>
      <c r="B24" s="5">
        <v>180</v>
      </c>
      <c r="C24" s="6">
        <v>619.54608258846883</v>
      </c>
      <c r="D24" s="6">
        <v>622.6508115211019</v>
      </c>
      <c r="E24" s="6">
        <f t="shared" si="10"/>
        <v>621.09844705478531</v>
      </c>
      <c r="F24" s="6">
        <f t="shared" si="11"/>
        <v>2.1953748820109125</v>
      </c>
      <c r="G24" s="13">
        <v>190.5</v>
      </c>
      <c r="H24" s="6">
        <v>355.37920951118434</v>
      </c>
      <c r="I24" s="6">
        <v>363.28451043054332</v>
      </c>
      <c r="J24" s="6">
        <f t="shared" si="15"/>
        <v>359.33185997086383</v>
      </c>
      <c r="K24" s="6">
        <f t="shared" si="12"/>
        <v>454.66687307728449</v>
      </c>
      <c r="L24" s="6">
        <f t="shared" si="13"/>
        <v>449.86630109055858</v>
      </c>
      <c r="M24" s="13">
        <v>536.16131438053173</v>
      </c>
      <c r="N24" s="83" t="s">
        <v>185</v>
      </c>
      <c r="O24" s="6">
        <v>5973.75</v>
      </c>
      <c r="P24" s="6">
        <f t="shared" si="16"/>
        <v>16.624604343417747</v>
      </c>
      <c r="Q24" s="6">
        <f t="shared" si="17"/>
        <v>13.278945290008458</v>
      </c>
      <c r="R24" s="22">
        <f t="shared" si="14"/>
        <v>11.141702767015056</v>
      </c>
      <c r="S24" s="10">
        <f t="shared" si="18"/>
        <v>2.3657382042038648</v>
      </c>
      <c r="T24" s="83" t="s">
        <v>184</v>
      </c>
      <c r="U24" s="80"/>
    </row>
    <row r="25" spans="1:21" ht="16">
      <c r="A25" s="181"/>
      <c r="B25" s="5">
        <v>210</v>
      </c>
      <c r="C25" s="6">
        <v>619.54608258846883</v>
      </c>
      <c r="D25" s="6">
        <v>622.6508115211019</v>
      </c>
      <c r="E25" s="6">
        <f t="shared" si="10"/>
        <v>621.09844705478531</v>
      </c>
      <c r="F25" s="6">
        <f t="shared" si="11"/>
        <v>2.1953748820109125</v>
      </c>
      <c r="G25" s="13">
        <v>190.5</v>
      </c>
      <c r="H25" s="6">
        <v>341.84784999999999</v>
      </c>
      <c r="I25" s="6">
        <v>349.45214999999996</v>
      </c>
      <c r="J25" s="6">
        <f t="shared" si="15"/>
        <v>345.65</v>
      </c>
      <c r="K25" s="6">
        <f t="shared" si="12"/>
        <v>468.19823258846884</v>
      </c>
      <c r="L25" s="6">
        <f t="shared" si="13"/>
        <v>463.69866152110194</v>
      </c>
      <c r="M25" s="13">
        <v>549.84317435139565</v>
      </c>
      <c r="N25" s="83" t="s">
        <v>184</v>
      </c>
      <c r="O25" s="6">
        <v>6332.1</v>
      </c>
      <c r="P25" s="6">
        <f t="shared" si="16"/>
        <v>18.319398235209029</v>
      </c>
      <c r="Q25" s="6">
        <f t="shared" si="17"/>
        <v>13.655635707958238</v>
      </c>
      <c r="R25" s="22">
        <f t="shared" si="14"/>
        <v>11.516192789824942</v>
      </c>
      <c r="S25" s="10">
        <f t="shared" si="18"/>
        <v>3.297778108862746</v>
      </c>
      <c r="T25" s="83" t="s">
        <v>184</v>
      </c>
      <c r="U25" s="80"/>
    </row>
    <row r="26" spans="1:21" ht="16">
      <c r="A26" s="180" t="s">
        <v>193</v>
      </c>
      <c r="B26" s="84">
        <v>0</v>
      </c>
      <c r="C26" s="10">
        <v>508.11280633354346</v>
      </c>
      <c r="D26" s="10">
        <v>509.21423626268052</v>
      </c>
      <c r="E26" s="10">
        <f t="shared" si="10"/>
        <v>508.66352129811196</v>
      </c>
      <c r="F26" s="10">
        <f t="shared" si="11"/>
        <v>0.77882857189462995</v>
      </c>
      <c r="G26" s="14">
        <v>190.5</v>
      </c>
      <c r="H26" s="10">
        <v>436.46548000000001</v>
      </c>
      <c r="I26" s="10">
        <v>446.17451999999997</v>
      </c>
      <c r="J26" s="10">
        <f t="shared" si="15"/>
        <v>441.32</v>
      </c>
      <c r="K26" s="10">
        <f t="shared" si="12"/>
        <v>262.14732633354339</v>
      </c>
      <c r="L26" s="10">
        <f t="shared" si="13"/>
        <v>253.53971626268054</v>
      </c>
      <c r="M26" s="14">
        <v>454.17317435139557</v>
      </c>
      <c r="N26" s="81" t="s">
        <v>88</v>
      </c>
      <c r="O26" s="10">
        <v>4263.1499999999996</v>
      </c>
      <c r="P26" s="10">
        <f>O26/J26</f>
        <v>9.6599972808846175</v>
      </c>
      <c r="Q26" s="10">
        <f>O26/L26</f>
        <v>16.81452540391404</v>
      </c>
      <c r="R26" s="23">
        <f>O26/M26</f>
        <v>9.3866177941667335</v>
      </c>
      <c r="S26" s="10">
        <f t="shared" si="18"/>
        <v>5.0590153519839651</v>
      </c>
      <c r="T26" s="81" t="s">
        <v>96</v>
      </c>
      <c r="U26" s="80"/>
    </row>
    <row r="27" spans="1:21" ht="16">
      <c r="A27" s="180"/>
      <c r="B27" s="2">
        <v>150</v>
      </c>
      <c r="C27" s="10">
        <v>508.11280633354346</v>
      </c>
      <c r="D27" s="10">
        <v>509.21423626268052</v>
      </c>
      <c r="E27" s="10">
        <f t="shared" si="10"/>
        <v>508.66352129811196</v>
      </c>
      <c r="F27" s="10">
        <f t="shared" si="11"/>
        <v>0.77882857189462995</v>
      </c>
      <c r="G27" s="14">
        <v>190.5</v>
      </c>
      <c r="H27" s="10">
        <v>405.49988999999999</v>
      </c>
      <c r="I27" s="10">
        <v>414.52010999999999</v>
      </c>
      <c r="J27" s="10">
        <f t="shared" si="15"/>
        <v>410.01</v>
      </c>
      <c r="K27" s="10">
        <f t="shared" si="12"/>
        <v>293.11291633354341</v>
      </c>
      <c r="L27" s="10">
        <f t="shared" si="13"/>
        <v>285.19412626268053</v>
      </c>
      <c r="M27" s="14">
        <v>485.48317435139558</v>
      </c>
      <c r="N27" s="81" t="s">
        <v>103</v>
      </c>
      <c r="O27" s="10">
        <v>4516.8</v>
      </c>
      <c r="P27" s="10">
        <f>O27/J27</f>
        <v>11.016316675203045</v>
      </c>
      <c r="Q27" s="10">
        <f>O27/L27</f>
        <v>15.837633331339237</v>
      </c>
      <c r="R27" s="23">
        <f>O27/M27</f>
        <v>9.3037209910197909</v>
      </c>
      <c r="S27" s="10">
        <f t="shared" si="18"/>
        <v>3.4091857018015421</v>
      </c>
      <c r="T27" s="81" t="s">
        <v>96</v>
      </c>
      <c r="U27" s="80"/>
    </row>
    <row r="28" spans="1:21" ht="16">
      <c r="A28" s="180"/>
      <c r="B28" s="2">
        <v>180</v>
      </c>
      <c r="C28" s="10">
        <v>508.11280633354346</v>
      </c>
      <c r="D28" s="10">
        <v>509.21423626268052</v>
      </c>
      <c r="E28" s="10">
        <f t="shared" si="10"/>
        <v>508.66352129811196</v>
      </c>
      <c r="F28" s="10">
        <f t="shared" si="11"/>
        <v>0.77882857189462995</v>
      </c>
      <c r="G28" s="14">
        <v>190.5</v>
      </c>
      <c r="H28" s="10">
        <v>375.14747999999997</v>
      </c>
      <c r="I28" s="10">
        <v>383.49252000000001</v>
      </c>
      <c r="J28" s="10">
        <f t="shared" si="15"/>
        <v>379.32</v>
      </c>
      <c r="K28" s="10">
        <f t="shared" si="12"/>
        <v>323.46532633354343</v>
      </c>
      <c r="L28" s="10">
        <f t="shared" si="13"/>
        <v>316.2217162626805</v>
      </c>
      <c r="M28" s="14">
        <v>516.17317435139557</v>
      </c>
      <c r="N28" s="81" t="s">
        <v>96</v>
      </c>
      <c r="O28" s="10">
        <v>5067.93</v>
      </c>
      <c r="P28" s="10">
        <f>O28/J28</f>
        <v>13.360566276494781</v>
      </c>
      <c r="Q28" s="10">
        <f>O28/L28</f>
        <v>16.026508425468631</v>
      </c>
      <c r="R28" s="23">
        <f>O28/M28</f>
        <v>9.818274664056645</v>
      </c>
      <c r="S28" s="10">
        <f t="shared" si="18"/>
        <v>1.885105771790446</v>
      </c>
      <c r="T28" s="81" t="s">
        <v>96</v>
      </c>
      <c r="U28" s="80"/>
    </row>
    <row r="29" spans="1:21" ht="16">
      <c r="A29" s="180"/>
      <c r="B29" s="2">
        <v>210</v>
      </c>
      <c r="C29" s="10">
        <v>508.11280633354346</v>
      </c>
      <c r="D29" s="10">
        <v>509.21423626268052</v>
      </c>
      <c r="E29" s="10">
        <f>AVERAGE(C29:D29)</f>
        <v>508.66352129811196</v>
      </c>
      <c r="F29" s="10">
        <f>STDEV(C29:D29)</f>
        <v>0.77882857189462995</v>
      </c>
      <c r="G29" s="14">
        <v>190.5</v>
      </c>
      <c r="H29" s="10">
        <v>376.00697298600096</v>
      </c>
      <c r="I29" s="10">
        <v>384.37113214241356</v>
      </c>
      <c r="J29" s="10">
        <f>AVERAGE(H29:I29)</f>
        <v>380.18905256420726</v>
      </c>
      <c r="K29" s="10">
        <f>C29+G29-H29</f>
        <v>322.60583334754244</v>
      </c>
      <c r="L29" s="10">
        <f>D29+G29-I29</f>
        <v>315.34310412026696</v>
      </c>
      <c r="M29" s="14">
        <v>515.30412178718825</v>
      </c>
      <c r="N29" s="81" t="s">
        <v>96</v>
      </c>
      <c r="O29" s="10">
        <v>4833</v>
      </c>
      <c r="P29" s="10">
        <f>O29/J29</f>
        <v>12.712096698743821</v>
      </c>
      <c r="Q29" s="10">
        <f>O29/L29</f>
        <v>15.326163587698968</v>
      </c>
      <c r="R29" s="23">
        <f>O29/M29</f>
        <v>9.3789275025359604</v>
      </c>
      <c r="S29" s="10">
        <f t="shared" si="18"/>
        <v>1.8484244236554062</v>
      </c>
      <c r="T29" s="81" t="s">
        <v>96</v>
      </c>
      <c r="U29" s="80"/>
    </row>
    <row r="30" spans="1:21" ht="15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0"/>
      <c r="S30" s="2"/>
      <c r="T30" s="2"/>
      <c r="U30" s="2"/>
    </row>
    <row r="31" spans="1:21" ht="15.5">
      <c r="A31" s="1" t="s">
        <v>158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0"/>
      <c r="S31" s="2"/>
      <c r="T31" s="2"/>
      <c r="U31" s="2"/>
    </row>
    <row r="32" spans="1:21" ht="16" thickBot="1">
      <c r="A32" s="2" t="s">
        <v>170</v>
      </c>
      <c r="B32" s="2" t="s">
        <v>171</v>
      </c>
      <c r="C32" s="149" t="s">
        <v>172</v>
      </c>
      <c r="D32" s="149"/>
      <c r="E32" s="149"/>
      <c r="F32" s="149"/>
      <c r="G32" s="14" t="s">
        <v>173</v>
      </c>
      <c r="H32" s="149" t="s">
        <v>187</v>
      </c>
      <c r="I32" s="149"/>
      <c r="J32" s="149"/>
      <c r="K32" s="149" t="s">
        <v>188</v>
      </c>
      <c r="L32" s="149"/>
      <c r="M32" s="149"/>
      <c r="N32" s="149"/>
      <c r="O32" s="2" t="s">
        <v>175</v>
      </c>
      <c r="P32" s="149" t="s">
        <v>176</v>
      </c>
      <c r="Q32" s="149"/>
      <c r="R32" s="149"/>
      <c r="S32" s="149"/>
      <c r="T32" s="149"/>
      <c r="U32" s="80"/>
    </row>
    <row r="33" spans="1:21" ht="15.5">
      <c r="A33" s="2"/>
      <c r="B33" s="2"/>
      <c r="C33" s="2" t="s">
        <v>177</v>
      </c>
      <c r="D33" s="2" t="s">
        <v>178</v>
      </c>
      <c r="E33" s="2" t="s">
        <v>179</v>
      </c>
      <c r="F33" s="2" t="s">
        <v>180</v>
      </c>
      <c r="G33" s="2"/>
      <c r="H33" s="2" t="s">
        <v>177</v>
      </c>
      <c r="I33" s="2" t="s">
        <v>178</v>
      </c>
      <c r="J33" s="2" t="s">
        <v>179</v>
      </c>
      <c r="K33" s="2" t="s">
        <v>177</v>
      </c>
      <c r="L33" s="2" t="s">
        <v>178</v>
      </c>
      <c r="M33" s="2" t="s">
        <v>179</v>
      </c>
      <c r="N33" s="2"/>
      <c r="O33" s="2"/>
      <c r="P33" s="2" t="s">
        <v>177</v>
      </c>
      <c r="Q33" s="2" t="s">
        <v>178</v>
      </c>
      <c r="R33" s="141" t="s">
        <v>179</v>
      </c>
      <c r="S33" s="2" t="s">
        <v>181</v>
      </c>
      <c r="T33" s="80"/>
      <c r="U33" s="80"/>
    </row>
    <row r="34" spans="1:21" ht="16">
      <c r="A34" s="86" t="s">
        <v>194</v>
      </c>
      <c r="B34" s="5">
        <v>0</v>
      </c>
      <c r="C34" s="5">
        <v>603.23</v>
      </c>
      <c r="D34" s="6">
        <v>611.91586096414721</v>
      </c>
      <c r="E34" s="6">
        <f t="shared" ref="E34:E41" si="19">AVERAGE(C34:D34)</f>
        <v>607.57293048207362</v>
      </c>
      <c r="F34" s="6">
        <f t="shared" ref="F34:F40" si="20">STDEV(C34:D34)</f>
        <v>6.1418311881920058</v>
      </c>
      <c r="G34" s="6">
        <v>151.1</v>
      </c>
      <c r="H34" s="5">
        <v>352.68</v>
      </c>
      <c r="I34" s="6">
        <v>353.98823255115275</v>
      </c>
      <c r="J34" s="6">
        <f t="shared" ref="J34:J41" si="21">AVERAGE(H34:I34)</f>
        <v>353.33411627557638</v>
      </c>
      <c r="K34" s="6">
        <f t="shared" ref="K34:K41" si="22">C34-J34+G34</f>
        <v>400.99588372442361</v>
      </c>
      <c r="L34" s="6">
        <f t="shared" ref="L34:L41" si="23">D34+G34-J34</f>
        <v>409.68174468857086</v>
      </c>
      <c r="M34" s="6">
        <f t="shared" ref="M34:M41" si="24">AVERAGE(K34:L34)</f>
        <v>405.3388142064972</v>
      </c>
      <c r="N34" s="83" t="s">
        <v>192</v>
      </c>
      <c r="O34" s="6">
        <v>4973.2803999999996</v>
      </c>
      <c r="P34" s="6">
        <f>O38/K34</f>
        <v>11.452327284127412</v>
      </c>
      <c r="Q34" s="6">
        <f>O38/L34</f>
        <v>11.209520950197502</v>
      </c>
      <c r="R34" s="142">
        <f t="shared" ref="R34:R41" si="25">AVERAGE(P34:Q34)</f>
        <v>11.330924117162457</v>
      </c>
      <c r="S34" s="10">
        <f>STDEV(P34:Q34)</f>
        <v>0.17169000523688421</v>
      </c>
      <c r="T34" s="83" t="s">
        <v>195</v>
      </c>
      <c r="U34" s="2"/>
    </row>
    <row r="35" spans="1:21" ht="16">
      <c r="A35" s="86"/>
      <c r="B35" s="5">
        <v>90</v>
      </c>
      <c r="C35" s="5">
        <v>603.23</v>
      </c>
      <c r="D35" s="6">
        <v>611.91586096414721</v>
      </c>
      <c r="E35" s="6">
        <f t="shared" si="19"/>
        <v>607.57293048207362</v>
      </c>
      <c r="F35" s="6">
        <f>STDEV(C35:D35)</f>
        <v>6.1418311881920058</v>
      </c>
      <c r="G35" s="6">
        <v>151.1</v>
      </c>
      <c r="H35" s="5">
        <v>306.88</v>
      </c>
      <c r="I35" s="6">
        <v>307.17377768538051</v>
      </c>
      <c r="J35" s="6">
        <f t="shared" si="21"/>
        <v>307.02688884269025</v>
      </c>
      <c r="K35" s="6">
        <f t="shared" si="22"/>
        <v>447.30311115730979</v>
      </c>
      <c r="L35" s="6">
        <f t="shared" si="23"/>
        <v>455.98897212145698</v>
      </c>
      <c r="M35" s="6">
        <f t="shared" si="24"/>
        <v>451.64604163938338</v>
      </c>
      <c r="N35" s="83" t="s">
        <v>184</v>
      </c>
      <c r="O35" s="6">
        <v>5060.7677999999996</v>
      </c>
      <c r="P35" s="6">
        <f>O39/K35</f>
        <v>11.020152726517528</v>
      </c>
      <c r="Q35" s="6">
        <f>O39/L35</f>
        <v>10.810236434154424</v>
      </c>
      <c r="R35" s="142">
        <f t="shared" si="25"/>
        <v>10.915194580335976</v>
      </c>
      <c r="S35" s="10">
        <f t="shared" ref="S35:S41" si="26">STDEV(P35:Q35)</f>
        <v>0.14843323381148882</v>
      </c>
      <c r="T35" s="83" t="s">
        <v>191</v>
      </c>
      <c r="U35" s="2"/>
    </row>
    <row r="36" spans="1:21" ht="16">
      <c r="A36" s="86"/>
      <c r="B36" s="5">
        <v>150</v>
      </c>
      <c r="C36" s="5">
        <v>603.23</v>
      </c>
      <c r="D36" s="6">
        <v>611.91586096414721</v>
      </c>
      <c r="E36" s="6">
        <f t="shared" si="19"/>
        <v>607.57293048207362</v>
      </c>
      <c r="F36" s="6">
        <f t="shared" si="20"/>
        <v>6.1418311881920058</v>
      </c>
      <c r="G36" s="6">
        <v>151.1</v>
      </c>
      <c r="H36" s="5">
        <v>382.98</v>
      </c>
      <c r="I36" s="6">
        <v>381.96409267376316</v>
      </c>
      <c r="J36" s="6">
        <f t="shared" si="21"/>
        <v>382.47204633688159</v>
      </c>
      <c r="K36" s="6">
        <f t="shared" si="22"/>
        <v>371.85795366311845</v>
      </c>
      <c r="L36" s="6">
        <f t="shared" si="23"/>
        <v>380.54381462726565</v>
      </c>
      <c r="M36" s="6">
        <f t="shared" si="24"/>
        <v>376.20088414519205</v>
      </c>
      <c r="N36" s="83" t="s">
        <v>191</v>
      </c>
      <c r="O36" s="6">
        <v>5333.2619999999997</v>
      </c>
      <c r="P36" s="6">
        <f>O40/K36</f>
        <v>13.160451596615607</v>
      </c>
      <c r="Q36" s="6">
        <f>O40/L36</f>
        <v>12.860066073583111</v>
      </c>
      <c r="R36" s="142">
        <f t="shared" si="25"/>
        <v>13.010258835099359</v>
      </c>
      <c r="S36" s="10">
        <f t="shared" si="26"/>
        <v>0.21240464030654568</v>
      </c>
      <c r="T36" s="83" t="s">
        <v>185</v>
      </c>
      <c r="U36" s="2"/>
    </row>
    <row r="37" spans="1:21" ht="16">
      <c r="A37" s="86"/>
      <c r="B37" s="5">
        <v>210</v>
      </c>
      <c r="C37" s="5">
        <v>603.23</v>
      </c>
      <c r="D37" s="6">
        <v>611.91586096414721</v>
      </c>
      <c r="E37" s="6">
        <f t="shared" si="19"/>
        <v>607.57293048207362</v>
      </c>
      <c r="F37" s="6">
        <f>STDEV(C37:D37)</f>
        <v>6.1418311881920058</v>
      </c>
      <c r="G37" s="6">
        <v>151.1</v>
      </c>
      <c r="H37" s="5">
        <v>363.05</v>
      </c>
      <c r="I37" s="6">
        <v>362.76374019752194</v>
      </c>
      <c r="J37" s="6">
        <f t="shared" si="21"/>
        <v>362.90687009876098</v>
      </c>
      <c r="K37" s="6">
        <f t="shared" si="22"/>
        <v>391.42312990123901</v>
      </c>
      <c r="L37" s="6">
        <f t="shared" si="23"/>
        <v>400.10899086538626</v>
      </c>
      <c r="M37" s="6">
        <f t="shared" si="24"/>
        <v>395.76606038331261</v>
      </c>
      <c r="N37" s="83" t="s">
        <v>192</v>
      </c>
      <c r="O37" s="6">
        <v>5784.2422000000006</v>
      </c>
      <c r="P37" s="6">
        <f>O41/K37</f>
        <v>13.686181502231769</v>
      </c>
      <c r="Q37" s="6">
        <f>O41/L37</f>
        <v>13.38907178369894</v>
      </c>
      <c r="R37" s="142">
        <f t="shared" si="25"/>
        <v>13.537626642965353</v>
      </c>
      <c r="S37" s="10">
        <f t="shared" si="26"/>
        <v>0.21008829673098958</v>
      </c>
      <c r="T37" s="83" t="s">
        <v>184</v>
      </c>
      <c r="U37" s="2"/>
    </row>
    <row r="38" spans="1:21" ht="16">
      <c r="A38" s="87" t="s">
        <v>196</v>
      </c>
      <c r="B38" s="5">
        <v>0</v>
      </c>
      <c r="C38" s="2">
        <v>588.55999999999995</v>
      </c>
      <c r="D38" s="10">
        <v>597.5146504059046</v>
      </c>
      <c r="E38" s="10">
        <f t="shared" si="19"/>
        <v>593.03732520295227</v>
      </c>
      <c r="F38" s="10">
        <f t="shared" si="20"/>
        <v>6.3318940251700546</v>
      </c>
      <c r="G38" s="10">
        <v>151.1</v>
      </c>
      <c r="H38" s="2">
        <v>304.12</v>
      </c>
      <c r="I38" s="10">
        <v>306.37616209117596</v>
      </c>
      <c r="J38" s="10">
        <f t="shared" si="21"/>
        <v>305.24808104558798</v>
      </c>
      <c r="K38" s="10">
        <f t="shared" si="22"/>
        <v>434.41191895441193</v>
      </c>
      <c r="L38" s="10">
        <f t="shared" si="23"/>
        <v>443.36656936031665</v>
      </c>
      <c r="M38" s="10">
        <f t="shared" si="24"/>
        <v>438.88924415736426</v>
      </c>
      <c r="N38" s="81" t="s">
        <v>103</v>
      </c>
      <c r="O38" s="10">
        <v>4592.3360999999995</v>
      </c>
      <c r="P38" s="10">
        <f>O34/K38</f>
        <v>11.448305589704379</v>
      </c>
      <c r="Q38" s="10">
        <f>O34/L38</f>
        <v>11.217084786467735</v>
      </c>
      <c r="R38" s="143">
        <f t="shared" si="25"/>
        <v>11.332695188086056</v>
      </c>
      <c r="S38" s="10">
        <f t="shared" si="26"/>
        <v>0.16349779792003127</v>
      </c>
      <c r="T38" s="81" t="s">
        <v>103</v>
      </c>
      <c r="U38" s="2"/>
    </row>
    <row r="39" spans="1:21" ht="16">
      <c r="A39" s="87"/>
      <c r="B39" s="5">
        <v>90</v>
      </c>
      <c r="C39" s="2">
        <v>588.55999999999995</v>
      </c>
      <c r="D39" s="10">
        <v>597.5146504059046</v>
      </c>
      <c r="E39" s="10">
        <f t="shared" si="19"/>
        <v>593.03732520295227</v>
      </c>
      <c r="F39" s="10">
        <f>STDEV(C39:D39)</f>
        <v>6.3318940251700546</v>
      </c>
      <c r="G39" s="10">
        <v>151.1</v>
      </c>
      <c r="H39" s="10">
        <v>307.5</v>
      </c>
      <c r="I39" s="10">
        <v>308.77424409103776</v>
      </c>
      <c r="J39" s="10">
        <f t="shared" si="21"/>
        <v>308.13712204551888</v>
      </c>
      <c r="K39" s="10">
        <f t="shared" si="22"/>
        <v>431.52287795448103</v>
      </c>
      <c r="L39" s="10">
        <f t="shared" si="23"/>
        <v>440.47752836038575</v>
      </c>
      <c r="M39" s="10">
        <f t="shared" si="24"/>
        <v>436.00020315743336</v>
      </c>
      <c r="N39" s="81" t="s">
        <v>94</v>
      </c>
      <c r="O39" s="10">
        <v>4929.3486000000003</v>
      </c>
      <c r="P39" s="10">
        <f>O35/K39</f>
        <v>11.727692918598471</v>
      </c>
      <c r="Q39" s="10">
        <f>O35/L39</f>
        <v>11.489275784029164</v>
      </c>
      <c r="R39" s="143">
        <f t="shared" si="25"/>
        <v>11.608484351313818</v>
      </c>
      <c r="S39" s="10">
        <f t="shared" si="26"/>
        <v>0.16858637260502254</v>
      </c>
      <c r="T39" s="81" t="s">
        <v>103</v>
      </c>
      <c r="U39" s="2"/>
    </row>
    <row r="40" spans="1:21" ht="16">
      <c r="A40" s="87"/>
      <c r="B40" s="5">
        <v>150</v>
      </c>
      <c r="C40" s="2">
        <v>588.55999999999995</v>
      </c>
      <c r="D40" s="10">
        <v>597.5146504059046</v>
      </c>
      <c r="E40" s="10">
        <f t="shared" si="19"/>
        <v>593.03732520295227</v>
      </c>
      <c r="F40" s="10">
        <f t="shared" si="20"/>
        <v>6.3318940251700546</v>
      </c>
      <c r="G40" s="10">
        <v>151.1</v>
      </c>
      <c r="H40" s="2">
        <v>277.66000000000003</v>
      </c>
      <c r="I40" s="10">
        <v>280.27219797677202</v>
      </c>
      <c r="J40" s="10">
        <f t="shared" si="21"/>
        <v>278.96609898838602</v>
      </c>
      <c r="K40" s="10">
        <f t="shared" si="22"/>
        <v>460.69390101161389</v>
      </c>
      <c r="L40" s="10">
        <f t="shared" si="23"/>
        <v>469.6485514175186</v>
      </c>
      <c r="M40" s="10">
        <f t="shared" si="24"/>
        <v>465.17122621456622</v>
      </c>
      <c r="N40" s="81" t="s">
        <v>96</v>
      </c>
      <c r="O40" s="10">
        <v>4893.8185999999996</v>
      </c>
      <c r="P40" s="10">
        <f>O36/K40</f>
        <v>11.576584774161251</v>
      </c>
      <c r="Q40" s="10">
        <f>O36/L40</f>
        <v>11.355857446813921</v>
      </c>
      <c r="R40" s="143">
        <f t="shared" si="25"/>
        <v>11.466221110487586</v>
      </c>
      <c r="S40" s="10">
        <f t="shared" si="26"/>
        <v>0.1560777899604798</v>
      </c>
      <c r="T40" s="81" t="s">
        <v>103</v>
      </c>
      <c r="U40" s="2"/>
    </row>
    <row r="41" spans="1:21" ht="16">
      <c r="A41" s="87"/>
      <c r="B41" s="5">
        <v>210</v>
      </c>
      <c r="C41" s="2">
        <v>588.55999999999995</v>
      </c>
      <c r="D41" s="10">
        <v>597.5146504059046</v>
      </c>
      <c r="E41" s="10">
        <f t="shared" si="19"/>
        <v>593.03732520295227</v>
      </c>
      <c r="F41" s="10">
        <f>STDEV(C41:D41)</f>
        <v>6.3318940251700546</v>
      </c>
      <c r="G41" s="10">
        <v>151.1</v>
      </c>
      <c r="H41" s="2">
        <v>319.02</v>
      </c>
      <c r="I41" s="10">
        <v>326.31285683925</v>
      </c>
      <c r="J41" s="10">
        <f t="shared" si="21"/>
        <v>322.66642841962499</v>
      </c>
      <c r="K41" s="10">
        <f t="shared" si="22"/>
        <v>416.99357158037492</v>
      </c>
      <c r="L41" s="10">
        <f t="shared" si="23"/>
        <v>425.94822198627963</v>
      </c>
      <c r="M41" s="10">
        <f t="shared" si="24"/>
        <v>421.47089678332725</v>
      </c>
      <c r="N41" s="81" t="s">
        <v>88</v>
      </c>
      <c r="O41" s="10">
        <v>5357.0879999999997</v>
      </c>
      <c r="P41" s="10">
        <f>O37/K41</f>
        <v>13.871298250661631</v>
      </c>
      <c r="Q41" s="10">
        <f>O37/L41</f>
        <v>13.579683871027683</v>
      </c>
      <c r="R41" s="143">
        <f t="shared" si="25"/>
        <v>13.725491060844657</v>
      </c>
      <c r="S41" s="10">
        <f t="shared" si="26"/>
        <v>0.20620250533067311</v>
      </c>
      <c r="T41" s="81" t="s">
        <v>96</v>
      </c>
      <c r="U41" s="2"/>
    </row>
    <row r="42" spans="1:21" ht="16.5" thickBot="1">
      <c r="A42" s="2" t="s">
        <v>166</v>
      </c>
      <c r="B42" s="5"/>
      <c r="C42" s="2"/>
      <c r="D42" s="10"/>
      <c r="E42" s="10"/>
      <c r="F42" s="10"/>
      <c r="G42" s="10"/>
      <c r="H42" s="2"/>
      <c r="I42" s="10"/>
      <c r="J42" s="10"/>
      <c r="K42" s="10"/>
      <c r="L42" s="10"/>
      <c r="M42" s="10"/>
      <c r="N42" s="81"/>
      <c r="O42" s="10"/>
      <c r="P42" s="10"/>
      <c r="Q42" s="10"/>
      <c r="R42" s="144"/>
      <c r="S42" s="81"/>
      <c r="T42" s="2"/>
      <c r="U42" s="2"/>
    </row>
    <row r="43" spans="1:21" ht="15.5">
      <c r="A43" s="2" t="s">
        <v>170</v>
      </c>
      <c r="B43" s="2" t="s">
        <v>171</v>
      </c>
      <c r="C43" s="149" t="s">
        <v>172</v>
      </c>
      <c r="D43" s="149"/>
      <c r="E43" s="149"/>
      <c r="F43" s="149"/>
      <c r="G43" s="14" t="s">
        <v>173</v>
      </c>
      <c r="H43" s="149" t="s">
        <v>187</v>
      </c>
      <c r="I43" s="149"/>
      <c r="J43" s="149"/>
      <c r="K43" s="149" t="s">
        <v>188</v>
      </c>
      <c r="L43" s="149"/>
      <c r="M43" s="149"/>
      <c r="N43" s="149"/>
      <c r="O43" s="2" t="s">
        <v>175</v>
      </c>
      <c r="P43" s="149" t="s">
        <v>176</v>
      </c>
      <c r="Q43" s="149"/>
      <c r="R43" s="149"/>
      <c r="S43" s="149"/>
      <c r="T43" s="149"/>
      <c r="U43" s="80"/>
    </row>
    <row r="44" spans="1:21" ht="15.5">
      <c r="A44" s="2"/>
      <c r="B44" s="2"/>
      <c r="C44" s="2" t="s">
        <v>177</v>
      </c>
      <c r="D44" s="2" t="s">
        <v>178</v>
      </c>
      <c r="E44" s="2" t="s">
        <v>179</v>
      </c>
      <c r="F44" s="2" t="s">
        <v>180</v>
      </c>
      <c r="G44" s="2"/>
      <c r="H44" s="2" t="s">
        <v>177</v>
      </c>
      <c r="I44" s="2" t="s">
        <v>178</v>
      </c>
      <c r="J44" s="2" t="s">
        <v>179</v>
      </c>
      <c r="K44" s="2" t="s">
        <v>177</v>
      </c>
      <c r="L44" s="2" t="s">
        <v>178</v>
      </c>
      <c r="M44" s="2" t="s">
        <v>179</v>
      </c>
      <c r="N44" s="2"/>
      <c r="O44" s="2"/>
      <c r="P44" s="2" t="s">
        <v>177</v>
      </c>
      <c r="Q44" s="2" t="s">
        <v>178</v>
      </c>
      <c r="R44" s="20" t="s">
        <v>179</v>
      </c>
      <c r="S44" s="2" t="s">
        <v>181</v>
      </c>
      <c r="T44" s="80"/>
      <c r="U44" s="80"/>
    </row>
    <row r="45" spans="1:21" ht="15.5">
      <c r="A45" s="167" t="s">
        <v>197</v>
      </c>
      <c r="B45" s="14" t="s">
        <v>13</v>
      </c>
      <c r="C45" s="2">
        <v>429.22</v>
      </c>
      <c r="D45" s="10">
        <v>424.5</v>
      </c>
      <c r="E45" s="10">
        <f>AVERAGE(C45:D45)</f>
        <v>426.86</v>
      </c>
      <c r="F45" s="10">
        <f t="shared" ref="F45:F52" si="27">STDEV(C45:D45)</f>
        <v>3.3375440072005236</v>
      </c>
      <c r="G45" s="76">
        <v>292.10000000000002</v>
      </c>
      <c r="H45" s="10">
        <v>330.03214956115903</v>
      </c>
      <c r="I45" s="10">
        <v>337.51214956115899</v>
      </c>
      <c r="J45" s="10">
        <f>AVERAGE(H45:I45)</f>
        <v>333.77214956115904</v>
      </c>
      <c r="K45" s="10">
        <f t="shared" ref="K45:K52" si="28">C45+G45-H45</f>
        <v>391.28785043884102</v>
      </c>
      <c r="L45" s="10">
        <f t="shared" ref="L45:L52" si="29">D45+G45-I45</f>
        <v>379.08785043884103</v>
      </c>
      <c r="M45" s="10">
        <f>AVERAGE(K45:L45)</f>
        <v>385.187850438841</v>
      </c>
      <c r="N45" s="62" t="s">
        <v>105</v>
      </c>
      <c r="O45" s="10">
        <v>4434.7</v>
      </c>
      <c r="P45" s="10">
        <f t="shared" ref="P45:P52" si="30">O45/K45</f>
        <v>11.333600046682644</v>
      </c>
      <c r="Q45" s="10">
        <f t="shared" ref="Q45:Q52" si="31">O45/L45</f>
        <v>11.69834378724163</v>
      </c>
      <c r="R45" s="23">
        <f>AVERAGE(P45:Q45)</f>
        <v>11.515971916962137</v>
      </c>
      <c r="S45" s="10">
        <f>STDEV(P45:Q45)</f>
        <v>0.25791277234460541</v>
      </c>
      <c r="T45" s="62" t="s">
        <v>103</v>
      </c>
      <c r="U45" s="2"/>
    </row>
    <row r="46" spans="1:21" ht="15.5">
      <c r="A46" s="153"/>
      <c r="B46" s="14" t="s">
        <v>14</v>
      </c>
      <c r="C46" s="2">
        <v>429.22</v>
      </c>
      <c r="D46" s="10">
        <v>424.5</v>
      </c>
      <c r="E46" s="10">
        <f t="shared" ref="E46:E52" si="32">AVERAGE(C46:D46)</f>
        <v>426.86</v>
      </c>
      <c r="F46" s="10">
        <f t="shared" si="27"/>
        <v>3.3375440072005236</v>
      </c>
      <c r="G46" s="76">
        <v>292.10000000000002</v>
      </c>
      <c r="H46" s="10">
        <v>328.45</v>
      </c>
      <c r="I46" s="10">
        <v>331.09</v>
      </c>
      <c r="J46" s="10">
        <f t="shared" ref="J46:J52" si="33">AVERAGE(H46:I46)</f>
        <v>329.77</v>
      </c>
      <c r="K46" s="10">
        <f t="shared" si="28"/>
        <v>392.87000000000006</v>
      </c>
      <c r="L46" s="10">
        <f t="shared" si="29"/>
        <v>385.51000000000005</v>
      </c>
      <c r="M46" s="10">
        <f t="shared" ref="M46:M52" si="34">AVERAGE(K46:L46)</f>
        <v>389.19000000000005</v>
      </c>
      <c r="N46" s="62" t="s">
        <v>105</v>
      </c>
      <c r="O46" s="10">
        <v>4477.75</v>
      </c>
      <c r="P46" s="10">
        <f t="shared" si="30"/>
        <v>11.397536080637359</v>
      </c>
      <c r="Q46" s="10">
        <f t="shared" si="31"/>
        <v>11.615133200176388</v>
      </c>
      <c r="R46" s="23">
        <f t="shared" ref="R46:R52" si="35">AVERAGE(P46:Q46)</f>
        <v>11.506334640406873</v>
      </c>
      <c r="S46" s="10">
        <f t="shared" ref="S46:S52" si="36">STDEV(P46:Q46)</f>
        <v>0.15386439879270716</v>
      </c>
      <c r="T46" s="62" t="s">
        <v>88</v>
      </c>
      <c r="U46" s="2"/>
    </row>
    <row r="47" spans="1:21" ht="15.5">
      <c r="A47" s="153"/>
      <c r="B47" s="14" t="s">
        <v>15</v>
      </c>
      <c r="C47" s="2">
        <v>429.22</v>
      </c>
      <c r="D47" s="10">
        <v>424.5</v>
      </c>
      <c r="E47" s="10">
        <f t="shared" si="32"/>
        <v>426.86</v>
      </c>
      <c r="F47" s="10">
        <f t="shared" si="27"/>
        <v>3.3375440072005236</v>
      </c>
      <c r="G47" s="76">
        <v>292.10000000000002</v>
      </c>
      <c r="H47" s="15">
        <v>330.88</v>
      </c>
      <c r="I47" s="15">
        <v>336.32</v>
      </c>
      <c r="J47" s="15">
        <f>AVERAGE(H47:I47)</f>
        <v>333.6</v>
      </c>
      <c r="K47" s="10">
        <f t="shared" si="28"/>
        <v>390.44000000000005</v>
      </c>
      <c r="L47" s="10">
        <f t="shared" si="29"/>
        <v>380.28000000000003</v>
      </c>
      <c r="M47" s="10">
        <f t="shared" si="34"/>
        <v>385.36</v>
      </c>
      <c r="N47" s="62" t="s">
        <v>105</v>
      </c>
      <c r="O47" s="10">
        <v>5141.38</v>
      </c>
      <c r="P47" s="10">
        <f t="shared" si="30"/>
        <v>13.168169244954409</v>
      </c>
      <c r="Q47" s="10">
        <f t="shared" si="31"/>
        <v>13.519985274008624</v>
      </c>
      <c r="R47" s="23">
        <f t="shared" si="35"/>
        <v>13.344077259481516</v>
      </c>
      <c r="S47" s="10">
        <f t="shared" si="36"/>
        <v>0.24877149987435851</v>
      </c>
      <c r="T47" s="62" t="s">
        <v>96</v>
      </c>
      <c r="U47" s="2"/>
    </row>
    <row r="48" spans="1:21" ht="15.5">
      <c r="A48" s="153"/>
      <c r="B48" s="14" t="s">
        <v>16</v>
      </c>
      <c r="C48" s="2">
        <v>429.22</v>
      </c>
      <c r="D48" s="10">
        <v>424.5</v>
      </c>
      <c r="E48" s="10">
        <f t="shared" si="32"/>
        <v>426.86</v>
      </c>
      <c r="F48" s="10">
        <f t="shared" si="27"/>
        <v>3.3375440072005236</v>
      </c>
      <c r="G48" s="76">
        <v>292.10000000000002</v>
      </c>
      <c r="H48" s="15">
        <v>315.19000000000005</v>
      </c>
      <c r="I48" s="15">
        <v>323.32999999999993</v>
      </c>
      <c r="J48" s="15">
        <f>AVERAGE(H48:I48)</f>
        <v>319.26</v>
      </c>
      <c r="K48" s="10">
        <f t="shared" si="28"/>
        <v>406.13</v>
      </c>
      <c r="L48" s="10">
        <f t="shared" si="29"/>
        <v>393.2700000000001</v>
      </c>
      <c r="M48" s="10">
        <f t="shared" si="34"/>
        <v>399.70000000000005</v>
      </c>
      <c r="N48" s="62" t="s">
        <v>96</v>
      </c>
      <c r="O48" s="10">
        <v>4708.63</v>
      </c>
      <c r="P48" s="10">
        <f t="shared" si="30"/>
        <v>11.593898505404674</v>
      </c>
      <c r="Q48" s="10">
        <f t="shared" si="31"/>
        <v>11.973021079665367</v>
      </c>
      <c r="R48" s="23">
        <f t="shared" si="35"/>
        <v>11.78345979253502</v>
      </c>
      <c r="S48" s="10">
        <f t="shared" si="36"/>
        <v>0.26808014316063639</v>
      </c>
      <c r="T48" s="62" t="s">
        <v>88</v>
      </c>
      <c r="U48" s="2"/>
    </row>
    <row r="49" spans="1:21" ht="15.5">
      <c r="A49" s="167" t="s">
        <v>196</v>
      </c>
      <c r="B49" s="14" t="s">
        <v>13</v>
      </c>
      <c r="C49" s="2">
        <v>400.56</v>
      </c>
      <c r="D49" s="10">
        <v>404.28</v>
      </c>
      <c r="E49" s="10">
        <f t="shared" si="32"/>
        <v>402.41999999999996</v>
      </c>
      <c r="F49" s="10">
        <f t="shared" si="27"/>
        <v>2.6304372260139357</v>
      </c>
      <c r="G49" s="76">
        <v>292.10000000000002</v>
      </c>
      <c r="H49" s="15">
        <v>304.58999999999997</v>
      </c>
      <c r="I49" s="15">
        <v>304.39</v>
      </c>
      <c r="J49" s="15">
        <f>AVERAGE(H49:I49)</f>
        <v>304.49</v>
      </c>
      <c r="K49" s="10">
        <f t="shared" si="28"/>
        <v>388.07000000000011</v>
      </c>
      <c r="L49" s="10">
        <f t="shared" si="29"/>
        <v>391.99</v>
      </c>
      <c r="M49" s="10">
        <f t="shared" si="34"/>
        <v>390.03000000000009</v>
      </c>
      <c r="N49" s="62" t="s">
        <v>87</v>
      </c>
      <c r="O49" s="10">
        <v>3889.4</v>
      </c>
      <c r="P49" s="10">
        <f t="shared" si="30"/>
        <v>10.022418635813123</v>
      </c>
      <c r="Q49" s="10">
        <f t="shared" si="31"/>
        <v>9.9221918926503232</v>
      </c>
      <c r="R49" s="23">
        <f t="shared" si="35"/>
        <v>9.9723052642317231</v>
      </c>
      <c r="S49" s="10">
        <f t="shared" si="36"/>
        <v>7.0871009746658248E-2</v>
      </c>
      <c r="T49" s="62" t="s">
        <v>103</v>
      </c>
      <c r="U49" s="2"/>
    </row>
    <row r="50" spans="1:21" ht="15.5">
      <c r="A50" s="153"/>
      <c r="B50" s="14" t="s">
        <v>14</v>
      </c>
      <c r="C50" s="2">
        <v>400.56</v>
      </c>
      <c r="D50" s="10">
        <v>404.28</v>
      </c>
      <c r="E50" s="10">
        <f t="shared" si="32"/>
        <v>402.41999999999996</v>
      </c>
      <c r="F50" s="10">
        <f t="shared" si="27"/>
        <v>2.6304372260139357</v>
      </c>
      <c r="G50" s="76">
        <v>292.10000000000002</v>
      </c>
      <c r="H50" s="15">
        <v>300.94</v>
      </c>
      <c r="I50" s="15">
        <v>303.68</v>
      </c>
      <c r="J50" s="10">
        <f t="shared" si="33"/>
        <v>302.31</v>
      </c>
      <c r="K50" s="10">
        <f t="shared" si="28"/>
        <v>391.72000000000008</v>
      </c>
      <c r="L50" s="10">
        <f t="shared" si="29"/>
        <v>392.7</v>
      </c>
      <c r="M50" s="10">
        <f t="shared" si="34"/>
        <v>392.21000000000004</v>
      </c>
      <c r="N50" s="62" t="s">
        <v>87</v>
      </c>
      <c r="O50" s="10">
        <v>3986.83</v>
      </c>
      <c r="P50" s="10">
        <f t="shared" si="30"/>
        <v>10.177754518533645</v>
      </c>
      <c r="Q50" s="10">
        <f t="shared" si="31"/>
        <v>10.152355487649606</v>
      </c>
      <c r="R50" s="23">
        <f t="shared" si="35"/>
        <v>10.165055003091625</v>
      </c>
      <c r="S50" s="10">
        <f t="shared" si="36"/>
        <v>1.7959826973670254E-2</v>
      </c>
      <c r="T50" s="62" t="s">
        <v>87</v>
      </c>
      <c r="U50" s="2"/>
    </row>
    <row r="51" spans="1:21" ht="15.5">
      <c r="A51" s="153"/>
      <c r="B51" s="14" t="s">
        <v>15</v>
      </c>
      <c r="C51" s="2">
        <v>400.56</v>
      </c>
      <c r="D51" s="10">
        <v>404.28</v>
      </c>
      <c r="E51" s="10">
        <f t="shared" si="32"/>
        <v>402.41999999999996</v>
      </c>
      <c r="F51" s="10">
        <f t="shared" si="27"/>
        <v>2.6304372260139357</v>
      </c>
      <c r="G51" s="76">
        <v>292.10000000000002</v>
      </c>
      <c r="H51" s="15">
        <v>291.64</v>
      </c>
      <c r="I51" s="15">
        <v>291.14</v>
      </c>
      <c r="J51" s="10">
        <f t="shared" si="33"/>
        <v>291.39</v>
      </c>
      <c r="K51" s="10">
        <f t="shared" si="28"/>
        <v>401.0200000000001</v>
      </c>
      <c r="L51" s="10">
        <f t="shared" si="29"/>
        <v>405.24</v>
      </c>
      <c r="M51" s="10">
        <f t="shared" si="34"/>
        <v>403.13000000000005</v>
      </c>
      <c r="N51" s="62" t="s">
        <v>94</v>
      </c>
      <c r="O51" s="10">
        <v>4699.7299999999996</v>
      </c>
      <c r="P51" s="10">
        <f t="shared" si="30"/>
        <v>11.719440426911373</v>
      </c>
      <c r="Q51" s="10">
        <f t="shared" si="31"/>
        <v>11.59739907215477</v>
      </c>
      <c r="R51" s="23">
        <f t="shared" si="35"/>
        <v>11.658419749533071</v>
      </c>
      <c r="S51" s="10">
        <f t="shared" si="36"/>
        <v>8.6296269533586503E-2</v>
      </c>
      <c r="T51" s="62" t="s">
        <v>96</v>
      </c>
      <c r="U51" s="2"/>
    </row>
    <row r="52" spans="1:21" ht="15.5">
      <c r="A52" s="153"/>
      <c r="B52" s="14" t="s">
        <v>16</v>
      </c>
      <c r="C52" s="2">
        <v>400.56</v>
      </c>
      <c r="D52" s="10">
        <v>404.28</v>
      </c>
      <c r="E52" s="10">
        <f t="shared" si="32"/>
        <v>402.41999999999996</v>
      </c>
      <c r="F52" s="10">
        <f t="shared" si="27"/>
        <v>2.6304372260139357</v>
      </c>
      <c r="G52" s="76">
        <v>292.10000000000002</v>
      </c>
      <c r="H52" s="15">
        <v>281.58999999999997</v>
      </c>
      <c r="I52" s="15">
        <v>290.60999999999996</v>
      </c>
      <c r="J52" s="10">
        <f t="shared" si="33"/>
        <v>286.09999999999997</v>
      </c>
      <c r="K52" s="10">
        <f t="shared" si="28"/>
        <v>411.07000000000011</v>
      </c>
      <c r="L52" s="10">
        <f t="shared" si="29"/>
        <v>405.77000000000004</v>
      </c>
      <c r="M52" s="10">
        <f t="shared" si="34"/>
        <v>408.42000000000007</v>
      </c>
      <c r="N52" s="62" t="s">
        <v>105</v>
      </c>
      <c r="O52" s="10">
        <v>4283.53</v>
      </c>
      <c r="P52" s="10">
        <f t="shared" si="30"/>
        <v>10.420439341231416</v>
      </c>
      <c r="Q52" s="10">
        <f t="shared" si="31"/>
        <v>10.556546812233529</v>
      </c>
      <c r="R52" s="23">
        <f t="shared" si="35"/>
        <v>10.488493076732473</v>
      </c>
      <c r="S52" s="10">
        <f t="shared" si="36"/>
        <v>9.6242515715745366E-2</v>
      </c>
      <c r="T52" s="62" t="s">
        <v>88</v>
      </c>
      <c r="U52" s="2"/>
    </row>
    <row r="53" spans="1:21" ht="16">
      <c r="A53" s="87"/>
      <c r="B53" s="5"/>
      <c r="C53" s="2"/>
      <c r="D53" s="10"/>
      <c r="E53" s="10"/>
      <c r="F53" s="10"/>
      <c r="G53" s="10"/>
      <c r="H53" s="2"/>
      <c r="I53" s="10"/>
      <c r="J53" s="10"/>
      <c r="K53" s="10"/>
      <c r="L53" s="10"/>
      <c r="M53" s="10"/>
      <c r="N53" s="81"/>
      <c r="O53" s="10"/>
      <c r="P53" s="10"/>
      <c r="Q53" s="10"/>
      <c r="R53" s="23"/>
      <c r="S53" s="81"/>
      <c r="T53" s="2"/>
      <c r="U53" s="2"/>
    </row>
    <row r="54" spans="1:21" ht="15.5">
      <c r="A54" s="2" t="s">
        <v>167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0"/>
      <c r="S54" s="2"/>
      <c r="T54" s="2"/>
      <c r="U54" s="2"/>
    </row>
    <row r="55" spans="1:21" ht="15.5">
      <c r="A55" s="2" t="s">
        <v>170</v>
      </c>
      <c r="B55" s="2" t="s">
        <v>171</v>
      </c>
      <c r="C55" s="149" t="s">
        <v>172</v>
      </c>
      <c r="D55" s="149"/>
      <c r="E55" s="149"/>
      <c r="F55" s="149"/>
      <c r="G55" s="14" t="s">
        <v>173</v>
      </c>
      <c r="H55" s="149" t="s">
        <v>187</v>
      </c>
      <c r="I55" s="149"/>
      <c r="J55" s="149"/>
      <c r="K55" s="149" t="s">
        <v>188</v>
      </c>
      <c r="L55" s="149"/>
      <c r="M55" s="149"/>
      <c r="N55" s="149"/>
      <c r="O55" s="2" t="s">
        <v>175</v>
      </c>
      <c r="P55" s="149" t="s">
        <v>176</v>
      </c>
      <c r="Q55" s="149"/>
      <c r="R55" s="149"/>
      <c r="S55" s="149"/>
      <c r="T55" s="149"/>
      <c r="U55" s="80"/>
    </row>
    <row r="56" spans="1:21" ht="15.5">
      <c r="A56" s="2"/>
      <c r="B56" s="2"/>
      <c r="C56" s="2" t="s">
        <v>177</v>
      </c>
      <c r="D56" s="2" t="s">
        <v>178</v>
      </c>
      <c r="E56" s="2" t="s">
        <v>179</v>
      </c>
      <c r="F56" s="2" t="s">
        <v>180</v>
      </c>
      <c r="G56" s="2"/>
      <c r="H56" s="2" t="s">
        <v>177</v>
      </c>
      <c r="I56" s="2" t="s">
        <v>178</v>
      </c>
      <c r="J56" s="2" t="s">
        <v>179</v>
      </c>
      <c r="K56" s="2" t="s">
        <v>177</v>
      </c>
      <c r="L56" s="2" t="s">
        <v>178</v>
      </c>
      <c r="M56" s="2" t="s">
        <v>179</v>
      </c>
      <c r="N56" s="2"/>
      <c r="O56" s="2"/>
      <c r="P56" s="2" t="s">
        <v>177</v>
      </c>
      <c r="Q56" s="2" t="s">
        <v>178</v>
      </c>
      <c r="R56" s="20" t="s">
        <v>179</v>
      </c>
      <c r="S56" s="2" t="s">
        <v>181</v>
      </c>
      <c r="T56" s="80"/>
      <c r="U56" s="80"/>
    </row>
    <row r="57" spans="1:21" ht="15.5">
      <c r="A57" s="167" t="s">
        <v>197</v>
      </c>
      <c r="B57" s="14" t="s">
        <v>13</v>
      </c>
      <c r="C57" s="14">
        <v>421.418541390359</v>
      </c>
      <c r="D57" s="14">
        <v>421.50145860964102</v>
      </c>
      <c r="E57" s="14">
        <f t="shared" ref="E57:E64" si="37">AVERAGE(C57:D57)</f>
        <v>421.46000000000004</v>
      </c>
      <c r="F57" s="14">
        <f t="shared" ref="F57:F64" si="38">STDEV(C57:D57)</f>
        <v>5.863132803145097E-2</v>
      </c>
      <c r="G57" s="76">
        <v>205</v>
      </c>
      <c r="H57" s="10">
        <v>300.32149561159002</v>
      </c>
      <c r="I57" s="15">
        <v>304.51214956115899</v>
      </c>
      <c r="J57" s="10">
        <f>AVERAGE(H57:I57)</f>
        <v>302.41682258637451</v>
      </c>
      <c r="K57" s="10">
        <v>326.09704577876897</v>
      </c>
      <c r="L57" s="10">
        <v>321.98930904848208</v>
      </c>
      <c r="M57" s="10">
        <f>AVERAGE(K57:L57)</f>
        <v>324.04317741362553</v>
      </c>
      <c r="N57" s="62" t="s">
        <v>88</v>
      </c>
      <c r="O57" s="10">
        <v>4566.55</v>
      </c>
      <c r="P57" s="10">
        <f t="shared" ref="P57:P64" si="39">O57/K57</f>
        <v>14.00365338819427</v>
      </c>
      <c r="Q57" s="10">
        <f t="shared" ref="Q57:Q64" si="40">O57/L57</f>
        <v>14.18230317489334</v>
      </c>
      <c r="R57" s="23">
        <f>AVERAGE(P57:Q57)</f>
        <v>14.092978281543804</v>
      </c>
      <c r="S57" s="10">
        <f>STDEV(P57:Q57)</f>
        <v>0.12632447563244295</v>
      </c>
      <c r="T57" s="62" t="s">
        <v>87</v>
      </c>
      <c r="U57" s="2"/>
    </row>
    <row r="58" spans="1:21" ht="15.5">
      <c r="A58" s="153"/>
      <c r="B58" s="14" t="s">
        <v>14</v>
      </c>
      <c r="C58" s="14">
        <v>421.418541390359</v>
      </c>
      <c r="D58" s="14">
        <v>421.50145860964102</v>
      </c>
      <c r="E58" s="14">
        <f t="shared" si="37"/>
        <v>421.46000000000004</v>
      </c>
      <c r="F58" s="14">
        <f t="shared" si="38"/>
        <v>5.863132803145097E-2</v>
      </c>
      <c r="G58" s="76">
        <v>205</v>
      </c>
      <c r="H58" s="10">
        <v>293.39999999999998</v>
      </c>
      <c r="I58" s="15">
        <v>289.08999999999997</v>
      </c>
      <c r="J58" s="10">
        <f t="shared" ref="J58:J64" si="41">AVERAGE(H58:I58)</f>
        <v>291.245</v>
      </c>
      <c r="K58" s="10">
        <v>333.01854139035902</v>
      </c>
      <c r="L58" s="10">
        <v>337.4114586096411</v>
      </c>
      <c r="M58" s="10">
        <f t="shared" ref="M58:M64" si="42">AVERAGE(K58:L58)</f>
        <v>335.21500000000003</v>
      </c>
      <c r="N58" s="62" t="s">
        <v>103</v>
      </c>
      <c r="O58" s="10">
        <v>4883.95</v>
      </c>
      <c r="P58" s="10">
        <f t="shared" si="39"/>
        <v>14.665699932530519</v>
      </c>
      <c r="Q58" s="10">
        <f t="shared" si="40"/>
        <v>14.474760341943073</v>
      </c>
      <c r="R58" s="23">
        <f t="shared" ref="R58:R64" si="43">AVERAGE(P58:Q58)</f>
        <v>14.570230137236795</v>
      </c>
      <c r="S58" s="10">
        <f t="shared" ref="S58:S64" si="44">STDEV(P58:Q58)</f>
        <v>0.13501467930136601</v>
      </c>
      <c r="T58" s="62" t="s">
        <v>88</v>
      </c>
      <c r="U58" s="2"/>
    </row>
    <row r="59" spans="1:21" ht="15.5">
      <c r="A59" s="153"/>
      <c r="B59" s="14" t="s">
        <v>15</v>
      </c>
      <c r="C59" s="14">
        <v>421.418541390359</v>
      </c>
      <c r="D59" s="14">
        <v>421.50145860964102</v>
      </c>
      <c r="E59" s="14">
        <f t="shared" si="37"/>
        <v>421.46000000000004</v>
      </c>
      <c r="F59" s="14">
        <f t="shared" si="38"/>
        <v>5.863132803145097E-2</v>
      </c>
      <c r="G59" s="76">
        <v>205</v>
      </c>
      <c r="H59" s="15">
        <v>283.88</v>
      </c>
      <c r="I59" s="15">
        <v>279.32</v>
      </c>
      <c r="J59" s="10">
        <f t="shared" si="41"/>
        <v>281.60000000000002</v>
      </c>
      <c r="K59" s="10">
        <v>342.538541390359</v>
      </c>
      <c r="L59" s="10">
        <v>347.18145860964108</v>
      </c>
      <c r="M59" s="10">
        <f t="shared" si="42"/>
        <v>344.86</v>
      </c>
      <c r="N59" s="62" t="s">
        <v>96</v>
      </c>
      <c r="O59" s="10">
        <v>5575.04</v>
      </c>
      <c r="P59" s="10">
        <f t="shared" si="39"/>
        <v>16.27565755774808</v>
      </c>
      <c r="Q59" s="10">
        <f t="shared" si="40"/>
        <v>16.058000396468131</v>
      </c>
      <c r="R59" s="23">
        <f t="shared" si="43"/>
        <v>16.166828977108104</v>
      </c>
      <c r="S59" s="10">
        <f t="shared" si="44"/>
        <v>0.15390685471486562</v>
      </c>
      <c r="T59" s="62" t="s">
        <v>96</v>
      </c>
      <c r="U59" s="2"/>
    </row>
    <row r="60" spans="1:21" ht="15.5">
      <c r="A60" s="153"/>
      <c r="B60" s="14" t="s">
        <v>16</v>
      </c>
      <c r="C60" s="14">
        <v>421.418541390359</v>
      </c>
      <c r="D60" s="14">
        <v>421.50145860964102</v>
      </c>
      <c r="E60" s="14">
        <f t="shared" si="37"/>
        <v>421.46000000000004</v>
      </c>
      <c r="F60" s="14">
        <f t="shared" si="38"/>
        <v>5.863132803145097E-2</v>
      </c>
      <c r="G60" s="76">
        <v>205</v>
      </c>
      <c r="H60" s="15">
        <v>288.19</v>
      </c>
      <c r="I60" s="15">
        <v>291.33</v>
      </c>
      <c r="J60" s="10">
        <f t="shared" si="41"/>
        <v>289.76</v>
      </c>
      <c r="K60" s="10">
        <v>338.228541390359</v>
      </c>
      <c r="L60" s="10">
        <v>335.17145860964109</v>
      </c>
      <c r="M60" s="10">
        <f t="shared" si="42"/>
        <v>336.70000000000005</v>
      </c>
      <c r="N60" s="62" t="s">
        <v>103</v>
      </c>
      <c r="O60" s="10">
        <v>4995.2250000000004</v>
      </c>
      <c r="P60" s="10">
        <f t="shared" si="39"/>
        <v>14.768786157034784</v>
      </c>
      <c r="Q60" s="10">
        <f t="shared" si="40"/>
        <v>14.903491546449697</v>
      </c>
      <c r="R60" s="23">
        <f t="shared" si="43"/>
        <v>14.836138851742241</v>
      </c>
      <c r="S60" s="10">
        <f t="shared" si="44"/>
        <v>9.5251094317659601E-2</v>
      </c>
      <c r="T60" s="62" t="s">
        <v>88</v>
      </c>
      <c r="U60" s="2"/>
    </row>
    <row r="61" spans="1:21" ht="15.5">
      <c r="A61" s="167" t="s">
        <v>196</v>
      </c>
      <c r="B61" s="14" t="s">
        <v>13</v>
      </c>
      <c r="C61" s="14">
        <v>403.59253495940999</v>
      </c>
      <c r="D61" s="14">
        <v>404.260746504059</v>
      </c>
      <c r="E61" s="14">
        <f t="shared" si="37"/>
        <v>403.92664073173449</v>
      </c>
      <c r="F61" s="14">
        <f t="shared" si="38"/>
        <v>0.47249691448845355</v>
      </c>
      <c r="G61" s="76">
        <v>205</v>
      </c>
      <c r="H61" s="15">
        <v>304.79000000000002</v>
      </c>
      <c r="I61" s="15">
        <v>308.58999999999997</v>
      </c>
      <c r="J61" s="10">
        <f t="shared" si="41"/>
        <v>306.69</v>
      </c>
      <c r="K61" s="10">
        <v>303.80253495940991</v>
      </c>
      <c r="L61" s="10">
        <v>300.67074650405897</v>
      </c>
      <c r="M61" s="10">
        <f t="shared" si="42"/>
        <v>302.23664073173444</v>
      </c>
      <c r="N61" s="62" t="s">
        <v>87</v>
      </c>
      <c r="O61" s="10">
        <v>4151.2749999999996</v>
      </c>
      <c r="P61" s="10">
        <f t="shared" si="39"/>
        <v>13.664385652853879</v>
      </c>
      <c r="Q61" s="10">
        <f t="shared" si="40"/>
        <v>13.80671398287814</v>
      </c>
      <c r="R61" s="23">
        <f t="shared" si="43"/>
        <v>13.735549817866008</v>
      </c>
      <c r="S61" s="10">
        <f t="shared" si="44"/>
        <v>0.10064132731511204</v>
      </c>
      <c r="T61" s="62" t="s">
        <v>87</v>
      </c>
      <c r="U61" s="2"/>
    </row>
    <row r="62" spans="1:21" ht="15.5">
      <c r="A62" s="153"/>
      <c r="B62" s="14" t="s">
        <v>14</v>
      </c>
      <c r="C62" s="14">
        <v>403.59253495940999</v>
      </c>
      <c r="D62" s="14">
        <v>404.260746504059</v>
      </c>
      <c r="E62" s="14">
        <f t="shared" si="37"/>
        <v>403.92664073173449</v>
      </c>
      <c r="F62" s="14">
        <f t="shared" si="38"/>
        <v>0.47249691448845355</v>
      </c>
      <c r="G62" s="76">
        <v>205</v>
      </c>
      <c r="H62" s="15">
        <v>298.24</v>
      </c>
      <c r="I62" s="15">
        <v>294.68</v>
      </c>
      <c r="J62" s="10">
        <f t="shared" si="41"/>
        <v>296.46000000000004</v>
      </c>
      <c r="K62" s="10">
        <v>310.35253495940992</v>
      </c>
      <c r="L62" s="10">
        <v>314.58074650405894</v>
      </c>
      <c r="M62" s="10">
        <f t="shared" si="42"/>
        <v>312.4666407317344</v>
      </c>
      <c r="N62" s="62" t="s">
        <v>94</v>
      </c>
      <c r="O62" s="10">
        <v>4417.625</v>
      </c>
      <c r="P62" s="10">
        <f t="shared" si="39"/>
        <v>14.234215939553282</v>
      </c>
      <c r="Q62" s="10">
        <f t="shared" si="40"/>
        <v>14.042896932164922</v>
      </c>
      <c r="R62" s="23">
        <f t="shared" si="43"/>
        <v>14.138556435859101</v>
      </c>
      <c r="S62" s="10">
        <f t="shared" si="44"/>
        <v>0.13528296749418867</v>
      </c>
      <c r="T62" s="62" t="s">
        <v>88</v>
      </c>
      <c r="U62" s="2"/>
    </row>
    <row r="63" spans="1:21" ht="15.5">
      <c r="A63" s="153"/>
      <c r="B63" s="14" t="s">
        <v>15</v>
      </c>
      <c r="C63" s="14">
        <v>403.59253495940999</v>
      </c>
      <c r="D63" s="14">
        <v>404.260746504059</v>
      </c>
      <c r="E63" s="14">
        <f t="shared" si="37"/>
        <v>403.92664073173449</v>
      </c>
      <c r="F63" s="14">
        <f t="shared" si="38"/>
        <v>0.47249691448845355</v>
      </c>
      <c r="G63" s="76">
        <v>205</v>
      </c>
      <c r="H63" s="15">
        <v>283.64</v>
      </c>
      <c r="I63" s="15">
        <v>286.94</v>
      </c>
      <c r="J63" s="10">
        <f t="shared" si="41"/>
        <v>285.28999999999996</v>
      </c>
      <c r="K63" s="10">
        <v>324.95253495940995</v>
      </c>
      <c r="L63" s="10">
        <v>322.32074650405895</v>
      </c>
      <c r="M63" s="10">
        <f t="shared" si="42"/>
        <v>323.63664073173447</v>
      </c>
      <c r="N63" s="62" t="s">
        <v>96</v>
      </c>
      <c r="O63" s="10">
        <v>5080.1899999999996</v>
      </c>
      <c r="P63" s="10">
        <f t="shared" si="39"/>
        <v>15.633637080672628</v>
      </c>
      <c r="Q63" s="10">
        <f t="shared" si="40"/>
        <v>15.761287646236031</v>
      </c>
      <c r="R63" s="23">
        <f t="shared" si="43"/>
        <v>15.69746236345433</v>
      </c>
      <c r="S63" s="10">
        <f t="shared" si="44"/>
        <v>9.026258053218042E-2</v>
      </c>
      <c r="T63" s="62" t="s">
        <v>96</v>
      </c>
      <c r="U63" s="2"/>
    </row>
    <row r="64" spans="1:21" ht="15.5">
      <c r="A64" s="153"/>
      <c r="B64" s="14" t="s">
        <v>16</v>
      </c>
      <c r="C64" s="14">
        <v>403.59253495940999</v>
      </c>
      <c r="D64" s="14">
        <v>404.260746504059</v>
      </c>
      <c r="E64" s="14">
        <f t="shared" si="37"/>
        <v>403.92664073173449</v>
      </c>
      <c r="F64" s="14">
        <f t="shared" si="38"/>
        <v>0.47249691448845355</v>
      </c>
      <c r="G64" s="76">
        <v>205</v>
      </c>
      <c r="H64" s="15">
        <v>303.58999999999997</v>
      </c>
      <c r="I64" s="15">
        <v>298.61</v>
      </c>
      <c r="J64" s="10">
        <f t="shared" si="41"/>
        <v>301.10000000000002</v>
      </c>
      <c r="K64" s="10">
        <v>305.00253495940996</v>
      </c>
      <c r="L64" s="10">
        <v>310.65074650405893</v>
      </c>
      <c r="M64" s="10">
        <f t="shared" si="42"/>
        <v>307.82664073173441</v>
      </c>
      <c r="N64" s="62" t="s">
        <v>90</v>
      </c>
      <c r="O64" s="10">
        <v>4463.1000000000004</v>
      </c>
      <c r="P64" s="10">
        <f t="shared" si="39"/>
        <v>14.632993134283144</v>
      </c>
      <c r="Q64" s="10">
        <f t="shared" si="40"/>
        <v>14.366937952752307</v>
      </c>
      <c r="R64" s="23">
        <f t="shared" si="43"/>
        <v>14.499965543517725</v>
      </c>
      <c r="S64" s="10">
        <f t="shared" si="44"/>
        <v>0.18812942303027225</v>
      </c>
      <c r="T64" s="62" t="s">
        <v>103</v>
      </c>
      <c r="U64" s="2"/>
    </row>
    <row r="65" spans="1:21" ht="15.5">
      <c r="A65" s="2"/>
      <c r="B65" s="2"/>
      <c r="C65" s="2"/>
      <c r="D65" s="2"/>
      <c r="E65" s="2"/>
      <c r="F65" s="2"/>
      <c r="G65" s="2"/>
      <c r="H65" s="10"/>
      <c r="I65" s="10"/>
      <c r="J65" s="2"/>
      <c r="K65" s="2"/>
      <c r="L65" s="2"/>
      <c r="M65" s="2"/>
      <c r="N65" s="2"/>
      <c r="O65" s="2"/>
      <c r="P65" s="2"/>
      <c r="Q65" s="2"/>
      <c r="R65" s="20"/>
      <c r="S65" s="2"/>
      <c r="T65" s="2"/>
      <c r="U65" s="2"/>
    </row>
    <row r="66" spans="1:21" ht="15.5">
      <c r="A66" s="2"/>
      <c r="B66" s="2"/>
      <c r="C66" s="2"/>
      <c r="D66" s="2"/>
      <c r="E66" s="2"/>
      <c r="F66" s="2"/>
      <c r="G66" s="2"/>
      <c r="H66" s="10"/>
      <c r="I66" s="10"/>
      <c r="J66" s="2"/>
      <c r="K66" s="2"/>
      <c r="L66" s="2"/>
      <c r="M66" s="2"/>
      <c r="N66" s="2"/>
      <c r="O66" s="2"/>
      <c r="P66" s="2"/>
      <c r="Q66" s="2"/>
      <c r="R66" s="20"/>
      <c r="S66" s="2"/>
      <c r="T66" s="2"/>
      <c r="U66" s="2"/>
    </row>
    <row r="67" spans="1:21" ht="15.5">
      <c r="A67" s="2"/>
      <c r="B67" s="2"/>
      <c r="C67" s="2"/>
      <c r="D67" s="2"/>
      <c r="E67" s="2"/>
      <c r="F67" s="2"/>
      <c r="G67" s="2"/>
      <c r="H67" s="10"/>
      <c r="I67" s="10"/>
      <c r="J67" s="2"/>
      <c r="K67" s="2"/>
      <c r="L67" s="2"/>
      <c r="M67" s="2"/>
      <c r="N67" s="2"/>
      <c r="O67" s="2"/>
      <c r="P67" s="2"/>
      <c r="Q67" s="2"/>
      <c r="R67" s="20"/>
      <c r="S67" s="2"/>
      <c r="T67" s="2"/>
      <c r="U67" s="2"/>
    </row>
    <row r="68" spans="1:21" ht="15.5">
      <c r="A68" s="2"/>
      <c r="B68" s="2"/>
      <c r="C68" s="2"/>
      <c r="D68" s="2"/>
      <c r="E68" s="2"/>
      <c r="F68" s="2"/>
      <c r="G68" s="2"/>
      <c r="H68" s="10"/>
      <c r="I68" s="10"/>
      <c r="J68" s="2"/>
      <c r="K68" s="2"/>
      <c r="L68" s="2"/>
      <c r="M68" s="2"/>
      <c r="N68" s="2"/>
      <c r="O68" s="2"/>
      <c r="P68" s="2"/>
      <c r="Q68" s="2"/>
      <c r="R68" s="20"/>
      <c r="S68" s="2"/>
      <c r="T68" s="2"/>
      <c r="U68" s="2"/>
    </row>
  </sheetData>
  <mergeCells count="30">
    <mergeCell ref="A1:B2"/>
    <mergeCell ref="G3:G4"/>
    <mergeCell ref="G15:G16"/>
    <mergeCell ref="A61:A64"/>
    <mergeCell ref="A49:A52"/>
    <mergeCell ref="C55:F55"/>
    <mergeCell ref="A18:A21"/>
    <mergeCell ref="A22:A25"/>
    <mergeCell ref="A26:A29"/>
    <mergeCell ref="C4:F4"/>
    <mergeCell ref="H55:J55"/>
    <mergeCell ref="K55:N55"/>
    <mergeCell ref="P55:T55"/>
    <mergeCell ref="A57:A60"/>
    <mergeCell ref="P32:T32"/>
    <mergeCell ref="C43:F43"/>
    <mergeCell ref="H43:J43"/>
    <mergeCell ref="K43:N43"/>
    <mergeCell ref="P43:T43"/>
    <mergeCell ref="A45:A48"/>
    <mergeCell ref="K32:N32"/>
    <mergeCell ref="C32:F32"/>
    <mergeCell ref="H32:J32"/>
    <mergeCell ref="H4:J4"/>
    <mergeCell ref="K4:N4"/>
    <mergeCell ref="P4:T4"/>
    <mergeCell ref="C16:F16"/>
    <mergeCell ref="H16:J16"/>
    <mergeCell ref="K16:N16"/>
    <mergeCell ref="P16:T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6429-AF88-4543-AFAD-010995F4DDA0}">
  <dimension ref="A2:V77"/>
  <sheetViews>
    <sheetView workbookViewId="0">
      <selection activeCell="G9" sqref="G9"/>
    </sheetView>
  </sheetViews>
  <sheetFormatPr defaultRowHeight="14.5"/>
  <sheetData>
    <row r="2" spans="1:22">
      <c r="D2" t="s">
        <v>37</v>
      </c>
      <c r="E2" t="s">
        <v>38</v>
      </c>
      <c r="F2" t="s">
        <v>38</v>
      </c>
      <c r="L2" s="36"/>
      <c r="M2" s="37"/>
      <c r="N2" s="37"/>
      <c r="O2" s="37"/>
      <c r="P2" s="37"/>
      <c r="Q2" s="37"/>
      <c r="R2" s="37"/>
      <c r="S2" s="37"/>
      <c r="T2" s="37"/>
      <c r="U2" s="37" t="s">
        <v>39</v>
      </c>
      <c r="V2" s="37" t="s">
        <v>39</v>
      </c>
    </row>
    <row r="3" spans="1:22" ht="16" thickBot="1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s="38" t="s">
        <v>30</v>
      </c>
      <c r="H3" t="s">
        <v>40</v>
      </c>
      <c r="I3" t="s">
        <v>41</v>
      </c>
      <c r="J3" t="s">
        <v>42</v>
      </c>
      <c r="K3" t="s">
        <v>31</v>
      </c>
      <c r="L3" s="36" t="s">
        <v>32</v>
      </c>
      <c r="M3" s="36" t="s">
        <v>25</v>
      </c>
      <c r="N3" s="36" t="s">
        <v>26</v>
      </c>
      <c r="O3" s="36" t="s">
        <v>27</v>
      </c>
      <c r="P3" s="36" t="s">
        <v>28</v>
      </c>
      <c r="Q3" s="36" t="s">
        <v>43</v>
      </c>
      <c r="R3" s="36" t="s">
        <v>44</v>
      </c>
      <c r="S3" s="36" t="s">
        <v>45</v>
      </c>
      <c r="T3" s="36" t="s">
        <v>46</v>
      </c>
      <c r="U3" t="s">
        <v>47</v>
      </c>
      <c r="V3" t="s">
        <v>48</v>
      </c>
    </row>
    <row r="4" spans="1:22">
      <c r="A4">
        <v>2014</v>
      </c>
      <c r="B4" s="25">
        <v>1</v>
      </c>
      <c r="C4" s="25" t="s">
        <v>33</v>
      </c>
      <c r="D4" s="27">
        <v>0</v>
      </c>
      <c r="E4">
        <v>432.65684157901438</v>
      </c>
      <c r="F4">
        <v>368.86158844306755</v>
      </c>
      <c r="G4">
        <v>10.76</v>
      </c>
      <c r="H4">
        <v>13.15</v>
      </c>
      <c r="I4">
        <v>5.71</v>
      </c>
      <c r="J4">
        <v>114.11</v>
      </c>
      <c r="K4">
        <v>136.82</v>
      </c>
      <c r="L4" s="36">
        <v>5023.1477999999997</v>
      </c>
      <c r="M4" s="39">
        <v>1.35</v>
      </c>
      <c r="N4" s="39">
        <v>1.1299999999999999</v>
      </c>
      <c r="O4" s="39">
        <v>3.42</v>
      </c>
      <c r="P4" s="39">
        <v>3.4</v>
      </c>
      <c r="Q4" s="39">
        <v>525</v>
      </c>
      <c r="R4" s="36">
        <v>31.697600000000001</v>
      </c>
      <c r="S4" s="36">
        <v>40.488095238095234</v>
      </c>
      <c r="T4" s="36">
        <v>11.452327284127412</v>
      </c>
      <c r="U4">
        <v>304.07315842098564</v>
      </c>
      <c r="V4">
        <v>81.395253135946831</v>
      </c>
    </row>
    <row r="5" spans="1:22">
      <c r="A5">
        <v>2014</v>
      </c>
      <c r="B5" s="29">
        <v>1</v>
      </c>
      <c r="C5" s="29" t="s">
        <v>33</v>
      </c>
      <c r="D5" s="30">
        <v>90</v>
      </c>
      <c r="E5">
        <v>416.83130772394441</v>
      </c>
      <c r="F5">
        <v>347.50209570433725</v>
      </c>
      <c r="G5">
        <v>11.67</v>
      </c>
      <c r="H5">
        <v>13.32</v>
      </c>
      <c r="I5">
        <v>8.25</v>
      </c>
      <c r="J5">
        <v>134.26</v>
      </c>
      <c r="K5">
        <v>159.89999999999998</v>
      </c>
      <c r="L5" s="36">
        <v>5110.05</v>
      </c>
      <c r="M5" s="39">
        <v>1.54</v>
      </c>
      <c r="N5" s="39">
        <v>1.32</v>
      </c>
      <c r="O5" s="39">
        <v>3.6</v>
      </c>
      <c r="P5" s="39">
        <v>3.71</v>
      </c>
      <c r="Q5" s="39">
        <v>525</v>
      </c>
      <c r="R5" s="36">
        <v>31.723999999999997</v>
      </c>
      <c r="S5" s="36">
        <v>39.691904761904759</v>
      </c>
      <c r="T5" s="36">
        <v>11.020152726517528</v>
      </c>
      <c r="U5">
        <v>319.89869227605561</v>
      </c>
      <c r="V5">
        <v>86.929212019607149</v>
      </c>
    </row>
    <row r="6" spans="1:22">
      <c r="A6">
        <v>2014</v>
      </c>
      <c r="B6" s="29">
        <v>1</v>
      </c>
      <c r="C6" s="29" t="s">
        <v>33</v>
      </c>
      <c r="D6" s="30">
        <v>150</v>
      </c>
      <c r="E6">
        <v>392.18240964666575</v>
      </c>
      <c r="F6">
        <v>319.76243051361041</v>
      </c>
      <c r="G6">
        <v>13.6</v>
      </c>
      <c r="H6">
        <v>14.27</v>
      </c>
      <c r="I6">
        <v>8.02</v>
      </c>
      <c r="J6">
        <v>145.85</v>
      </c>
      <c r="K6">
        <v>175.48</v>
      </c>
      <c r="L6">
        <v>5308.0566000000008</v>
      </c>
      <c r="M6" s="40">
        <v>1.85</v>
      </c>
      <c r="N6" s="40">
        <v>1.54</v>
      </c>
      <c r="O6" s="40">
        <v>4.07</v>
      </c>
      <c r="P6" s="40">
        <v>4.3099999999999996</v>
      </c>
      <c r="Q6" s="40">
        <v>550</v>
      </c>
      <c r="R6" s="37">
        <v>32.516000000000005</v>
      </c>
      <c r="S6" s="37">
        <v>40.059963768115935</v>
      </c>
      <c r="T6" s="37">
        <v>13.160451596615607</v>
      </c>
      <c r="U6">
        <v>344.54759035333427</v>
      </c>
      <c r="V6">
        <v>90.01997913305533</v>
      </c>
    </row>
    <row r="7" spans="1:22">
      <c r="A7">
        <v>2014</v>
      </c>
      <c r="B7" s="29">
        <v>1</v>
      </c>
      <c r="C7" s="29" t="s">
        <v>33</v>
      </c>
      <c r="D7" s="30">
        <v>210</v>
      </c>
      <c r="E7">
        <v>375.46929916371403</v>
      </c>
      <c r="F7">
        <v>315.51488461016453</v>
      </c>
      <c r="G7">
        <v>12.26</v>
      </c>
      <c r="H7">
        <v>14.02</v>
      </c>
      <c r="I7">
        <v>6.59</v>
      </c>
      <c r="J7">
        <v>133.51</v>
      </c>
      <c r="K7">
        <v>159.37</v>
      </c>
      <c r="L7">
        <v>5754.6895999999997</v>
      </c>
      <c r="M7" s="40">
        <v>1.72</v>
      </c>
      <c r="N7" s="40">
        <v>1.42</v>
      </c>
      <c r="O7" s="40">
        <v>3.91</v>
      </c>
      <c r="P7" s="40">
        <v>4.1500000000000004</v>
      </c>
      <c r="Q7" s="40">
        <v>567</v>
      </c>
      <c r="R7" s="37">
        <v>33.351999999999997</v>
      </c>
      <c r="S7" s="37">
        <v>40.894973544973546</v>
      </c>
      <c r="T7" s="37">
        <v>13.686181502231769</v>
      </c>
      <c r="U7">
        <v>361.26070083628599</v>
      </c>
      <c r="V7">
        <v>77.554414553549492</v>
      </c>
    </row>
    <row r="8" spans="1:22">
      <c r="A8">
        <v>2014</v>
      </c>
      <c r="B8" s="29">
        <v>1</v>
      </c>
      <c r="C8" s="29" t="s">
        <v>34</v>
      </c>
      <c r="D8" s="30">
        <v>0</v>
      </c>
      <c r="E8">
        <v>423.33498844306757</v>
      </c>
      <c r="F8">
        <v>372.08338157901449</v>
      </c>
      <c r="G8">
        <v>11.35</v>
      </c>
      <c r="H8">
        <v>13.01</v>
      </c>
      <c r="I8">
        <v>6.53</v>
      </c>
      <c r="J8">
        <v>105.35</v>
      </c>
      <c r="K8">
        <v>128.26</v>
      </c>
      <c r="L8">
        <v>4578.3121999999994</v>
      </c>
      <c r="M8" s="40">
        <v>1.58</v>
      </c>
      <c r="N8" s="40">
        <v>1.18</v>
      </c>
      <c r="O8" s="40">
        <v>3.46</v>
      </c>
      <c r="P8" s="40">
        <v>3.54</v>
      </c>
      <c r="Q8" s="40">
        <v>477</v>
      </c>
      <c r="R8" s="37">
        <v>30.888000000000002</v>
      </c>
      <c r="S8" s="37">
        <v>39.396792452830184</v>
      </c>
      <c r="T8" s="37">
        <v>11.448305589704379</v>
      </c>
      <c r="U8">
        <v>298.72501155693237</v>
      </c>
      <c r="V8">
        <v>68.851606864053082</v>
      </c>
    </row>
    <row r="9" spans="1:22">
      <c r="A9">
        <v>2014</v>
      </c>
      <c r="B9" s="29">
        <v>1</v>
      </c>
      <c r="C9" s="29" t="s">
        <v>34</v>
      </c>
      <c r="D9" s="30">
        <v>90</v>
      </c>
      <c r="E9">
        <v>403.22909570433717</v>
      </c>
      <c r="F9">
        <v>354.75004772394436</v>
      </c>
      <c r="G9">
        <v>11.96</v>
      </c>
      <c r="H9">
        <v>12.27</v>
      </c>
      <c r="I9">
        <v>4.5199999999999996</v>
      </c>
      <c r="J9">
        <v>125.8</v>
      </c>
      <c r="K9">
        <v>146.93</v>
      </c>
      <c r="L9">
        <v>4943.7695999999996</v>
      </c>
      <c r="M9" s="40">
        <v>1.6</v>
      </c>
      <c r="N9" s="40">
        <v>1.27</v>
      </c>
      <c r="O9" s="40">
        <v>3.67</v>
      </c>
      <c r="P9" s="40">
        <v>3.81</v>
      </c>
      <c r="Q9" s="40">
        <v>492</v>
      </c>
      <c r="R9" s="37">
        <v>30.8352</v>
      </c>
      <c r="S9" s="37">
        <v>38.861344455348387</v>
      </c>
      <c r="T9" s="37">
        <v>11.727692918598471</v>
      </c>
      <c r="U9">
        <v>318.83090429566278</v>
      </c>
      <c r="V9">
        <v>66.079047980392801</v>
      </c>
    </row>
    <row r="10" spans="1:22">
      <c r="A10">
        <v>2014</v>
      </c>
      <c r="B10" s="29">
        <v>1</v>
      </c>
      <c r="C10" s="29" t="s">
        <v>34</v>
      </c>
      <c r="D10" s="30">
        <v>150</v>
      </c>
      <c r="E10">
        <v>387.72203051361055</v>
      </c>
      <c r="F10">
        <v>330.5300096466658</v>
      </c>
      <c r="G10">
        <v>13.94</v>
      </c>
      <c r="H10">
        <v>17.12</v>
      </c>
      <c r="I10">
        <v>7.24</v>
      </c>
      <c r="J10">
        <v>130.56</v>
      </c>
      <c r="K10">
        <v>159.18</v>
      </c>
      <c r="L10">
        <v>4883.9537999999993</v>
      </c>
      <c r="M10" s="40">
        <v>2.0499999999999998</v>
      </c>
      <c r="N10" s="40">
        <v>1.48</v>
      </c>
      <c r="O10" s="40">
        <v>4.13</v>
      </c>
      <c r="P10" s="40">
        <v>4.42</v>
      </c>
      <c r="Q10" s="40">
        <v>524</v>
      </c>
      <c r="R10" s="37">
        <v>32.340000000000003</v>
      </c>
      <c r="S10" s="37">
        <v>39.819618320610694</v>
      </c>
      <c r="T10" s="37">
        <v>11.576584774161251</v>
      </c>
      <c r="U10">
        <v>334.3379694863894</v>
      </c>
      <c r="V10">
        <v>74.792020866944739</v>
      </c>
    </row>
    <row r="11" spans="1:22" ht="15" thickBot="1">
      <c r="A11">
        <v>2014</v>
      </c>
      <c r="B11" s="29">
        <v>1</v>
      </c>
      <c r="C11" s="32" t="s">
        <v>34</v>
      </c>
      <c r="D11" s="34">
        <v>210</v>
      </c>
      <c r="E11">
        <v>364.85718461016438</v>
      </c>
      <c r="F11">
        <v>317.00149916371402</v>
      </c>
      <c r="G11">
        <v>12.97</v>
      </c>
      <c r="H11">
        <v>11.27</v>
      </c>
      <c r="I11">
        <v>8.1199999999999992</v>
      </c>
      <c r="J11">
        <v>125.32</v>
      </c>
      <c r="K11">
        <v>148.44999999999999</v>
      </c>
      <c r="L11">
        <v>5366.7438000000002</v>
      </c>
      <c r="M11" s="40">
        <v>1.85</v>
      </c>
      <c r="N11" s="40">
        <v>1.33</v>
      </c>
      <c r="O11" s="40">
        <v>4.03</v>
      </c>
      <c r="P11" s="40">
        <v>4.28</v>
      </c>
      <c r="Q11" s="40">
        <v>537</v>
      </c>
      <c r="R11" s="37">
        <v>32.568799999999996</v>
      </c>
      <c r="S11" s="37">
        <v>39.984785847299818</v>
      </c>
      <c r="T11" s="37">
        <v>13.871298250661631</v>
      </c>
      <c r="U11">
        <v>357.20281538983556</v>
      </c>
      <c r="V11">
        <v>65.45568544645036</v>
      </c>
    </row>
    <row r="12" spans="1:22">
      <c r="A12">
        <v>2014</v>
      </c>
      <c r="B12" s="29">
        <v>2</v>
      </c>
      <c r="C12" s="25" t="s">
        <v>33</v>
      </c>
      <c r="D12" s="27">
        <v>0</v>
      </c>
      <c r="E12">
        <v>447.04900456619305</v>
      </c>
      <c r="F12">
        <v>375.56378848541539</v>
      </c>
      <c r="G12">
        <v>10.799999999999999</v>
      </c>
      <c r="H12">
        <v>12.83</v>
      </c>
      <c r="I12">
        <v>6.1700000000000008</v>
      </c>
      <c r="J12">
        <v>124.11</v>
      </c>
      <c r="K12">
        <v>146.44</v>
      </c>
      <c r="L12">
        <v>4923.4129999999996</v>
      </c>
      <c r="M12" s="40">
        <v>1.37</v>
      </c>
      <c r="N12" s="40">
        <v>1.1499999999999999</v>
      </c>
      <c r="O12" s="40">
        <v>3.4000000000000004</v>
      </c>
      <c r="P12" s="40">
        <v>3.4200000000000004</v>
      </c>
      <c r="Q12" s="40">
        <v>465</v>
      </c>
      <c r="R12" s="37">
        <v>31.055199999999999</v>
      </c>
      <c r="S12" s="37">
        <v>40.552148437499994</v>
      </c>
      <c r="T12" s="36">
        <v>11.209520950197502</v>
      </c>
      <c r="U12">
        <v>298.36685639795417</v>
      </c>
      <c r="V12">
        <v>89.085216080777656</v>
      </c>
    </row>
    <row r="13" spans="1:22">
      <c r="A13">
        <v>2014</v>
      </c>
      <c r="B13" s="29">
        <v>2</v>
      </c>
      <c r="C13" s="29" t="s">
        <v>33</v>
      </c>
      <c r="D13" s="30">
        <v>90</v>
      </c>
      <c r="E13">
        <v>430.45915935462034</v>
      </c>
      <c r="F13">
        <v>354.23970684617848</v>
      </c>
      <c r="G13">
        <v>11.69</v>
      </c>
      <c r="H13">
        <v>12</v>
      </c>
      <c r="I13">
        <v>8.8500000000000014</v>
      </c>
      <c r="J13">
        <v>128.26</v>
      </c>
      <c r="K13">
        <v>152.76</v>
      </c>
      <c r="L13">
        <v>5011.4856</v>
      </c>
      <c r="M13" s="40">
        <v>1.56</v>
      </c>
      <c r="N13" s="40">
        <v>1.36</v>
      </c>
      <c r="O13" s="40">
        <v>3.6199999999999997</v>
      </c>
      <c r="P13" s="40">
        <v>3.7300000000000004</v>
      </c>
      <c r="Q13" s="40">
        <v>462.5</v>
      </c>
      <c r="R13" s="37">
        <v>31.6595714285715</v>
      </c>
      <c r="S13" s="37">
        <v>39.605460543163602</v>
      </c>
      <c r="T13" s="36">
        <v>10.810236434154424</v>
      </c>
      <c r="U13">
        <v>314.95670160952687</v>
      </c>
      <c r="V13">
        <v>93.819452508441856</v>
      </c>
    </row>
    <row r="14" spans="1:22">
      <c r="A14">
        <v>2014</v>
      </c>
      <c r="B14" s="29">
        <v>2</v>
      </c>
      <c r="C14" s="29" t="s">
        <v>33</v>
      </c>
      <c r="D14" s="30">
        <v>150</v>
      </c>
      <c r="E14">
        <v>405.25291941282137</v>
      </c>
      <c r="F14">
        <v>325.80818819346331</v>
      </c>
      <c r="G14">
        <v>13.62</v>
      </c>
      <c r="H14">
        <v>14.190000000000001</v>
      </c>
      <c r="I14">
        <v>8.52</v>
      </c>
      <c r="J14">
        <v>149.87000000000003</v>
      </c>
      <c r="K14">
        <v>180.26000000000005</v>
      </c>
      <c r="L14">
        <v>5358.4673999999986</v>
      </c>
      <c r="M14" s="40">
        <v>1.87</v>
      </c>
      <c r="N14" s="40">
        <v>1.52</v>
      </c>
      <c r="O14" s="40">
        <v>4.09</v>
      </c>
      <c r="P14" s="40">
        <v>4.330000000000001</v>
      </c>
      <c r="Q14" s="40">
        <v>485</v>
      </c>
      <c r="R14" s="37">
        <v>32.713999999999999</v>
      </c>
      <c r="S14" s="37">
        <v>40.075737705117319</v>
      </c>
      <c r="T14" s="37">
        <v>12.860066073583111</v>
      </c>
      <c r="U14">
        <v>340.16294155132584</v>
      </c>
      <c r="V14">
        <v>97.044731219358056</v>
      </c>
    </row>
    <row r="15" spans="1:22">
      <c r="A15">
        <v>2014</v>
      </c>
      <c r="B15" s="29">
        <v>2</v>
      </c>
      <c r="C15" s="29" t="s">
        <v>33</v>
      </c>
      <c r="D15" s="30">
        <v>210</v>
      </c>
      <c r="E15">
        <v>388.97214080505495</v>
      </c>
      <c r="F15">
        <v>321.50176102866004</v>
      </c>
      <c r="G15">
        <v>12.299999999999999</v>
      </c>
      <c r="H15">
        <v>13.16</v>
      </c>
      <c r="I15">
        <v>6.73</v>
      </c>
      <c r="J15">
        <v>133.65000000000003</v>
      </c>
      <c r="K15">
        <v>159.07000000000002</v>
      </c>
      <c r="L15">
        <v>5813.7948000000006</v>
      </c>
      <c r="M15">
        <v>1.74</v>
      </c>
      <c r="N15">
        <v>1.44</v>
      </c>
      <c r="O15">
        <v>3.9299999999999997</v>
      </c>
      <c r="P15">
        <v>4.1899999999999995</v>
      </c>
      <c r="Q15">
        <v>459</v>
      </c>
      <c r="R15" s="37">
        <v>33.083368421052576</v>
      </c>
      <c r="S15" s="37">
        <v>40.674000196155802</v>
      </c>
      <c r="T15" s="37">
        <v>13.38907178369894</v>
      </c>
      <c r="U15">
        <v>356.44372015909227</v>
      </c>
      <c r="V15">
        <v>85.070379776394901</v>
      </c>
    </row>
    <row r="16" spans="1:22">
      <c r="A16">
        <v>2014</v>
      </c>
      <c r="B16" s="29">
        <v>2</v>
      </c>
      <c r="C16" s="29" t="s">
        <v>34</v>
      </c>
      <c r="D16" s="30">
        <v>0</v>
      </c>
      <c r="E16">
        <v>437.35038848541541</v>
      </c>
      <c r="F16">
        <v>379.78246456619291</v>
      </c>
      <c r="G16">
        <v>11.37</v>
      </c>
      <c r="H16">
        <v>11.63</v>
      </c>
      <c r="I16">
        <v>6.7299999999999995</v>
      </c>
      <c r="J16">
        <v>112.23000000000002</v>
      </c>
      <c r="K16">
        <v>133.78000000000003</v>
      </c>
      <c r="L16">
        <v>4606.3599999999997</v>
      </c>
      <c r="M16">
        <v>1.6</v>
      </c>
      <c r="N16">
        <v>1.2</v>
      </c>
      <c r="O16">
        <v>3.4800000000000004</v>
      </c>
      <c r="P16">
        <v>3.5599999999999996</v>
      </c>
      <c r="Q16">
        <v>445.5</v>
      </c>
      <c r="R16" s="37">
        <v>31.23548717948719</v>
      </c>
      <c r="S16" s="37">
        <v>39.898503709123474</v>
      </c>
      <c r="T16" s="37">
        <v>11.217084786467735</v>
      </c>
      <c r="U16">
        <v>293.6642619204892</v>
      </c>
      <c r="V16">
        <v>75.167923919222488</v>
      </c>
    </row>
    <row r="17" spans="1:22">
      <c r="A17">
        <v>2014</v>
      </c>
      <c r="B17" s="29">
        <v>2</v>
      </c>
      <c r="C17" s="29" t="s">
        <v>34</v>
      </c>
      <c r="D17" s="30">
        <v>90</v>
      </c>
      <c r="E17">
        <v>416.83270684617867</v>
      </c>
      <c r="F17">
        <v>361.98041935462044</v>
      </c>
      <c r="G17">
        <v>11.98</v>
      </c>
      <c r="H17">
        <v>13.21</v>
      </c>
      <c r="I17">
        <v>5.0999999999999996</v>
      </c>
      <c r="J17">
        <v>121.52</v>
      </c>
      <c r="K17">
        <v>144.57</v>
      </c>
      <c r="L17">
        <v>4914.9276</v>
      </c>
      <c r="M17">
        <v>1.62</v>
      </c>
      <c r="N17">
        <v>1.31</v>
      </c>
      <c r="O17">
        <v>3.6500000000000004</v>
      </c>
      <c r="P17">
        <v>3.7899999999999996</v>
      </c>
      <c r="Q17">
        <v>461.5</v>
      </c>
      <c r="R17" s="37">
        <v>31.052492307692237</v>
      </c>
      <c r="S17" s="37">
        <v>38.86403600096088</v>
      </c>
      <c r="T17" s="37">
        <v>11.489275784029164</v>
      </c>
      <c r="U17">
        <v>314.18194355972594</v>
      </c>
      <c r="V17">
        <v>72.452287491558224</v>
      </c>
    </row>
    <row r="18" spans="1:22">
      <c r="A18">
        <v>2014</v>
      </c>
      <c r="B18" s="29">
        <v>2</v>
      </c>
      <c r="C18" s="29" t="s">
        <v>34</v>
      </c>
      <c r="D18" s="30">
        <v>150</v>
      </c>
      <c r="E18">
        <v>387.9085881934634</v>
      </c>
      <c r="F18">
        <v>337.26531941282133</v>
      </c>
      <c r="G18">
        <v>13.980000000000002</v>
      </c>
      <c r="H18">
        <v>16.52</v>
      </c>
      <c r="I18">
        <v>7.74</v>
      </c>
      <c r="J18">
        <v>138.36000000000001</v>
      </c>
      <c r="K18">
        <v>167.9</v>
      </c>
      <c r="L18">
        <v>4903.6833999999999</v>
      </c>
      <c r="M18">
        <v>2.0700000000000003</v>
      </c>
      <c r="N18">
        <v>1.5</v>
      </c>
      <c r="O18">
        <v>4.1700000000000008</v>
      </c>
      <c r="P18">
        <v>4.4399999999999995</v>
      </c>
      <c r="Q18">
        <v>456.5</v>
      </c>
      <c r="R18" s="37">
        <v>32.165543859649198</v>
      </c>
      <c r="S18" s="37">
        <v>39.611198196888182</v>
      </c>
      <c r="T18" s="37">
        <v>11.355857446813921</v>
      </c>
      <c r="U18">
        <v>343.1060622124412</v>
      </c>
      <c r="V18">
        <v>68.243268780642069</v>
      </c>
    </row>
    <row r="19" spans="1:22" ht="15" thickBot="1">
      <c r="A19">
        <v>2014</v>
      </c>
      <c r="B19" s="29">
        <v>2</v>
      </c>
      <c r="C19" s="32" t="s">
        <v>34</v>
      </c>
      <c r="D19" s="34">
        <v>210</v>
      </c>
      <c r="E19">
        <v>377.61946102866</v>
      </c>
      <c r="F19">
        <v>323.97994080505498</v>
      </c>
      <c r="G19">
        <v>12.99</v>
      </c>
      <c r="H19">
        <v>10.969999999999999</v>
      </c>
      <c r="I19">
        <v>8.3400000000000016</v>
      </c>
      <c r="J19">
        <v>129.4</v>
      </c>
      <c r="K19">
        <v>152.59</v>
      </c>
      <c r="L19">
        <v>5347.4322000000002</v>
      </c>
      <c r="M19">
        <v>1.8900000000000001</v>
      </c>
      <c r="N19">
        <v>1.35</v>
      </c>
      <c r="O19">
        <v>4.089999999999999</v>
      </c>
      <c r="P19">
        <v>4.3</v>
      </c>
      <c r="Q19">
        <v>454</v>
      </c>
      <c r="R19" s="37">
        <v>32.520800000000058</v>
      </c>
      <c r="S19" s="37">
        <v>40.672141660836409</v>
      </c>
      <c r="T19" s="37">
        <v>13.579683871027683</v>
      </c>
      <c r="U19">
        <v>353.39518937724461</v>
      </c>
      <c r="V19">
        <v>71.239520223605012</v>
      </c>
    </row>
    <row r="20" spans="1:22">
      <c r="A20">
        <v>2014</v>
      </c>
      <c r="B20" s="29">
        <v>3</v>
      </c>
      <c r="C20" s="25" t="s">
        <v>33</v>
      </c>
      <c r="D20" s="27">
        <v>0</v>
      </c>
      <c r="E20">
        <v>439.85292307260374</v>
      </c>
      <c r="F20">
        <v>372.21268846424147</v>
      </c>
      <c r="G20">
        <v>10.78</v>
      </c>
      <c r="H20">
        <v>12.99</v>
      </c>
      <c r="I20">
        <v>5.94</v>
      </c>
      <c r="J20">
        <v>119.11</v>
      </c>
      <c r="K20">
        <v>141.79</v>
      </c>
      <c r="L20">
        <v>4973.2803999999996</v>
      </c>
      <c r="M20">
        <v>1.36</v>
      </c>
      <c r="N20">
        <v>1.1399999999999999</v>
      </c>
      <c r="O20">
        <v>3.41</v>
      </c>
      <c r="P20">
        <v>3.41</v>
      </c>
      <c r="Q20">
        <v>438</v>
      </c>
      <c r="R20" s="37">
        <v>31.3764</v>
      </c>
      <c r="S20" s="37">
        <v>40.520121837797618</v>
      </c>
      <c r="T20" s="36">
        <v>11.330924117162457</v>
      </c>
      <c r="U20">
        <v>301.22000740946987</v>
      </c>
      <c r="V20">
        <v>85.240234608362272</v>
      </c>
    </row>
    <row r="21" spans="1:22">
      <c r="A21">
        <v>2014</v>
      </c>
      <c r="B21" s="29">
        <v>3</v>
      </c>
      <c r="C21" s="29" t="s">
        <v>33</v>
      </c>
      <c r="D21" s="30">
        <v>90</v>
      </c>
      <c r="E21">
        <v>423.64523353928234</v>
      </c>
      <c r="F21">
        <v>350.87090127525789</v>
      </c>
      <c r="G21">
        <v>11.68</v>
      </c>
      <c r="H21">
        <v>12.66</v>
      </c>
      <c r="I21">
        <v>8.5500000000000007</v>
      </c>
      <c r="J21">
        <v>131.26</v>
      </c>
      <c r="K21">
        <v>153.76</v>
      </c>
      <c r="L21">
        <v>5060.7677999999996</v>
      </c>
      <c r="M21">
        <v>1.55</v>
      </c>
      <c r="N21">
        <v>1.34</v>
      </c>
      <c r="O21">
        <v>3.61</v>
      </c>
      <c r="P21">
        <v>3.72</v>
      </c>
      <c r="Q21">
        <v>459</v>
      </c>
      <c r="R21" s="37">
        <v>31.69178571428575</v>
      </c>
      <c r="S21" s="37">
        <v>39.648682652534177</v>
      </c>
      <c r="T21" s="36">
        <v>10.915194580335976</v>
      </c>
      <c r="U21">
        <v>317.42769694279127</v>
      </c>
      <c r="V21">
        <v>90.374332264024446</v>
      </c>
    </row>
    <row r="22" spans="1:22">
      <c r="A22">
        <v>2014</v>
      </c>
      <c r="B22" s="29">
        <v>3</v>
      </c>
      <c r="C22" s="29" t="s">
        <v>33</v>
      </c>
      <c r="D22" s="30">
        <v>150</v>
      </c>
      <c r="E22">
        <v>398.71766452974356</v>
      </c>
      <c r="F22">
        <v>322.78530935353683</v>
      </c>
      <c r="G22">
        <v>13.61</v>
      </c>
      <c r="H22">
        <v>14.23</v>
      </c>
      <c r="I22">
        <v>8.27</v>
      </c>
      <c r="J22">
        <v>147.86000000000001</v>
      </c>
      <c r="K22">
        <v>186.16</v>
      </c>
      <c r="L22">
        <v>5333.2619999999997</v>
      </c>
      <c r="M22">
        <v>1.86</v>
      </c>
      <c r="N22">
        <v>1.53</v>
      </c>
      <c r="O22">
        <v>4.08</v>
      </c>
      <c r="P22">
        <v>4.32</v>
      </c>
      <c r="Q22">
        <v>483</v>
      </c>
      <c r="R22" s="37">
        <v>32.615000000000002</v>
      </c>
      <c r="S22" s="37">
        <v>40.067850736616627</v>
      </c>
      <c r="T22" s="37">
        <v>13.010258835099359</v>
      </c>
      <c r="U22">
        <v>342.35526595233006</v>
      </c>
      <c r="V22">
        <v>93.532355176206721</v>
      </c>
    </row>
    <row r="23" spans="1:22">
      <c r="A23">
        <v>2014</v>
      </c>
      <c r="B23" s="29">
        <v>3</v>
      </c>
      <c r="C23" s="29" t="s">
        <v>33</v>
      </c>
      <c r="D23" s="30">
        <v>210</v>
      </c>
      <c r="E23">
        <v>382.22071998438446</v>
      </c>
      <c r="F23">
        <v>318.50832281941229</v>
      </c>
      <c r="G23">
        <v>12.28</v>
      </c>
      <c r="H23">
        <v>13.59</v>
      </c>
      <c r="I23">
        <v>6.66</v>
      </c>
      <c r="J23">
        <v>133.58000000000001</v>
      </c>
      <c r="K23">
        <v>169.53</v>
      </c>
      <c r="L23">
        <v>5784.2422000000006</v>
      </c>
      <c r="M23">
        <v>1.73</v>
      </c>
      <c r="N23">
        <v>1.43</v>
      </c>
      <c r="O23">
        <v>3.92</v>
      </c>
      <c r="P23">
        <v>4.17</v>
      </c>
      <c r="Q23">
        <v>455</v>
      </c>
      <c r="R23" s="37">
        <v>33.217684210526286</v>
      </c>
      <c r="S23" s="37">
        <v>40.784486870564677</v>
      </c>
      <c r="T23" s="37">
        <v>13.537626642965353</v>
      </c>
      <c r="U23">
        <v>358.85221049768916</v>
      </c>
      <c r="V23">
        <v>81.312397164972168</v>
      </c>
    </row>
    <row r="24" spans="1:22">
      <c r="A24">
        <v>2014</v>
      </c>
      <c r="B24" s="29">
        <v>3</v>
      </c>
      <c r="C24" s="29" t="s">
        <v>34</v>
      </c>
      <c r="D24" s="30">
        <v>0</v>
      </c>
      <c r="E24">
        <v>430.34268846424152</v>
      </c>
      <c r="F24">
        <v>375.93292307260367</v>
      </c>
      <c r="G24">
        <v>11.36</v>
      </c>
      <c r="H24">
        <v>12.32</v>
      </c>
      <c r="I24">
        <v>6.63</v>
      </c>
      <c r="J24">
        <v>108.79</v>
      </c>
      <c r="K24">
        <v>136.88</v>
      </c>
      <c r="L24">
        <v>4592.3360999999995</v>
      </c>
      <c r="M24">
        <v>1.59</v>
      </c>
      <c r="N24">
        <v>1.19</v>
      </c>
      <c r="O24">
        <v>3.47</v>
      </c>
      <c r="P24">
        <v>3.55</v>
      </c>
      <c r="Q24">
        <v>416.5</v>
      </c>
      <c r="R24" s="37">
        <v>31.061743589743596</v>
      </c>
      <c r="S24" s="37">
        <v>39.647648080976829</v>
      </c>
      <c r="T24" s="37">
        <v>11.332695188086056</v>
      </c>
      <c r="U24">
        <v>296.19463673871076</v>
      </c>
      <c r="V24">
        <v>72.009765391637842</v>
      </c>
    </row>
    <row r="25" spans="1:22">
      <c r="A25">
        <v>2014</v>
      </c>
      <c r="B25" s="29">
        <v>3</v>
      </c>
      <c r="C25" s="29" t="s">
        <v>34</v>
      </c>
      <c r="D25" s="30">
        <v>90</v>
      </c>
      <c r="E25">
        <v>410.03090127525792</v>
      </c>
      <c r="F25">
        <v>358.36523353928237</v>
      </c>
      <c r="G25">
        <v>11.97</v>
      </c>
      <c r="H25">
        <v>12.74</v>
      </c>
      <c r="I25">
        <v>4.8099999999999996</v>
      </c>
      <c r="J25">
        <v>123.66</v>
      </c>
      <c r="K25">
        <v>141.6</v>
      </c>
      <c r="L25">
        <v>4929.3486000000003</v>
      </c>
      <c r="M25">
        <v>1.61</v>
      </c>
      <c r="N25">
        <v>1.29</v>
      </c>
      <c r="O25">
        <v>3.66</v>
      </c>
      <c r="P25">
        <v>3.8</v>
      </c>
      <c r="Q25">
        <v>432.5</v>
      </c>
      <c r="R25" s="37">
        <v>30.943846153846117</v>
      </c>
      <c r="S25" s="37">
        <v>38.862690228154634</v>
      </c>
      <c r="T25" s="37">
        <v>11.608484351313818</v>
      </c>
      <c r="U25">
        <v>316.50642392769436</v>
      </c>
      <c r="V25">
        <v>69.265667735975541</v>
      </c>
    </row>
    <row r="26" spans="1:22">
      <c r="A26">
        <v>2014</v>
      </c>
      <c r="B26" s="29">
        <v>3</v>
      </c>
      <c r="C26" s="29" t="s">
        <v>34</v>
      </c>
      <c r="D26" s="30">
        <v>150</v>
      </c>
      <c r="E26">
        <v>387.81530935353697</v>
      </c>
      <c r="F26">
        <v>333.89766452974357</v>
      </c>
      <c r="G26">
        <v>13.96</v>
      </c>
      <c r="H26">
        <v>16.82</v>
      </c>
      <c r="I26">
        <v>7.49</v>
      </c>
      <c r="J26">
        <v>134.46</v>
      </c>
      <c r="K26">
        <v>166.11</v>
      </c>
      <c r="L26">
        <v>4893.8185999999996</v>
      </c>
      <c r="M26">
        <v>2.06</v>
      </c>
      <c r="N26">
        <v>1.49</v>
      </c>
      <c r="O26">
        <v>4.1500000000000004</v>
      </c>
      <c r="P26">
        <v>4.43</v>
      </c>
      <c r="Q26">
        <v>464</v>
      </c>
      <c r="R26" s="37">
        <v>32.252771929824604</v>
      </c>
      <c r="S26" s="37">
        <v>39.715408258749434</v>
      </c>
      <c r="T26" s="37">
        <v>11.466221110487586</v>
      </c>
      <c r="U26">
        <v>338.7220158494153</v>
      </c>
      <c r="V26">
        <v>71.517644823793404</v>
      </c>
    </row>
    <row r="27" spans="1:22" ht="15" thickBot="1">
      <c r="A27">
        <v>2014</v>
      </c>
      <c r="B27" s="32">
        <v>3</v>
      </c>
      <c r="C27" s="32" t="s">
        <v>34</v>
      </c>
      <c r="D27" s="34">
        <v>210</v>
      </c>
      <c r="E27">
        <v>371.23832281941219</v>
      </c>
      <c r="F27">
        <v>320.4907199843845</v>
      </c>
      <c r="G27">
        <v>12.98</v>
      </c>
      <c r="H27">
        <v>11.12</v>
      </c>
      <c r="I27">
        <v>8.23</v>
      </c>
      <c r="J27">
        <v>127.36</v>
      </c>
      <c r="K27">
        <v>161.21</v>
      </c>
      <c r="L27">
        <v>5357.0879999999997</v>
      </c>
      <c r="M27">
        <v>1.87</v>
      </c>
      <c r="N27">
        <v>1.34</v>
      </c>
      <c r="O27">
        <v>4.0599999999999996</v>
      </c>
      <c r="P27">
        <v>4.29</v>
      </c>
      <c r="Q27">
        <v>437.5</v>
      </c>
      <c r="R27" s="37">
        <v>32.544800000000023</v>
      </c>
      <c r="S27" s="37">
        <v>40.32846375406811</v>
      </c>
      <c r="T27" s="37">
        <v>13.725491060844657</v>
      </c>
      <c r="U27">
        <v>355.29900238354008</v>
      </c>
      <c r="V27">
        <v>68.347602835027686</v>
      </c>
    </row>
    <row r="28" spans="1:22">
      <c r="A28">
        <v>2015</v>
      </c>
      <c r="B28" s="25">
        <v>1</v>
      </c>
      <c r="C28" s="25" t="s">
        <v>33</v>
      </c>
      <c r="D28" s="27">
        <v>0</v>
      </c>
      <c r="E28">
        <v>298.38186404701901</v>
      </c>
      <c r="F28">
        <v>330.03214956115903</v>
      </c>
      <c r="G28" s="41">
        <v>11.9</v>
      </c>
      <c r="H28">
        <v>10.887</v>
      </c>
      <c r="I28">
        <v>3.5958000000000001</v>
      </c>
      <c r="J28">
        <v>71.827799999999996</v>
      </c>
      <c r="K28">
        <v>89.08359999999999</v>
      </c>
      <c r="L28">
        <v>4381.7250000000004</v>
      </c>
      <c r="M28">
        <v>1.64</v>
      </c>
      <c r="N28">
        <v>1.37</v>
      </c>
      <c r="O28">
        <v>3.7</v>
      </c>
      <c r="P28">
        <v>3.71</v>
      </c>
      <c r="Q28">
        <v>512</v>
      </c>
      <c r="R28" s="37">
        <v>31.47</v>
      </c>
      <c r="S28" s="37">
        <v>42.026315789473699</v>
      </c>
      <c r="T28" s="37">
        <v>11.333600046682644</v>
      </c>
      <c r="U28">
        <v>300.13813595298103</v>
      </c>
      <c r="V28">
        <v>91.149714485859974</v>
      </c>
    </row>
    <row r="29" spans="1:22">
      <c r="A29">
        <v>2015</v>
      </c>
      <c r="B29" s="29">
        <v>1</v>
      </c>
      <c r="C29" s="29" t="s">
        <v>33</v>
      </c>
      <c r="D29" s="30">
        <v>90</v>
      </c>
      <c r="E29">
        <v>281.51739448348798</v>
      </c>
      <c r="F29">
        <v>328.45</v>
      </c>
      <c r="G29" s="41">
        <v>12.41</v>
      </c>
      <c r="H29">
        <v>16.053599999999999</v>
      </c>
      <c r="I29">
        <v>6.085</v>
      </c>
      <c r="J29">
        <v>71.574799999999996</v>
      </c>
      <c r="K29">
        <v>97.701999999999998</v>
      </c>
      <c r="L29">
        <v>4451.1000000000004</v>
      </c>
      <c r="M29">
        <v>1.87</v>
      </c>
      <c r="N29">
        <v>1.61</v>
      </c>
      <c r="O29">
        <v>3.9</v>
      </c>
      <c r="P29">
        <v>4.0199999999999996</v>
      </c>
      <c r="Q29">
        <v>533</v>
      </c>
      <c r="R29" s="37">
        <v>31.4</v>
      </c>
      <c r="S29" s="37">
        <v>40.732394366197191</v>
      </c>
      <c r="T29" s="37">
        <v>11.397536080637359</v>
      </c>
      <c r="U29">
        <v>317.00260551651206</v>
      </c>
      <c r="V29">
        <v>75.867394483487985</v>
      </c>
    </row>
    <row r="30" spans="1:22">
      <c r="A30">
        <v>2015</v>
      </c>
      <c r="B30" s="29">
        <v>1</v>
      </c>
      <c r="C30" s="29" t="s">
        <v>33</v>
      </c>
      <c r="D30" s="30">
        <v>150</v>
      </c>
      <c r="E30">
        <v>281.75781100000006</v>
      </c>
      <c r="F30">
        <v>330.88</v>
      </c>
      <c r="G30" s="41">
        <v>13.65</v>
      </c>
      <c r="H30">
        <v>20.9846</v>
      </c>
      <c r="I30">
        <v>8.8596000000000004</v>
      </c>
      <c r="J30">
        <v>92.933000000000007</v>
      </c>
      <c r="K30">
        <v>127.97040000000001</v>
      </c>
      <c r="L30">
        <v>5200.9549999999999</v>
      </c>
      <c r="M30">
        <v>2.17</v>
      </c>
      <c r="N30">
        <v>1.68</v>
      </c>
      <c r="O30">
        <v>4.26</v>
      </c>
      <c r="P30">
        <v>4.51</v>
      </c>
      <c r="Q30">
        <v>556</v>
      </c>
      <c r="R30" s="37">
        <v>31.5</v>
      </c>
      <c r="S30" s="37">
        <v>43.512195121951201</v>
      </c>
      <c r="T30" s="37">
        <v>13.168169244954409</v>
      </c>
      <c r="U30">
        <v>316.76218899999998</v>
      </c>
      <c r="V30">
        <v>73.677811000000062</v>
      </c>
    </row>
    <row r="31" spans="1:22">
      <c r="A31">
        <v>2015</v>
      </c>
      <c r="B31" s="29">
        <v>1</v>
      </c>
      <c r="C31" s="29" t="s">
        <v>33</v>
      </c>
      <c r="D31" s="30">
        <v>210</v>
      </c>
      <c r="E31">
        <v>270.48135022539998</v>
      </c>
      <c r="F31">
        <v>315.19000000000005</v>
      </c>
      <c r="G31" s="41">
        <v>13.25</v>
      </c>
      <c r="H31">
        <v>17.739599999999999</v>
      </c>
      <c r="I31">
        <v>7.4581999999999997</v>
      </c>
      <c r="J31">
        <v>80.839799999999997</v>
      </c>
      <c r="K31">
        <v>110.18259999999999</v>
      </c>
      <c r="L31">
        <v>4681.0050000000001</v>
      </c>
      <c r="M31">
        <v>2.0499999999999998</v>
      </c>
      <c r="N31">
        <v>1.53</v>
      </c>
      <c r="O31">
        <v>4.12</v>
      </c>
      <c r="P31">
        <v>4.37</v>
      </c>
      <c r="Q31">
        <v>554</v>
      </c>
      <c r="R31" s="37">
        <v>29.53</v>
      </c>
      <c r="S31" s="37">
        <v>41.300366300366299</v>
      </c>
      <c r="T31" s="37">
        <v>11.593898505404674</v>
      </c>
      <c r="U31">
        <v>328.03864977460006</v>
      </c>
      <c r="V31">
        <v>78.091350225399921</v>
      </c>
    </row>
    <row r="32" spans="1:22">
      <c r="A32">
        <v>2015</v>
      </c>
      <c r="B32" s="29">
        <v>1</v>
      </c>
      <c r="C32" s="29" t="s">
        <v>34</v>
      </c>
      <c r="D32" s="30">
        <v>0</v>
      </c>
      <c r="E32">
        <v>280.22177377099672</v>
      </c>
      <c r="F32">
        <v>304.58999999999997</v>
      </c>
      <c r="G32" s="41">
        <v>12.37</v>
      </c>
      <c r="H32">
        <v>8.7498000000000005</v>
      </c>
      <c r="I32">
        <v>3.3994</v>
      </c>
      <c r="J32">
        <v>63.243000000000002</v>
      </c>
      <c r="K32">
        <v>77.694800000000001</v>
      </c>
      <c r="L32">
        <v>3832</v>
      </c>
      <c r="M32">
        <v>1.87</v>
      </c>
      <c r="N32">
        <v>1.42</v>
      </c>
      <c r="O32">
        <v>3.78</v>
      </c>
      <c r="P32">
        <v>3.86</v>
      </c>
      <c r="Q32">
        <v>483</v>
      </c>
      <c r="R32" s="37">
        <v>27.42</v>
      </c>
      <c r="S32" s="37">
        <v>38.384615384615387</v>
      </c>
      <c r="T32" s="37">
        <v>10.022418635813123</v>
      </c>
      <c r="U32">
        <v>289.63822622900329</v>
      </c>
      <c r="V32">
        <v>98.431773770996742</v>
      </c>
    </row>
    <row r="33" spans="1:22">
      <c r="A33">
        <v>2015</v>
      </c>
      <c r="B33" s="29">
        <v>1</v>
      </c>
      <c r="C33" s="29" t="s">
        <v>34</v>
      </c>
      <c r="D33" s="30">
        <v>90</v>
      </c>
      <c r="E33">
        <v>275.52516335847218</v>
      </c>
      <c r="F33">
        <v>300.94</v>
      </c>
      <c r="G33" s="41">
        <v>12.96</v>
      </c>
      <c r="H33">
        <v>12.0246</v>
      </c>
      <c r="I33">
        <v>5.4295999999999998</v>
      </c>
      <c r="J33">
        <v>63.283999999999999</v>
      </c>
      <c r="K33">
        <v>83.991399999999999</v>
      </c>
      <c r="L33">
        <v>3810.355</v>
      </c>
      <c r="M33">
        <v>1.94</v>
      </c>
      <c r="N33">
        <v>1.63</v>
      </c>
      <c r="O33">
        <v>3.94</v>
      </c>
      <c r="P33">
        <v>4.1100000000000003</v>
      </c>
      <c r="Q33">
        <v>506</v>
      </c>
      <c r="R33" s="37">
        <v>25.25</v>
      </c>
      <c r="S33" s="37">
        <v>38.418803418803414</v>
      </c>
      <c r="T33" s="37">
        <v>10.177754518533645</v>
      </c>
      <c r="U33">
        <v>294.33483664152783</v>
      </c>
      <c r="V33">
        <v>97.385163358472184</v>
      </c>
    </row>
    <row r="34" spans="1:22">
      <c r="A34">
        <v>2015</v>
      </c>
      <c r="B34" s="29">
        <v>1</v>
      </c>
      <c r="C34" s="29" t="s">
        <v>34</v>
      </c>
      <c r="D34" s="30">
        <v>150</v>
      </c>
      <c r="E34">
        <v>243.60927000000001</v>
      </c>
      <c r="F34">
        <v>291.64</v>
      </c>
      <c r="G34" s="41">
        <v>14.63</v>
      </c>
      <c r="H34">
        <v>16.7776</v>
      </c>
      <c r="I34">
        <v>4.0952000000000002</v>
      </c>
      <c r="J34">
        <v>87.948800000000006</v>
      </c>
      <c r="K34">
        <v>112.99640000000001</v>
      </c>
      <c r="L34">
        <v>4787.954999999999</v>
      </c>
      <c r="M34">
        <v>2.35</v>
      </c>
      <c r="N34">
        <v>1.85</v>
      </c>
      <c r="O34">
        <v>4.43</v>
      </c>
      <c r="P34">
        <v>4.74</v>
      </c>
      <c r="Q34">
        <v>529</v>
      </c>
      <c r="R34" s="37">
        <v>31.1</v>
      </c>
      <c r="S34" s="37">
        <v>41.448275862069003</v>
      </c>
      <c r="T34" s="37">
        <v>11.719440426911373</v>
      </c>
      <c r="U34">
        <v>326.25072999999998</v>
      </c>
      <c r="V34">
        <v>74.76927000000002</v>
      </c>
    </row>
    <row r="35" spans="1:22" ht="15" thickBot="1">
      <c r="A35">
        <v>2015</v>
      </c>
      <c r="B35" s="29">
        <v>1</v>
      </c>
      <c r="C35" s="32" t="s">
        <v>34</v>
      </c>
      <c r="D35" s="34">
        <v>210</v>
      </c>
      <c r="E35">
        <v>231.25690801347</v>
      </c>
      <c r="F35">
        <v>281.58999999999997</v>
      </c>
      <c r="G35" s="41">
        <v>14.06</v>
      </c>
      <c r="H35">
        <v>10.044600000000001</v>
      </c>
      <c r="I35">
        <v>2.9575999999999998</v>
      </c>
      <c r="J35">
        <v>62.813600000000001</v>
      </c>
      <c r="K35">
        <v>78.480999999999995</v>
      </c>
      <c r="L35">
        <v>4309.6549999999997</v>
      </c>
      <c r="M35">
        <v>2.21</v>
      </c>
      <c r="N35">
        <v>1.72</v>
      </c>
      <c r="O35">
        <v>4.2699999999999996</v>
      </c>
      <c r="P35">
        <v>4.58</v>
      </c>
      <c r="Q35">
        <v>541</v>
      </c>
      <c r="R35" s="37">
        <v>30.38</v>
      </c>
      <c r="S35" s="37">
        <v>38.885400313971743</v>
      </c>
      <c r="T35" s="37">
        <v>10.420439341231416</v>
      </c>
      <c r="U35">
        <v>338.60309198652999</v>
      </c>
      <c r="V35">
        <v>72.466908013470018</v>
      </c>
    </row>
    <row r="36" spans="1:22">
      <c r="A36">
        <v>2015</v>
      </c>
      <c r="B36" s="29">
        <v>2</v>
      </c>
      <c r="C36" s="25" t="s">
        <v>33</v>
      </c>
      <c r="D36" s="27">
        <v>0</v>
      </c>
      <c r="E36">
        <v>283.18186404701902</v>
      </c>
      <c r="F36">
        <v>337.51214956115899</v>
      </c>
      <c r="G36" s="41">
        <v>11.953808791199998</v>
      </c>
      <c r="H36">
        <v>10.192999999999998</v>
      </c>
      <c r="I36">
        <v>3.3842000000000003</v>
      </c>
      <c r="J36">
        <v>74.012200000000007</v>
      </c>
      <c r="K36">
        <v>90.596400000000003</v>
      </c>
      <c r="L36">
        <v>4487.6749999999993</v>
      </c>
      <c r="M36">
        <v>1.6801841740000005</v>
      </c>
      <c r="N36">
        <v>1.41879836772</v>
      </c>
      <c r="O36">
        <v>3.7154012463599999</v>
      </c>
      <c r="P36">
        <v>3.69104596768</v>
      </c>
      <c r="Q36">
        <v>450.5</v>
      </c>
      <c r="R36" s="37">
        <v>30.93</v>
      </c>
      <c r="S36" s="37">
        <v>42.113445378151297</v>
      </c>
      <c r="T36" s="37">
        <v>11.69834378724163</v>
      </c>
      <c r="U36">
        <v>310.61813595298099</v>
      </c>
      <c r="V36">
        <v>68.469714485860024</v>
      </c>
    </row>
    <row r="37" spans="1:22">
      <c r="A37">
        <v>2015</v>
      </c>
      <c r="B37" s="29">
        <v>2</v>
      </c>
      <c r="C37" s="29" t="s">
        <v>33</v>
      </c>
      <c r="D37" s="30">
        <v>90</v>
      </c>
      <c r="E37">
        <v>290.9173944834879</v>
      </c>
      <c r="F37">
        <v>331.09</v>
      </c>
      <c r="G37" s="41">
        <v>12.47506752</v>
      </c>
      <c r="H37">
        <v>16.146400000000003</v>
      </c>
      <c r="I37">
        <v>7.2350000000000003</v>
      </c>
      <c r="J37">
        <v>80.945200000000014</v>
      </c>
      <c r="K37">
        <v>108.03800000000001</v>
      </c>
      <c r="L37">
        <v>4504.3999999999996</v>
      </c>
      <c r="M37">
        <v>1.8347932316</v>
      </c>
      <c r="N37">
        <v>1.5691085119999999</v>
      </c>
      <c r="O37">
        <v>3.9170464602400004</v>
      </c>
      <c r="P37">
        <v>3.9788242208000009</v>
      </c>
      <c r="Q37">
        <v>465.5</v>
      </c>
      <c r="R37" s="37">
        <v>31.67</v>
      </c>
      <c r="S37" s="37">
        <v>41.135646687697161</v>
      </c>
      <c r="T37" s="37">
        <v>11.615133200176388</v>
      </c>
      <c r="U37">
        <v>302.88260551651211</v>
      </c>
      <c r="V37">
        <v>82.627394483487919</v>
      </c>
    </row>
    <row r="38" spans="1:22">
      <c r="A38">
        <v>2015</v>
      </c>
      <c r="B38" s="29">
        <v>2</v>
      </c>
      <c r="C38" s="29" t="s">
        <v>33</v>
      </c>
      <c r="D38" s="30">
        <v>150</v>
      </c>
      <c r="E38">
        <v>281.15781100000004</v>
      </c>
      <c r="F38">
        <v>336.32</v>
      </c>
      <c r="G38" s="41">
        <v>13.691019727999999</v>
      </c>
      <c r="H38">
        <v>22.715400000000002</v>
      </c>
      <c r="I38">
        <v>8.8803999999999981</v>
      </c>
      <c r="J38">
        <v>104.82699999999998</v>
      </c>
      <c r="K38">
        <v>142.50959999999998</v>
      </c>
      <c r="L38">
        <v>5081.8050000000003</v>
      </c>
      <c r="M38">
        <v>2.15447291</v>
      </c>
      <c r="N38">
        <v>1.7010540327999999</v>
      </c>
      <c r="O38">
        <v>4.3073098017600007</v>
      </c>
      <c r="P38">
        <v>4.536221728000001</v>
      </c>
      <c r="Q38">
        <v>532.5</v>
      </c>
      <c r="R38" s="37">
        <v>32</v>
      </c>
      <c r="S38" s="37">
        <v>43.3296703296703</v>
      </c>
      <c r="T38" s="37">
        <v>13.519985274008624</v>
      </c>
      <c r="U38">
        <v>312.64218899999997</v>
      </c>
      <c r="V38">
        <v>67.637811000000042</v>
      </c>
    </row>
    <row r="39" spans="1:22">
      <c r="A39">
        <v>2015</v>
      </c>
      <c r="B39" s="29">
        <v>2</v>
      </c>
      <c r="C39" s="29" t="s">
        <v>33</v>
      </c>
      <c r="D39" s="30">
        <v>210</v>
      </c>
      <c r="E39">
        <v>280.74813502254</v>
      </c>
      <c r="F39">
        <v>323.32999999999993</v>
      </c>
      <c r="G39" s="41">
        <v>13.270301068824001</v>
      </c>
      <c r="H39">
        <v>18.560399999999998</v>
      </c>
      <c r="I39">
        <v>7.5218000000000007</v>
      </c>
      <c r="J39">
        <v>86.400200000000012</v>
      </c>
      <c r="K39">
        <v>117.57740000000001</v>
      </c>
      <c r="L39">
        <v>4736.2550000000001</v>
      </c>
      <c r="M39">
        <v>2.0032946244000005</v>
      </c>
      <c r="N39">
        <v>1.54932403</v>
      </c>
      <c r="O39">
        <v>4.1321080088000004</v>
      </c>
      <c r="P39">
        <v>4.3818539519999993</v>
      </c>
      <c r="Q39">
        <v>477.5</v>
      </c>
      <c r="R39" s="37">
        <v>28.59</v>
      </c>
      <c r="S39" s="37">
        <v>40.190174326465929</v>
      </c>
      <c r="T39" s="37">
        <v>11.973021079665367</v>
      </c>
      <c r="U39">
        <v>313.05186497746001</v>
      </c>
      <c r="V39">
        <v>80.218135022540068</v>
      </c>
    </row>
    <row r="40" spans="1:22">
      <c r="A40">
        <v>2015</v>
      </c>
      <c r="B40" s="29">
        <v>2</v>
      </c>
      <c r="C40" s="29" t="s">
        <v>34</v>
      </c>
      <c r="D40" s="30">
        <v>0</v>
      </c>
      <c r="E40">
        <v>278.6217737709967</v>
      </c>
      <c r="F40">
        <v>304.39</v>
      </c>
      <c r="G40" s="41">
        <v>12.380476136</v>
      </c>
      <c r="H40">
        <v>8.5701999999999998</v>
      </c>
      <c r="I40">
        <v>4.5206</v>
      </c>
      <c r="J40">
        <v>57.517000000000003</v>
      </c>
      <c r="K40">
        <v>73.605199999999996</v>
      </c>
      <c r="L40">
        <v>3946.8</v>
      </c>
      <c r="M40">
        <v>1.9103677660000002</v>
      </c>
      <c r="N40">
        <v>1.4558342800000004</v>
      </c>
      <c r="O40">
        <v>3.7664894614400004</v>
      </c>
      <c r="P40">
        <v>3.8348427776</v>
      </c>
      <c r="Q40">
        <v>442</v>
      </c>
      <c r="R40" s="37">
        <v>27.13</v>
      </c>
      <c r="S40" s="37">
        <v>38.443113772455085</v>
      </c>
      <c r="T40" s="37">
        <v>9.9221918926503232</v>
      </c>
      <c r="U40">
        <v>294.95822622900329</v>
      </c>
      <c r="V40">
        <v>97.031773770996708</v>
      </c>
    </row>
    <row r="41" spans="1:22">
      <c r="A41">
        <v>2015</v>
      </c>
      <c r="B41" s="29">
        <v>2</v>
      </c>
      <c r="C41" s="29" t="s">
        <v>34</v>
      </c>
      <c r="D41" s="30">
        <v>90</v>
      </c>
      <c r="E41">
        <v>273.92516335847216</v>
      </c>
      <c r="F41">
        <v>303.68</v>
      </c>
      <c r="G41" s="41">
        <v>13.006135439999998</v>
      </c>
      <c r="H41">
        <v>11.5154</v>
      </c>
      <c r="I41">
        <v>4.6304000000000007</v>
      </c>
      <c r="J41">
        <v>57.896000000000008</v>
      </c>
      <c r="K41">
        <v>77.448600000000013</v>
      </c>
      <c r="L41">
        <v>4163.3050000000003</v>
      </c>
      <c r="M41">
        <v>1.8809204972000004</v>
      </c>
      <c r="N41">
        <v>1.6515485503200003</v>
      </c>
      <c r="O41">
        <v>3.9760818416000006</v>
      </c>
      <c r="P41">
        <v>4.0804034592000002</v>
      </c>
      <c r="Q41">
        <v>450</v>
      </c>
      <c r="R41" s="37">
        <v>25</v>
      </c>
      <c r="S41" s="37">
        <v>38.846918489065601</v>
      </c>
      <c r="T41" s="37">
        <v>10.152355487649606</v>
      </c>
      <c r="U41">
        <v>299.65483664152782</v>
      </c>
      <c r="V41">
        <v>93.045163358472152</v>
      </c>
    </row>
    <row r="42" spans="1:22">
      <c r="A42">
        <v>2015</v>
      </c>
      <c r="B42" s="29">
        <v>2</v>
      </c>
      <c r="C42" s="29" t="s">
        <v>34</v>
      </c>
      <c r="D42" s="30">
        <v>150</v>
      </c>
      <c r="E42">
        <v>242.60927000000001</v>
      </c>
      <c r="F42">
        <v>291.14</v>
      </c>
      <c r="G42" s="41">
        <v>14.651695200000001</v>
      </c>
      <c r="H42">
        <v>13.602399999999999</v>
      </c>
      <c r="I42">
        <v>5.3848000000000003</v>
      </c>
      <c r="J42">
        <v>81.551199999999994</v>
      </c>
      <c r="K42">
        <v>104.52359999999999</v>
      </c>
      <c r="L42">
        <v>4611.5050000000001</v>
      </c>
      <c r="M42">
        <v>2.3703435516</v>
      </c>
      <c r="N42">
        <v>1.8078719861480002</v>
      </c>
      <c r="O42">
        <v>4.4628061432000017</v>
      </c>
      <c r="P42">
        <v>4.7562313599999992</v>
      </c>
      <c r="Q42">
        <v>463</v>
      </c>
      <c r="R42" s="37">
        <v>30.7</v>
      </c>
      <c r="S42" s="37">
        <v>41.505154639175302</v>
      </c>
      <c r="T42" s="37">
        <v>11.59739907215477</v>
      </c>
      <c r="U42">
        <v>330.97073</v>
      </c>
      <c r="V42">
        <v>74.26927000000002</v>
      </c>
    </row>
    <row r="43" spans="1:22" ht="15" thickBot="1">
      <c r="A43">
        <v>2015</v>
      </c>
      <c r="B43" s="29">
        <v>2</v>
      </c>
      <c r="C43" s="32" t="s">
        <v>34</v>
      </c>
      <c r="D43" s="34">
        <v>210</v>
      </c>
      <c r="E43">
        <v>259.56908013470002</v>
      </c>
      <c r="F43">
        <v>290.60999999999996</v>
      </c>
      <c r="G43" s="41">
        <v>14.094209231999999</v>
      </c>
      <c r="H43">
        <v>10.195399999999998</v>
      </c>
      <c r="I43">
        <v>2.5024000000000002</v>
      </c>
      <c r="J43">
        <v>68.066399999999987</v>
      </c>
      <c r="K43">
        <v>83.59899999999999</v>
      </c>
      <c r="L43">
        <v>4257.4049999999997</v>
      </c>
      <c r="M43">
        <v>2.1814257429259998</v>
      </c>
      <c r="N43">
        <v>1.7425348267999998</v>
      </c>
      <c r="O43">
        <v>4.2424309720000011</v>
      </c>
      <c r="P43">
        <v>4.5998596227200004</v>
      </c>
      <c r="Q43">
        <v>458.5</v>
      </c>
      <c r="R43" s="37">
        <v>30.62</v>
      </c>
      <c r="S43" s="37">
        <v>39.634782608695652</v>
      </c>
      <c r="T43" s="37">
        <v>10.556546812233529</v>
      </c>
      <c r="U43">
        <v>314.01091986529997</v>
      </c>
      <c r="V43">
        <v>91.759080134700056</v>
      </c>
    </row>
    <row r="44" spans="1:22">
      <c r="A44">
        <v>2015</v>
      </c>
      <c r="B44" s="29">
        <v>3</v>
      </c>
      <c r="C44" s="25" t="s">
        <v>33</v>
      </c>
      <c r="D44" s="27">
        <v>0</v>
      </c>
      <c r="E44">
        <v>290.78186404701898</v>
      </c>
      <c r="F44">
        <v>333.77214956115904</v>
      </c>
      <c r="G44">
        <v>11.926904395599999</v>
      </c>
      <c r="H44">
        <v>10.54</v>
      </c>
      <c r="I44">
        <v>3.49</v>
      </c>
      <c r="J44">
        <v>72.92</v>
      </c>
      <c r="K44">
        <v>89.84</v>
      </c>
      <c r="L44">
        <v>4434.7</v>
      </c>
      <c r="M44">
        <v>1.6600920870000002</v>
      </c>
      <c r="N44">
        <v>1.3943991838600001</v>
      </c>
      <c r="O44">
        <v>3.70770062318</v>
      </c>
      <c r="P44">
        <v>3.70052298384</v>
      </c>
      <c r="Q44">
        <v>430</v>
      </c>
      <c r="R44" s="37">
        <v>31.2</v>
      </c>
      <c r="S44" s="37">
        <v>42.069880583812498</v>
      </c>
      <c r="T44" s="37">
        <v>11.515971916962137</v>
      </c>
      <c r="U44">
        <v>305.37813595298104</v>
      </c>
      <c r="V44">
        <v>79.809714485859942</v>
      </c>
    </row>
    <row r="45" spans="1:22">
      <c r="A45">
        <v>2015</v>
      </c>
      <c r="B45" s="29">
        <v>3</v>
      </c>
      <c r="C45" s="29" t="s">
        <v>33</v>
      </c>
      <c r="D45" s="30">
        <v>90</v>
      </c>
      <c r="E45">
        <v>286.21739448348796</v>
      </c>
      <c r="F45">
        <v>329.77</v>
      </c>
      <c r="G45">
        <v>12.44253376</v>
      </c>
      <c r="H45">
        <v>16.100000000000001</v>
      </c>
      <c r="I45">
        <v>6.66</v>
      </c>
      <c r="J45">
        <v>76.260000000000005</v>
      </c>
      <c r="K45">
        <v>102.87</v>
      </c>
      <c r="L45">
        <v>4477.75</v>
      </c>
      <c r="M45">
        <v>1.8523966158</v>
      </c>
      <c r="N45">
        <v>1.589554256</v>
      </c>
      <c r="O45">
        <v>3.9085232301200001</v>
      </c>
      <c r="P45">
        <v>3.9994121104000002</v>
      </c>
      <c r="Q45">
        <v>446.5</v>
      </c>
      <c r="R45" s="37">
        <v>31.535</v>
      </c>
      <c r="S45" s="37">
        <v>40.93402052694718</v>
      </c>
      <c r="T45" s="37">
        <v>11.506334640406873</v>
      </c>
      <c r="U45">
        <v>309.94260551651206</v>
      </c>
      <c r="V45">
        <v>79.24739448348798</v>
      </c>
    </row>
    <row r="46" spans="1:22">
      <c r="A46">
        <v>2015</v>
      </c>
      <c r="B46" s="29">
        <v>3</v>
      </c>
      <c r="C46" s="29" t="s">
        <v>33</v>
      </c>
      <c r="D46" s="30">
        <v>150</v>
      </c>
      <c r="E46">
        <v>281.45781100000005</v>
      </c>
      <c r="F46">
        <v>333.6</v>
      </c>
      <c r="G46">
        <v>13.670509864</v>
      </c>
      <c r="H46">
        <v>21.85</v>
      </c>
      <c r="I46">
        <v>8.8699999999999992</v>
      </c>
      <c r="J46">
        <v>98.88</v>
      </c>
      <c r="K46">
        <v>135.24</v>
      </c>
      <c r="L46">
        <v>5141.38</v>
      </c>
      <c r="M46">
        <v>2.1622364549999999</v>
      </c>
      <c r="N46">
        <v>1.6905270163999999</v>
      </c>
      <c r="O46">
        <v>4.2836549008800002</v>
      </c>
      <c r="P46">
        <v>4.5231108640000004</v>
      </c>
      <c r="Q46">
        <v>490.5</v>
      </c>
      <c r="R46" s="37">
        <v>31.75</v>
      </c>
      <c r="S46" s="37">
        <v>43.420932725810751</v>
      </c>
      <c r="T46" s="37">
        <v>13.344077259481516</v>
      </c>
      <c r="U46">
        <v>314.70218899999998</v>
      </c>
      <c r="V46">
        <v>70.657811000000024</v>
      </c>
    </row>
    <row r="47" spans="1:22">
      <c r="A47">
        <v>2015</v>
      </c>
      <c r="B47" s="29">
        <v>3</v>
      </c>
      <c r="C47" s="29" t="s">
        <v>33</v>
      </c>
      <c r="D47" s="30">
        <v>210</v>
      </c>
      <c r="E47">
        <v>275.61474262396996</v>
      </c>
      <c r="F47">
        <v>319.26</v>
      </c>
      <c r="G47">
        <v>13.260150534412</v>
      </c>
      <c r="H47">
        <v>18.149999999999999</v>
      </c>
      <c r="I47">
        <v>7.49</v>
      </c>
      <c r="J47">
        <v>83.62</v>
      </c>
      <c r="K47">
        <v>113.88</v>
      </c>
      <c r="L47">
        <v>4708.63</v>
      </c>
      <c r="M47">
        <v>2.0266473122000002</v>
      </c>
      <c r="N47">
        <v>1.539662015</v>
      </c>
      <c r="O47">
        <v>4.1260540044000003</v>
      </c>
      <c r="P47">
        <v>4.3759269759999997</v>
      </c>
      <c r="Q47">
        <v>464</v>
      </c>
      <c r="R47" s="37">
        <v>29.060000000000002</v>
      </c>
      <c r="S47" s="37">
        <v>40.745270313416114</v>
      </c>
      <c r="T47" s="37">
        <v>11.78345979253502</v>
      </c>
      <c r="U47">
        <v>320.54525737603007</v>
      </c>
      <c r="V47">
        <v>79.154742623969966</v>
      </c>
    </row>
    <row r="48" spans="1:22">
      <c r="A48">
        <v>2015</v>
      </c>
      <c r="B48" s="29">
        <v>3</v>
      </c>
      <c r="C48" s="29" t="s">
        <v>34</v>
      </c>
      <c r="D48" s="30">
        <v>0</v>
      </c>
      <c r="E48">
        <v>279.42177377099671</v>
      </c>
      <c r="F48">
        <v>304.49</v>
      </c>
      <c r="G48">
        <v>12.375238068</v>
      </c>
      <c r="H48">
        <v>8.66</v>
      </c>
      <c r="I48">
        <v>3.96</v>
      </c>
      <c r="J48">
        <v>60.38</v>
      </c>
      <c r="K48">
        <v>75.650000000000006</v>
      </c>
      <c r="L48">
        <v>3889.4</v>
      </c>
      <c r="M48">
        <v>1.8901838830000002</v>
      </c>
      <c r="N48">
        <v>1.4379171400000001</v>
      </c>
      <c r="O48">
        <v>3.7732447307200001</v>
      </c>
      <c r="P48">
        <v>3.8474213888</v>
      </c>
      <c r="Q48">
        <v>410.5</v>
      </c>
      <c r="R48" s="37">
        <v>27.274999999999999</v>
      </c>
      <c r="S48" s="37">
        <v>38.41386457853524</v>
      </c>
      <c r="T48" s="37">
        <v>9.9723052642317231</v>
      </c>
      <c r="U48">
        <v>292.29822622900326</v>
      </c>
      <c r="V48">
        <v>97.731773770996696</v>
      </c>
    </row>
    <row r="49" spans="1:22">
      <c r="A49">
        <v>2015</v>
      </c>
      <c r="B49" s="29">
        <v>3</v>
      </c>
      <c r="C49" s="29" t="s">
        <v>34</v>
      </c>
      <c r="D49" s="30">
        <v>90</v>
      </c>
      <c r="E49">
        <v>274.72516335847217</v>
      </c>
      <c r="F49">
        <v>302.31</v>
      </c>
      <c r="G49">
        <v>12.983067719999999</v>
      </c>
      <c r="H49">
        <v>11.77</v>
      </c>
      <c r="I49">
        <v>5.03</v>
      </c>
      <c r="J49">
        <v>60.59</v>
      </c>
      <c r="K49">
        <v>80.72</v>
      </c>
      <c r="L49">
        <v>3986.83</v>
      </c>
      <c r="M49">
        <v>1.9104602486000002</v>
      </c>
      <c r="N49">
        <v>1.6407742751600001</v>
      </c>
      <c r="O49">
        <v>3.9580409208000003</v>
      </c>
      <c r="P49">
        <v>4.0952017296000003</v>
      </c>
      <c r="Q49">
        <v>438.5</v>
      </c>
      <c r="R49" s="37">
        <v>25.125</v>
      </c>
      <c r="S49" s="37">
        <v>38.632860953934511</v>
      </c>
      <c r="T49" s="37">
        <v>10.165055003091625</v>
      </c>
      <c r="U49">
        <v>296.9948366415278</v>
      </c>
      <c r="V49">
        <v>95.215163358472168</v>
      </c>
    </row>
    <row r="50" spans="1:22">
      <c r="A50">
        <v>2015</v>
      </c>
      <c r="B50" s="29">
        <v>3</v>
      </c>
      <c r="C50" s="29" t="s">
        <v>34</v>
      </c>
      <c r="D50" s="30">
        <v>150</v>
      </c>
      <c r="E50">
        <v>243.10927000000001</v>
      </c>
      <c r="F50">
        <v>291.39</v>
      </c>
      <c r="G50">
        <v>14.640847600000001</v>
      </c>
      <c r="H50">
        <v>15.19</v>
      </c>
      <c r="I50">
        <v>4.74</v>
      </c>
      <c r="J50">
        <v>84.75</v>
      </c>
      <c r="K50">
        <v>108.77</v>
      </c>
      <c r="L50">
        <v>4699.7299999999996</v>
      </c>
      <c r="M50">
        <v>2.3601717758</v>
      </c>
      <c r="N50">
        <v>1.8289359930740001</v>
      </c>
      <c r="O50">
        <v>4.4464030716000007</v>
      </c>
      <c r="P50">
        <v>4.7481156799999997</v>
      </c>
      <c r="Q50">
        <v>473</v>
      </c>
      <c r="R50" s="37">
        <v>30.9</v>
      </c>
      <c r="S50" s="37">
        <v>41.476715250622149</v>
      </c>
      <c r="T50" s="37">
        <v>11.658419749533071</v>
      </c>
      <c r="U50">
        <v>328.61072999999999</v>
      </c>
      <c r="V50">
        <v>74.51927000000002</v>
      </c>
    </row>
    <row r="51" spans="1:22" ht="15" thickBot="1">
      <c r="A51">
        <v>2015</v>
      </c>
      <c r="B51" s="32">
        <v>3</v>
      </c>
      <c r="C51" s="32" t="s">
        <v>34</v>
      </c>
      <c r="D51" s="34">
        <v>210</v>
      </c>
      <c r="E51">
        <v>245.41299407408502</v>
      </c>
      <c r="F51">
        <v>286.09999999999997</v>
      </c>
      <c r="G51">
        <v>14.077104616</v>
      </c>
      <c r="H51">
        <v>10.119999999999999</v>
      </c>
      <c r="I51">
        <v>2.73</v>
      </c>
      <c r="J51">
        <v>65.44</v>
      </c>
      <c r="K51">
        <v>81.040000000000006</v>
      </c>
      <c r="L51">
        <v>4283.53</v>
      </c>
      <c r="M51">
        <v>2.1957128714629999</v>
      </c>
      <c r="N51">
        <v>1.7312674133999999</v>
      </c>
      <c r="O51">
        <v>4.2562154860000003</v>
      </c>
      <c r="P51">
        <v>4.5899298113600002</v>
      </c>
      <c r="Q51">
        <v>431</v>
      </c>
      <c r="R51" s="37">
        <v>30.5</v>
      </c>
      <c r="S51" s="37">
        <v>39.260091461333701</v>
      </c>
      <c r="T51" s="37">
        <v>10.488493076732473</v>
      </c>
      <c r="U51">
        <v>326.30700592591495</v>
      </c>
      <c r="V51">
        <v>82.112994074085051</v>
      </c>
    </row>
    <row r="52" spans="1:22">
      <c r="A52">
        <v>2016</v>
      </c>
      <c r="B52" s="25">
        <v>1</v>
      </c>
      <c r="C52" s="25" t="s">
        <v>33</v>
      </c>
      <c r="D52" s="27">
        <v>0</v>
      </c>
      <c r="E52">
        <v>340.28846126657555</v>
      </c>
      <c r="F52">
        <v>300.32149561159002</v>
      </c>
      <c r="G52">
        <v>13.667236559999999</v>
      </c>
      <c r="H52">
        <v>10.778130000000001</v>
      </c>
      <c r="I52">
        <v>3.9598420000000001</v>
      </c>
      <c r="J52">
        <v>91.109521999999998</v>
      </c>
      <c r="K52">
        <v>108.592764</v>
      </c>
      <c r="L52">
        <v>4505</v>
      </c>
      <c r="M52">
        <v>2.6876669887999998</v>
      </c>
      <c r="N52">
        <v>1.5230719880000001</v>
      </c>
      <c r="O52">
        <v>3.8934024288</v>
      </c>
      <c r="P52">
        <v>3.9420383999999999</v>
      </c>
      <c r="Q52">
        <v>518.5</v>
      </c>
      <c r="R52" s="37">
        <v>31.2</v>
      </c>
      <c r="S52" s="37">
        <v>40.367924528301899</v>
      </c>
      <c r="T52" s="37">
        <v>14.00365338819427</v>
      </c>
      <c r="U52">
        <v>270.63008012378344</v>
      </c>
      <c r="V52">
        <v>91.366965654985535</v>
      </c>
    </row>
    <row r="53" spans="1:22">
      <c r="A53">
        <v>2016</v>
      </c>
      <c r="B53" s="29">
        <v>1</v>
      </c>
      <c r="C53" s="29" t="s">
        <v>33</v>
      </c>
      <c r="D53" s="30">
        <v>90</v>
      </c>
      <c r="E53">
        <v>325.59500000000003</v>
      </c>
      <c r="F53">
        <v>293.39999999999998</v>
      </c>
      <c r="G53">
        <v>13.423627680000001</v>
      </c>
      <c r="H53">
        <v>15.893063999999999</v>
      </c>
      <c r="I53">
        <v>6.1241500000000002</v>
      </c>
      <c r="J53">
        <v>100.85905200000001</v>
      </c>
      <c r="K53">
        <v>126.82498000000001</v>
      </c>
      <c r="L53">
        <v>4949.75</v>
      </c>
      <c r="M53">
        <v>2.7081044147199997</v>
      </c>
      <c r="N53">
        <v>1.5279091199999999</v>
      </c>
      <c r="O53">
        <v>3.9153222751999999</v>
      </c>
      <c r="P53">
        <v>3.9620777601600001</v>
      </c>
      <c r="Q53">
        <v>529</v>
      </c>
      <c r="R53" s="37">
        <v>31.2</v>
      </c>
      <c r="S53" s="37">
        <v>40.132625994694997</v>
      </c>
      <c r="T53" s="37">
        <v>14.665699932530519</v>
      </c>
      <c r="U53">
        <v>285.32354139035897</v>
      </c>
      <c r="V53">
        <v>83.595000000000056</v>
      </c>
    </row>
    <row r="54" spans="1:22">
      <c r="A54">
        <v>2016</v>
      </c>
      <c r="B54" s="29">
        <v>1</v>
      </c>
      <c r="C54" s="29" t="s">
        <v>33</v>
      </c>
      <c r="D54" s="30">
        <v>150</v>
      </c>
      <c r="E54">
        <v>321.46999999999997</v>
      </c>
      <c r="F54">
        <v>283.88</v>
      </c>
      <c r="G54">
        <v>14.499508151999999</v>
      </c>
      <c r="H54">
        <v>21.774754000000001</v>
      </c>
      <c r="I54">
        <v>9.7471004000000008</v>
      </c>
      <c r="J54">
        <v>132.00367</v>
      </c>
      <c r="K54">
        <v>168.66679240000002</v>
      </c>
      <c r="L54">
        <v>5660.38</v>
      </c>
      <c r="M54">
        <v>2.9538620527999999</v>
      </c>
      <c r="N54">
        <v>1.7083657299999999</v>
      </c>
      <c r="O54">
        <v>3.9615230312</v>
      </c>
      <c r="P54">
        <v>4.1982257636</v>
      </c>
      <c r="Q54">
        <v>553</v>
      </c>
      <c r="R54" s="37">
        <v>31.857142857142858</v>
      </c>
      <c r="S54" s="37">
        <v>41.834080717488803</v>
      </c>
      <c r="T54" s="37">
        <v>16.27565755774808</v>
      </c>
      <c r="U54">
        <v>289.44854139035903</v>
      </c>
      <c r="V54">
        <v>88.989999999999981</v>
      </c>
    </row>
    <row r="55" spans="1:22">
      <c r="A55">
        <v>2016</v>
      </c>
      <c r="B55" s="29">
        <v>1</v>
      </c>
      <c r="C55" s="29" t="s">
        <v>33</v>
      </c>
      <c r="D55" s="30">
        <v>210</v>
      </c>
      <c r="E55">
        <v>325.46949999999998</v>
      </c>
      <c r="F55">
        <v>288.19</v>
      </c>
      <c r="G55">
        <v>14.049674640000001</v>
      </c>
      <c r="H55">
        <v>15.562203999999999</v>
      </c>
      <c r="I55">
        <v>7.0836180000000004</v>
      </c>
      <c r="J55">
        <v>110.031402</v>
      </c>
      <c r="K55">
        <v>136.78077400000001</v>
      </c>
      <c r="L55">
        <v>5058.25</v>
      </c>
      <c r="M55">
        <v>2.9384693120000001</v>
      </c>
      <c r="N55">
        <v>1.5965930373199999</v>
      </c>
      <c r="O55">
        <v>3.8737078980000001</v>
      </c>
      <c r="P55">
        <v>4.0366433153600001</v>
      </c>
      <c r="Q55">
        <v>560.5</v>
      </c>
      <c r="R55" s="37">
        <v>31.294117647058801</v>
      </c>
      <c r="S55" s="37">
        <v>40.522427440633201</v>
      </c>
      <c r="T55" s="37">
        <v>14.768786157034784</v>
      </c>
      <c r="U55">
        <v>285.44904139035901</v>
      </c>
      <c r="V55">
        <v>88.67949999999999</v>
      </c>
    </row>
    <row r="56" spans="1:22">
      <c r="A56">
        <v>2016</v>
      </c>
      <c r="B56" s="29">
        <v>1</v>
      </c>
      <c r="C56" s="29" t="s">
        <v>34</v>
      </c>
      <c r="D56" s="30">
        <v>0</v>
      </c>
      <c r="E56">
        <v>325.18450000000001</v>
      </c>
      <c r="F56">
        <v>304.79000000000002</v>
      </c>
      <c r="G56">
        <v>13.494408000000002</v>
      </c>
      <c r="H56">
        <v>9.6623020000000004</v>
      </c>
      <c r="I56">
        <v>3.3654060000000001</v>
      </c>
      <c r="J56">
        <v>82.610569999999996</v>
      </c>
      <c r="K56">
        <v>97.917851999999996</v>
      </c>
      <c r="L56">
        <v>4237.45</v>
      </c>
      <c r="M56">
        <v>2.4928437970799999</v>
      </c>
      <c r="N56">
        <v>1.432801328</v>
      </c>
      <c r="O56">
        <v>3.6539657999999999</v>
      </c>
      <c r="P56">
        <v>3.7055772095999999</v>
      </c>
      <c r="Q56">
        <v>480</v>
      </c>
      <c r="R56" s="37">
        <v>30.923076923076898</v>
      </c>
      <c r="S56" s="37">
        <v>38.453744493392101</v>
      </c>
      <c r="T56" s="37">
        <v>13.664385652853879</v>
      </c>
      <c r="U56">
        <v>267.90803495940997</v>
      </c>
      <c r="V56">
        <v>71.794499999999999</v>
      </c>
    </row>
    <row r="57" spans="1:22">
      <c r="A57">
        <v>2016</v>
      </c>
      <c r="B57" s="29">
        <v>1</v>
      </c>
      <c r="C57" s="29" t="s">
        <v>34</v>
      </c>
      <c r="D57" s="30">
        <v>90</v>
      </c>
      <c r="E57">
        <v>309.67999999999995</v>
      </c>
      <c r="F57">
        <v>298.24</v>
      </c>
      <c r="G57">
        <v>13.6365888</v>
      </c>
      <c r="H57">
        <v>11.904354</v>
      </c>
      <c r="I57">
        <v>5.1753039999999997</v>
      </c>
      <c r="J57">
        <v>92.651160000000004</v>
      </c>
      <c r="K57">
        <v>112.951486</v>
      </c>
      <c r="L57">
        <v>4482.3500000000004</v>
      </c>
      <c r="M57">
        <v>2.6183003795199999</v>
      </c>
      <c r="N57">
        <v>1.4659477000000001</v>
      </c>
      <c r="O57">
        <v>3.81022233832</v>
      </c>
      <c r="P57">
        <v>3.8999523599999999</v>
      </c>
      <c r="Q57">
        <v>499</v>
      </c>
      <c r="R57" s="37">
        <v>31.214285714285715</v>
      </c>
      <c r="S57" s="37">
        <v>39.393592677345502</v>
      </c>
      <c r="T57" s="37">
        <v>14.234215939553282</v>
      </c>
      <c r="U57">
        <v>283.41253495941004</v>
      </c>
      <c r="V57">
        <v>62.839999999999939</v>
      </c>
    </row>
    <row r="58" spans="1:22">
      <c r="A58">
        <v>2016</v>
      </c>
      <c r="B58" s="29">
        <v>1</v>
      </c>
      <c r="C58" s="29" t="s">
        <v>34</v>
      </c>
      <c r="D58" s="30">
        <v>150</v>
      </c>
      <c r="E58">
        <v>327.89</v>
      </c>
      <c r="F58">
        <v>283.64</v>
      </c>
      <c r="G58">
        <v>13.9821078432</v>
      </c>
      <c r="H58">
        <v>16.609824</v>
      </c>
      <c r="I58">
        <v>8.0542479999999994</v>
      </c>
      <c r="J58">
        <v>117.069312</v>
      </c>
      <c r="K58">
        <v>145.86643599999999</v>
      </c>
      <c r="L58">
        <v>5145.33</v>
      </c>
      <c r="M58">
        <v>2.7411903140800002</v>
      </c>
      <c r="N58">
        <v>1.4859560528</v>
      </c>
      <c r="O58">
        <v>3.8536162319999998</v>
      </c>
      <c r="P58">
        <v>3.9380819728400001</v>
      </c>
      <c r="Q58">
        <v>526.5</v>
      </c>
      <c r="R58" s="37">
        <v>32.0833333333333</v>
      </c>
      <c r="S58" s="37">
        <v>41.953488372092998</v>
      </c>
      <c r="T58" s="37">
        <v>15.633637080672628</v>
      </c>
      <c r="U58">
        <v>265.20253495941</v>
      </c>
      <c r="V58">
        <v>95.65</v>
      </c>
    </row>
    <row r="59" spans="1:22" ht="15" thickBot="1">
      <c r="A59">
        <v>2016</v>
      </c>
      <c r="B59" s="29">
        <v>1</v>
      </c>
      <c r="C59" s="32" t="s">
        <v>34</v>
      </c>
      <c r="D59" s="34">
        <v>210</v>
      </c>
      <c r="E59">
        <v>316.755</v>
      </c>
      <c r="F59">
        <v>303.58999999999997</v>
      </c>
      <c r="G59">
        <v>14.569063199999999</v>
      </c>
      <c r="H59">
        <v>10.944153999999999</v>
      </c>
      <c r="I59">
        <v>3.9280240000000002</v>
      </c>
      <c r="J59">
        <v>92.185463999999996</v>
      </c>
      <c r="K59">
        <v>109.69619</v>
      </c>
      <c r="L59">
        <v>4403.1000000000004</v>
      </c>
      <c r="M59">
        <v>2.7567499191680001</v>
      </c>
      <c r="N59">
        <v>1.63605873492</v>
      </c>
      <c r="O59">
        <v>4.0244391120799996</v>
      </c>
      <c r="P59">
        <v>4.0682257960000001</v>
      </c>
      <c r="Q59">
        <v>539</v>
      </c>
      <c r="R59" s="37">
        <v>30.3571428571429</v>
      </c>
      <c r="S59" s="37">
        <v>39.777126099706699</v>
      </c>
      <c r="T59" s="37">
        <v>14.632993134283144</v>
      </c>
      <c r="U59">
        <v>276.33753495940999</v>
      </c>
      <c r="V59">
        <v>64.565000000000026</v>
      </c>
    </row>
    <row r="60" spans="1:22">
      <c r="A60">
        <v>2016</v>
      </c>
      <c r="B60" s="29">
        <v>2</v>
      </c>
      <c r="C60" s="25" t="s">
        <v>33</v>
      </c>
      <c r="D60" s="27">
        <v>0</v>
      </c>
      <c r="E60">
        <v>343.24846126657553</v>
      </c>
      <c r="F60">
        <v>304.51214956115899</v>
      </c>
      <c r="G60">
        <v>13.462752480000001</v>
      </c>
      <c r="H60">
        <v>12.86187</v>
      </c>
      <c r="I60">
        <v>4.3601580000000002</v>
      </c>
      <c r="J60">
        <v>93.910478000000012</v>
      </c>
      <c r="K60">
        <v>113.62723600000001</v>
      </c>
      <c r="L60">
        <v>4628.1000000000004</v>
      </c>
      <c r="M60">
        <v>2.57177575</v>
      </c>
      <c r="N60">
        <v>1.5040657022799999</v>
      </c>
      <c r="O60">
        <v>3.8099656808</v>
      </c>
      <c r="P60">
        <v>3.9275630425600001</v>
      </c>
      <c r="Q60">
        <v>457.75</v>
      </c>
      <c r="R60" s="37">
        <v>31</v>
      </c>
      <c r="S60" s="37">
        <v>40.646153846153801</v>
      </c>
      <c r="T60" s="37">
        <v>14.18230317489334</v>
      </c>
      <c r="U60">
        <v>267.75299734306549</v>
      </c>
      <c r="V60">
        <v>90.136311705416546</v>
      </c>
    </row>
    <row r="61" spans="1:22">
      <c r="A61">
        <v>2016</v>
      </c>
      <c r="B61" s="29">
        <v>2</v>
      </c>
      <c r="C61" s="29" t="s">
        <v>33</v>
      </c>
      <c r="D61" s="30">
        <v>90</v>
      </c>
      <c r="E61">
        <v>329.11500000000001</v>
      </c>
      <c r="F61">
        <v>289.08999999999997</v>
      </c>
      <c r="G61">
        <v>13.881552000000001</v>
      </c>
      <c r="H61">
        <v>14.566936000000002</v>
      </c>
      <c r="I61">
        <v>6.4758499999999994</v>
      </c>
      <c r="J61">
        <v>107.68094799999999</v>
      </c>
      <c r="K61">
        <v>131.29501999999999</v>
      </c>
      <c r="L61">
        <v>4818.1499999999996</v>
      </c>
      <c r="M61">
        <v>2.6612118249200001</v>
      </c>
      <c r="N61">
        <v>1.5936293492</v>
      </c>
      <c r="O61">
        <v>3.8362406032799998</v>
      </c>
      <c r="P61">
        <v>3.9913124</v>
      </c>
      <c r="Q61">
        <v>464</v>
      </c>
      <c r="R61" s="37">
        <v>31.55</v>
      </c>
      <c r="S61" s="37">
        <v>40.900826446281002</v>
      </c>
      <c r="T61" s="37">
        <v>14.474760341943073</v>
      </c>
      <c r="U61">
        <v>281.88645860964101</v>
      </c>
      <c r="V61">
        <v>91.42500000000004</v>
      </c>
    </row>
    <row r="62" spans="1:22">
      <c r="A62">
        <v>2016</v>
      </c>
      <c r="B62" s="29">
        <v>2</v>
      </c>
      <c r="C62" s="29" t="s">
        <v>33</v>
      </c>
      <c r="D62" s="30">
        <v>150</v>
      </c>
      <c r="E62">
        <v>346.84</v>
      </c>
      <c r="F62">
        <v>279.32</v>
      </c>
      <c r="G62">
        <v>14.240880000000001</v>
      </c>
      <c r="H62">
        <v>23.765245999999998</v>
      </c>
      <c r="I62">
        <v>9.7928995999999984</v>
      </c>
      <c r="J62">
        <v>129.77632999999997</v>
      </c>
      <c r="K62">
        <v>169.73320759999996</v>
      </c>
      <c r="L62">
        <v>5489.7</v>
      </c>
      <c r="M62">
        <v>2.8547424191999999</v>
      </c>
      <c r="N62">
        <v>1.6710995071999999</v>
      </c>
      <c r="O62">
        <v>4.0625679999999997</v>
      </c>
      <c r="P62">
        <v>4.2514803075999996</v>
      </c>
      <c r="Q62">
        <v>508.75</v>
      </c>
      <c r="R62" s="37">
        <v>32.3333333333333</v>
      </c>
      <c r="S62" s="37">
        <v>42.272727272727302</v>
      </c>
      <c r="T62" s="37">
        <v>16.058000396468131</v>
      </c>
      <c r="U62">
        <v>264.16145860964104</v>
      </c>
      <c r="V62">
        <v>118.91999999999999</v>
      </c>
    </row>
    <row r="63" spans="1:22">
      <c r="A63">
        <v>2016</v>
      </c>
      <c r="B63" s="29">
        <v>2</v>
      </c>
      <c r="C63" s="29" t="s">
        <v>33</v>
      </c>
      <c r="D63" s="30">
        <v>210</v>
      </c>
      <c r="E63">
        <v>329.41950000000003</v>
      </c>
      <c r="F63">
        <v>291.33</v>
      </c>
      <c r="G63">
        <v>14.166460800000001</v>
      </c>
      <c r="H63">
        <v>14.477796</v>
      </c>
      <c r="I63">
        <v>5.6963819999999989</v>
      </c>
      <c r="J63">
        <v>110.188598</v>
      </c>
      <c r="K63">
        <v>133.739226</v>
      </c>
      <c r="L63">
        <v>4932.2000000000007</v>
      </c>
      <c r="M63">
        <v>3.0375270092799997</v>
      </c>
      <c r="N63">
        <v>1.6265915520000001</v>
      </c>
      <c r="O63">
        <v>3.9773304168000001</v>
      </c>
      <c r="P63">
        <v>4.1237098625600002</v>
      </c>
      <c r="Q63">
        <v>468.25</v>
      </c>
      <c r="R63" s="37">
        <v>31.8888888888889</v>
      </c>
      <c r="S63" s="37">
        <v>41.196808510638299</v>
      </c>
      <c r="T63" s="37">
        <v>14.903491546449697</v>
      </c>
      <c r="U63">
        <v>281.58195860964099</v>
      </c>
      <c r="V63">
        <v>89.489500000000049</v>
      </c>
    </row>
    <row r="64" spans="1:22">
      <c r="A64">
        <v>2016</v>
      </c>
      <c r="B64" s="29">
        <v>2</v>
      </c>
      <c r="C64" s="29" t="s">
        <v>34</v>
      </c>
      <c r="D64" s="30">
        <v>0</v>
      </c>
      <c r="E64">
        <v>321.96449999999999</v>
      </c>
      <c r="F64">
        <v>308.58999999999997</v>
      </c>
      <c r="G64">
        <v>13.338912000000001</v>
      </c>
      <c r="H64">
        <v>8.7976980000000005</v>
      </c>
      <c r="I64">
        <v>3.0145939999999998</v>
      </c>
      <c r="J64">
        <v>84.209429999999998</v>
      </c>
      <c r="K64">
        <v>97.942148000000003</v>
      </c>
      <c r="L64">
        <v>4065.0999999999995</v>
      </c>
      <c r="M64">
        <v>2.6129199999999999</v>
      </c>
      <c r="N64">
        <v>1.4851407999999999</v>
      </c>
      <c r="O64">
        <v>3.7152303120000001</v>
      </c>
      <c r="P64">
        <v>3.7373796000000001</v>
      </c>
      <c r="Q64">
        <v>443.75</v>
      </c>
      <c r="R64" s="37">
        <v>30.866666666666699</v>
      </c>
      <c r="S64" s="37">
        <v>38.694560669456102</v>
      </c>
      <c r="T64" s="37">
        <v>13.80671398287814</v>
      </c>
      <c r="U64">
        <v>271.79624650405901</v>
      </c>
      <c r="V64">
        <v>64.774500000000018</v>
      </c>
    </row>
    <row r="65" spans="1:22">
      <c r="A65">
        <v>2016</v>
      </c>
      <c r="B65" s="29">
        <v>2</v>
      </c>
      <c r="C65" s="29" t="s">
        <v>34</v>
      </c>
      <c r="D65" s="30">
        <v>90</v>
      </c>
      <c r="E65">
        <v>312.61999999999995</v>
      </c>
      <c r="F65">
        <v>294.68</v>
      </c>
      <c r="G65">
        <v>13.338409944000002</v>
      </c>
      <c r="H65">
        <v>10.835645999999999</v>
      </c>
      <c r="I65">
        <v>4.1646960000000002</v>
      </c>
      <c r="J65">
        <v>93.048839999999984</v>
      </c>
      <c r="K65">
        <v>110.12851399999998</v>
      </c>
      <c r="L65">
        <v>4352.8999999999996</v>
      </c>
      <c r="M65">
        <v>2.5620069372000001</v>
      </c>
      <c r="N65">
        <v>1.5335304272000001</v>
      </c>
      <c r="O65">
        <v>3.7390997088</v>
      </c>
      <c r="P65">
        <v>3.82597904036</v>
      </c>
      <c r="Q65">
        <v>455.75</v>
      </c>
      <c r="R65" s="37">
        <v>30.833333333333002</v>
      </c>
      <c r="S65" s="37">
        <v>38.9280397022332</v>
      </c>
      <c r="T65" s="37">
        <v>14.042896932164922</v>
      </c>
      <c r="U65">
        <v>281.14074650405905</v>
      </c>
      <c r="V65">
        <v>69.339999999999947</v>
      </c>
    </row>
    <row r="66" spans="1:22">
      <c r="A66">
        <v>2016</v>
      </c>
      <c r="B66" s="29">
        <v>2</v>
      </c>
      <c r="C66" s="29" t="s">
        <v>34</v>
      </c>
      <c r="D66" s="30">
        <v>150</v>
      </c>
      <c r="E66">
        <v>322.87</v>
      </c>
      <c r="F66">
        <v>286.94</v>
      </c>
      <c r="G66">
        <v>14.091067219200001</v>
      </c>
      <c r="H66">
        <v>17.090176000000003</v>
      </c>
      <c r="I66">
        <v>7.3657520000000005</v>
      </c>
      <c r="J66">
        <v>113.250688</v>
      </c>
      <c r="K66">
        <v>142.833564</v>
      </c>
      <c r="L66">
        <v>5015.0499999999993</v>
      </c>
      <c r="M66">
        <v>2.6138096833119997</v>
      </c>
      <c r="N66">
        <v>1.5670260432000001</v>
      </c>
      <c r="O66">
        <v>3.83327844072</v>
      </c>
      <c r="P66">
        <v>4.0126931360000002</v>
      </c>
      <c r="Q66">
        <v>459.75</v>
      </c>
      <c r="R66" s="37">
        <v>31.666666666666998</v>
      </c>
      <c r="S66" s="37">
        <v>41.867403314917098</v>
      </c>
      <c r="T66" s="37">
        <v>15.761287646236031</v>
      </c>
      <c r="U66">
        <v>270.890746504059</v>
      </c>
      <c r="V66">
        <v>87.330000000000013</v>
      </c>
    </row>
    <row r="67" spans="1:22" ht="15" thickBot="1">
      <c r="A67">
        <v>2016</v>
      </c>
      <c r="B67" s="29">
        <v>2</v>
      </c>
      <c r="C67" s="32" t="s">
        <v>34</v>
      </c>
      <c r="D67" s="34">
        <v>210</v>
      </c>
      <c r="E67">
        <v>321.72500000000002</v>
      </c>
      <c r="F67">
        <v>298.61</v>
      </c>
      <c r="G67">
        <v>14.195280000000002</v>
      </c>
      <c r="H67">
        <v>12.455845999999999</v>
      </c>
      <c r="I67">
        <v>3.811976</v>
      </c>
      <c r="J67">
        <v>100.01453599999999</v>
      </c>
      <c r="K67">
        <v>118.96381</v>
      </c>
      <c r="L67">
        <v>4523.1000000000004</v>
      </c>
      <c r="M67">
        <v>2.8058469312000001</v>
      </c>
      <c r="N67">
        <v>1.6658280000000001</v>
      </c>
      <c r="O67">
        <v>3.9562710711200002</v>
      </c>
      <c r="P67">
        <v>4.1320515999999996</v>
      </c>
      <c r="Q67">
        <v>456.25</v>
      </c>
      <c r="R67" s="37">
        <v>30.5</v>
      </c>
      <c r="S67" s="37">
        <v>39.235294117647101</v>
      </c>
      <c r="T67" s="37">
        <v>14.366937952752307</v>
      </c>
      <c r="U67">
        <v>272.03574650405898</v>
      </c>
      <c r="V67">
        <v>74.515000000000015</v>
      </c>
    </row>
    <row r="68" spans="1:22">
      <c r="A68">
        <v>2016</v>
      </c>
      <c r="B68" s="29">
        <v>3</v>
      </c>
      <c r="C68" s="25" t="s">
        <v>33</v>
      </c>
      <c r="D68" s="27">
        <v>0</v>
      </c>
      <c r="E68">
        <v>341.76846126657551</v>
      </c>
      <c r="F68">
        <v>302.41682258637451</v>
      </c>
      <c r="G68">
        <v>13.564994519999999</v>
      </c>
      <c r="H68">
        <v>11.82</v>
      </c>
      <c r="I68">
        <v>4.16</v>
      </c>
      <c r="J68">
        <v>92.51</v>
      </c>
      <c r="K68">
        <v>111.12</v>
      </c>
      <c r="L68">
        <v>4566.55</v>
      </c>
      <c r="M68">
        <v>2.6297213693999999</v>
      </c>
      <c r="N68">
        <v>1.51356884514</v>
      </c>
      <c r="O68">
        <v>3.8516840547999998</v>
      </c>
      <c r="P68">
        <v>3.9348007212800002</v>
      </c>
      <c r="Q68">
        <v>434</v>
      </c>
      <c r="R68" s="37">
        <v>31.1</v>
      </c>
      <c r="S68" s="37">
        <v>40.507039187227846</v>
      </c>
      <c r="T68" s="37">
        <v>14.092978281543804</v>
      </c>
      <c r="U68">
        <v>269.19153873342452</v>
      </c>
      <c r="V68">
        <v>90.751638680201012</v>
      </c>
    </row>
    <row r="69" spans="1:22">
      <c r="A69">
        <v>2016</v>
      </c>
      <c r="B69" s="29">
        <v>3</v>
      </c>
      <c r="C69" s="29" t="s">
        <v>33</v>
      </c>
      <c r="D69" s="30">
        <v>90</v>
      </c>
      <c r="E69">
        <v>327.35500000000002</v>
      </c>
      <c r="F69">
        <v>291.245</v>
      </c>
      <c r="G69">
        <v>13.652589840000001</v>
      </c>
      <c r="H69">
        <v>15.23</v>
      </c>
      <c r="I69">
        <v>6.3</v>
      </c>
      <c r="J69">
        <v>104.27</v>
      </c>
      <c r="K69">
        <v>129.06</v>
      </c>
      <c r="L69">
        <v>4883.95</v>
      </c>
      <c r="M69">
        <v>2.6846581198199999</v>
      </c>
      <c r="N69">
        <v>1.5607692345999999</v>
      </c>
      <c r="O69">
        <v>3.8757814392399998</v>
      </c>
      <c r="P69">
        <v>3.9766950800799998</v>
      </c>
      <c r="Q69">
        <v>452.75</v>
      </c>
      <c r="R69" s="37">
        <v>31.375</v>
      </c>
      <c r="S69" s="37">
        <v>40.516726220487996</v>
      </c>
      <c r="T69" s="37">
        <v>14.570230137236795</v>
      </c>
      <c r="U69">
        <v>283.60500000000002</v>
      </c>
      <c r="V69">
        <v>87.510000000000019</v>
      </c>
    </row>
    <row r="70" spans="1:22">
      <c r="A70">
        <v>2016</v>
      </c>
      <c r="B70" s="29">
        <v>3</v>
      </c>
      <c r="C70" s="29" t="s">
        <v>33</v>
      </c>
      <c r="D70" s="30">
        <v>150</v>
      </c>
      <c r="E70">
        <v>334.15499999999997</v>
      </c>
      <c r="F70">
        <v>281.60000000000002</v>
      </c>
      <c r="G70">
        <v>14.370194076000001</v>
      </c>
      <c r="H70">
        <v>22.77</v>
      </c>
      <c r="I70">
        <v>9.77</v>
      </c>
      <c r="J70">
        <v>130.88999999999999</v>
      </c>
      <c r="K70">
        <v>169.19</v>
      </c>
      <c r="L70">
        <v>5575.04</v>
      </c>
      <c r="M70">
        <v>2.9043022359999999</v>
      </c>
      <c r="N70">
        <v>1.6897326185999999</v>
      </c>
      <c r="O70">
        <v>4.0120455155999997</v>
      </c>
      <c r="P70">
        <v>4.2248530355999998</v>
      </c>
      <c r="Q70">
        <v>486.75</v>
      </c>
      <c r="R70" s="37">
        <v>32.095238095238081</v>
      </c>
      <c r="S70" s="37">
        <v>42.053403995108056</v>
      </c>
      <c r="T70" s="37">
        <v>16.166828977108104</v>
      </c>
      <c r="U70">
        <v>276.80500000000006</v>
      </c>
      <c r="V70">
        <v>103.95499999999996</v>
      </c>
    </row>
    <row r="71" spans="1:22">
      <c r="A71">
        <v>2016</v>
      </c>
      <c r="B71" s="29">
        <v>3</v>
      </c>
      <c r="C71" s="29" t="s">
        <v>33</v>
      </c>
      <c r="D71" s="30">
        <v>210</v>
      </c>
      <c r="E71">
        <v>327.44450000000001</v>
      </c>
      <c r="F71">
        <v>289.76</v>
      </c>
      <c r="G71">
        <v>14.108067720000001</v>
      </c>
      <c r="H71">
        <v>15.02</v>
      </c>
      <c r="I71">
        <v>6.39</v>
      </c>
      <c r="J71">
        <v>110.11</v>
      </c>
      <c r="K71">
        <v>135.26</v>
      </c>
      <c r="L71">
        <v>4995.2250000000004</v>
      </c>
      <c r="M71">
        <v>2.9879981606400001</v>
      </c>
      <c r="N71">
        <v>1.6115922946599999</v>
      </c>
      <c r="O71">
        <v>3.9255191574000001</v>
      </c>
      <c r="P71">
        <v>4.0801765889600006</v>
      </c>
      <c r="Q71">
        <v>459.5</v>
      </c>
      <c r="R71" s="37">
        <v>31.591503267973849</v>
      </c>
      <c r="S71" s="37">
        <v>40.85961797563575</v>
      </c>
      <c r="T71" s="37">
        <v>14.836138851742241</v>
      </c>
      <c r="U71">
        <v>283.51550000000003</v>
      </c>
      <c r="V71">
        <v>89.08450000000002</v>
      </c>
    </row>
    <row r="72" spans="1:22">
      <c r="A72">
        <v>2016</v>
      </c>
      <c r="B72" s="29">
        <v>3</v>
      </c>
      <c r="C72" s="29" t="s">
        <v>34</v>
      </c>
      <c r="D72" s="30">
        <v>0</v>
      </c>
      <c r="E72">
        <v>323.5745</v>
      </c>
      <c r="F72">
        <v>306.69</v>
      </c>
      <c r="G72">
        <v>13.41666</v>
      </c>
      <c r="H72">
        <v>9.23</v>
      </c>
      <c r="I72">
        <v>3.19</v>
      </c>
      <c r="J72">
        <v>83.41</v>
      </c>
      <c r="K72">
        <v>97.93</v>
      </c>
      <c r="L72">
        <v>4151.2749999999996</v>
      </c>
      <c r="M72">
        <v>2.5528818985399999</v>
      </c>
      <c r="N72">
        <v>1.458971064</v>
      </c>
      <c r="O72">
        <v>3.684598056</v>
      </c>
      <c r="P72">
        <v>3.7214784048</v>
      </c>
      <c r="Q72">
        <v>413.5</v>
      </c>
      <c r="R72" s="37">
        <v>30.894871794871797</v>
      </c>
      <c r="S72" s="37">
        <v>38.574152581424102</v>
      </c>
      <c r="T72" s="37">
        <v>13.735549817866008</v>
      </c>
      <c r="U72">
        <v>269.85214073173449</v>
      </c>
      <c r="V72">
        <v>68.284500000000008</v>
      </c>
    </row>
    <row r="73" spans="1:22">
      <c r="A73">
        <v>2016</v>
      </c>
      <c r="B73" s="29">
        <v>3</v>
      </c>
      <c r="C73" s="29" t="s">
        <v>34</v>
      </c>
      <c r="D73" s="30">
        <v>90</v>
      </c>
      <c r="E73">
        <v>311.14999999999998</v>
      </c>
      <c r="F73">
        <v>296.46000000000004</v>
      </c>
      <c r="G73">
        <v>13.487499372000002</v>
      </c>
      <c r="H73">
        <v>11.37</v>
      </c>
      <c r="I73">
        <v>4.67</v>
      </c>
      <c r="J73">
        <v>92.85</v>
      </c>
      <c r="K73">
        <v>111.54</v>
      </c>
      <c r="L73">
        <v>4417.625</v>
      </c>
      <c r="M73">
        <v>2.5901536583600002</v>
      </c>
      <c r="N73">
        <v>1.4997390636000001</v>
      </c>
      <c r="O73">
        <v>3.7746610235600002</v>
      </c>
      <c r="P73">
        <v>3.8629657001800002</v>
      </c>
      <c r="Q73">
        <v>435.5</v>
      </c>
      <c r="R73" s="37">
        <v>31.023809523809359</v>
      </c>
      <c r="S73" s="37">
        <v>39.160816189789351</v>
      </c>
      <c r="T73" s="37">
        <v>14.138556435859101</v>
      </c>
      <c r="U73">
        <v>282.27664073173452</v>
      </c>
      <c r="V73">
        <v>66.089999999999947</v>
      </c>
    </row>
    <row r="74" spans="1:22">
      <c r="A74">
        <v>2016</v>
      </c>
      <c r="B74" s="29">
        <v>3</v>
      </c>
      <c r="C74" s="29" t="s">
        <v>34</v>
      </c>
      <c r="D74" s="30">
        <v>150</v>
      </c>
      <c r="E74">
        <v>325.38</v>
      </c>
      <c r="F74">
        <v>285.28999999999996</v>
      </c>
      <c r="G74">
        <v>14.0365875312</v>
      </c>
      <c r="H74">
        <v>16.850000000000001</v>
      </c>
      <c r="I74">
        <v>7.71</v>
      </c>
      <c r="J74">
        <v>115.16</v>
      </c>
      <c r="K74">
        <v>144.36000000000001</v>
      </c>
      <c r="L74">
        <v>5080.1899999999996</v>
      </c>
      <c r="M74">
        <v>2.6774999986959997</v>
      </c>
      <c r="N74">
        <v>1.526491048</v>
      </c>
      <c r="O74">
        <v>3.8434473363599997</v>
      </c>
      <c r="P74">
        <v>3.9753875544200001</v>
      </c>
      <c r="Q74">
        <v>468.5</v>
      </c>
      <c r="R74" s="37">
        <v>31.875000000000149</v>
      </c>
      <c r="S74" s="37">
        <v>41.910445843505045</v>
      </c>
      <c r="T74" s="37">
        <v>15.69746236345433</v>
      </c>
      <c r="U74">
        <v>268.0466407317345</v>
      </c>
      <c r="V74">
        <v>91.490000000000038</v>
      </c>
    </row>
    <row r="75" spans="1:22" ht="15" thickBot="1">
      <c r="A75">
        <v>2016</v>
      </c>
      <c r="B75" s="32">
        <v>3</v>
      </c>
      <c r="C75" s="32" t="s">
        <v>34</v>
      </c>
      <c r="D75" s="34">
        <v>210</v>
      </c>
      <c r="E75">
        <v>319.24</v>
      </c>
      <c r="F75">
        <v>301.10000000000002</v>
      </c>
      <c r="G75">
        <v>14.3821716</v>
      </c>
      <c r="H75">
        <v>11.7</v>
      </c>
      <c r="I75">
        <v>3.87</v>
      </c>
      <c r="J75">
        <v>96.1</v>
      </c>
      <c r="K75">
        <v>114.33</v>
      </c>
      <c r="L75">
        <v>4463.1000000000004</v>
      </c>
      <c r="M75">
        <v>2.7812984251840001</v>
      </c>
      <c r="N75">
        <v>1.65094336746</v>
      </c>
      <c r="O75">
        <v>3.9903550915999997</v>
      </c>
      <c r="P75">
        <v>4.1001386980000003</v>
      </c>
      <c r="Q75">
        <v>434.25</v>
      </c>
      <c r="R75" s="37">
        <v>30.428571428571452</v>
      </c>
      <c r="S75" s="37">
        <v>39.506210108676896</v>
      </c>
      <c r="T75" s="37">
        <v>14.499965543517725</v>
      </c>
      <c r="U75">
        <v>274.18664073173449</v>
      </c>
      <c r="V75">
        <v>69.539999999999992</v>
      </c>
    </row>
    <row r="76" spans="1:22">
      <c r="R76" s="37"/>
      <c r="S76" s="37"/>
      <c r="T76" s="37"/>
      <c r="U76" s="37"/>
      <c r="V76" s="37"/>
    </row>
    <row r="77" spans="1:22">
      <c r="R77" s="37"/>
      <c r="S77" s="37"/>
      <c r="T77" s="37"/>
      <c r="U77" s="37"/>
      <c r="V77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FD67-2FC0-4F30-B396-6685529C357B}">
  <dimension ref="A2:N75"/>
  <sheetViews>
    <sheetView workbookViewId="0">
      <selection activeCell="P17" sqref="P17"/>
    </sheetView>
  </sheetViews>
  <sheetFormatPr defaultRowHeight="14.5"/>
  <sheetData>
    <row r="2" spans="1:14">
      <c r="E2" s="154" t="s">
        <v>35</v>
      </c>
      <c r="F2" s="154"/>
    </row>
    <row r="3" spans="1:14" ht="15" thickBot="1">
      <c r="A3" t="s">
        <v>19</v>
      </c>
      <c r="B3" t="s">
        <v>36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</row>
    <row r="4" spans="1:14">
      <c r="A4" s="24">
        <v>2014</v>
      </c>
      <c r="B4" s="25">
        <v>1</v>
      </c>
      <c r="C4" s="26" t="s">
        <v>33</v>
      </c>
      <c r="D4" s="27">
        <v>0</v>
      </c>
      <c r="E4">
        <v>432.65684157901438</v>
      </c>
      <c r="F4">
        <v>368.86158844306755</v>
      </c>
      <c r="G4">
        <v>1.35</v>
      </c>
      <c r="H4">
        <v>1.1299999999999999</v>
      </c>
      <c r="I4">
        <v>3.42</v>
      </c>
      <c r="J4">
        <v>3.4</v>
      </c>
      <c r="K4">
        <v>0.99415204678362568</v>
      </c>
      <c r="L4">
        <v>10.76</v>
      </c>
      <c r="M4">
        <v>136.82</v>
      </c>
      <c r="N4">
        <v>5023.1477999999997</v>
      </c>
    </row>
    <row r="5" spans="1:14">
      <c r="A5" s="28">
        <v>2014</v>
      </c>
      <c r="B5" s="29">
        <v>1</v>
      </c>
      <c r="C5" t="s">
        <v>33</v>
      </c>
      <c r="D5" s="30">
        <v>150</v>
      </c>
      <c r="E5">
        <v>416.83130772394441</v>
      </c>
      <c r="F5">
        <v>347.50209570433725</v>
      </c>
      <c r="G5">
        <v>1.54</v>
      </c>
      <c r="H5">
        <v>1.32</v>
      </c>
      <c r="I5">
        <v>3.6</v>
      </c>
      <c r="J5">
        <v>3.71</v>
      </c>
      <c r="K5">
        <v>1.0305555555555554</v>
      </c>
      <c r="L5">
        <v>11.67</v>
      </c>
      <c r="M5">
        <v>159.89999999999998</v>
      </c>
      <c r="N5">
        <v>5110.05</v>
      </c>
    </row>
    <row r="6" spans="1:14">
      <c r="A6" s="28">
        <v>2014</v>
      </c>
      <c r="B6" s="29">
        <v>1</v>
      </c>
      <c r="C6" t="s">
        <v>33</v>
      </c>
      <c r="D6" s="30">
        <v>180</v>
      </c>
      <c r="E6">
        <v>402.15146041537287</v>
      </c>
      <c r="F6">
        <v>332.61169784448492</v>
      </c>
      <c r="G6">
        <v>1.85</v>
      </c>
      <c r="H6">
        <v>1.54</v>
      </c>
      <c r="I6">
        <v>4.07</v>
      </c>
      <c r="J6">
        <v>4.3099999999999996</v>
      </c>
      <c r="K6">
        <v>1.0589680589680588</v>
      </c>
      <c r="L6">
        <v>13.6</v>
      </c>
      <c r="M6">
        <v>175.48</v>
      </c>
      <c r="N6">
        <v>5308.0566000000008</v>
      </c>
    </row>
    <row r="7" spans="1:14">
      <c r="A7" s="28">
        <v>2014</v>
      </c>
      <c r="B7" s="29">
        <v>1</v>
      </c>
      <c r="C7" t="s">
        <v>33</v>
      </c>
      <c r="D7" s="30">
        <v>210</v>
      </c>
      <c r="E7">
        <v>392.18240964666575</v>
      </c>
      <c r="F7">
        <v>319.76243051361041</v>
      </c>
      <c r="G7">
        <v>1.72</v>
      </c>
      <c r="H7">
        <v>1.42</v>
      </c>
      <c r="I7">
        <v>3.91</v>
      </c>
      <c r="J7">
        <v>4.1500000000000004</v>
      </c>
      <c r="K7">
        <v>1.0613810741687979</v>
      </c>
      <c r="L7">
        <v>12.26</v>
      </c>
      <c r="M7">
        <v>159.37</v>
      </c>
      <c r="N7">
        <v>5754.6895999999997</v>
      </c>
    </row>
    <row r="8" spans="1:14">
      <c r="A8" s="28">
        <v>2014</v>
      </c>
      <c r="B8" s="29">
        <v>1</v>
      </c>
      <c r="C8" t="s">
        <v>34</v>
      </c>
      <c r="D8" s="30">
        <v>0</v>
      </c>
      <c r="E8">
        <v>389.19699784448494</v>
      </c>
      <c r="F8">
        <v>339.79046041537288</v>
      </c>
      <c r="G8">
        <v>1.58</v>
      </c>
      <c r="H8">
        <v>1.18</v>
      </c>
      <c r="I8">
        <v>3.46</v>
      </c>
      <c r="J8">
        <v>3.54</v>
      </c>
      <c r="K8">
        <v>1.023121387283237</v>
      </c>
      <c r="L8">
        <v>11.35</v>
      </c>
      <c r="M8">
        <v>128.26</v>
      </c>
      <c r="N8">
        <v>4578.3121999999994</v>
      </c>
    </row>
    <row r="9" spans="1:14">
      <c r="A9" s="28">
        <v>2014</v>
      </c>
      <c r="B9" s="29">
        <v>1</v>
      </c>
      <c r="C9" t="s">
        <v>34</v>
      </c>
      <c r="D9" s="30">
        <v>150</v>
      </c>
      <c r="E9">
        <v>387.72203051361055</v>
      </c>
      <c r="F9">
        <v>330.5300096466658</v>
      </c>
      <c r="G9">
        <v>1.6</v>
      </c>
      <c r="H9">
        <v>1.27</v>
      </c>
      <c r="I9">
        <v>3.67</v>
      </c>
      <c r="J9">
        <v>3.81</v>
      </c>
      <c r="K9">
        <v>1.0381471389645778</v>
      </c>
      <c r="L9">
        <v>11.96</v>
      </c>
      <c r="M9">
        <v>146.93</v>
      </c>
      <c r="N9">
        <v>4943.7696000000005</v>
      </c>
    </row>
    <row r="10" spans="1:14">
      <c r="A10" s="28">
        <v>2014</v>
      </c>
      <c r="B10" s="29">
        <v>1</v>
      </c>
      <c r="C10" t="s">
        <v>34</v>
      </c>
      <c r="D10" s="30">
        <v>180</v>
      </c>
      <c r="E10">
        <v>374.6906983579139</v>
      </c>
      <c r="F10">
        <v>317.13744237043153</v>
      </c>
      <c r="G10">
        <v>2.0499999999999998</v>
      </c>
      <c r="H10">
        <v>1.48</v>
      </c>
      <c r="I10">
        <v>4.13</v>
      </c>
      <c r="J10">
        <v>4.42</v>
      </c>
      <c r="K10">
        <v>1.0702179176755449</v>
      </c>
      <c r="L10">
        <v>13.94</v>
      </c>
      <c r="M10">
        <v>159.18</v>
      </c>
      <c r="N10">
        <v>4883.9537999999993</v>
      </c>
    </row>
    <row r="11" spans="1:14">
      <c r="A11" s="28">
        <v>2014</v>
      </c>
      <c r="B11" s="29">
        <v>1</v>
      </c>
      <c r="C11" t="s">
        <v>34</v>
      </c>
      <c r="D11" s="30">
        <v>210</v>
      </c>
      <c r="E11">
        <v>364.85718461016438</v>
      </c>
      <c r="F11">
        <v>317.00149916371402</v>
      </c>
      <c r="G11">
        <v>1.85</v>
      </c>
      <c r="H11">
        <v>1.33</v>
      </c>
      <c r="I11">
        <v>4.03</v>
      </c>
      <c r="J11">
        <v>4.28</v>
      </c>
      <c r="K11">
        <v>1.0620347394540943</v>
      </c>
      <c r="L11">
        <v>12.97</v>
      </c>
      <c r="M11">
        <v>148.44999999999999</v>
      </c>
      <c r="N11">
        <v>5366.7438000000002</v>
      </c>
    </row>
    <row r="12" spans="1:14">
      <c r="A12" s="28">
        <v>2014</v>
      </c>
      <c r="B12" s="29">
        <v>2</v>
      </c>
      <c r="C12" t="s">
        <v>33</v>
      </c>
      <c r="D12" s="30">
        <v>0</v>
      </c>
      <c r="E12">
        <v>447.04900456619305</v>
      </c>
      <c r="F12">
        <v>375.56378848541539</v>
      </c>
      <c r="G12">
        <v>1.37</v>
      </c>
      <c r="H12">
        <v>1.1499999999999999</v>
      </c>
      <c r="I12">
        <v>3.4000000000000004</v>
      </c>
      <c r="J12">
        <v>3.4200000000000004</v>
      </c>
      <c r="K12">
        <v>1.0058823529411764</v>
      </c>
      <c r="L12">
        <v>10.799999999999999</v>
      </c>
      <c r="M12">
        <v>146.44</v>
      </c>
      <c r="N12">
        <v>4923.4129999999996</v>
      </c>
    </row>
    <row r="13" spans="1:14">
      <c r="A13" s="28">
        <v>2014</v>
      </c>
      <c r="B13" s="29">
        <v>2</v>
      </c>
      <c r="C13" t="s">
        <v>33</v>
      </c>
      <c r="D13" s="30">
        <v>150</v>
      </c>
      <c r="E13">
        <v>430.45915935462034</v>
      </c>
      <c r="F13">
        <v>354.23970684617848</v>
      </c>
      <c r="G13">
        <v>1.56</v>
      </c>
      <c r="H13">
        <v>1.36</v>
      </c>
      <c r="I13">
        <v>3.6199999999999997</v>
      </c>
      <c r="J13">
        <v>3.7300000000000004</v>
      </c>
      <c r="K13">
        <v>1.0303867403314919</v>
      </c>
      <c r="L13">
        <v>11.69</v>
      </c>
      <c r="M13">
        <v>152.76</v>
      </c>
      <c r="N13">
        <v>5011.4856</v>
      </c>
    </row>
    <row r="14" spans="1:14">
      <c r="A14" s="28">
        <v>2014</v>
      </c>
      <c r="B14" s="29">
        <v>2</v>
      </c>
      <c r="C14" t="s">
        <v>33</v>
      </c>
      <c r="D14" s="30">
        <v>180</v>
      </c>
      <c r="E14">
        <v>415.55894649137639</v>
      </c>
      <c r="F14">
        <v>338.72903626935351</v>
      </c>
      <c r="G14">
        <v>1.87</v>
      </c>
      <c r="H14">
        <v>1.52</v>
      </c>
      <c r="I14">
        <v>4.09</v>
      </c>
      <c r="J14">
        <v>4.330000000000001</v>
      </c>
      <c r="K14">
        <v>1.0586797066014673</v>
      </c>
      <c r="L14">
        <v>13.62</v>
      </c>
      <c r="M14">
        <v>180.26000000000005</v>
      </c>
      <c r="N14">
        <v>5358.4673999999986</v>
      </c>
    </row>
    <row r="15" spans="1:14">
      <c r="A15" s="28">
        <v>2014</v>
      </c>
      <c r="B15" s="29">
        <v>2</v>
      </c>
      <c r="C15" t="s">
        <v>33</v>
      </c>
      <c r="D15" s="30">
        <v>210</v>
      </c>
      <c r="E15">
        <v>405.25291941282137</v>
      </c>
      <c r="F15">
        <v>325.80818819346331</v>
      </c>
      <c r="G15">
        <v>1.74</v>
      </c>
      <c r="H15">
        <v>1.44</v>
      </c>
      <c r="I15">
        <v>3.9299999999999997</v>
      </c>
      <c r="J15">
        <v>4.1899999999999995</v>
      </c>
      <c r="K15">
        <v>1.0661577608142494</v>
      </c>
      <c r="L15">
        <v>12.299999999999999</v>
      </c>
      <c r="M15">
        <v>159.07000000000002</v>
      </c>
      <c r="N15">
        <v>5813.7948000000006</v>
      </c>
    </row>
    <row r="16" spans="1:14">
      <c r="A16" s="28">
        <v>2014</v>
      </c>
      <c r="B16" s="29">
        <v>2</v>
      </c>
      <c r="C16" t="s">
        <v>34</v>
      </c>
      <c r="D16" s="30">
        <v>0</v>
      </c>
      <c r="E16">
        <v>402.01373626935344</v>
      </c>
      <c r="F16">
        <v>346.83994649137628</v>
      </c>
      <c r="G16">
        <v>1.6</v>
      </c>
      <c r="H16">
        <v>1.2</v>
      </c>
      <c r="I16">
        <v>3.4800000000000004</v>
      </c>
      <c r="J16">
        <v>3.5599999999999996</v>
      </c>
      <c r="K16">
        <v>1.0229885057471262</v>
      </c>
      <c r="L16">
        <v>11.37</v>
      </c>
      <c r="M16">
        <v>133.78000000000003</v>
      </c>
      <c r="N16">
        <v>4606.3599999999997</v>
      </c>
    </row>
    <row r="17" spans="1:14">
      <c r="A17" s="28">
        <v>2014</v>
      </c>
      <c r="B17" s="29">
        <v>2</v>
      </c>
      <c r="C17" t="s">
        <v>34</v>
      </c>
      <c r="D17" s="30">
        <v>150</v>
      </c>
      <c r="E17">
        <v>387.9085881934634</v>
      </c>
      <c r="F17">
        <v>337.26531941282133</v>
      </c>
      <c r="G17">
        <v>1.62</v>
      </c>
      <c r="H17">
        <v>1.31</v>
      </c>
      <c r="I17">
        <v>3.6500000000000004</v>
      </c>
      <c r="J17">
        <v>3.7899999999999996</v>
      </c>
      <c r="K17">
        <v>1.0383561643835615</v>
      </c>
      <c r="L17">
        <v>11.98</v>
      </c>
      <c r="M17">
        <v>144.57</v>
      </c>
      <c r="N17">
        <v>4914.9276</v>
      </c>
    </row>
    <row r="18" spans="1:14">
      <c r="A18" s="28">
        <v>2014</v>
      </c>
      <c r="B18" s="29">
        <v>2</v>
      </c>
      <c r="C18" t="s">
        <v>34</v>
      </c>
      <c r="D18" s="30">
        <v>180</v>
      </c>
      <c r="E18">
        <v>376.90772965219958</v>
      </c>
      <c r="F18">
        <v>323.29345092130092</v>
      </c>
      <c r="G18">
        <v>2.0700000000000003</v>
      </c>
      <c r="H18">
        <v>1.5</v>
      </c>
      <c r="I18">
        <v>4.1700000000000008</v>
      </c>
      <c r="J18">
        <v>4.4399999999999995</v>
      </c>
      <c r="K18">
        <v>1.0647482014388485</v>
      </c>
      <c r="L18">
        <v>13.980000000000002</v>
      </c>
      <c r="M18">
        <v>167.9</v>
      </c>
      <c r="N18">
        <v>4903.6833999999999</v>
      </c>
    </row>
    <row r="19" spans="1:14">
      <c r="A19" s="28">
        <v>2014</v>
      </c>
      <c r="B19" s="29">
        <v>2</v>
      </c>
      <c r="C19" t="s">
        <v>34</v>
      </c>
      <c r="D19" s="30">
        <v>210</v>
      </c>
      <c r="E19">
        <v>377.61946102866</v>
      </c>
      <c r="F19">
        <v>323.97994080505498</v>
      </c>
      <c r="G19">
        <v>1.8900000000000001</v>
      </c>
      <c r="H19">
        <v>1.35</v>
      </c>
      <c r="I19">
        <v>4.089999999999999</v>
      </c>
      <c r="J19">
        <v>4.3</v>
      </c>
      <c r="K19">
        <v>1.0513447432762839</v>
      </c>
      <c r="L19">
        <v>12.99</v>
      </c>
      <c r="M19">
        <v>152.59</v>
      </c>
      <c r="N19">
        <v>5347.4322000000002</v>
      </c>
    </row>
    <row r="20" spans="1:14">
      <c r="A20" s="28">
        <v>2014</v>
      </c>
      <c r="B20" s="29">
        <v>3</v>
      </c>
      <c r="C20" t="s">
        <v>33</v>
      </c>
      <c r="D20" s="30">
        <v>0</v>
      </c>
      <c r="E20">
        <v>439.85292307260374</v>
      </c>
      <c r="F20">
        <v>372.21268846424147</v>
      </c>
      <c r="G20">
        <v>1.36</v>
      </c>
      <c r="H20">
        <v>1.1399999999999999</v>
      </c>
      <c r="I20">
        <v>3.41</v>
      </c>
      <c r="J20">
        <v>3.41</v>
      </c>
      <c r="K20">
        <v>1</v>
      </c>
      <c r="L20">
        <v>10.78</v>
      </c>
      <c r="M20">
        <v>141.79</v>
      </c>
      <c r="N20">
        <v>4973.2803999999996</v>
      </c>
    </row>
    <row r="21" spans="1:14">
      <c r="A21" s="28">
        <v>2014</v>
      </c>
      <c r="B21" s="29">
        <v>3</v>
      </c>
      <c r="C21" t="s">
        <v>33</v>
      </c>
      <c r="D21" s="30">
        <v>150</v>
      </c>
      <c r="E21">
        <v>423.64523353928234</v>
      </c>
      <c r="F21">
        <v>350.87090127525789</v>
      </c>
      <c r="G21">
        <v>1.55</v>
      </c>
      <c r="H21">
        <v>1.34</v>
      </c>
      <c r="I21">
        <v>3.61</v>
      </c>
      <c r="J21">
        <v>3.72</v>
      </c>
      <c r="K21">
        <v>1.030470914127424</v>
      </c>
      <c r="L21">
        <v>11.68</v>
      </c>
      <c r="M21">
        <v>153.76</v>
      </c>
      <c r="N21">
        <v>5060.7677999999996</v>
      </c>
    </row>
    <row r="22" spans="1:14">
      <c r="A22" s="28">
        <v>2014</v>
      </c>
      <c r="B22" s="29">
        <v>3</v>
      </c>
      <c r="C22" t="s">
        <v>33</v>
      </c>
      <c r="D22" s="30">
        <v>180</v>
      </c>
      <c r="E22">
        <v>408.85520345337466</v>
      </c>
      <c r="F22">
        <v>335.67036705691919</v>
      </c>
      <c r="G22">
        <v>1.86</v>
      </c>
      <c r="H22">
        <v>1.53</v>
      </c>
      <c r="I22">
        <v>4.08</v>
      </c>
      <c r="J22">
        <v>4.32</v>
      </c>
      <c r="K22">
        <v>1.0588235294117647</v>
      </c>
      <c r="L22">
        <v>13.61</v>
      </c>
      <c r="M22">
        <v>186.16</v>
      </c>
      <c r="N22">
        <v>5333.2619999999997</v>
      </c>
    </row>
    <row r="23" spans="1:14">
      <c r="A23" s="28">
        <v>2014</v>
      </c>
      <c r="B23" s="29">
        <v>3</v>
      </c>
      <c r="C23" t="s">
        <v>33</v>
      </c>
      <c r="D23" s="30">
        <v>210</v>
      </c>
      <c r="E23">
        <v>398.71766452974356</v>
      </c>
      <c r="F23">
        <v>322.78530935353683</v>
      </c>
      <c r="G23">
        <v>1.73</v>
      </c>
      <c r="H23">
        <v>1.43</v>
      </c>
      <c r="I23">
        <v>3.92</v>
      </c>
      <c r="J23">
        <v>4.17</v>
      </c>
      <c r="K23">
        <v>1.0637755102040816</v>
      </c>
      <c r="L23">
        <v>12.28</v>
      </c>
      <c r="M23">
        <v>169.53</v>
      </c>
      <c r="N23">
        <v>5784.2422000000006</v>
      </c>
    </row>
    <row r="24" spans="1:14">
      <c r="A24" s="28">
        <v>2014</v>
      </c>
      <c r="B24" s="29">
        <v>3</v>
      </c>
      <c r="C24" t="s">
        <v>34</v>
      </c>
      <c r="D24" s="30">
        <v>0</v>
      </c>
      <c r="E24">
        <v>395.60536705691919</v>
      </c>
      <c r="F24">
        <v>343.31520345337458</v>
      </c>
      <c r="G24">
        <v>1.59</v>
      </c>
      <c r="H24">
        <v>1.19</v>
      </c>
      <c r="I24">
        <v>3.47</v>
      </c>
      <c r="J24">
        <v>3.55</v>
      </c>
      <c r="K24">
        <v>1.0230547550432276</v>
      </c>
      <c r="L24">
        <v>11.36</v>
      </c>
      <c r="M24">
        <v>136.88</v>
      </c>
      <c r="N24">
        <v>4592.3360999999995</v>
      </c>
    </row>
    <row r="25" spans="1:14">
      <c r="A25" s="28">
        <v>2014</v>
      </c>
      <c r="B25" s="29">
        <v>3</v>
      </c>
      <c r="C25" t="s">
        <v>34</v>
      </c>
      <c r="D25" s="30">
        <v>150</v>
      </c>
      <c r="E25">
        <v>387.81530935353697</v>
      </c>
      <c r="F25">
        <v>333.89766452974357</v>
      </c>
      <c r="G25">
        <v>1.61</v>
      </c>
      <c r="H25">
        <v>1.29</v>
      </c>
      <c r="I25">
        <v>3.66</v>
      </c>
      <c r="J25">
        <v>3.8</v>
      </c>
      <c r="K25">
        <v>1.0382513661202184</v>
      </c>
      <c r="L25">
        <v>11.97</v>
      </c>
      <c r="M25">
        <v>141.6</v>
      </c>
      <c r="N25">
        <v>4929.3486000000003</v>
      </c>
    </row>
    <row r="26" spans="1:14">
      <c r="A26" s="28">
        <v>2014</v>
      </c>
      <c r="B26" s="29">
        <v>3</v>
      </c>
      <c r="C26" t="s">
        <v>34</v>
      </c>
      <c r="D26" s="30">
        <v>180</v>
      </c>
      <c r="E26">
        <v>375.79921400505674</v>
      </c>
      <c r="F26">
        <v>320.21544664586622</v>
      </c>
      <c r="G26">
        <v>2.06</v>
      </c>
      <c r="H26">
        <v>1.49</v>
      </c>
      <c r="I26">
        <v>4.1500000000000004</v>
      </c>
      <c r="J26">
        <v>4.43</v>
      </c>
      <c r="K26">
        <v>1.0674698795180722</v>
      </c>
      <c r="L26">
        <v>13.96</v>
      </c>
      <c r="M26">
        <v>166.11</v>
      </c>
      <c r="N26">
        <v>4893.8185999999996</v>
      </c>
    </row>
    <row r="27" spans="1:14" ht="15" thickBot="1">
      <c r="A27" s="31">
        <v>2014</v>
      </c>
      <c r="B27" s="32">
        <v>3</v>
      </c>
      <c r="C27" s="33" t="s">
        <v>34</v>
      </c>
      <c r="D27" s="34">
        <v>210</v>
      </c>
      <c r="E27">
        <v>371.23832281941219</v>
      </c>
      <c r="F27">
        <v>320.4907199843845</v>
      </c>
      <c r="G27">
        <v>1.87</v>
      </c>
      <c r="H27">
        <v>1.34</v>
      </c>
      <c r="I27">
        <v>4.0599999999999996</v>
      </c>
      <c r="J27">
        <v>4.29</v>
      </c>
      <c r="K27">
        <v>1.0566502463054188</v>
      </c>
      <c r="L27">
        <v>12.98</v>
      </c>
      <c r="M27">
        <v>161.21</v>
      </c>
      <c r="N27">
        <v>5357.0879999999997</v>
      </c>
    </row>
    <row r="28" spans="1:14">
      <c r="A28" s="24">
        <v>2015</v>
      </c>
      <c r="B28" s="25">
        <v>1</v>
      </c>
      <c r="C28" s="26" t="s">
        <v>33</v>
      </c>
      <c r="D28" s="27">
        <v>0</v>
      </c>
      <c r="E28">
        <v>298.38186404701901</v>
      </c>
      <c r="F28">
        <v>330.03214956115903</v>
      </c>
      <c r="G28">
        <v>1.64</v>
      </c>
      <c r="H28">
        <v>1.37</v>
      </c>
      <c r="I28">
        <v>3.7</v>
      </c>
      <c r="J28">
        <v>3.71</v>
      </c>
      <c r="K28">
        <v>1.0027027027027027</v>
      </c>
      <c r="L28">
        <v>11.9</v>
      </c>
      <c r="M28">
        <v>89.08359999999999</v>
      </c>
      <c r="N28">
        <v>4381.7250000000004</v>
      </c>
    </row>
    <row r="29" spans="1:14">
      <c r="A29" s="28">
        <v>2015</v>
      </c>
      <c r="B29" s="29">
        <v>1</v>
      </c>
      <c r="C29" t="s">
        <v>33</v>
      </c>
      <c r="D29" s="30">
        <v>150</v>
      </c>
      <c r="E29">
        <v>281.51739448348798</v>
      </c>
      <c r="F29">
        <v>328.45</v>
      </c>
      <c r="G29">
        <v>1.87</v>
      </c>
      <c r="H29">
        <v>1.61</v>
      </c>
      <c r="I29">
        <v>3.9</v>
      </c>
      <c r="J29">
        <v>4.0199999999999996</v>
      </c>
      <c r="K29">
        <v>1.0307692307692307</v>
      </c>
      <c r="L29">
        <v>12.41</v>
      </c>
      <c r="M29">
        <v>97.701999999999998</v>
      </c>
      <c r="N29">
        <v>4451.1000000000004</v>
      </c>
    </row>
    <row r="30" spans="1:14">
      <c r="A30" s="28">
        <v>2015</v>
      </c>
      <c r="B30" s="29">
        <v>1</v>
      </c>
      <c r="C30" t="s">
        <v>33</v>
      </c>
      <c r="D30" s="30">
        <v>180</v>
      </c>
      <c r="E30">
        <v>273.36348439251901</v>
      </c>
      <c r="F30">
        <v>326.61</v>
      </c>
      <c r="G30">
        <v>2.17</v>
      </c>
      <c r="H30">
        <v>1.68</v>
      </c>
      <c r="I30">
        <v>4.26</v>
      </c>
      <c r="J30">
        <v>4.51</v>
      </c>
      <c r="K30">
        <v>1.0586854460093897</v>
      </c>
      <c r="L30">
        <v>13.65</v>
      </c>
      <c r="M30">
        <v>127.97040000000001</v>
      </c>
      <c r="N30">
        <v>5200.9549999999999</v>
      </c>
    </row>
    <row r="31" spans="1:14">
      <c r="A31" s="28">
        <v>2015</v>
      </c>
      <c r="B31" s="29">
        <v>1</v>
      </c>
      <c r="C31" t="s">
        <v>33</v>
      </c>
      <c r="D31" s="30">
        <v>210</v>
      </c>
      <c r="E31">
        <v>281.75781100000006</v>
      </c>
      <c r="F31">
        <v>330.88</v>
      </c>
      <c r="G31">
        <v>2.0499999999999998</v>
      </c>
      <c r="H31">
        <v>1.53</v>
      </c>
      <c r="I31">
        <v>4.12</v>
      </c>
      <c r="J31">
        <v>4.37</v>
      </c>
      <c r="K31">
        <v>1.0606796116504855</v>
      </c>
      <c r="L31">
        <v>13.25</v>
      </c>
      <c r="M31">
        <v>110.18259999999999</v>
      </c>
      <c r="N31">
        <v>4681.0050000000001</v>
      </c>
    </row>
    <row r="32" spans="1:14">
      <c r="A32" s="28">
        <v>2015</v>
      </c>
      <c r="B32" s="29">
        <v>1</v>
      </c>
      <c r="C32" t="s">
        <v>34</v>
      </c>
      <c r="D32" s="30">
        <v>0</v>
      </c>
      <c r="E32">
        <v>257.62390486010901</v>
      </c>
      <c r="F32">
        <v>292.34999999999997</v>
      </c>
      <c r="G32">
        <v>1.87</v>
      </c>
      <c r="H32">
        <v>1.42</v>
      </c>
      <c r="I32">
        <v>3.78</v>
      </c>
      <c r="J32">
        <v>3.86</v>
      </c>
      <c r="K32">
        <v>1.0211640211640212</v>
      </c>
      <c r="L32">
        <v>12.37</v>
      </c>
      <c r="M32">
        <v>77.694800000000001</v>
      </c>
      <c r="N32">
        <v>3832</v>
      </c>
    </row>
    <row r="33" spans="1:14">
      <c r="A33" s="28">
        <v>2015</v>
      </c>
      <c r="B33" s="29">
        <v>1</v>
      </c>
      <c r="C33" t="s">
        <v>34</v>
      </c>
      <c r="D33" s="30">
        <v>150</v>
      </c>
      <c r="E33">
        <v>243.60927000000001</v>
      </c>
      <c r="F33">
        <v>291.64</v>
      </c>
      <c r="G33">
        <v>1.94</v>
      </c>
      <c r="H33">
        <v>1.63</v>
      </c>
      <c r="I33">
        <v>3.94</v>
      </c>
      <c r="J33">
        <v>4.1100000000000003</v>
      </c>
      <c r="K33">
        <v>1.0431472081218276</v>
      </c>
      <c r="L33">
        <v>12.96</v>
      </c>
      <c r="M33">
        <v>83.991399999999999</v>
      </c>
      <c r="N33">
        <v>3810.355</v>
      </c>
    </row>
    <row r="34" spans="1:14">
      <c r="A34" s="28">
        <v>2015</v>
      </c>
      <c r="B34" s="29">
        <v>1</v>
      </c>
      <c r="C34" t="s">
        <v>34</v>
      </c>
      <c r="D34" s="30">
        <v>180</v>
      </c>
      <c r="E34">
        <v>241.32569080134701</v>
      </c>
      <c r="F34">
        <v>278.86</v>
      </c>
      <c r="G34">
        <v>2.35</v>
      </c>
      <c r="H34">
        <v>1.85</v>
      </c>
      <c r="I34">
        <v>4.43</v>
      </c>
      <c r="J34">
        <v>4.74</v>
      </c>
      <c r="K34">
        <v>1.0699774266365689</v>
      </c>
      <c r="L34">
        <v>14.63</v>
      </c>
      <c r="M34">
        <v>112.99640000000001</v>
      </c>
      <c r="N34">
        <v>4787.954999999999</v>
      </c>
    </row>
    <row r="35" spans="1:14">
      <c r="A35" s="28">
        <v>2015</v>
      </c>
      <c r="B35" s="29">
        <v>1</v>
      </c>
      <c r="C35" t="s">
        <v>34</v>
      </c>
      <c r="D35" s="30">
        <v>210</v>
      </c>
      <c r="E35">
        <v>231.25690801347</v>
      </c>
      <c r="F35">
        <v>281.58999999999997</v>
      </c>
      <c r="G35">
        <v>2.21</v>
      </c>
      <c r="H35">
        <v>1.72</v>
      </c>
      <c r="I35">
        <v>4.2699999999999996</v>
      </c>
      <c r="J35">
        <v>4.58</v>
      </c>
      <c r="K35">
        <v>1.0725995316159251</v>
      </c>
      <c r="L35">
        <v>14.06</v>
      </c>
      <c r="M35">
        <v>78.480999999999995</v>
      </c>
      <c r="N35">
        <v>4309.6549999999997</v>
      </c>
    </row>
    <row r="36" spans="1:14">
      <c r="A36" s="28">
        <v>2015</v>
      </c>
      <c r="B36" s="29">
        <v>2</v>
      </c>
      <c r="C36" t="s">
        <v>33</v>
      </c>
      <c r="D36" s="30">
        <v>0</v>
      </c>
      <c r="E36">
        <v>283.18186404701902</v>
      </c>
      <c r="F36">
        <v>337.51214956115899</v>
      </c>
      <c r="G36">
        <v>1.6801841740000005</v>
      </c>
      <c r="H36">
        <v>1.41879836772</v>
      </c>
      <c r="I36">
        <v>3.7154012463599999</v>
      </c>
      <c r="J36">
        <v>3.69104596768</v>
      </c>
      <c r="K36">
        <v>0.99344477835230827</v>
      </c>
      <c r="L36">
        <v>11.953808791199998</v>
      </c>
      <c r="M36">
        <v>90.596400000000003</v>
      </c>
      <c r="N36">
        <v>4487.6749999999993</v>
      </c>
    </row>
    <row r="37" spans="1:14">
      <c r="A37" s="28">
        <v>2015</v>
      </c>
      <c r="B37" s="29">
        <v>2</v>
      </c>
      <c r="C37" t="s">
        <v>33</v>
      </c>
      <c r="D37" s="30">
        <v>150</v>
      </c>
      <c r="E37">
        <v>290.9173944834879</v>
      </c>
      <c r="F37">
        <v>331.09</v>
      </c>
      <c r="G37">
        <v>1.8347932316</v>
      </c>
      <c r="H37">
        <v>1.5691085119999999</v>
      </c>
      <c r="I37">
        <v>3.9170464602400004</v>
      </c>
      <c r="J37">
        <v>3.9788242208000009</v>
      </c>
      <c r="K37">
        <v>1.0157715159079872</v>
      </c>
      <c r="L37">
        <v>12.47506752</v>
      </c>
      <c r="M37">
        <v>108.03800000000001</v>
      </c>
      <c r="N37">
        <v>4504.3999999999996</v>
      </c>
    </row>
    <row r="38" spans="1:14">
      <c r="A38" s="28">
        <v>2015</v>
      </c>
      <c r="B38" s="29">
        <v>2</v>
      </c>
      <c r="C38" t="s">
        <v>33</v>
      </c>
      <c r="D38" s="30">
        <v>180</v>
      </c>
      <c r="E38">
        <v>283.16348439251902</v>
      </c>
      <c r="F38">
        <v>323.34999999999997</v>
      </c>
      <c r="G38">
        <v>2.15447291</v>
      </c>
      <c r="H38">
        <v>1.7010540327999999</v>
      </c>
      <c r="I38">
        <v>4.3073098017600007</v>
      </c>
      <c r="J38">
        <v>4.536221728000001</v>
      </c>
      <c r="K38">
        <v>1.0531449876548153</v>
      </c>
      <c r="L38">
        <v>13.691019727999999</v>
      </c>
      <c r="M38">
        <v>142.50959999999998</v>
      </c>
      <c r="N38">
        <v>5081.8050000000003</v>
      </c>
    </row>
    <row r="39" spans="1:14">
      <c r="A39" s="28">
        <v>2015</v>
      </c>
      <c r="B39" s="29">
        <v>2</v>
      </c>
      <c r="C39" t="s">
        <v>33</v>
      </c>
      <c r="D39" s="30">
        <v>210</v>
      </c>
      <c r="E39">
        <v>281.15781100000004</v>
      </c>
      <c r="F39">
        <v>336.32</v>
      </c>
      <c r="G39">
        <v>2.0032946244000005</v>
      </c>
      <c r="H39">
        <v>1.54932403</v>
      </c>
      <c r="I39">
        <v>4.1321080088000004</v>
      </c>
      <c r="J39">
        <v>4.3818539519999993</v>
      </c>
      <c r="K39">
        <v>1.0604403231154955</v>
      </c>
      <c r="L39">
        <v>13.270301068824001</v>
      </c>
      <c r="M39">
        <v>117.57740000000001</v>
      </c>
      <c r="N39">
        <v>4736.2550000000001</v>
      </c>
    </row>
    <row r="40" spans="1:14">
      <c r="A40" s="28">
        <v>2015</v>
      </c>
      <c r="B40" s="29">
        <v>2</v>
      </c>
      <c r="C40" t="s">
        <v>34</v>
      </c>
      <c r="D40" s="30">
        <v>0</v>
      </c>
      <c r="E40">
        <v>257.02390486010898</v>
      </c>
      <c r="F40">
        <v>302.79000000000002</v>
      </c>
      <c r="G40">
        <v>1.9103677660000002</v>
      </c>
      <c r="H40">
        <v>1.4558342800000004</v>
      </c>
      <c r="I40">
        <v>3.7664894614400004</v>
      </c>
      <c r="J40">
        <v>3.8348427776</v>
      </c>
      <c r="K40">
        <v>1.0181477518680928</v>
      </c>
      <c r="L40">
        <v>12.380476136</v>
      </c>
      <c r="M40">
        <v>73.605199999999996</v>
      </c>
      <c r="N40">
        <v>3946.8</v>
      </c>
    </row>
    <row r="41" spans="1:14">
      <c r="A41" s="28">
        <v>2015</v>
      </c>
      <c r="B41" s="29">
        <v>2</v>
      </c>
      <c r="C41" t="s">
        <v>34</v>
      </c>
      <c r="D41" s="30">
        <v>150</v>
      </c>
      <c r="E41">
        <v>242.60927000000001</v>
      </c>
      <c r="F41">
        <v>291.14</v>
      </c>
      <c r="G41">
        <v>1.8809204972000004</v>
      </c>
      <c r="H41">
        <v>1.6515485503200003</v>
      </c>
      <c r="I41">
        <v>3.9760818416000006</v>
      </c>
      <c r="J41">
        <v>4.0804034592000002</v>
      </c>
      <c r="K41">
        <v>1.0262372913224593</v>
      </c>
      <c r="L41">
        <v>13.006135439999998</v>
      </c>
      <c r="M41">
        <v>77.448600000000013</v>
      </c>
      <c r="N41">
        <v>4163.3050000000003</v>
      </c>
    </row>
    <row r="42" spans="1:14">
      <c r="A42" s="28">
        <v>2015</v>
      </c>
      <c r="B42" s="29">
        <v>2</v>
      </c>
      <c r="C42" t="s">
        <v>34</v>
      </c>
      <c r="D42" s="30">
        <v>180</v>
      </c>
      <c r="E42">
        <v>249.72569080134701</v>
      </c>
      <c r="F42">
        <v>284.25</v>
      </c>
      <c r="G42">
        <v>2.3703435516</v>
      </c>
      <c r="H42">
        <v>1.8078719861480002</v>
      </c>
      <c r="I42">
        <v>4.4628061432000017</v>
      </c>
      <c r="J42">
        <v>4.7562313599999992</v>
      </c>
      <c r="K42">
        <v>1.0657490393677733</v>
      </c>
      <c r="L42">
        <v>14.651695200000001</v>
      </c>
      <c r="M42">
        <v>104.52359999999999</v>
      </c>
      <c r="N42">
        <v>4611.5050000000001</v>
      </c>
    </row>
    <row r="43" spans="1:14">
      <c r="A43" s="28">
        <v>2015</v>
      </c>
      <c r="B43" s="29">
        <v>2</v>
      </c>
      <c r="C43" t="s">
        <v>34</v>
      </c>
      <c r="D43" s="30">
        <v>210</v>
      </c>
      <c r="E43">
        <v>259.56908013470002</v>
      </c>
      <c r="F43">
        <v>290.60999999999996</v>
      </c>
      <c r="G43">
        <v>2.1814257429259998</v>
      </c>
      <c r="H43">
        <v>1.7425348267999998</v>
      </c>
      <c r="I43">
        <v>4.2424309720000011</v>
      </c>
      <c r="J43">
        <v>4.5998596227200004</v>
      </c>
      <c r="K43">
        <v>1.0842509054546849</v>
      </c>
      <c r="L43">
        <v>14.094209231999999</v>
      </c>
      <c r="M43">
        <v>83.59899999999999</v>
      </c>
      <c r="N43">
        <v>4257.4049999999997</v>
      </c>
    </row>
    <row r="44" spans="1:14">
      <c r="A44" s="28">
        <v>2015</v>
      </c>
      <c r="B44" s="29">
        <v>3</v>
      </c>
      <c r="C44" t="s">
        <v>33</v>
      </c>
      <c r="D44" s="30">
        <v>0</v>
      </c>
      <c r="E44">
        <v>290.78186404701898</v>
      </c>
      <c r="F44">
        <v>333.77214956115904</v>
      </c>
      <c r="G44">
        <v>1.6600920870000002</v>
      </c>
      <c r="H44">
        <v>1.3943991838600001</v>
      </c>
      <c r="I44">
        <v>3.70770062318</v>
      </c>
      <c r="J44">
        <v>3.70052298384</v>
      </c>
      <c r="K44">
        <v>0.99806412651142151</v>
      </c>
      <c r="L44">
        <v>11.926904395599999</v>
      </c>
      <c r="M44">
        <v>89.84</v>
      </c>
      <c r="N44">
        <v>4434.7</v>
      </c>
    </row>
    <row r="45" spans="1:14">
      <c r="A45" s="28">
        <v>2015</v>
      </c>
      <c r="B45" s="29">
        <v>3</v>
      </c>
      <c r="C45" t="s">
        <v>33</v>
      </c>
      <c r="D45" s="30">
        <v>150</v>
      </c>
      <c r="E45">
        <v>286.21739448348796</v>
      </c>
      <c r="F45">
        <v>329.77</v>
      </c>
      <c r="G45">
        <v>1.8523966158</v>
      </c>
      <c r="H45">
        <v>1.589554256</v>
      </c>
      <c r="I45">
        <v>3.9085232301200001</v>
      </c>
      <c r="J45">
        <v>3.9994121104000002</v>
      </c>
      <c r="K45">
        <v>1.0232540207461449</v>
      </c>
      <c r="L45">
        <v>12.44253376</v>
      </c>
      <c r="M45">
        <v>102.87</v>
      </c>
      <c r="N45">
        <v>4477.75</v>
      </c>
    </row>
    <row r="46" spans="1:14">
      <c r="A46" s="28">
        <v>2015</v>
      </c>
      <c r="B46" s="29">
        <v>3</v>
      </c>
      <c r="C46" t="s">
        <v>33</v>
      </c>
      <c r="D46" s="30">
        <v>180</v>
      </c>
      <c r="E46">
        <v>278.26348439251899</v>
      </c>
      <c r="F46">
        <v>324.98</v>
      </c>
      <c r="G46">
        <v>2.1622364549999999</v>
      </c>
      <c r="H46">
        <v>1.6905270163999999</v>
      </c>
      <c r="I46">
        <v>4.2836549008800002</v>
      </c>
      <c r="J46">
        <v>4.5231108640000004</v>
      </c>
      <c r="K46">
        <v>1.0558999192653937</v>
      </c>
      <c r="L46">
        <v>13.670509864</v>
      </c>
      <c r="M46">
        <v>135.24</v>
      </c>
      <c r="N46">
        <v>5141.38</v>
      </c>
    </row>
    <row r="47" spans="1:14">
      <c r="A47" s="28">
        <v>2015</v>
      </c>
      <c r="B47" s="29">
        <v>3</v>
      </c>
      <c r="C47" t="s">
        <v>33</v>
      </c>
      <c r="D47" s="30">
        <v>210</v>
      </c>
      <c r="E47">
        <v>281.45781100000005</v>
      </c>
      <c r="F47">
        <v>333.6</v>
      </c>
      <c r="G47">
        <v>2.0266473122000002</v>
      </c>
      <c r="H47">
        <v>1.539662015</v>
      </c>
      <c r="I47">
        <v>4.1260540044000003</v>
      </c>
      <c r="J47">
        <v>4.3759269759999997</v>
      </c>
      <c r="K47">
        <v>1.0605597918334408</v>
      </c>
      <c r="L47">
        <v>13.260150534412</v>
      </c>
      <c r="M47">
        <v>113.88</v>
      </c>
      <c r="N47">
        <v>4708.63</v>
      </c>
    </row>
    <row r="48" spans="1:14">
      <c r="A48" s="28">
        <v>2015</v>
      </c>
      <c r="B48" s="29">
        <v>3</v>
      </c>
      <c r="C48" t="s">
        <v>34</v>
      </c>
      <c r="D48" s="30">
        <v>0</v>
      </c>
      <c r="E48">
        <v>257.323904860109</v>
      </c>
      <c r="F48">
        <v>297.57</v>
      </c>
      <c r="G48">
        <v>1.8901838830000002</v>
      </c>
      <c r="H48">
        <v>1.4379171400000001</v>
      </c>
      <c r="I48">
        <v>3.7732447307200001</v>
      </c>
      <c r="J48">
        <v>3.8474213888</v>
      </c>
      <c r="K48">
        <v>1.0196585865412036</v>
      </c>
      <c r="L48">
        <v>12.375238068</v>
      </c>
      <c r="M48">
        <v>75.650000000000006</v>
      </c>
      <c r="N48">
        <v>3889.4</v>
      </c>
    </row>
    <row r="49" spans="1:14">
      <c r="A49" s="28">
        <v>2015</v>
      </c>
      <c r="B49" s="29">
        <v>3</v>
      </c>
      <c r="C49" t="s">
        <v>34</v>
      </c>
      <c r="D49" s="30">
        <v>150</v>
      </c>
      <c r="E49">
        <v>243.10927000000001</v>
      </c>
      <c r="F49">
        <v>291.39</v>
      </c>
      <c r="G49">
        <v>1.9104602486000002</v>
      </c>
      <c r="H49">
        <v>1.6407742751600001</v>
      </c>
      <c r="I49">
        <v>3.9580409208000003</v>
      </c>
      <c r="J49">
        <v>4.0952017296000003</v>
      </c>
      <c r="K49">
        <v>1.0346537116580081</v>
      </c>
      <c r="L49">
        <v>12.983067719999999</v>
      </c>
      <c r="M49">
        <v>80.72</v>
      </c>
      <c r="N49">
        <v>3986.83</v>
      </c>
    </row>
    <row r="50" spans="1:14">
      <c r="A50" s="28">
        <v>2015</v>
      </c>
      <c r="B50" s="29">
        <v>3</v>
      </c>
      <c r="C50" t="s">
        <v>34</v>
      </c>
      <c r="D50" s="30">
        <v>180</v>
      </c>
      <c r="E50">
        <v>245.52569080134703</v>
      </c>
      <c r="F50">
        <v>281.55500000000001</v>
      </c>
      <c r="G50">
        <v>2.3601717758</v>
      </c>
      <c r="H50">
        <v>1.8289359930740001</v>
      </c>
      <c r="I50">
        <v>4.4464030716000007</v>
      </c>
      <c r="J50">
        <v>4.7481156799999997</v>
      </c>
      <c r="K50">
        <v>1.0678554336036454</v>
      </c>
      <c r="L50">
        <v>14.640847600000001</v>
      </c>
      <c r="M50">
        <v>108.77</v>
      </c>
      <c r="N50">
        <v>4699.7299999999996</v>
      </c>
    </row>
    <row r="51" spans="1:14" ht="15" thickBot="1">
      <c r="A51" s="31">
        <v>2015</v>
      </c>
      <c r="B51" s="32">
        <v>3</v>
      </c>
      <c r="C51" s="33" t="s">
        <v>34</v>
      </c>
      <c r="D51" s="34">
        <v>210</v>
      </c>
      <c r="E51">
        <v>245.41299407408502</v>
      </c>
      <c r="F51">
        <v>286.09999999999997</v>
      </c>
      <c r="G51">
        <v>2.1957128714629999</v>
      </c>
      <c r="H51">
        <v>1.7312674133999999</v>
      </c>
      <c r="I51">
        <v>4.2562154860000003</v>
      </c>
      <c r="J51">
        <v>4.5899298113600002</v>
      </c>
      <c r="K51">
        <v>1.0784063510077646</v>
      </c>
      <c r="L51">
        <v>14.077104616</v>
      </c>
      <c r="M51">
        <v>81.040000000000006</v>
      </c>
      <c r="N51">
        <v>4283.53</v>
      </c>
    </row>
    <row r="52" spans="1:14">
      <c r="A52">
        <v>2016</v>
      </c>
      <c r="B52" s="25">
        <v>1</v>
      </c>
      <c r="C52" s="26" t="s">
        <v>33</v>
      </c>
      <c r="D52" s="27">
        <v>0</v>
      </c>
      <c r="E52">
        <v>340.28846126657555</v>
      </c>
      <c r="F52">
        <v>300.32149561159002</v>
      </c>
      <c r="G52">
        <v>2.6876669887999998</v>
      </c>
      <c r="H52">
        <v>1.5230719880000001</v>
      </c>
      <c r="I52">
        <v>3.8934024288</v>
      </c>
      <c r="J52">
        <v>3.9420383999999999</v>
      </c>
      <c r="K52">
        <v>1.0124918941952246</v>
      </c>
      <c r="L52">
        <v>13.667236559999999</v>
      </c>
      <c r="M52">
        <v>108.592764</v>
      </c>
      <c r="N52">
        <v>4505</v>
      </c>
    </row>
    <row r="53" spans="1:14">
      <c r="A53">
        <v>2016</v>
      </c>
      <c r="B53" s="29">
        <v>1</v>
      </c>
      <c r="C53" t="s">
        <v>33</v>
      </c>
      <c r="D53" s="30">
        <v>150</v>
      </c>
      <c r="E53">
        <v>325.59500000000003</v>
      </c>
      <c r="F53">
        <v>293.39999999999998</v>
      </c>
      <c r="G53">
        <v>2.7081044147199997</v>
      </c>
      <c r="H53">
        <v>1.5279091199999999</v>
      </c>
      <c r="I53">
        <v>3.9153222751999999</v>
      </c>
      <c r="J53">
        <v>3.9620777601600001</v>
      </c>
      <c r="K53">
        <v>1.0119416695928591</v>
      </c>
      <c r="L53">
        <v>13.423627680000001</v>
      </c>
      <c r="M53">
        <v>126.82498000000001</v>
      </c>
      <c r="N53">
        <v>4949.75</v>
      </c>
    </row>
    <row r="54" spans="1:14">
      <c r="A54">
        <v>2016</v>
      </c>
      <c r="B54" s="29">
        <v>1</v>
      </c>
      <c r="C54" t="s">
        <v>33</v>
      </c>
      <c r="D54" s="30">
        <v>180</v>
      </c>
      <c r="E54">
        <v>306.73</v>
      </c>
      <c r="F54">
        <v>284.61</v>
      </c>
      <c r="G54">
        <v>2.9538620527999999</v>
      </c>
      <c r="H54">
        <v>1.7083657299999999</v>
      </c>
      <c r="I54">
        <v>3.9615230312</v>
      </c>
      <c r="J54">
        <v>4.1982257636</v>
      </c>
      <c r="K54">
        <v>1.0597504370253021</v>
      </c>
      <c r="L54">
        <v>14.499508151999999</v>
      </c>
      <c r="M54">
        <v>168.66679240000002</v>
      </c>
      <c r="N54">
        <v>5660.38</v>
      </c>
    </row>
    <row r="55" spans="1:14">
      <c r="A55">
        <v>2016</v>
      </c>
      <c r="B55" s="29">
        <v>1</v>
      </c>
      <c r="C55" t="s">
        <v>33</v>
      </c>
      <c r="D55" s="30">
        <v>210</v>
      </c>
      <c r="E55">
        <v>321.46999999999997</v>
      </c>
      <c r="F55">
        <v>283.88</v>
      </c>
      <c r="G55">
        <v>2.9384693120000001</v>
      </c>
      <c r="H55">
        <v>1.5965930373199999</v>
      </c>
      <c r="I55">
        <v>3.8737078980000001</v>
      </c>
      <c r="J55">
        <v>4.0366433153600001</v>
      </c>
      <c r="K55">
        <v>1.0420618749916903</v>
      </c>
      <c r="L55">
        <v>14.049674640000001</v>
      </c>
      <c r="M55">
        <v>136.78077400000001</v>
      </c>
      <c r="N55">
        <v>5058.25</v>
      </c>
    </row>
    <row r="56" spans="1:14">
      <c r="A56">
        <v>2016</v>
      </c>
      <c r="B56" s="29">
        <v>1</v>
      </c>
      <c r="C56" t="s">
        <v>34</v>
      </c>
      <c r="D56" s="30">
        <v>0</v>
      </c>
      <c r="E56">
        <v>315.98950000000002</v>
      </c>
      <c r="F56">
        <v>296.35000000000002</v>
      </c>
      <c r="G56">
        <v>2.4928437970799999</v>
      </c>
      <c r="H56">
        <v>1.432801328</v>
      </c>
      <c r="I56">
        <v>3.6539657999999999</v>
      </c>
      <c r="J56">
        <v>3.7055772095999999</v>
      </c>
      <c r="K56">
        <v>1.0141247653713672</v>
      </c>
      <c r="L56">
        <v>13.494408000000002</v>
      </c>
      <c r="M56">
        <v>97.917851999999996</v>
      </c>
      <c r="N56">
        <v>4237.45</v>
      </c>
    </row>
    <row r="57" spans="1:14">
      <c r="A57">
        <v>2016</v>
      </c>
      <c r="B57" s="29">
        <v>1</v>
      </c>
      <c r="C57" t="s">
        <v>34</v>
      </c>
      <c r="D57" s="30">
        <v>150</v>
      </c>
      <c r="E57">
        <v>327.89</v>
      </c>
      <c r="F57">
        <v>283.64</v>
      </c>
      <c r="G57">
        <v>2.6183003795199999</v>
      </c>
      <c r="H57">
        <v>1.4659477000000001</v>
      </c>
      <c r="I57">
        <v>3.81022233832</v>
      </c>
      <c r="J57">
        <v>3.8999523599999999</v>
      </c>
      <c r="K57">
        <v>1.0235498125076774</v>
      </c>
      <c r="L57">
        <v>13.6365888</v>
      </c>
      <c r="M57">
        <v>112.951486</v>
      </c>
      <c r="N57">
        <v>4482.3500000000004</v>
      </c>
    </row>
    <row r="58" spans="1:14">
      <c r="A58">
        <v>2016</v>
      </c>
      <c r="B58" s="29">
        <v>1</v>
      </c>
      <c r="C58" t="s">
        <v>34</v>
      </c>
      <c r="D58" s="30">
        <v>180</v>
      </c>
      <c r="E58">
        <v>316.11750000000001</v>
      </c>
      <c r="F58">
        <v>290.86</v>
      </c>
      <c r="G58">
        <v>2.7411903140800002</v>
      </c>
      <c r="H58">
        <v>1.4859560528</v>
      </c>
      <c r="I58">
        <v>3.8536162319999998</v>
      </c>
      <c r="J58">
        <v>3.9380819728400001</v>
      </c>
      <c r="K58">
        <v>1.0219185657717045</v>
      </c>
      <c r="L58">
        <v>13.9821078432</v>
      </c>
      <c r="M58">
        <v>145.86643599999999</v>
      </c>
      <c r="N58">
        <v>5145.33</v>
      </c>
    </row>
    <row r="59" spans="1:14">
      <c r="A59">
        <v>2016</v>
      </c>
      <c r="B59" s="29">
        <v>1</v>
      </c>
      <c r="C59" t="s">
        <v>34</v>
      </c>
      <c r="D59" s="30">
        <v>210</v>
      </c>
      <c r="E59">
        <v>316.755</v>
      </c>
      <c r="F59">
        <v>303.58999999999997</v>
      </c>
      <c r="G59">
        <v>2.7567499191680001</v>
      </c>
      <c r="H59">
        <v>1.63605873492</v>
      </c>
      <c r="I59">
        <v>4.0244391120799996</v>
      </c>
      <c r="J59">
        <v>4.0682257960000001</v>
      </c>
      <c r="K59">
        <v>1.010880195401284</v>
      </c>
      <c r="L59">
        <v>14.569063199999999</v>
      </c>
      <c r="M59">
        <v>109.69619</v>
      </c>
      <c r="N59">
        <v>4403.1000000000004</v>
      </c>
    </row>
    <row r="60" spans="1:14">
      <c r="A60">
        <v>2016</v>
      </c>
      <c r="B60" s="29">
        <v>2</v>
      </c>
      <c r="C60" t="s">
        <v>33</v>
      </c>
      <c r="D60" s="30">
        <v>0</v>
      </c>
      <c r="E60">
        <v>343.24846126657553</v>
      </c>
      <c r="F60">
        <v>304.51214956115899</v>
      </c>
      <c r="G60">
        <v>2.57177575</v>
      </c>
      <c r="H60">
        <v>1.5040657022799999</v>
      </c>
      <c r="I60">
        <v>3.8099656808</v>
      </c>
      <c r="J60">
        <v>3.9275630425600001</v>
      </c>
      <c r="K60">
        <v>1.0308657273089419</v>
      </c>
      <c r="L60">
        <v>13.462752480000001</v>
      </c>
      <c r="M60">
        <v>113.62723600000001</v>
      </c>
      <c r="N60">
        <v>4628.1000000000004</v>
      </c>
    </row>
    <row r="61" spans="1:14">
      <c r="A61">
        <v>2016</v>
      </c>
      <c r="B61" s="29">
        <v>2</v>
      </c>
      <c r="C61" t="s">
        <v>33</v>
      </c>
      <c r="D61" s="30">
        <v>150</v>
      </c>
      <c r="E61">
        <v>329.11500000000001</v>
      </c>
      <c r="F61">
        <v>289.08999999999997</v>
      </c>
      <c r="G61">
        <v>2.6612118249200001</v>
      </c>
      <c r="H61">
        <v>1.5936293492</v>
      </c>
      <c r="I61">
        <v>3.8362406032799998</v>
      </c>
      <c r="J61">
        <v>3.9913124</v>
      </c>
      <c r="K61">
        <v>1.0404228547571841</v>
      </c>
      <c r="L61">
        <v>13.881552000000001</v>
      </c>
      <c r="M61">
        <v>131.29501999999999</v>
      </c>
      <c r="N61">
        <v>4818.1499999999996</v>
      </c>
    </row>
    <row r="62" spans="1:14">
      <c r="A62">
        <v>2016</v>
      </c>
      <c r="B62" s="29">
        <v>2</v>
      </c>
      <c r="C62" t="s">
        <v>33</v>
      </c>
      <c r="D62" s="30">
        <v>180</v>
      </c>
      <c r="E62">
        <v>303.44</v>
      </c>
      <c r="F62">
        <v>291.35000000000002</v>
      </c>
      <c r="G62">
        <v>2.8547424191999999</v>
      </c>
      <c r="H62">
        <v>1.6710995071999999</v>
      </c>
      <c r="I62">
        <v>4.0625679999999997</v>
      </c>
      <c r="J62">
        <v>4.2514803075999996</v>
      </c>
      <c r="K62">
        <v>1.0465007127511465</v>
      </c>
      <c r="L62">
        <v>14.240880000000001</v>
      </c>
      <c r="M62">
        <v>169.73320759999996</v>
      </c>
      <c r="N62">
        <v>5489.7</v>
      </c>
    </row>
    <row r="63" spans="1:14">
      <c r="A63">
        <v>2016</v>
      </c>
      <c r="B63" s="29">
        <v>2</v>
      </c>
      <c r="C63" t="s">
        <v>33</v>
      </c>
      <c r="D63" s="30">
        <v>210</v>
      </c>
      <c r="E63">
        <v>346.84</v>
      </c>
      <c r="F63">
        <v>279.32</v>
      </c>
      <c r="G63">
        <v>3.0375270092799997</v>
      </c>
      <c r="H63">
        <v>1.6265915520000001</v>
      </c>
      <c r="I63">
        <v>3.9773304168000001</v>
      </c>
      <c r="J63">
        <v>4.1237098625600002</v>
      </c>
      <c r="K63">
        <v>1.0368034411075586</v>
      </c>
      <c r="L63">
        <v>14.166460800000001</v>
      </c>
      <c r="M63">
        <v>133.739226</v>
      </c>
      <c r="N63">
        <v>4932.2000000000007</v>
      </c>
    </row>
    <row r="64" spans="1:14">
      <c r="A64">
        <v>2016</v>
      </c>
      <c r="B64" s="29">
        <v>2</v>
      </c>
      <c r="C64" t="s">
        <v>34</v>
      </c>
      <c r="D64" s="30">
        <v>0</v>
      </c>
      <c r="E64">
        <v>302.02949999999998</v>
      </c>
      <c r="F64">
        <v>291.58999999999997</v>
      </c>
      <c r="G64">
        <v>2.6129199999999999</v>
      </c>
      <c r="H64">
        <v>1.4851407999999999</v>
      </c>
      <c r="I64">
        <v>3.7152303120000001</v>
      </c>
      <c r="J64">
        <v>3.7373796000000001</v>
      </c>
      <c r="K64">
        <v>1.0059617536841414</v>
      </c>
      <c r="L64">
        <v>13.338912000000001</v>
      </c>
      <c r="M64">
        <v>97.942148000000003</v>
      </c>
      <c r="N64">
        <v>4065.0999999999995</v>
      </c>
    </row>
    <row r="65" spans="1:14">
      <c r="A65">
        <v>2016</v>
      </c>
      <c r="B65" s="29">
        <v>2</v>
      </c>
      <c r="C65" t="s">
        <v>34</v>
      </c>
      <c r="D65" s="30">
        <v>150</v>
      </c>
      <c r="E65">
        <v>322.87</v>
      </c>
      <c r="F65">
        <v>286.94</v>
      </c>
      <c r="G65">
        <v>2.5620069372000001</v>
      </c>
      <c r="H65">
        <v>1.5335304272000001</v>
      </c>
      <c r="I65">
        <v>3.7390997088</v>
      </c>
      <c r="J65">
        <v>3.82597904036</v>
      </c>
      <c r="K65">
        <v>1.0232353610029519</v>
      </c>
      <c r="L65">
        <v>13.338409944000002</v>
      </c>
      <c r="M65">
        <v>110.12851399999998</v>
      </c>
      <c r="N65">
        <v>4352.8999999999996</v>
      </c>
    </row>
    <row r="66" spans="1:14">
      <c r="A66">
        <v>2016</v>
      </c>
      <c r="B66" s="29">
        <v>2</v>
      </c>
      <c r="C66" t="s">
        <v>34</v>
      </c>
      <c r="D66" s="30">
        <v>180</v>
      </c>
      <c r="E66">
        <v>331.40750000000003</v>
      </c>
      <c r="F66">
        <v>295.25</v>
      </c>
      <c r="G66">
        <v>2.6138096833119997</v>
      </c>
      <c r="H66">
        <v>1.5670260432000001</v>
      </c>
      <c r="I66">
        <v>3.83327844072</v>
      </c>
      <c r="J66">
        <v>4.0126931360000002</v>
      </c>
      <c r="K66">
        <v>1.0468045037830074</v>
      </c>
      <c r="L66">
        <v>14.091067219200001</v>
      </c>
      <c r="M66">
        <v>142.833564</v>
      </c>
      <c r="N66">
        <v>5015.0499999999993</v>
      </c>
    </row>
    <row r="67" spans="1:14">
      <c r="A67">
        <v>2016</v>
      </c>
      <c r="B67" s="29">
        <v>2</v>
      </c>
      <c r="C67" t="s">
        <v>34</v>
      </c>
      <c r="D67" s="30">
        <v>210</v>
      </c>
      <c r="E67">
        <v>321.72500000000002</v>
      </c>
      <c r="F67">
        <v>298.61</v>
      </c>
      <c r="G67">
        <v>2.8058469312000001</v>
      </c>
      <c r="H67">
        <v>1.6658280000000001</v>
      </c>
      <c r="I67">
        <v>3.9562710711200002</v>
      </c>
      <c r="J67">
        <v>4.1320515999999996</v>
      </c>
      <c r="K67">
        <v>1.044430860706983</v>
      </c>
      <c r="L67">
        <v>14.195280000000002</v>
      </c>
      <c r="M67">
        <v>118.96381</v>
      </c>
      <c r="N67">
        <v>4523.1000000000004</v>
      </c>
    </row>
    <row r="68" spans="1:14">
      <c r="A68">
        <v>2016</v>
      </c>
      <c r="B68" s="29">
        <v>3</v>
      </c>
      <c r="C68" t="s">
        <v>33</v>
      </c>
      <c r="D68" s="30">
        <v>0</v>
      </c>
      <c r="E68">
        <v>341.76846126657551</v>
      </c>
      <c r="F68">
        <v>302.41682258637451</v>
      </c>
      <c r="G68">
        <v>2.6297213693999999</v>
      </c>
      <c r="H68">
        <v>1.51356884514</v>
      </c>
      <c r="I68">
        <v>3.8516840547999998</v>
      </c>
      <c r="J68">
        <v>3.9348007212800002</v>
      </c>
      <c r="K68">
        <v>1.0216788107520833</v>
      </c>
      <c r="L68">
        <v>13.564994519999999</v>
      </c>
      <c r="M68">
        <v>111.12</v>
      </c>
      <c r="N68">
        <v>4566.55</v>
      </c>
    </row>
    <row r="69" spans="1:14">
      <c r="A69">
        <v>2016</v>
      </c>
      <c r="B69" s="29">
        <v>3</v>
      </c>
      <c r="C69" t="s">
        <v>33</v>
      </c>
      <c r="D69" s="30">
        <v>150</v>
      </c>
      <c r="E69">
        <v>327.35500000000002</v>
      </c>
      <c r="F69">
        <v>291.245</v>
      </c>
      <c r="G69">
        <v>2.6846581198199999</v>
      </c>
      <c r="H69">
        <v>1.5607692345999999</v>
      </c>
      <c r="I69">
        <v>3.8757814392399998</v>
      </c>
      <c r="J69">
        <v>3.9766950800799998</v>
      </c>
      <c r="K69">
        <v>1.0261822621750216</v>
      </c>
      <c r="L69">
        <v>13.652589840000001</v>
      </c>
      <c r="M69">
        <v>129.06</v>
      </c>
      <c r="N69">
        <v>4883.95</v>
      </c>
    </row>
    <row r="70" spans="1:14">
      <c r="A70">
        <v>2016</v>
      </c>
      <c r="B70" s="29">
        <v>3</v>
      </c>
      <c r="C70" t="s">
        <v>33</v>
      </c>
      <c r="D70" s="30">
        <v>180</v>
      </c>
      <c r="E70">
        <v>305.08500000000004</v>
      </c>
      <c r="F70">
        <v>287.98</v>
      </c>
      <c r="G70">
        <v>2.9043022359999999</v>
      </c>
      <c r="H70">
        <v>1.6897326185999999</v>
      </c>
      <c r="I70">
        <v>4.0120455155999997</v>
      </c>
      <c r="J70">
        <v>4.2248530355999998</v>
      </c>
      <c r="K70">
        <v>1.0531255748882242</v>
      </c>
      <c r="L70">
        <v>14.370194076000001</v>
      </c>
      <c r="M70">
        <v>169.19</v>
      </c>
      <c r="N70">
        <v>5575.04</v>
      </c>
    </row>
    <row r="71" spans="1:14">
      <c r="A71">
        <v>2016</v>
      </c>
      <c r="B71" s="29">
        <v>3</v>
      </c>
      <c r="C71" t="s">
        <v>33</v>
      </c>
      <c r="D71" s="30">
        <v>210</v>
      </c>
      <c r="E71">
        <v>334.15499999999997</v>
      </c>
      <c r="F71">
        <v>281.60000000000002</v>
      </c>
      <c r="G71">
        <v>2.9879981606400001</v>
      </c>
      <c r="H71">
        <v>1.6115922946599999</v>
      </c>
      <c r="I71">
        <v>3.9255191574000001</v>
      </c>
      <c r="J71">
        <v>4.0801765889600006</v>
      </c>
      <c r="K71">
        <v>1.0394326580496245</v>
      </c>
      <c r="L71">
        <v>14.108067720000001</v>
      </c>
      <c r="M71">
        <v>135.26</v>
      </c>
      <c r="N71">
        <v>4995.2250000000004</v>
      </c>
    </row>
    <row r="72" spans="1:14">
      <c r="A72">
        <v>2016</v>
      </c>
      <c r="B72" s="29">
        <v>3</v>
      </c>
      <c r="C72" t="s">
        <v>34</v>
      </c>
      <c r="D72" s="30">
        <v>0</v>
      </c>
      <c r="E72">
        <v>309.0095</v>
      </c>
      <c r="F72">
        <v>293.97000000000003</v>
      </c>
      <c r="G72">
        <v>2.5528818985399999</v>
      </c>
      <c r="H72">
        <v>1.458971064</v>
      </c>
      <c r="I72">
        <v>3.684598056</v>
      </c>
      <c r="J72">
        <v>3.7214784048</v>
      </c>
      <c r="K72">
        <v>1.0100432595277544</v>
      </c>
      <c r="L72">
        <v>13.41666</v>
      </c>
      <c r="M72">
        <v>97.93</v>
      </c>
      <c r="N72">
        <v>4151.2749999999996</v>
      </c>
    </row>
    <row r="73" spans="1:14">
      <c r="A73">
        <v>2016</v>
      </c>
      <c r="B73" s="29">
        <v>3</v>
      </c>
      <c r="C73" t="s">
        <v>34</v>
      </c>
      <c r="D73" s="30">
        <v>150</v>
      </c>
      <c r="E73">
        <v>325.38</v>
      </c>
      <c r="F73">
        <v>285.28999999999996</v>
      </c>
      <c r="G73">
        <v>2.5901536583600002</v>
      </c>
      <c r="H73">
        <v>1.4997390636000001</v>
      </c>
      <c r="I73">
        <v>3.7746610235600002</v>
      </c>
      <c r="J73">
        <v>3.8629657001800002</v>
      </c>
      <c r="K73">
        <v>1.0233925867553146</v>
      </c>
      <c r="L73">
        <v>13.487499372000002</v>
      </c>
      <c r="M73">
        <v>111.54</v>
      </c>
      <c r="N73">
        <v>4417.625</v>
      </c>
    </row>
    <row r="74" spans="1:14">
      <c r="A74">
        <v>2016</v>
      </c>
      <c r="B74" s="29">
        <v>3</v>
      </c>
      <c r="C74" t="s">
        <v>34</v>
      </c>
      <c r="D74" s="30">
        <v>180</v>
      </c>
      <c r="E74">
        <v>323.76250000000005</v>
      </c>
      <c r="F74">
        <v>293.05500000000001</v>
      </c>
      <c r="G74">
        <v>2.6774999986959997</v>
      </c>
      <c r="H74">
        <v>1.526491048</v>
      </c>
      <c r="I74">
        <v>3.8434473363599997</v>
      </c>
      <c r="J74">
        <v>3.9753875544200001</v>
      </c>
      <c r="K74">
        <v>1.0343615347773558</v>
      </c>
      <c r="L74">
        <v>14.0365875312</v>
      </c>
      <c r="M74">
        <v>144.36000000000001</v>
      </c>
      <c r="N74">
        <v>5080.1899999999996</v>
      </c>
    </row>
    <row r="75" spans="1:14" ht="15" thickBot="1">
      <c r="A75">
        <v>2016</v>
      </c>
      <c r="B75" s="32">
        <v>3</v>
      </c>
      <c r="C75" s="33" t="s">
        <v>34</v>
      </c>
      <c r="D75" s="34">
        <v>210</v>
      </c>
      <c r="E75">
        <v>319.24</v>
      </c>
      <c r="F75">
        <v>301.10000000000002</v>
      </c>
      <c r="G75">
        <v>2.7812984251840001</v>
      </c>
      <c r="H75">
        <v>1.65094336746</v>
      </c>
      <c r="I75">
        <v>3.9903550915999997</v>
      </c>
      <c r="J75">
        <v>4.1001386980000003</v>
      </c>
      <c r="K75">
        <v>1.0276555280541335</v>
      </c>
      <c r="L75">
        <v>14.3821716</v>
      </c>
      <c r="M75">
        <v>114.33</v>
      </c>
      <c r="N75">
        <v>4463.1000000000004</v>
      </c>
    </row>
  </sheetData>
  <mergeCells count="1"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A8A2-F825-4C4F-835D-F4C77EE90F53}">
  <dimension ref="A2:Y27"/>
  <sheetViews>
    <sheetView workbookViewId="0">
      <selection activeCell="C1" sqref="C1"/>
    </sheetView>
  </sheetViews>
  <sheetFormatPr defaultRowHeight="14.5"/>
  <sheetData>
    <row r="2" spans="1:25">
      <c r="J2" s="42" t="s">
        <v>39</v>
      </c>
      <c r="S2" t="s">
        <v>49</v>
      </c>
      <c r="Y2" t="s">
        <v>50</v>
      </c>
    </row>
    <row r="3" spans="1:25">
      <c r="A3" t="s">
        <v>19</v>
      </c>
      <c r="B3" t="s">
        <v>20</v>
      </c>
      <c r="C3" t="s">
        <v>21</v>
      </c>
      <c r="D3" t="s">
        <v>22</v>
      </c>
      <c r="E3" t="s">
        <v>51</v>
      </c>
      <c r="F3" t="s">
        <v>23</v>
      </c>
      <c r="G3" t="s">
        <v>24</v>
      </c>
      <c r="H3" t="s">
        <v>52</v>
      </c>
      <c r="I3" t="s">
        <v>53</v>
      </c>
      <c r="J3" t="s">
        <v>49</v>
      </c>
      <c r="K3" t="s">
        <v>50</v>
      </c>
      <c r="S3" t="s">
        <v>54</v>
      </c>
      <c r="Y3" t="s">
        <v>54</v>
      </c>
    </row>
    <row r="4" spans="1:25" ht="15.5">
      <c r="A4">
        <v>2014</v>
      </c>
      <c r="B4">
        <v>1</v>
      </c>
      <c r="C4" t="s">
        <v>33</v>
      </c>
      <c r="D4">
        <v>0</v>
      </c>
      <c r="E4">
        <v>603.23</v>
      </c>
      <c r="F4">
        <v>432.65684157901438</v>
      </c>
      <c r="G4">
        <v>368.86158844306755</v>
      </c>
      <c r="H4">
        <v>133.5</v>
      </c>
      <c r="I4">
        <v>17.600000000000001</v>
      </c>
      <c r="J4">
        <f>(E4-F4)+H4</f>
        <v>304.07315842098564</v>
      </c>
      <c r="K4">
        <f>(F4-G4)+I4</f>
        <v>81.395253135946831</v>
      </c>
      <c r="M4" s="43">
        <v>2014</v>
      </c>
      <c r="N4" t="s">
        <v>33</v>
      </c>
      <c r="O4">
        <v>0</v>
      </c>
      <c r="P4">
        <v>304.07315842098564</v>
      </c>
      <c r="Q4">
        <v>298.36685639795417</v>
      </c>
      <c r="R4">
        <v>301.22000740946987</v>
      </c>
      <c r="S4">
        <f>AVERAGE(P4:R4)</f>
        <v>301.22000740946987</v>
      </c>
      <c r="V4">
        <v>81.395253135946831</v>
      </c>
      <c r="W4">
        <v>89.085216080777656</v>
      </c>
      <c r="X4">
        <v>85.240234608362272</v>
      </c>
      <c r="Y4">
        <f t="shared" ref="Y4:Y27" si="0">AVERAGE(V4:X4)</f>
        <v>85.240234608362258</v>
      </c>
    </row>
    <row r="5" spans="1:25" ht="15.5">
      <c r="A5">
        <v>2014</v>
      </c>
      <c r="B5">
        <v>1</v>
      </c>
      <c r="C5" t="s">
        <v>33</v>
      </c>
      <c r="D5">
        <v>90</v>
      </c>
      <c r="E5">
        <v>603.23</v>
      </c>
      <c r="F5">
        <v>416.83130772394441</v>
      </c>
      <c r="G5">
        <v>347.50209570433725</v>
      </c>
      <c r="H5">
        <v>133.5</v>
      </c>
      <c r="I5">
        <v>17.600000000000001</v>
      </c>
      <c r="J5">
        <f t="shared" ref="J5:K27" si="1">(E5-F5)+H5</f>
        <v>319.89869227605561</v>
      </c>
      <c r="K5">
        <f t="shared" si="1"/>
        <v>86.929212019607149</v>
      </c>
      <c r="M5" s="43"/>
      <c r="N5" t="s">
        <v>33</v>
      </c>
      <c r="O5">
        <v>90</v>
      </c>
      <c r="P5">
        <v>319.89869227605561</v>
      </c>
      <c r="Q5">
        <v>314.95670160952687</v>
      </c>
      <c r="R5">
        <v>317.42769694279127</v>
      </c>
      <c r="S5">
        <f t="shared" ref="S5:S27" si="2">AVERAGE(P5:R5)</f>
        <v>317.42769694279127</v>
      </c>
      <c r="V5">
        <v>86.929212019607149</v>
      </c>
      <c r="W5">
        <v>93.819452508441856</v>
      </c>
      <c r="X5">
        <v>90.374332264024446</v>
      </c>
      <c r="Y5">
        <f t="shared" si="0"/>
        <v>90.374332264024474</v>
      </c>
    </row>
    <row r="6" spans="1:25" ht="15.5">
      <c r="A6">
        <v>2014</v>
      </c>
      <c r="B6">
        <v>1</v>
      </c>
      <c r="C6" t="s">
        <v>33</v>
      </c>
      <c r="D6">
        <v>150</v>
      </c>
      <c r="E6">
        <v>603.23</v>
      </c>
      <c r="F6">
        <v>392.18240964666575</v>
      </c>
      <c r="G6">
        <v>319.76243051361041</v>
      </c>
      <c r="H6">
        <v>133.5</v>
      </c>
      <c r="I6">
        <v>17.600000000000001</v>
      </c>
      <c r="J6">
        <f t="shared" si="1"/>
        <v>344.54759035333427</v>
      </c>
      <c r="K6">
        <f t="shared" si="1"/>
        <v>90.01997913305533</v>
      </c>
      <c r="M6" s="43"/>
      <c r="N6" t="s">
        <v>33</v>
      </c>
      <c r="O6">
        <v>150</v>
      </c>
      <c r="P6">
        <v>344.54759035333427</v>
      </c>
      <c r="Q6">
        <v>340.16294155132584</v>
      </c>
      <c r="R6">
        <v>342.35526595233006</v>
      </c>
      <c r="S6">
        <f>AVERAGE(P6:R6)</f>
        <v>342.35526595233006</v>
      </c>
      <c r="V6">
        <v>90.01997913305533</v>
      </c>
      <c r="W6">
        <v>97.044731219358056</v>
      </c>
      <c r="X6">
        <v>93.532355176206721</v>
      </c>
      <c r="Y6">
        <f t="shared" si="0"/>
        <v>93.532355176206693</v>
      </c>
    </row>
    <row r="7" spans="1:25">
      <c r="A7">
        <v>2014</v>
      </c>
      <c r="B7">
        <v>1</v>
      </c>
      <c r="C7" t="s">
        <v>33</v>
      </c>
      <c r="D7">
        <v>210</v>
      </c>
      <c r="E7">
        <v>603.23</v>
      </c>
      <c r="F7">
        <v>375.46929916371403</v>
      </c>
      <c r="G7">
        <v>315.51488461016453</v>
      </c>
      <c r="H7">
        <v>133.5</v>
      </c>
      <c r="I7">
        <v>17.600000000000001</v>
      </c>
      <c r="J7">
        <f t="shared" si="1"/>
        <v>361.26070083628599</v>
      </c>
      <c r="K7">
        <f t="shared" si="1"/>
        <v>77.554414553549492</v>
      </c>
      <c r="N7" t="s">
        <v>33</v>
      </c>
      <c r="O7">
        <v>210</v>
      </c>
      <c r="P7">
        <v>361.26070083628599</v>
      </c>
      <c r="Q7">
        <v>356.44372015909227</v>
      </c>
      <c r="R7">
        <v>358.85221049768916</v>
      </c>
      <c r="S7">
        <f t="shared" si="2"/>
        <v>358.85221049768916</v>
      </c>
      <c r="V7">
        <v>77.554414553549492</v>
      </c>
      <c r="W7">
        <v>85.070379776394901</v>
      </c>
      <c r="X7">
        <v>81.312397164972168</v>
      </c>
      <c r="Y7">
        <f t="shared" si="0"/>
        <v>81.312397164972182</v>
      </c>
    </row>
    <row r="8" spans="1:25">
      <c r="A8">
        <v>2014</v>
      </c>
      <c r="B8">
        <v>1</v>
      </c>
      <c r="C8" t="s">
        <v>34</v>
      </c>
      <c r="D8">
        <v>0</v>
      </c>
      <c r="E8">
        <v>588.55999999999995</v>
      </c>
      <c r="F8">
        <v>423.33498844306757</v>
      </c>
      <c r="G8">
        <v>372.08338157901449</v>
      </c>
      <c r="H8">
        <v>133.5</v>
      </c>
      <c r="I8">
        <v>17.600000000000001</v>
      </c>
      <c r="J8">
        <f t="shared" si="1"/>
        <v>298.72501155693237</v>
      </c>
      <c r="K8">
        <f t="shared" si="1"/>
        <v>68.851606864053082</v>
      </c>
      <c r="N8" t="s">
        <v>34</v>
      </c>
      <c r="O8">
        <v>0</v>
      </c>
      <c r="P8">
        <v>298.72501155693237</v>
      </c>
      <c r="Q8">
        <v>293.6642619204892</v>
      </c>
      <c r="R8">
        <v>296.19463673871076</v>
      </c>
      <c r="S8">
        <f t="shared" si="2"/>
        <v>296.19463673871076</v>
      </c>
      <c r="V8">
        <v>68.851606864053082</v>
      </c>
      <c r="W8">
        <v>75.167923919222488</v>
      </c>
      <c r="X8">
        <v>72.009765391637842</v>
      </c>
      <c r="Y8">
        <f t="shared" si="0"/>
        <v>72.009765391637799</v>
      </c>
    </row>
    <row r="9" spans="1:25">
      <c r="A9">
        <v>2014</v>
      </c>
      <c r="B9">
        <v>1</v>
      </c>
      <c r="C9" t="s">
        <v>34</v>
      </c>
      <c r="D9">
        <v>90</v>
      </c>
      <c r="E9">
        <v>588.55999999999995</v>
      </c>
      <c r="F9">
        <v>403.22909570433717</v>
      </c>
      <c r="G9">
        <v>354.75004772394436</v>
      </c>
      <c r="H9">
        <v>133.5</v>
      </c>
      <c r="I9">
        <v>17.600000000000001</v>
      </c>
      <c r="J9">
        <f t="shared" si="1"/>
        <v>318.83090429566278</v>
      </c>
      <c r="K9">
        <f t="shared" si="1"/>
        <v>66.079047980392801</v>
      </c>
      <c r="N9" t="s">
        <v>34</v>
      </c>
      <c r="O9">
        <v>90</v>
      </c>
      <c r="P9">
        <v>318.83090429566278</v>
      </c>
      <c r="Q9">
        <v>314.18194355972594</v>
      </c>
      <c r="R9">
        <v>316.50642392769436</v>
      </c>
      <c r="S9">
        <f t="shared" si="2"/>
        <v>316.50642392769436</v>
      </c>
      <c r="V9">
        <v>66.079047980392801</v>
      </c>
      <c r="W9">
        <v>72.452287491558224</v>
      </c>
      <c r="X9">
        <v>69.265667735975541</v>
      </c>
      <c r="Y9">
        <f t="shared" si="0"/>
        <v>69.265667735975526</v>
      </c>
    </row>
    <row r="10" spans="1:25">
      <c r="A10">
        <v>2014</v>
      </c>
      <c r="B10">
        <v>1</v>
      </c>
      <c r="C10" t="s">
        <v>34</v>
      </c>
      <c r="D10">
        <v>150</v>
      </c>
      <c r="E10">
        <v>588.55999999999995</v>
      </c>
      <c r="F10">
        <v>387.72203051361055</v>
      </c>
      <c r="G10">
        <v>330.5300096466658</v>
      </c>
      <c r="H10">
        <v>133.5</v>
      </c>
      <c r="I10">
        <v>17.600000000000001</v>
      </c>
      <c r="J10">
        <f t="shared" si="1"/>
        <v>334.3379694863894</v>
      </c>
      <c r="K10">
        <f t="shared" si="1"/>
        <v>74.792020866944739</v>
      </c>
      <c r="N10" t="s">
        <v>34</v>
      </c>
      <c r="O10">
        <v>150</v>
      </c>
      <c r="P10">
        <v>334.3379694863894</v>
      </c>
      <c r="Q10">
        <v>343.1060622124412</v>
      </c>
      <c r="R10">
        <v>338.7220158494153</v>
      </c>
      <c r="S10">
        <f t="shared" si="2"/>
        <v>338.7220158494153</v>
      </c>
      <c r="V10">
        <v>74.792020866944739</v>
      </c>
      <c r="W10">
        <v>68.243268780642069</v>
      </c>
      <c r="X10">
        <v>71.517644823793404</v>
      </c>
      <c r="Y10">
        <f t="shared" si="0"/>
        <v>71.517644823793404</v>
      </c>
    </row>
    <row r="11" spans="1:25">
      <c r="A11">
        <v>2014</v>
      </c>
      <c r="B11">
        <v>1</v>
      </c>
      <c r="C11" t="s">
        <v>34</v>
      </c>
      <c r="D11">
        <v>210</v>
      </c>
      <c r="E11">
        <v>588.55999999999995</v>
      </c>
      <c r="F11">
        <v>364.85718461016438</v>
      </c>
      <c r="G11">
        <v>317.00149916371402</v>
      </c>
      <c r="H11">
        <v>133.5</v>
      </c>
      <c r="I11">
        <v>17.600000000000001</v>
      </c>
      <c r="J11">
        <f t="shared" si="1"/>
        <v>357.20281538983556</v>
      </c>
      <c r="K11">
        <f t="shared" si="1"/>
        <v>65.45568544645036</v>
      </c>
      <c r="N11" t="s">
        <v>34</v>
      </c>
      <c r="O11">
        <v>210</v>
      </c>
      <c r="P11">
        <v>357.20281538983556</v>
      </c>
      <c r="Q11">
        <v>353.39518937724461</v>
      </c>
      <c r="R11">
        <v>355.29900238354008</v>
      </c>
      <c r="S11">
        <f t="shared" si="2"/>
        <v>355.29900238354008</v>
      </c>
      <c r="V11">
        <v>65.45568544645036</v>
      </c>
      <c r="W11">
        <v>71.239520223605012</v>
      </c>
      <c r="X11">
        <v>68.347602835027686</v>
      </c>
      <c r="Y11">
        <f t="shared" si="0"/>
        <v>68.347602835027686</v>
      </c>
    </row>
    <row r="12" spans="1:25">
      <c r="A12">
        <v>2014</v>
      </c>
      <c r="B12">
        <v>2</v>
      </c>
      <c r="C12" t="s">
        <v>33</v>
      </c>
      <c r="D12">
        <v>0</v>
      </c>
      <c r="E12">
        <v>611.91586096414721</v>
      </c>
      <c r="F12">
        <v>447.04900456619305</v>
      </c>
      <c r="G12">
        <v>375.56378848541539</v>
      </c>
      <c r="H12">
        <v>133.5</v>
      </c>
      <c r="I12">
        <v>17.600000000000001</v>
      </c>
      <c r="J12">
        <f t="shared" si="1"/>
        <v>298.36685639795417</v>
      </c>
      <c r="K12">
        <f t="shared" si="1"/>
        <v>89.085216080777656</v>
      </c>
      <c r="M12">
        <v>2015</v>
      </c>
      <c r="N12" t="s">
        <v>33</v>
      </c>
      <c r="O12">
        <v>0</v>
      </c>
      <c r="P12">
        <v>300.13813595298103</v>
      </c>
      <c r="Q12">
        <v>310.61813595298099</v>
      </c>
      <c r="R12">
        <v>305.37813595298104</v>
      </c>
      <c r="S12">
        <f t="shared" si="2"/>
        <v>305.37813595298098</v>
      </c>
      <c r="V12">
        <v>91.149714485859974</v>
      </c>
      <c r="W12">
        <v>68.469714485860024</v>
      </c>
      <c r="X12">
        <v>79.809714485859942</v>
      </c>
      <c r="Y12">
        <f t="shared" si="0"/>
        <v>79.809714485859971</v>
      </c>
    </row>
    <row r="13" spans="1:25">
      <c r="A13">
        <v>2014</v>
      </c>
      <c r="B13">
        <v>2</v>
      </c>
      <c r="C13" t="s">
        <v>33</v>
      </c>
      <c r="D13">
        <v>90</v>
      </c>
      <c r="E13">
        <v>611.91586096414721</v>
      </c>
      <c r="F13">
        <v>430.45915935462034</v>
      </c>
      <c r="G13">
        <v>354.23970684617848</v>
      </c>
      <c r="H13">
        <v>133.5</v>
      </c>
      <c r="I13">
        <v>17.600000000000001</v>
      </c>
      <c r="J13">
        <f t="shared" si="1"/>
        <v>314.95670160952687</v>
      </c>
      <c r="K13">
        <f t="shared" si="1"/>
        <v>93.819452508441856</v>
      </c>
      <c r="N13" t="s">
        <v>33</v>
      </c>
      <c r="O13">
        <v>90</v>
      </c>
      <c r="P13">
        <v>317.00260551651206</v>
      </c>
      <c r="Q13">
        <v>302.88260551651211</v>
      </c>
      <c r="R13">
        <v>309.94260551651206</v>
      </c>
      <c r="S13">
        <f t="shared" si="2"/>
        <v>309.94260551651206</v>
      </c>
      <c r="V13">
        <v>75.867394483487985</v>
      </c>
      <c r="W13">
        <v>82.627394483487919</v>
      </c>
      <c r="X13">
        <v>79.24739448348798</v>
      </c>
      <c r="Y13">
        <f t="shared" si="0"/>
        <v>79.247394483487952</v>
      </c>
    </row>
    <row r="14" spans="1:25">
      <c r="A14">
        <v>2014</v>
      </c>
      <c r="B14">
        <v>2</v>
      </c>
      <c r="C14" t="s">
        <v>33</v>
      </c>
      <c r="D14">
        <v>150</v>
      </c>
      <c r="E14">
        <v>611.91586096414721</v>
      </c>
      <c r="F14">
        <v>405.25291941282137</v>
      </c>
      <c r="G14">
        <v>325.80818819346331</v>
      </c>
      <c r="H14">
        <v>133.5</v>
      </c>
      <c r="I14">
        <v>17.600000000000001</v>
      </c>
      <c r="J14">
        <f t="shared" si="1"/>
        <v>340.16294155132584</v>
      </c>
      <c r="K14">
        <f t="shared" si="1"/>
        <v>97.044731219358056</v>
      </c>
      <c r="N14" t="s">
        <v>33</v>
      </c>
      <c r="O14">
        <v>150</v>
      </c>
      <c r="P14">
        <v>316.76218899999998</v>
      </c>
      <c r="Q14">
        <v>312.64218899999997</v>
      </c>
      <c r="R14">
        <v>314.70218899999998</v>
      </c>
      <c r="S14">
        <f t="shared" si="2"/>
        <v>314.70218899999998</v>
      </c>
      <c r="V14">
        <v>73.677811000000062</v>
      </c>
      <c r="W14">
        <v>67.637811000000042</v>
      </c>
      <c r="X14">
        <v>70.657811000000024</v>
      </c>
      <c r="Y14">
        <f t="shared" si="0"/>
        <v>70.657811000000038</v>
      </c>
    </row>
    <row r="15" spans="1:25">
      <c r="A15">
        <v>2014</v>
      </c>
      <c r="B15">
        <v>2</v>
      </c>
      <c r="C15" t="s">
        <v>33</v>
      </c>
      <c r="D15">
        <v>210</v>
      </c>
      <c r="E15">
        <v>611.91586096414721</v>
      </c>
      <c r="F15">
        <v>388.97214080505495</v>
      </c>
      <c r="G15">
        <v>321.50176102866004</v>
      </c>
      <c r="H15">
        <v>133.5</v>
      </c>
      <c r="I15">
        <v>17.600000000000001</v>
      </c>
      <c r="J15">
        <f t="shared" si="1"/>
        <v>356.44372015909227</v>
      </c>
      <c r="K15">
        <f t="shared" si="1"/>
        <v>85.070379776394901</v>
      </c>
      <c r="N15" t="s">
        <v>33</v>
      </c>
      <c r="O15">
        <v>210</v>
      </c>
      <c r="P15">
        <v>328.03864977460006</v>
      </c>
      <c r="Q15">
        <v>313.05186497746001</v>
      </c>
      <c r="R15">
        <v>320.54525737603007</v>
      </c>
      <c r="S15">
        <f t="shared" si="2"/>
        <v>320.54525737603007</v>
      </c>
      <c r="V15">
        <v>78.091350225399921</v>
      </c>
      <c r="W15">
        <v>80.218135022540068</v>
      </c>
      <c r="X15">
        <v>79.154742623969966</v>
      </c>
      <c r="Y15">
        <f t="shared" si="0"/>
        <v>79.15474262396998</v>
      </c>
    </row>
    <row r="16" spans="1:25">
      <c r="A16">
        <v>2014</v>
      </c>
      <c r="B16">
        <v>2</v>
      </c>
      <c r="C16" t="s">
        <v>34</v>
      </c>
      <c r="D16">
        <v>0</v>
      </c>
      <c r="E16">
        <v>597.5146504059046</v>
      </c>
      <c r="F16">
        <v>437.35038848541541</v>
      </c>
      <c r="G16">
        <v>379.78246456619291</v>
      </c>
      <c r="H16">
        <v>133.5</v>
      </c>
      <c r="I16">
        <v>17.600000000000001</v>
      </c>
      <c r="J16">
        <f t="shared" si="1"/>
        <v>293.6642619204892</v>
      </c>
      <c r="K16">
        <f t="shared" si="1"/>
        <v>75.167923919222488</v>
      </c>
      <c r="N16" t="s">
        <v>34</v>
      </c>
      <c r="O16">
        <v>0</v>
      </c>
      <c r="P16">
        <v>289.63822622900329</v>
      </c>
      <c r="Q16">
        <v>294.95822622900329</v>
      </c>
      <c r="R16">
        <v>292.29822622900326</v>
      </c>
      <c r="S16">
        <f t="shared" si="2"/>
        <v>292.29822622900326</v>
      </c>
      <c r="V16">
        <v>98.431773770996742</v>
      </c>
      <c r="W16">
        <v>97.031773770996708</v>
      </c>
      <c r="X16">
        <v>97.731773770996696</v>
      </c>
      <c r="Y16">
        <f t="shared" si="0"/>
        <v>97.73177377099671</v>
      </c>
    </row>
    <row r="17" spans="1:25">
      <c r="A17">
        <v>2014</v>
      </c>
      <c r="B17">
        <v>2</v>
      </c>
      <c r="C17" t="s">
        <v>34</v>
      </c>
      <c r="D17">
        <v>90</v>
      </c>
      <c r="E17">
        <v>597.5146504059046</v>
      </c>
      <c r="F17">
        <v>416.83270684617867</v>
      </c>
      <c r="G17">
        <v>361.98041935462044</v>
      </c>
      <c r="H17">
        <v>133.5</v>
      </c>
      <c r="I17">
        <v>17.600000000000001</v>
      </c>
      <c r="J17">
        <f t="shared" si="1"/>
        <v>314.18194355972594</v>
      </c>
      <c r="K17">
        <f t="shared" si="1"/>
        <v>72.452287491558224</v>
      </c>
      <c r="N17" t="s">
        <v>34</v>
      </c>
      <c r="O17">
        <v>90</v>
      </c>
      <c r="P17">
        <v>294.33483664152783</v>
      </c>
      <c r="Q17">
        <v>299.65483664152782</v>
      </c>
      <c r="R17">
        <v>296.9948366415278</v>
      </c>
      <c r="S17">
        <f t="shared" si="2"/>
        <v>296.99483664152785</v>
      </c>
      <c r="V17">
        <v>97.385163358472184</v>
      </c>
      <c r="W17">
        <v>93.045163358472152</v>
      </c>
      <c r="X17">
        <v>95.215163358472168</v>
      </c>
      <c r="Y17">
        <f t="shared" si="0"/>
        <v>95.215163358472168</v>
      </c>
    </row>
    <row r="18" spans="1:25">
      <c r="A18">
        <v>2014</v>
      </c>
      <c r="B18">
        <v>2</v>
      </c>
      <c r="C18" t="s">
        <v>34</v>
      </c>
      <c r="D18">
        <v>150</v>
      </c>
      <c r="E18">
        <v>597.5146504059046</v>
      </c>
      <c r="F18">
        <v>387.9085881934634</v>
      </c>
      <c r="G18">
        <v>337.26531941282133</v>
      </c>
      <c r="H18">
        <v>133.5</v>
      </c>
      <c r="I18">
        <v>17.600000000000001</v>
      </c>
      <c r="J18">
        <f t="shared" si="1"/>
        <v>343.1060622124412</v>
      </c>
      <c r="K18">
        <f t="shared" si="1"/>
        <v>68.243268780642069</v>
      </c>
      <c r="N18" t="s">
        <v>34</v>
      </c>
      <c r="O18">
        <v>150</v>
      </c>
      <c r="P18">
        <v>326.25072999999998</v>
      </c>
      <c r="Q18">
        <v>330.97073</v>
      </c>
      <c r="R18">
        <v>328.61072999999999</v>
      </c>
      <c r="S18">
        <f t="shared" si="2"/>
        <v>328.61072999999999</v>
      </c>
      <c r="V18">
        <v>74.76927000000002</v>
      </c>
      <c r="W18">
        <v>74.26927000000002</v>
      </c>
      <c r="X18">
        <v>74.51927000000002</v>
      </c>
      <c r="Y18">
        <f t="shared" si="0"/>
        <v>74.51927000000002</v>
      </c>
    </row>
    <row r="19" spans="1:25">
      <c r="A19">
        <v>2014</v>
      </c>
      <c r="B19">
        <v>2</v>
      </c>
      <c r="C19" t="s">
        <v>34</v>
      </c>
      <c r="D19">
        <v>210</v>
      </c>
      <c r="E19">
        <v>597.5146504059046</v>
      </c>
      <c r="F19">
        <v>377.61946102866</v>
      </c>
      <c r="G19">
        <v>323.97994080505498</v>
      </c>
      <c r="H19">
        <v>133.5</v>
      </c>
      <c r="I19">
        <v>17.600000000000001</v>
      </c>
      <c r="J19">
        <f t="shared" si="1"/>
        <v>353.39518937724461</v>
      </c>
      <c r="K19">
        <f t="shared" si="1"/>
        <v>71.239520223605012</v>
      </c>
      <c r="N19" t="s">
        <v>34</v>
      </c>
      <c r="O19">
        <v>210</v>
      </c>
      <c r="P19">
        <v>338.60309198652999</v>
      </c>
      <c r="Q19">
        <v>314.01091986529997</v>
      </c>
      <c r="R19">
        <v>326.30700592591495</v>
      </c>
      <c r="S19">
        <f t="shared" si="2"/>
        <v>326.30700592591495</v>
      </c>
      <c r="V19">
        <v>72.466908013470018</v>
      </c>
      <c r="W19">
        <v>91.759080134700056</v>
      </c>
      <c r="X19">
        <v>82.112994074085051</v>
      </c>
      <c r="Y19">
        <f t="shared" si="0"/>
        <v>82.112994074085051</v>
      </c>
    </row>
    <row r="20" spans="1:25">
      <c r="A20">
        <v>2014</v>
      </c>
      <c r="B20">
        <v>3</v>
      </c>
      <c r="C20" t="s">
        <v>33</v>
      </c>
      <c r="D20">
        <v>0</v>
      </c>
      <c r="E20">
        <v>607.57293048207362</v>
      </c>
      <c r="F20">
        <v>439.85292307260374</v>
      </c>
      <c r="G20">
        <v>372.21268846424147</v>
      </c>
      <c r="H20">
        <v>133.5</v>
      </c>
      <c r="I20">
        <v>17.600000000000001</v>
      </c>
      <c r="J20">
        <f t="shared" si="1"/>
        <v>301.22000740946987</v>
      </c>
      <c r="K20">
        <f t="shared" si="1"/>
        <v>85.240234608362272</v>
      </c>
      <c r="M20">
        <v>2016</v>
      </c>
      <c r="N20" t="s">
        <v>33</v>
      </c>
      <c r="O20">
        <v>0</v>
      </c>
      <c r="P20">
        <v>270.63008012378344</v>
      </c>
      <c r="Q20">
        <v>267.75299734306549</v>
      </c>
      <c r="R20">
        <v>269.19153873342452</v>
      </c>
      <c r="S20">
        <f t="shared" si="2"/>
        <v>269.19153873342447</v>
      </c>
      <c r="V20">
        <v>91.366965654985535</v>
      </c>
      <c r="W20">
        <v>90.136311705416546</v>
      </c>
      <c r="X20">
        <v>90.751638680201012</v>
      </c>
      <c r="Y20">
        <f t="shared" si="0"/>
        <v>90.75163868020104</v>
      </c>
    </row>
    <row r="21" spans="1:25">
      <c r="A21">
        <v>2014</v>
      </c>
      <c r="B21">
        <v>3</v>
      </c>
      <c r="C21" t="s">
        <v>33</v>
      </c>
      <c r="D21">
        <v>90</v>
      </c>
      <c r="E21">
        <v>607.57293048207362</v>
      </c>
      <c r="F21">
        <v>423.64523353928234</v>
      </c>
      <c r="G21">
        <v>350.87090127525789</v>
      </c>
      <c r="H21">
        <v>133.5</v>
      </c>
      <c r="I21">
        <v>17.600000000000001</v>
      </c>
      <c r="J21">
        <f t="shared" si="1"/>
        <v>317.42769694279127</v>
      </c>
      <c r="K21">
        <f t="shared" si="1"/>
        <v>90.374332264024446</v>
      </c>
      <c r="N21" t="s">
        <v>33</v>
      </c>
      <c r="O21">
        <v>90</v>
      </c>
      <c r="P21">
        <v>285.32354139035897</v>
      </c>
      <c r="Q21">
        <v>281.88645860964101</v>
      </c>
      <c r="R21">
        <v>283.60500000000002</v>
      </c>
      <c r="S21">
        <f t="shared" si="2"/>
        <v>283.60500000000002</v>
      </c>
      <c r="V21">
        <v>83.595000000000056</v>
      </c>
      <c r="W21">
        <v>91.42500000000004</v>
      </c>
      <c r="X21">
        <v>87.510000000000019</v>
      </c>
      <c r="Y21">
        <f t="shared" si="0"/>
        <v>87.510000000000034</v>
      </c>
    </row>
    <row r="22" spans="1:25">
      <c r="A22">
        <v>2014</v>
      </c>
      <c r="B22">
        <v>3</v>
      </c>
      <c r="C22" t="s">
        <v>33</v>
      </c>
      <c r="D22">
        <v>150</v>
      </c>
      <c r="E22">
        <v>607.57293048207362</v>
      </c>
      <c r="F22">
        <v>398.71766452974356</v>
      </c>
      <c r="G22">
        <v>322.78530935353683</v>
      </c>
      <c r="H22">
        <v>133.5</v>
      </c>
      <c r="I22">
        <v>17.600000000000001</v>
      </c>
      <c r="J22">
        <f t="shared" si="1"/>
        <v>342.35526595233006</v>
      </c>
      <c r="K22">
        <f t="shared" si="1"/>
        <v>93.532355176206721</v>
      </c>
      <c r="N22" t="s">
        <v>33</v>
      </c>
      <c r="O22">
        <v>150</v>
      </c>
      <c r="P22">
        <v>289.44854139035903</v>
      </c>
      <c r="Q22">
        <v>264.16145860964104</v>
      </c>
      <c r="R22">
        <v>276.80500000000006</v>
      </c>
      <c r="S22">
        <f t="shared" si="2"/>
        <v>276.80500000000006</v>
      </c>
      <c r="V22">
        <v>88.989999999999981</v>
      </c>
      <c r="W22">
        <v>118.91999999999999</v>
      </c>
      <c r="X22">
        <v>103.95499999999996</v>
      </c>
      <c r="Y22">
        <f t="shared" si="0"/>
        <v>103.95499999999997</v>
      </c>
    </row>
    <row r="23" spans="1:25">
      <c r="A23">
        <v>2014</v>
      </c>
      <c r="B23">
        <v>3</v>
      </c>
      <c r="C23" t="s">
        <v>33</v>
      </c>
      <c r="D23">
        <v>210</v>
      </c>
      <c r="E23">
        <v>607.57293048207362</v>
      </c>
      <c r="F23">
        <v>382.22071998438446</v>
      </c>
      <c r="G23">
        <v>318.50832281941229</v>
      </c>
      <c r="H23">
        <v>133.5</v>
      </c>
      <c r="I23">
        <v>17.600000000000001</v>
      </c>
      <c r="J23">
        <f t="shared" si="1"/>
        <v>358.85221049768916</v>
      </c>
      <c r="K23">
        <f t="shared" si="1"/>
        <v>81.312397164972168</v>
      </c>
      <c r="N23" t="s">
        <v>33</v>
      </c>
      <c r="O23">
        <v>210</v>
      </c>
      <c r="P23">
        <v>285.44904139035901</v>
      </c>
      <c r="Q23">
        <v>281.58195860964099</v>
      </c>
      <c r="R23">
        <v>283.51550000000003</v>
      </c>
      <c r="S23">
        <f t="shared" si="2"/>
        <v>283.51549999999997</v>
      </c>
      <c r="V23">
        <v>88.67949999999999</v>
      </c>
      <c r="W23">
        <v>89.489500000000049</v>
      </c>
      <c r="X23">
        <v>89.08450000000002</v>
      </c>
      <c r="Y23">
        <f t="shared" si="0"/>
        <v>89.084500000000006</v>
      </c>
    </row>
    <row r="24" spans="1:25">
      <c r="A24">
        <v>2014</v>
      </c>
      <c r="B24">
        <v>3</v>
      </c>
      <c r="C24" t="s">
        <v>34</v>
      </c>
      <c r="D24">
        <v>0</v>
      </c>
      <c r="E24">
        <v>593.03732520295227</v>
      </c>
      <c r="F24">
        <v>430.34268846424152</v>
      </c>
      <c r="G24">
        <v>375.93292307260367</v>
      </c>
      <c r="H24">
        <v>133.5</v>
      </c>
      <c r="I24">
        <v>17.600000000000001</v>
      </c>
      <c r="J24">
        <f t="shared" si="1"/>
        <v>296.19463673871076</v>
      </c>
      <c r="K24">
        <f t="shared" si="1"/>
        <v>72.009765391637842</v>
      </c>
      <c r="N24" t="s">
        <v>34</v>
      </c>
      <c r="O24">
        <v>0</v>
      </c>
      <c r="P24">
        <v>267.90803495940997</v>
      </c>
      <c r="Q24">
        <v>271.79624650405901</v>
      </c>
      <c r="R24">
        <v>269.85214073173449</v>
      </c>
      <c r="S24">
        <f t="shared" si="2"/>
        <v>269.85214073173449</v>
      </c>
      <c r="V24">
        <v>71.794499999999999</v>
      </c>
      <c r="W24">
        <v>64.774500000000018</v>
      </c>
      <c r="X24">
        <v>68.284500000000008</v>
      </c>
      <c r="Y24">
        <f t="shared" si="0"/>
        <v>68.284500000000008</v>
      </c>
    </row>
    <row r="25" spans="1:25">
      <c r="A25">
        <v>2014</v>
      </c>
      <c r="B25">
        <v>3</v>
      </c>
      <c r="C25" t="s">
        <v>34</v>
      </c>
      <c r="D25">
        <v>90</v>
      </c>
      <c r="E25">
        <v>593.03732520295227</v>
      </c>
      <c r="F25">
        <v>410.03090127525792</v>
      </c>
      <c r="G25">
        <v>358.36523353928237</v>
      </c>
      <c r="H25">
        <v>133.5</v>
      </c>
      <c r="I25">
        <v>17.600000000000001</v>
      </c>
      <c r="J25">
        <f t="shared" si="1"/>
        <v>316.50642392769436</v>
      </c>
      <c r="K25">
        <f t="shared" si="1"/>
        <v>69.265667735975541</v>
      </c>
      <c r="N25" t="s">
        <v>34</v>
      </c>
      <c r="O25">
        <v>90</v>
      </c>
      <c r="P25">
        <v>283.41253495941004</v>
      </c>
      <c r="Q25">
        <v>281.14074650405905</v>
      </c>
      <c r="R25">
        <v>282.27664073173452</v>
      </c>
      <c r="S25">
        <f t="shared" si="2"/>
        <v>282.27664073173452</v>
      </c>
      <c r="V25">
        <v>62.839999999999939</v>
      </c>
      <c r="W25">
        <v>69.339999999999947</v>
      </c>
      <c r="X25">
        <v>66.089999999999947</v>
      </c>
      <c r="Y25">
        <f t="shared" si="0"/>
        <v>66.089999999999947</v>
      </c>
    </row>
    <row r="26" spans="1:25">
      <c r="A26">
        <v>2014</v>
      </c>
      <c r="B26">
        <v>3</v>
      </c>
      <c r="C26" t="s">
        <v>34</v>
      </c>
      <c r="D26">
        <v>150</v>
      </c>
      <c r="E26">
        <v>593.03732520295227</v>
      </c>
      <c r="F26">
        <v>387.81530935353697</v>
      </c>
      <c r="G26">
        <v>333.89766452974357</v>
      </c>
      <c r="H26">
        <v>133.5</v>
      </c>
      <c r="I26">
        <v>17.600000000000001</v>
      </c>
      <c r="J26">
        <f t="shared" si="1"/>
        <v>338.7220158494153</v>
      </c>
      <c r="K26">
        <f t="shared" si="1"/>
        <v>71.517644823793404</v>
      </c>
      <c r="N26" t="s">
        <v>34</v>
      </c>
      <c r="O26">
        <v>150</v>
      </c>
      <c r="P26">
        <v>265.20253495941</v>
      </c>
      <c r="Q26">
        <v>270.890746504059</v>
      </c>
      <c r="R26">
        <v>268.0466407317345</v>
      </c>
      <c r="S26">
        <f t="shared" si="2"/>
        <v>268.0466407317345</v>
      </c>
      <c r="V26">
        <v>95.65</v>
      </c>
      <c r="W26">
        <v>87.330000000000013</v>
      </c>
      <c r="X26">
        <v>91.490000000000038</v>
      </c>
      <c r="Y26">
        <f t="shared" si="0"/>
        <v>91.490000000000009</v>
      </c>
    </row>
    <row r="27" spans="1:25">
      <c r="A27">
        <v>2014</v>
      </c>
      <c r="B27">
        <v>3</v>
      </c>
      <c r="C27" t="s">
        <v>34</v>
      </c>
      <c r="D27">
        <v>210</v>
      </c>
      <c r="E27">
        <v>593.03732520295227</v>
      </c>
      <c r="F27">
        <v>371.23832281941219</v>
      </c>
      <c r="G27">
        <v>320.4907199843845</v>
      </c>
      <c r="H27">
        <v>133.5</v>
      </c>
      <c r="I27">
        <v>17.600000000000001</v>
      </c>
      <c r="J27">
        <f t="shared" si="1"/>
        <v>355.29900238354008</v>
      </c>
      <c r="K27">
        <f t="shared" si="1"/>
        <v>68.347602835027686</v>
      </c>
      <c r="N27" t="s">
        <v>34</v>
      </c>
      <c r="O27">
        <v>210</v>
      </c>
      <c r="P27">
        <v>276.33753495940999</v>
      </c>
      <c r="Q27">
        <v>272.03574650405898</v>
      </c>
      <c r="R27">
        <v>274.18664073173449</v>
      </c>
      <c r="S27">
        <f t="shared" si="2"/>
        <v>274.18664073173449</v>
      </c>
      <c r="V27">
        <v>64.565000000000026</v>
      </c>
      <c r="W27">
        <v>74.515000000000015</v>
      </c>
      <c r="X27">
        <v>69.539999999999992</v>
      </c>
      <c r="Y27">
        <f t="shared" si="0"/>
        <v>69.540000000000006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4D23-C45D-4379-90A7-477D4DFB96D5}">
  <dimension ref="A2:H26"/>
  <sheetViews>
    <sheetView workbookViewId="0">
      <selection activeCell="L13" sqref="L13"/>
    </sheetView>
  </sheetViews>
  <sheetFormatPr defaultRowHeight="14.5"/>
  <sheetData>
    <row r="2" spans="1:8">
      <c r="A2" s="37" t="s">
        <v>20</v>
      </c>
      <c r="B2" s="37" t="s">
        <v>55</v>
      </c>
      <c r="C2" s="37" t="s">
        <v>22</v>
      </c>
      <c r="D2" s="37" t="s">
        <v>56</v>
      </c>
      <c r="E2" s="37" t="s">
        <v>57</v>
      </c>
      <c r="F2" s="37" t="s">
        <v>58</v>
      </c>
      <c r="G2" s="37" t="s">
        <v>23</v>
      </c>
      <c r="H2" s="37" t="s">
        <v>59</v>
      </c>
    </row>
    <row r="3" spans="1:8">
      <c r="A3" s="37">
        <v>1</v>
      </c>
      <c r="B3" s="37" t="s">
        <v>60</v>
      </c>
      <c r="C3" s="37">
        <v>0</v>
      </c>
      <c r="D3" s="37">
        <v>1.9412</v>
      </c>
      <c r="E3" s="37">
        <v>2.5391942109455856</v>
      </c>
      <c r="F3" s="37">
        <v>7.6608000000000001</v>
      </c>
      <c r="G3" s="37">
        <v>9.203745350110756</v>
      </c>
      <c r="H3" s="37">
        <v>14.884070638962857</v>
      </c>
    </row>
    <row r="4" spans="1:8">
      <c r="A4" s="37">
        <v>1</v>
      </c>
      <c r="B4" s="37" t="s">
        <v>60</v>
      </c>
      <c r="C4" s="37">
        <v>90</v>
      </c>
      <c r="D4" s="37">
        <v>2.2498100000000001</v>
      </c>
      <c r="E4" s="37">
        <v>2.8577616117941314</v>
      </c>
      <c r="F4" s="37">
        <v>8.3566000000000003</v>
      </c>
      <c r="G4" s="37">
        <v>9.8502268819515653</v>
      </c>
      <c r="H4" s="37">
        <v>16.152837568185824</v>
      </c>
    </row>
    <row r="5" spans="1:8">
      <c r="A5" s="37">
        <v>1</v>
      </c>
      <c r="B5" s="37" t="s">
        <v>60</v>
      </c>
      <c r="C5" s="37">
        <v>150</v>
      </c>
      <c r="D5" s="37">
        <v>2.7882899999999999</v>
      </c>
      <c r="E5" s="37">
        <v>3.4181415686801992</v>
      </c>
      <c r="F5" s="37">
        <v>10.2211</v>
      </c>
      <c r="G5" s="37">
        <v>11.391251733790213</v>
      </c>
      <c r="H5" s="37">
        <v>18.164766392006094</v>
      </c>
    </row>
    <row r="6" spans="1:8">
      <c r="A6" s="37">
        <v>1</v>
      </c>
      <c r="B6" s="37" t="s">
        <v>60</v>
      </c>
      <c r="C6" s="37">
        <v>210</v>
      </c>
      <c r="D6" s="37">
        <v>2.3204699999999998</v>
      </c>
      <c r="E6" s="37">
        <v>3.2679543354002556</v>
      </c>
      <c r="F6" s="37">
        <v>9.7962999999999987</v>
      </c>
      <c r="G6" s="37">
        <v>10.831889768894172</v>
      </c>
      <c r="H6" s="37">
        <v>17.006944871033578</v>
      </c>
    </row>
    <row r="7" spans="1:8">
      <c r="A7" s="37">
        <v>1</v>
      </c>
      <c r="B7" s="37" t="s">
        <v>61</v>
      </c>
      <c r="C7" s="37">
        <v>0</v>
      </c>
      <c r="D7" s="37">
        <v>1.87734</v>
      </c>
      <c r="E7" s="37">
        <v>2.537214619714693</v>
      </c>
      <c r="F7" s="37">
        <v>7.0209999999999999</v>
      </c>
      <c r="G7" s="37">
        <v>8.9416689216651868</v>
      </c>
      <c r="H7" s="37">
        <v>14.645954956963033</v>
      </c>
    </row>
    <row r="8" spans="1:8">
      <c r="A8" s="37">
        <v>1</v>
      </c>
      <c r="B8" s="37" t="s">
        <v>61</v>
      </c>
      <c r="C8" s="37">
        <v>90</v>
      </c>
      <c r="D8" s="37">
        <v>2.1941999999999999</v>
      </c>
      <c r="E8" s="37">
        <v>2.5519007261953237</v>
      </c>
      <c r="F8" s="37">
        <v>7.9633000000000003</v>
      </c>
      <c r="G8" s="37">
        <v>9.0979369263211343</v>
      </c>
      <c r="H8" s="37">
        <v>14.601719460095456</v>
      </c>
    </row>
    <row r="9" spans="1:8">
      <c r="A9" s="37">
        <v>1</v>
      </c>
      <c r="B9" s="37" t="s">
        <v>61</v>
      </c>
      <c r="C9" s="37">
        <v>150</v>
      </c>
      <c r="D9" s="37">
        <v>2.6144099999999999</v>
      </c>
      <c r="E9" s="37">
        <v>3.1831293566791534</v>
      </c>
      <c r="F9" s="37">
        <v>9.8667999999999996</v>
      </c>
      <c r="G9" s="37">
        <v>10.446751198511297</v>
      </c>
      <c r="H9" s="37">
        <v>16.49580801780851</v>
      </c>
    </row>
    <row r="10" spans="1:8">
      <c r="A10" s="37">
        <v>1</v>
      </c>
      <c r="B10" s="37" t="s">
        <v>61</v>
      </c>
      <c r="C10" s="37">
        <v>210</v>
      </c>
      <c r="D10" s="37">
        <v>2.26044</v>
      </c>
      <c r="E10" s="37">
        <v>3.0281292852098542</v>
      </c>
      <c r="F10" s="37">
        <v>9.7632000000000012</v>
      </c>
      <c r="G10" s="37">
        <v>10.678631371336831</v>
      </c>
      <c r="H10" s="37">
        <v>15.986697989681169</v>
      </c>
    </row>
    <row r="11" spans="1:8">
      <c r="A11" s="37">
        <v>2</v>
      </c>
      <c r="B11" s="37" t="s">
        <v>60</v>
      </c>
      <c r="C11" s="37">
        <v>0</v>
      </c>
      <c r="D11" s="37">
        <v>1.9975499999999999</v>
      </c>
      <c r="E11" s="37">
        <v>2.6962719813835125</v>
      </c>
      <c r="F11" s="37">
        <v>7.8662000000000001</v>
      </c>
      <c r="G11" s="37">
        <v>9.5558593179447886</v>
      </c>
      <c r="H11" s="37">
        <v>15.144149290369059</v>
      </c>
    </row>
    <row r="12" spans="1:8">
      <c r="A12" s="37">
        <v>2</v>
      </c>
      <c r="B12" s="37" t="s">
        <v>60</v>
      </c>
      <c r="C12" s="37">
        <v>90</v>
      </c>
      <c r="D12" s="37">
        <v>2.2045500000000002</v>
      </c>
      <c r="E12" s="37">
        <v>2.846978739771389</v>
      </c>
      <c r="F12" s="37">
        <v>8.4604999999999997</v>
      </c>
      <c r="G12" s="37">
        <v>10.050460971997509</v>
      </c>
      <c r="H12" s="37">
        <v>16.227847253202786</v>
      </c>
    </row>
    <row r="13" spans="1:8">
      <c r="A13" s="37">
        <v>2</v>
      </c>
      <c r="B13" s="37" t="s">
        <v>60</v>
      </c>
      <c r="C13" s="37">
        <v>150</v>
      </c>
      <c r="D13" s="37">
        <v>2.6309699999999996</v>
      </c>
      <c r="E13" s="37">
        <v>3.5455909154803424</v>
      </c>
      <c r="F13" s="37">
        <v>10.3345</v>
      </c>
      <c r="G13" s="37">
        <v>11.886615631249061</v>
      </c>
      <c r="H13" s="37">
        <v>18.290828395735932</v>
      </c>
    </row>
    <row r="14" spans="1:8">
      <c r="A14" s="37">
        <v>2</v>
      </c>
      <c r="B14" s="37" t="s">
        <v>60</v>
      </c>
      <c r="C14" s="37">
        <v>210</v>
      </c>
      <c r="D14" s="37">
        <v>2.4041900000000003</v>
      </c>
      <c r="E14" s="37">
        <v>3.0885116368160781</v>
      </c>
      <c r="F14" s="37">
        <v>9.9324999999999992</v>
      </c>
      <c r="G14" s="37">
        <v>10.694364012875727</v>
      </c>
      <c r="H14" s="37">
        <v>16.773333651364528</v>
      </c>
    </row>
    <row r="15" spans="1:8">
      <c r="A15" s="37">
        <v>2</v>
      </c>
      <c r="B15" s="37" t="s">
        <v>61</v>
      </c>
      <c r="C15" s="37">
        <v>0</v>
      </c>
      <c r="D15" s="37">
        <v>1.82081</v>
      </c>
      <c r="E15" s="37">
        <v>2.4661658394830841</v>
      </c>
      <c r="F15" s="37">
        <v>6.9681999999999995</v>
      </c>
      <c r="G15" s="37">
        <v>9.0151777373846453</v>
      </c>
      <c r="H15" s="37">
        <v>14.631101987255141</v>
      </c>
    </row>
    <row r="16" spans="1:8">
      <c r="A16" s="37">
        <v>2</v>
      </c>
      <c r="B16" s="37" t="s">
        <v>61</v>
      </c>
      <c r="C16" s="37">
        <v>90</v>
      </c>
      <c r="D16" s="37">
        <v>2.1801699999999999</v>
      </c>
      <c r="E16" s="37">
        <v>2.6889863668862359</v>
      </c>
      <c r="F16" s="37">
        <v>8.2141999999999999</v>
      </c>
      <c r="G16" s="37">
        <v>8.9673436569048199</v>
      </c>
      <c r="H16" s="37">
        <v>14.699497302827471</v>
      </c>
    </row>
    <row r="17" spans="1:8">
      <c r="A17" s="37">
        <v>2</v>
      </c>
      <c r="B17" s="37" t="s">
        <v>61</v>
      </c>
      <c r="C17" s="37">
        <v>150</v>
      </c>
      <c r="D17" s="37">
        <v>2.45709</v>
      </c>
      <c r="E17" s="37">
        <v>3.4633720004846822</v>
      </c>
      <c r="F17" s="37">
        <v>9.758700000000001</v>
      </c>
      <c r="G17" s="37">
        <v>11.00631059124056</v>
      </c>
      <c r="H17" s="37">
        <v>16.635874033799968</v>
      </c>
    </row>
    <row r="18" spans="1:8">
      <c r="A18" s="37">
        <v>2</v>
      </c>
      <c r="B18" s="37" t="s">
        <v>61</v>
      </c>
      <c r="C18" s="37">
        <v>210</v>
      </c>
      <c r="D18" s="37">
        <v>2.2273200000000002</v>
      </c>
      <c r="E18" s="37">
        <v>3.1251016428440126</v>
      </c>
      <c r="F18" s="37">
        <v>9.8002000000000002</v>
      </c>
      <c r="G18" s="37">
        <v>10.498502435604351</v>
      </c>
      <c r="H18" s="37">
        <v>15.622147187452331</v>
      </c>
    </row>
    <row r="19" spans="1:8">
      <c r="A19" s="37">
        <v>3</v>
      </c>
      <c r="B19" s="37" t="s">
        <v>60</v>
      </c>
      <c r="C19" s="37">
        <v>0</v>
      </c>
      <c r="D19" s="37">
        <v>1.9693750000000001</v>
      </c>
      <c r="E19" s="37">
        <v>2.6177330961645495</v>
      </c>
      <c r="F19" s="37">
        <v>7.7634999999999996</v>
      </c>
      <c r="G19" s="37">
        <v>9.3798023340277723</v>
      </c>
      <c r="H19" s="37">
        <v>15.014109964665959</v>
      </c>
    </row>
    <row r="20" spans="1:8">
      <c r="A20" s="37">
        <v>3</v>
      </c>
      <c r="B20" s="37" t="s">
        <v>60</v>
      </c>
      <c r="C20" s="37">
        <v>90</v>
      </c>
      <c r="D20" s="37">
        <v>2.2271800000000002</v>
      </c>
      <c r="E20" s="37">
        <v>2.8523701757827604</v>
      </c>
      <c r="F20" s="37">
        <v>8.40855</v>
      </c>
      <c r="G20" s="37">
        <v>9.9503439269745364</v>
      </c>
      <c r="H20" s="37">
        <v>16.190342410694303</v>
      </c>
    </row>
    <row r="21" spans="1:8">
      <c r="A21" s="37">
        <v>3</v>
      </c>
      <c r="B21" s="37" t="s">
        <v>60</v>
      </c>
      <c r="C21" s="37">
        <v>150</v>
      </c>
      <c r="D21" s="37">
        <v>2.7096300000000002</v>
      </c>
      <c r="E21" s="37">
        <v>3.4818662420802711</v>
      </c>
      <c r="F21" s="37">
        <v>10.277799999999999</v>
      </c>
      <c r="G21" s="37">
        <v>11.638933682519637</v>
      </c>
      <c r="H21" s="37">
        <v>18.227797393871011</v>
      </c>
    </row>
    <row r="22" spans="1:8">
      <c r="A22" s="37">
        <v>3</v>
      </c>
      <c r="B22" s="37" t="s">
        <v>60</v>
      </c>
      <c r="C22" s="37">
        <v>210</v>
      </c>
      <c r="D22" s="37">
        <v>2.36233</v>
      </c>
      <c r="E22" s="37">
        <v>3.1782329861081671</v>
      </c>
      <c r="F22" s="37">
        <v>9.8643999999999998</v>
      </c>
      <c r="G22" s="37">
        <v>10.76312689088495</v>
      </c>
      <c r="H22" s="37">
        <v>16.890139261199053</v>
      </c>
    </row>
    <row r="23" spans="1:8">
      <c r="A23" s="37">
        <v>3</v>
      </c>
      <c r="B23" s="37" t="s">
        <v>61</v>
      </c>
      <c r="C23" s="37">
        <v>0</v>
      </c>
      <c r="D23" s="37">
        <v>1.8490749999999998</v>
      </c>
      <c r="E23" s="37">
        <v>2.5016902295988883</v>
      </c>
      <c r="F23" s="37">
        <v>6.9946000000000002</v>
      </c>
      <c r="G23" s="37">
        <v>8.9784233295249152</v>
      </c>
      <c r="H23" s="37">
        <v>14.638528472109087</v>
      </c>
    </row>
    <row r="24" spans="1:8">
      <c r="A24" s="37">
        <v>3</v>
      </c>
      <c r="B24" s="37" t="s">
        <v>61</v>
      </c>
      <c r="C24" s="37">
        <v>90</v>
      </c>
      <c r="D24" s="37">
        <v>2.1871849999999999</v>
      </c>
      <c r="E24" s="37">
        <v>2.6204435465407796</v>
      </c>
      <c r="F24" s="37">
        <v>8.0887499999999992</v>
      </c>
      <c r="G24" s="37">
        <v>9.032640291612978</v>
      </c>
      <c r="H24" s="37">
        <v>14.650608381461463</v>
      </c>
    </row>
    <row r="25" spans="1:8">
      <c r="A25" s="37">
        <v>3</v>
      </c>
      <c r="B25" s="37" t="s">
        <v>61</v>
      </c>
      <c r="C25" s="37">
        <v>150</v>
      </c>
      <c r="D25" s="37">
        <v>2.5357500000000002</v>
      </c>
      <c r="E25" s="37">
        <v>3.3232506785819176</v>
      </c>
      <c r="F25" s="37">
        <v>9.8127499999999994</v>
      </c>
      <c r="G25" s="37">
        <v>10.726530894875928</v>
      </c>
      <c r="H25" s="37">
        <v>16.565841025804243</v>
      </c>
    </row>
    <row r="26" spans="1:8">
      <c r="A26" s="37">
        <v>3</v>
      </c>
      <c r="B26" s="37" t="s">
        <v>61</v>
      </c>
      <c r="C26" s="37">
        <v>210</v>
      </c>
      <c r="D26" s="37">
        <v>2.2438800000000003</v>
      </c>
      <c r="E26" s="37">
        <v>3.0766154640269332</v>
      </c>
      <c r="F26" s="37">
        <v>9.7817000000000007</v>
      </c>
      <c r="G26" s="37">
        <v>10.588566903470589</v>
      </c>
      <c r="H26" s="37">
        <v>15.80442258856675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834A-B60A-462C-9DE6-2D67A9DE7245}">
  <dimension ref="A2:CI18"/>
  <sheetViews>
    <sheetView tabSelected="1" workbookViewId="0">
      <selection activeCell="H9" sqref="H9"/>
    </sheetView>
  </sheetViews>
  <sheetFormatPr defaultRowHeight="14.5"/>
  <cols>
    <col min="2" max="2" width="11.453125" customWidth="1"/>
  </cols>
  <sheetData>
    <row r="2" spans="1:87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</row>
    <row r="3" spans="1:87" ht="15.5">
      <c r="A3" s="2"/>
      <c r="B3" s="2"/>
      <c r="C3" s="155" t="s">
        <v>63</v>
      </c>
      <c r="D3" s="156"/>
      <c r="E3" s="156"/>
      <c r="F3" s="156"/>
      <c r="G3" s="156"/>
      <c r="H3" s="157" t="s">
        <v>64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7" t="s">
        <v>65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7" t="s">
        <v>66</v>
      </c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54" t="s">
        <v>59</v>
      </c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2"/>
      <c r="CF3" s="2"/>
      <c r="CG3" s="2"/>
      <c r="CH3" s="2"/>
      <c r="CI3" s="2"/>
    </row>
    <row r="4" spans="1:87" ht="15.5">
      <c r="A4" s="138" t="s">
        <v>248</v>
      </c>
      <c r="B4" s="2"/>
      <c r="C4" s="155" t="s">
        <v>67</v>
      </c>
      <c r="D4" s="156"/>
      <c r="E4" s="156"/>
      <c r="F4" s="156"/>
      <c r="G4" s="156"/>
      <c r="H4" s="157" t="s">
        <v>68</v>
      </c>
      <c r="I4" s="149"/>
      <c r="J4" s="149"/>
      <c r="K4" s="149"/>
      <c r="L4" s="149"/>
      <c r="M4" s="157" t="s">
        <v>69</v>
      </c>
      <c r="N4" s="149"/>
      <c r="O4" s="149"/>
      <c r="P4" s="149"/>
      <c r="Q4" s="149"/>
      <c r="R4" s="155" t="s">
        <v>67</v>
      </c>
      <c r="S4" s="156"/>
      <c r="T4" s="156"/>
      <c r="U4" s="156"/>
      <c r="V4" s="156"/>
      <c r="W4" s="157" t="s">
        <v>68</v>
      </c>
      <c r="X4" s="149"/>
      <c r="Y4" s="149"/>
      <c r="Z4" s="149"/>
      <c r="AA4" s="149"/>
      <c r="AB4" s="157" t="s">
        <v>70</v>
      </c>
      <c r="AC4" s="149"/>
      <c r="AD4" s="149"/>
      <c r="AE4" s="149"/>
      <c r="AF4" s="149"/>
      <c r="AG4" s="155" t="s">
        <v>67</v>
      </c>
      <c r="AH4" s="156"/>
      <c r="AI4" s="156"/>
      <c r="AJ4" s="156"/>
      <c r="AK4" s="156"/>
      <c r="AL4" s="157" t="s">
        <v>68</v>
      </c>
      <c r="AM4" s="149"/>
      <c r="AN4" s="149"/>
      <c r="AO4" s="149"/>
      <c r="AP4" s="149"/>
      <c r="AQ4" s="157" t="s">
        <v>71</v>
      </c>
      <c r="AR4" s="149"/>
      <c r="AS4" s="149"/>
      <c r="AT4" s="149"/>
      <c r="AU4" s="149"/>
      <c r="AV4" s="157" t="s">
        <v>72</v>
      </c>
      <c r="AW4" s="149"/>
      <c r="AX4" s="149"/>
      <c r="AY4" s="149"/>
      <c r="AZ4" s="149"/>
      <c r="BA4" s="155" t="s">
        <v>67</v>
      </c>
      <c r="BB4" s="156"/>
      <c r="BC4" s="156"/>
      <c r="BD4" s="156"/>
      <c r="BE4" s="156"/>
      <c r="BF4" s="157" t="s">
        <v>68</v>
      </c>
      <c r="BG4" s="149"/>
      <c r="BH4" s="149"/>
      <c r="BI4" s="149"/>
      <c r="BJ4" s="149"/>
      <c r="BK4" s="157" t="s">
        <v>71</v>
      </c>
      <c r="BL4" s="149"/>
      <c r="BM4" s="149"/>
      <c r="BN4" s="149"/>
      <c r="BO4" s="149"/>
      <c r="BP4" s="157" t="s">
        <v>72</v>
      </c>
      <c r="BQ4" s="149"/>
      <c r="BR4" s="149"/>
      <c r="BS4" s="149"/>
      <c r="BT4" s="149"/>
      <c r="BU4" s="157" t="s">
        <v>73</v>
      </c>
      <c r="BV4" s="149"/>
      <c r="BW4" s="149"/>
      <c r="BX4" s="149"/>
      <c r="BY4" s="149"/>
      <c r="BZ4" s="155" t="s">
        <v>74</v>
      </c>
      <c r="CA4" s="156"/>
      <c r="CB4" s="156"/>
      <c r="CC4" s="156"/>
      <c r="CD4" s="156"/>
      <c r="CE4" s="2"/>
      <c r="CF4" s="2"/>
      <c r="CG4" s="2"/>
      <c r="CH4" s="2"/>
      <c r="CI4" s="2"/>
    </row>
    <row r="5" spans="1:87" ht="30.5" customHeight="1">
      <c r="A5" s="35" t="s">
        <v>249</v>
      </c>
      <c r="B5" s="62" t="s">
        <v>251</v>
      </c>
      <c r="C5" s="45" t="s">
        <v>75</v>
      </c>
      <c r="D5" s="45" t="s">
        <v>76</v>
      </c>
      <c r="E5" s="45" t="s">
        <v>77</v>
      </c>
      <c r="F5" s="46" t="s">
        <v>78</v>
      </c>
      <c r="G5" s="46"/>
      <c r="H5" s="47" t="s">
        <v>79</v>
      </c>
      <c r="I5" s="47" t="s">
        <v>80</v>
      </c>
      <c r="J5" s="47" t="s">
        <v>81</v>
      </c>
      <c r="K5" s="2" t="s">
        <v>78</v>
      </c>
      <c r="L5" s="2"/>
      <c r="M5" s="47" t="s">
        <v>79</v>
      </c>
      <c r="N5" s="47" t="s">
        <v>80</v>
      </c>
      <c r="O5" s="47" t="s">
        <v>81</v>
      </c>
      <c r="P5" s="2" t="s">
        <v>78</v>
      </c>
      <c r="Q5" s="2"/>
      <c r="R5" s="45" t="s">
        <v>75</v>
      </c>
      <c r="S5" s="45" t="s">
        <v>76</v>
      </c>
      <c r="T5" s="45" t="s">
        <v>77</v>
      </c>
      <c r="U5" s="46" t="s">
        <v>78</v>
      </c>
      <c r="V5" s="46"/>
      <c r="W5" s="47" t="s">
        <v>79</v>
      </c>
      <c r="X5" s="47" t="s">
        <v>80</v>
      </c>
      <c r="Y5" s="47" t="s">
        <v>81</v>
      </c>
      <c r="Z5" s="2" t="s">
        <v>78</v>
      </c>
      <c r="AA5" s="2"/>
      <c r="AB5" s="47" t="s">
        <v>79</v>
      </c>
      <c r="AC5" s="47" t="s">
        <v>80</v>
      </c>
      <c r="AD5" s="47" t="s">
        <v>81</v>
      </c>
      <c r="AE5" s="2" t="s">
        <v>78</v>
      </c>
      <c r="AF5" s="2"/>
      <c r="AG5" s="45" t="s">
        <v>75</v>
      </c>
      <c r="AH5" s="45" t="s">
        <v>76</v>
      </c>
      <c r="AI5" s="45" t="s">
        <v>77</v>
      </c>
      <c r="AJ5" s="46" t="s">
        <v>78</v>
      </c>
      <c r="AK5" s="46"/>
      <c r="AL5" s="47" t="s">
        <v>79</v>
      </c>
      <c r="AM5" s="47" t="s">
        <v>80</v>
      </c>
      <c r="AN5" s="47" t="s">
        <v>81</v>
      </c>
      <c r="AO5" s="2" t="s">
        <v>78</v>
      </c>
      <c r="AP5" s="2"/>
      <c r="AQ5" s="47" t="s">
        <v>79</v>
      </c>
      <c r="AR5" s="47" t="s">
        <v>80</v>
      </c>
      <c r="AS5" s="47" t="s">
        <v>81</v>
      </c>
      <c r="AT5" s="2" t="s">
        <v>78</v>
      </c>
      <c r="AU5" s="2"/>
      <c r="AV5" s="47" t="s">
        <v>79</v>
      </c>
      <c r="AW5" s="47" t="s">
        <v>80</v>
      </c>
      <c r="AX5" s="47" t="s">
        <v>81</v>
      </c>
      <c r="AY5" s="2" t="s">
        <v>78</v>
      </c>
      <c r="AZ5" s="2"/>
      <c r="BA5" s="45" t="s">
        <v>75</v>
      </c>
      <c r="BB5" s="45" t="s">
        <v>76</v>
      </c>
      <c r="BC5" s="45" t="s">
        <v>77</v>
      </c>
      <c r="BD5" s="46" t="s">
        <v>78</v>
      </c>
      <c r="BE5" s="46"/>
      <c r="BF5" s="47" t="s">
        <v>79</v>
      </c>
      <c r="BG5" s="47" t="s">
        <v>80</v>
      </c>
      <c r="BH5" s="47" t="s">
        <v>81</v>
      </c>
      <c r="BI5" s="2" t="s">
        <v>78</v>
      </c>
      <c r="BJ5" s="38"/>
      <c r="BK5" s="47" t="s">
        <v>79</v>
      </c>
      <c r="BL5" s="47" t="s">
        <v>80</v>
      </c>
      <c r="BM5" s="47" t="s">
        <v>81</v>
      </c>
      <c r="BN5" s="2" t="s">
        <v>78</v>
      </c>
      <c r="BO5" s="38"/>
      <c r="BP5" s="47" t="s">
        <v>79</v>
      </c>
      <c r="BQ5" s="47" t="s">
        <v>80</v>
      </c>
      <c r="BR5" s="47" t="s">
        <v>81</v>
      </c>
      <c r="BS5" s="2" t="s">
        <v>78</v>
      </c>
      <c r="BT5" s="38"/>
      <c r="BU5" s="47" t="s">
        <v>79</v>
      </c>
      <c r="BV5" s="47" t="s">
        <v>80</v>
      </c>
      <c r="BW5" s="47" t="s">
        <v>81</v>
      </c>
      <c r="BX5" s="2" t="s">
        <v>78</v>
      </c>
      <c r="BY5" s="2"/>
      <c r="BZ5" s="45" t="s">
        <v>75</v>
      </c>
      <c r="CA5" s="45" t="s">
        <v>76</v>
      </c>
      <c r="CB5" s="45" t="s">
        <v>77</v>
      </c>
      <c r="CC5" s="46" t="s">
        <v>78</v>
      </c>
      <c r="CD5" s="46"/>
      <c r="CE5" s="47" t="s">
        <v>79</v>
      </c>
      <c r="CF5" s="47" t="s">
        <v>80</v>
      </c>
      <c r="CG5" s="47" t="s">
        <v>81</v>
      </c>
      <c r="CH5" s="2" t="s">
        <v>78</v>
      </c>
      <c r="CI5" s="2"/>
    </row>
    <row r="6" spans="1:87" ht="15.5">
      <c r="A6" s="159" t="s">
        <v>82</v>
      </c>
      <c r="B6" s="46">
        <v>0</v>
      </c>
      <c r="C6" s="48">
        <v>1941.2</v>
      </c>
      <c r="D6" s="48">
        <v>1997.55</v>
      </c>
      <c r="E6" s="48">
        <f>AVERAGE(C6:D6)</f>
        <v>1969.375</v>
      </c>
      <c r="F6" s="48">
        <f>STDEV(C6:D6)</f>
        <v>39.845467119861887</v>
      </c>
      <c r="G6" s="49" t="s">
        <v>83</v>
      </c>
      <c r="H6" s="50">
        <v>2065.8556250000001</v>
      </c>
      <c r="I6" s="50">
        <v>2009.6268749999999</v>
      </c>
      <c r="J6" s="10">
        <f>AVERAGE(H6:I6)</f>
        <v>2037.74125</v>
      </c>
      <c r="K6" s="10">
        <f>STDEV(H6:I6)</f>
        <v>39.759730422643237</v>
      </c>
      <c r="L6" t="s">
        <v>84</v>
      </c>
      <c r="M6" s="10">
        <v>473.33858594558569</v>
      </c>
      <c r="N6" s="10">
        <v>686.64510638351248</v>
      </c>
      <c r="O6" s="10">
        <f>AVERAGE(M6:N6)</f>
        <v>579.99184616454909</v>
      </c>
      <c r="P6" s="10">
        <f t="shared" ref="P6:P17" si="0">STDEV(M6:N6)</f>
        <v>150.83048707296464</v>
      </c>
      <c r="Q6" t="s">
        <v>85</v>
      </c>
      <c r="R6" s="48">
        <f>H6+M6</f>
        <v>2539.1942109455858</v>
      </c>
      <c r="S6" s="48">
        <f>I6+N6</f>
        <v>2696.2719813835124</v>
      </c>
      <c r="T6" s="48">
        <f>AVERAGE(R6:S6)</f>
        <v>2617.7330961645494</v>
      </c>
      <c r="U6" s="48">
        <f>STDEV(R6:S6)</f>
        <v>111.07075665032168</v>
      </c>
      <c r="V6" s="49" t="s">
        <v>86</v>
      </c>
      <c r="W6" s="10">
        <v>3421.1604450952709</v>
      </c>
      <c r="X6" s="10">
        <v>2676.8591804400457</v>
      </c>
      <c r="Y6" s="10">
        <f>AVERAGE(W6:X6)</f>
        <v>3049.0098127676583</v>
      </c>
      <c r="Z6" s="10">
        <f>STDEV(W6:X6)</f>
        <v>526.30047148343078</v>
      </c>
      <c r="AA6" t="s">
        <v>87</v>
      </c>
      <c r="AB6" s="10">
        <v>4239.6395549047293</v>
      </c>
      <c r="AC6" s="10">
        <v>5189.3408195599541</v>
      </c>
      <c r="AD6" s="10">
        <f>AVERAGE(AB6:AC6)</f>
        <v>4714.4901872323417</v>
      </c>
      <c r="AE6" s="10">
        <f>STDEV(AB6:AC6)</f>
        <v>671.54020433915082</v>
      </c>
      <c r="AF6" t="s">
        <v>88</v>
      </c>
      <c r="AG6" s="48">
        <f>W6+AB6</f>
        <v>7660.8</v>
      </c>
      <c r="AH6" s="48">
        <f>X6+AC6</f>
        <v>7866.2</v>
      </c>
      <c r="AI6" s="48">
        <f>AVERAGE(AG6:AH6)</f>
        <v>7763.5</v>
      </c>
      <c r="AJ6" s="48">
        <f>STDEV(AG6:AH6)</f>
        <v>145.2397328557166</v>
      </c>
      <c r="AK6" s="49" t="s">
        <v>89</v>
      </c>
      <c r="AL6" s="10">
        <v>1429.3810822384539</v>
      </c>
      <c r="AM6" s="10">
        <v>2976.5763147277121</v>
      </c>
      <c r="AN6" s="10">
        <f>AVERAGE(AL6:AM6)</f>
        <v>2202.978698483083</v>
      </c>
      <c r="AO6" s="10">
        <f>STDEV(AL6:AM6)</f>
        <v>1094.0322407126509</v>
      </c>
      <c r="AP6" t="s">
        <v>90</v>
      </c>
      <c r="AQ6" s="10">
        <v>4721.16044509527</v>
      </c>
      <c r="AR6" s="10">
        <v>3576.8591804400467</v>
      </c>
      <c r="AS6" s="10">
        <f>AVERAGE(AQ6:AR6)</f>
        <v>4149.0098127676583</v>
      </c>
      <c r="AT6" s="10">
        <f>STDEV(AQ6:AR6)</f>
        <v>809.1431839580556</v>
      </c>
      <c r="AU6" t="s">
        <v>91</v>
      </c>
      <c r="AV6" s="10">
        <v>3053.2038227770317</v>
      </c>
      <c r="AW6" s="10">
        <v>3002.4238227770302</v>
      </c>
      <c r="AX6" s="10">
        <f>AVERAGE(AV6:AW6)</f>
        <v>3027.813822777031</v>
      </c>
      <c r="AY6" s="10">
        <f>STDEV(AV6:AW6)</f>
        <v>35.906882348653987</v>
      </c>
      <c r="AZ6" t="s">
        <v>92</v>
      </c>
      <c r="BA6" s="48">
        <f>AL6+AQ6+AV6</f>
        <v>9203.7453501107557</v>
      </c>
      <c r="BB6" s="48">
        <f>AM6+AR6+AW6</f>
        <v>9555.8593179447889</v>
      </c>
      <c r="BC6" s="48">
        <f>AVERAGE(BA6:BB6)</f>
        <v>9379.8023340277723</v>
      </c>
      <c r="BD6" s="48">
        <f>STDEV(BA6:BB6)</f>
        <v>248.98217440594678</v>
      </c>
      <c r="BE6" s="49" t="s">
        <v>86</v>
      </c>
      <c r="BF6" s="10">
        <v>1576.6080000000002</v>
      </c>
      <c r="BG6" s="10">
        <v>1507.44</v>
      </c>
      <c r="BH6" s="10">
        <f t="shared" ref="BH6:BH17" si="1">AVERAGE(BF6:BG6)</f>
        <v>1542.0240000000001</v>
      </c>
      <c r="BI6" s="10">
        <v>32.606107894067392</v>
      </c>
      <c r="BJ6" t="s">
        <v>92</v>
      </c>
      <c r="BK6" s="10">
        <v>5263.808</v>
      </c>
      <c r="BL6" s="10">
        <v>5127.232</v>
      </c>
      <c r="BM6" s="10">
        <f t="shared" ref="BM6:BM17" si="2">AVERAGE(BK6:BL6)</f>
        <v>5195.5200000000004</v>
      </c>
      <c r="BN6" s="10">
        <v>20.161028545439844</v>
      </c>
      <c r="BO6" t="s">
        <v>93</v>
      </c>
      <c r="BP6" s="10">
        <v>3020.5068389628586</v>
      </c>
      <c r="BQ6" s="10">
        <v>3586.0642903690591</v>
      </c>
      <c r="BR6" s="10">
        <f t="shared" ref="BR6:BR17" si="3">AVERAGE(BP6:BQ6)</f>
        <v>3303.2855646659591</v>
      </c>
      <c r="BS6" s="10">
        <f>STDEV(BP6:BQ6)</f>
        <v>399.90950903990569</v>
      </c>
      <c r="BT6" t="s">
        <v>94</v>
      </c>
      <c r="BU6" s="10">
        <v>5023.1477999999997</v>
      </c>
      <c r="BV6" s="10">
        <v>4923.4129999999996</v>
      </c>
      <c r="BW6" s="10">
        <f>AVERAGE(BU6:BV6)</f>
        <v>4973.2803999999996</v>
      </c>
      <c r="BX6" s="10">
        <f>STDEV(BU6:BV6)</f>
        <v>70.523153400284201</v>
      </c>
      <c r="BY6" t="s">
        <v>95</v>
      </c>
      <c r="BZ6" s="48">
        <f>BF6+BK6+BP6+BU6</f>
        <v>14884.070638962858</v>
      </c>
      <c r="CA6" s="48">
        <f>BG6+BL6+BQ6+BV6</f>
        <v>15144.14929036906</v>
      </c>
      <c r="CB6" s="48">
        <f>AVERAGE(BZ6:CA6)</f>
        <v>15014.109964665959</v>
      </c>
      <c r="CC6" s="48">
        <f>STDEV(BZ6:CA6)</f>
        <v>183.90337805117764</v>
      </c>
      <c r="CD6" s="49" t="s">
        <v>86</v>
      </c>
      <c r="CE6" s="10">
        <f>BU6/BZ6*100</f>
        <v>33.748481325065924</v>
      </c>
      <c r="CF6" s="10">
        <f>BV6/CA6*100</f>
        <v>32.510330594344119</v>
      </c>
      <c r="CG6" s="10">
        <f>AVERAGE(CE6:CF6)</f>
        <v>33.129405959705025</v>
      </c>
      <c r="CH6" s="10">
        <f>STDEV(CE6:CF6)</f>
        <v>0.87550477782446789</v>
      </c>
      <c r="CI6" t="s">
        <v>96</v>
      </c>
    </row>
    <row r="7" spans="1:87" ht="15.5">
      <c r="A7" s="159"/>
      <c r="B7" s="46">
        <v>90</v>
      </c>
      <c r="C7" s="48">
        <v>2249.81</v>
      </c>
      <c r="D7" s="48">
        <v>2204.5500000000002</v>
      </c>
      <c r="E7" s="48">
        <f t="shared" ref="E7:E17" si="4">AVERAGE(C7:D7)</f>
        <v>2227.1800000000003</v>
      </c>
      <c r="F7" s="48">
        <f t="shared" ref="F7:F17" si="5">STDEV(C7:D7)</f>
        <v>32.003652916502979</v>
      </c>
      <c r="G7" s="49" t="s">
        <v>97</v>
      </c>
      <c r="H7" s="50">
        <v>2262.8743749999999</v>
      </c>
      <c r="I7" s="50">
        <v>2195.1387500000001</v>
      </c>
      <c r="J7" s="10">
        <f t="shared" ref="J7:J17" si="6">AVERAGE(H7:I7)</f>
        <v>2229.0065624999997</v>
      </c>
      <c r="K7" s="10">
        <f t="shared" ref="K7:K17" si="7">STDEV(H7:I7)</f>
        <v>47.89631976540889</v>
      </c>
      <c r="L7" t="s">
        <v>92</v>
      </c>
      <c r="M7" s="10">
        <v>594.8872367941317</v>
      </c>
      <c r="N7" s="10">
        <v>651.8399897713889</v>
      </c>
      <c r="O7" s="10">
        <f t="shared" ref="O7:O17" si="8">AVERAGE(M7:N7)</f>
        <v>623.3636132827603</v>
      </c>
      <c r="P7" s="10">
        <f t="shared" si="0"/>
        <v>40.271677837460906</v>
      </c>
      <c r="Q7" t="s">
        <v>85</v>
      </c>
      <c r="R7" s="48">
        <f t="shared" ref="R7:S17" si="9">H7+M7</f>
        <v>2857.7616117941316</v>
      </c>
      <c r="S7" s="48">
        <f t="shared" si="9"/>
        <v>2846.978739771389</v>
      </c>
      <c r="T7" s="48">
        <f t="shared" ref="T7:T17" si="10">AVERAGE(R7:S7)</f>
        <v>2852.3701757827603</v>
      </c>
      <c r="U7" s="48">
        <f t="shared" ref="U7:U17" si="11">STDEV(R7:S7)</f>
        <v>7.6246419279479936</v>
      </c>
      <c r="V7" s="49" t="s">
        <v>98</v>
      </c>
      <c r="W7" s="10">
        <v>3255.2038144777944</v>
      </c>
      <c r="X7" s="10">
        <v>3297.7907704424997</v>
      </c>
      <c r="Y7" s="10">
        <f t="shared" ref="Y7:Y17" si="12">AVERAGE(W7:X7)</f>
        <v>3276.497292460147</v>
      </c>
      <c r="Z7" s="10">
        <f t="shared" ref="Z7:Z17" si="13">STDEV(W7:X7)</f>
        <v>30.113525352736033</v>
      </c>
      <c r="AA7" t="s">
        <v>90</v>
      </c>
      <c r="AB7" s="10">
        <v>5101.396185522206</v>
      </c>
      <c r="AC7" s="10">
        <v>5162.7092295575003</v>
      </c>
      <c r="AD7" s="10">
        <f t="shared" ref="AD7:AD17" si="14">AVERAGE(AB7:AC7)</f>
        <v>5132.0527075398531</v>
      </c>
      <c r="AE7" s="10">
        <f t="shared" ref="AE7:AE17" si="15">STDEV(AB7:AC7)</f>
        <v>43.354869212545999</v>
      </c>
      <c r="AF7" t="s">
        <v>88</v>
      </c>
      <c r="AG7" s="48">
        <f t="shared" ref="AG7:AH17" si="16">W7+AB7</f>
        <v>8356.6</v>
      </c>
      <c r="AH7" s="48">
        <f t="shared" si="16"/>
        <v>8460.5</v>
      </c>
      <c r="AI7" s="48">
        <f t="shared" ref="AI7:AI17" si="17">AVERAGE(AG7:AH7)</f>
        <v>8408.5499999999993</v>
      </c>
      <c r="AJ7" s="48">
        <f t="shared" ref="AJ7:AJ17" si="18">STDEV(AG7:AH7)</f>
        <v>73.468394565282026</v>
      </c>
      <c r="AK7" s="49" t="s">
        <v>83</v>
      </c>
      <c r="AL7" s="10">
        <v>2187.2706708242658</v>
      </c>
      <c r="AM7" s="10">
        <v>2362.0978049055084</v>
      </c>
      <c r="AN7" s="10">
        <f t="shared" ref="AN7:AN17" si="19">AVERAGE(AL7:AM7)</f>
        <v>2274.6842378648871</v>
      </c>
      <c r="AO7" s="10">
        <f t="shared" ref="AO7:AO17" si="20">STDEV(AL7:AM7)</f>
        <v>123.62145204425639</v>
      </c>
      <c r="AP7" t="s">
        <v>90</v>
      </c>
      <c r="AQ7" s="10">
        <v>4255.2038144777944</v>
      </c>
      <c r="AR7" s="10">
        <v>4297.7907704424997</v>
      </c>
      <c r="AS7" s="10">
        <f t="shared" ref="AS7:AS17" si="21">AVERAGE(AQ7:AR7)</f>
        <v>4276.497292460147</v>
      </c>
      <c r="AT7" s="10">
        <f t="shared" ref="AT7:AT17" si="22">STDEV(AQ7:AR7)</f>
        <v>30.113525352736033</v>
      </c>
      <c r="AU7" t="s">
        <v>99</v>
      </c>
      <c r="AV7" s="10">
        <v>3407.7523966495046</v>
      </c>
      <c r="AW7" s="10">
        <v>3390.5723966495002</v>
      </c>
      <c r="AX7" s="10">
        <f t="shared" ref="AX7:AX17" si="23">AVERAGE(AV7:AW7)</f>
        <v>3399.1623966495026</v>
      </c>
      <c r="AY7" s="10">
        <f t="shared" ref="AY7:AY17" si="24">STDEV(AV7:AW7)</f>
        <v>12.148094500787986</v>
      </c>
      <c r="AZ7" t="s">
        <v>100</v>
      </c>
      <c r="BA7" s="48">
        <f t="shared" ref="BA7:BB17" si="25">AL7+AQ7+AV7</f>
        <v>9850.2268819515648</v>
      </c>
      <c r="BB7" s="48">
        <f t="shared" si="25"/>
        <v>10050.460971997509</v>
      </c>
      <c r="BC7" s="48">
        <f t="shared" ref="BC7:BC17" si="26">AVERAGE(BA7:BB7)</f>
        <v>9950.3439269745359</v>
      </c>
      <c r="BD7" s="48">
        <f t="shared" ref="BD7:BD17" si="27">STDEV(BA7:BB7)</f>
        <v>141.58688289620474</v>
      </c>
      <c r="BE7" s="49" t="s">
        <v>98</v>
      </c>
      <c r="BF7" s="10">
        <v>1606.1759999999999</v>
      </c>
      <c r="BG7" s="10">
        <v>1682.2080000000001</v>
      </c>
      <c r="BH7" s="10">
        <f t="shared" si="1"/>
        <v>1644.192</v>
      </c>
      <c r="BI7" s="10">
        <v>35.841828524782812</v>
      </c>
      <c r="BJ7" t="s">
        <v>95</v>
      </c>
      <c r="BK7" s="10">
        <v>5458.4639999999999</v>
      </c>
      <c r="BL7" s="10">
        <v>5319.0720000000001</v>
      </c>
      <c r="BM7" s="10">
        <f t="shared" si="2"/>
        <v>5388.768</v>
      </c>
      <c r="BN7" s="10">
        <v>35.321397933870223</v>
      </c>
      <c r="BO7" t="s">
        <v>101</v>
      </c>
      <c r="BP7" s="10">
        <v>3888.653768185824</v>
      </c>
      <c r="BQ7" s="10">
        <v>3953.3300532027847</v>
      </c>
      <c r="BR7" s="10">
        <f t="shared" si="3"/>
        <v>3920.9919106943044</v>
      </c>
      <c r="BS7" s="10">
        <f t="shared" ref="BS7:BS17" si="28">STDEV(BP7:BQ7)</f>
        <v>45.733039717446822</v>
      </c>
      <c r="BT7" t="s">
        <v>96</v>
      </c>
      <c r="BU7" s="10">
        <v>5199.5438000000004</v>
      </c>
      <c r="BV7" s="10">
        <v>5273.2371999999996</v>
      </c>
      <c r="BW7" s="10">
        <f t="shared" ref="BW7:BW17" si="29">AVERAGE(BU7:BV7)</f>
        <v>5236.3904999999995</v>
      </c>
      <c r="BX7" s="10">
        <f t="shared" ref="BX7:BX17" si="30">STDEV(BU7:BV7)</f>
        <v>52.109102868692155</v>
      </c>
      <c r="BY7" t="s">
        <v>87</v>
      </c>
      <c r="BZ7" s="48">
        <f t="shared" ref="BZ7:CA17" si="31">BF7+BK7+BP7+BU7</f>
        <v>16152.837568185823</v>
      </c>
      <c r="CA7" s="48">
        <f t="shared" si="31"/>
        <v>16227.847253202784</v>
      </c>
      <c r="CB7" s="48">
        <f t="shared" ref="CB7:CB17" si="32">AVERAGE(BZ7:CA7)</f>
        <v>16190.342410694304</v>
      </c>
      <c r="CC7" s="48">
        <f t="shared" ref="CC7:CC17" si="33">STDEV(BZ7:CA7)</f>
        <v>53.039856930160205</v>
      </c>
      <c r="CD7" s="49" t="s">
        <v>102</v>
      </c>
      <c r="CE7" s="10">
        <f t="shared" ref="CE7:CF17" si="34">BU7/BZ7*100</f>
        <v>32.189661897181935</v>
      </c>
      <c r="CF7" s="10">
        <f t="shared" si="34"/>
        <v>32.494989124076547</v>
      </c>
      <c r="CG7" s="10">
        <f t="shared" ref="CG7:CG17" si="35">AVERAGE(CE7:CF7)</f>
        <v>32.342325510629237</v>
      </c>
      <c r="CH7" s="10">
        <f t="shared" ref="CH7:CH17" si="36">STDEV(CE7:CF7)</f>
        <v>0.21589895261806352</v>
      </c>
      <c r="CI7" t="s">
        <v>103</v>
      </c>
    </row>
    <row r="8" spans="1:87" ht="15.5">
      <c r="A8" s="159"/>
      <c r="B8" s="46">
        <v>120</v>
      </c>
      <c r="C8" s="48">
        <v>2502.63</v>
      </c>
      <c r="D8" s="48">
        <v>2378.4299999999998</v>
      </c>
      <c r="E8" s="48">
        <f t="shared" si="4"/>
        <v>2440.5299999999997</v>
      </c>
      <c r="F8" s="48">
        <f t="shared" si="5"/>
        <v>87.822662223369392</v>
      </c>
      <c r="G8" s="49" t="s">
        <v>104</v>
      </c>
      <c r="H8" s="50">
        <v>2571.9806250000001</v>
      </c>
      <c r="I8" s="50">
        <v>2560.0706249999998</v>
      </c>
      <c r="J8" s="10">
        <f t="shared" si="6"/>
        <v>2566.0256250000002</v>
      </c>
      <c r="K8" s="10">
        <f t="shared" si="7"/>
        <v>8.4216417639319996</v>
      </c>
      <c r="L8" t="s">
        <v>94</v>
      </c>
      <c r="M8" s="10">
        <v>565.47078983060192</v>
      </c>
      <c r="N8" s="10">
        <v>598.96306445344453</v>
      </c>
      <c r="O8" s="10">
        <f t="shared" si="8"/>
        <v>582.21692714202322</v>
      </c>
      <c r="P8" s="10">
        <f t="shared" si="0"/>
        <v>23.682614503174133</v>
      </c>
      <c r="Q8" t="s">
        <v>85</v>
      </c>
      <c r="R8" s="48">
        <f t="shared" si="9"/>
        <v>3137.4514148306021</v>
      </c>
      <c r="S8" s="48">
        <f t="shared" si="9"/>
        <v>3159.0336894534444</v>
      </c>
      <c r="T8" s="48">
        <f t="shared" si="10"/>
        <v>3148.2425521420232</v>
      </c>
      <c r="U8" s="48">
        <f t="shared" si="11"/>
        <v>15.260972739242131</v>
      </c>
      <c r="V8" s="49" t="s">
        <v>104</v>
      </c>
      <c r="W8" s="10">
        <v>4237.0677801108959</v>
      </c>
      <c r="X8" s="10">
        <v>4668.8235867226367</v>
      </c>
      <c r="Y8" s="10">
        <f t="shared" si="12"/>
        <v>4452.9456834167668</v>
      </c>
      <c r="Z8" s="10">
        <f t="shared" si="13"/>
        <v>305.29745867182953</v>
      </c>
      <c r="AA8" t="s">
        <v>105</v>
      </c>
      <c r="AB8" s="10">
        <v>5223.012219889104</v>
      </c>
      <c r="AC8" s="10">
        <v>5001.1764132773633</v>
      </c>
      <c r="AD8" s="10">
        <f t="shared" si="14"/>
        <v>5112.0943165832341</v>
      </c>
      <c r="AE8" s="10">
        <f t="shared" si="15"/>
        <v>156.86160316514943</v>
      </c>
      <c r="AF8" t="s">
        <v>88</v>
      </c>
      <c r="AG8" s="48">
        <f t="shared" si="16"/>
        <v>9460.08</v>
      </c>
      <c r="AH8" s="48">
        <f t="shared" si="16"/>
        <v>9670</v>
      </c>
      <c r="AI8" s="48">
        <f t="shared" si="17"/>
        <v>9565.0400000000009</v>
      </c>
      <c r="AJ8" s="48">
        <f t="shared" si="18"/>
        <v>148.4358555066801</v>
      </c>
      <c r="AK8" s="49" t="s">
        <v>98</v>
      </c>
      <c r="AL8" s="10">
        <v>2797.8552361721322</v>
      </c>
      <c r="AM8" s="10">
        <v>2763.6924639597073</v>
      </c>
      <c r="AN8" s="10">
        <f t="shared" si="19"/>
        <v>2780.7738500659198</v>
      </c>
      <c r="AO8" s="10">
        <f t="shared" si="20"/>
        <v>24.156727895536999</v>
      </c>
      <c r="AP8" t="s">
        <v>85</v>
      </c>
      <c r="AQ8" s="10">
        <v>4237.0677801108959</v>
      </c>
      <c r="AR8" s="10">
        <v>4668.8235867226367</v>
      </c>
      <c r="AS8" s="10">
        <f t="shared" si="21"/>
        <v>4452.9456834167668</v>
      </c>
      <c r="AT8" s="10">
        <f t="shared" si="22"/>
        <v>305.29745867182953</v>
      </c>
      <c r="AU8" t="s">
        <v>106</v>
      </c>
      <c r="AV8" s="10">
        <v>3533.8024652783502</v>
      </c>
      <c r="AW8" s="10">
        <v>3541.44246527835</v>
      </c>
      <c r="AX8" s="10">
        <f t="shared" si="23"/>
        <v>3537.6224652783503</v>
      </c>
      <c r="AY8" s="10">
        <f t="shared" si="24"/>
        <v>5.4022958082651327</v>
      </c>
      <c r="AZ8" t="s">
        <v>100</v>
      </c>
      <c r="BA8" s="48">
        <f t="shared" si="25"/>
        <v>10568.725481561378</v>
      </c>
      <c r="BB8" s="48">
        <f t="shared" si="25"/>
        <v>10973.958515960694</v>
      </c>
      <c r="BC8" s="48">
        <f t="shared" si="26"/>
        <v>10771.341998761036</v>
      </c>
      <c r="BD8" s="48">
        <f t="shared" si="27"/>
        <v>286.54302658455799</v>
      </c>
      <c r="BE8" s="49" t="s">
        <v>107</v>
      </c>
      <c r="BF8" s="10">
        <v>1766.6880000000001</v>
      </c>
      <c r="BG8" s="10">
        <v>1692.7680000000003</v>
      </c>
      <c r="BH8" s="10">
        <f t="shared" si="1"/>
        <v>1729.7280000000001</v>
      </c>
      <c r="BI8" s="10">
        <v>34.846222176882669</v>
      </c>
      <c r="BJ8" t="s">
        <v>100</v>
      </c>
      <c r="BK8" s="10">
        <v>5639.04</v>
      </c>
      <c r="BL8" s="10">
        <v>5610.5280000000002</v>
      </c>
      <c r="BM8" s="10">
        <f t="shared" si="2"/>
        <v>5624.7839999999997</v>
      </c>
      <c r="BN8" s="10">
        <v>67.203428483937188</v>
      </c>
      <c r="BO8" t="s">
        <v>100</v>
      </c>
      <c r="BP8" s="10">
        <v>3647.5490866534265</v>
      </c>
      <c r="BQ8" s="10">
        <v>4185.8456223348239</v>
      </c>
      <c r="BR8" s="10">
        <f t="shared" si="3"/>
        <v>3916.6973544941252</v>
      </c>
      <c r="BS8" s="10">
        <f t="shared" si="28"/>
        <v>380.63313066954248</v>
      </c>
      <c r="BT8" t="s">
        <v>96</v>
      </c>
      <c r="BU8" s="10">
        <v>5308.0566000000008</v>
      </c>
      <c r="BV8" s="10">
        <v>5358.4673999999986</v>
      </c>
      <c r="BW8" s="10">
        <f t="shared" si="29"/>
        <v>5333.2619999999997</v>
      </c>
      <c r="BX8" s="10">
        <f t="shared" si="30"/>
        <v>35.645818525037278</v>
      </c>
      <c r="BY8" t="s">
        <v>88</v>
      </c>
      <c r="BZ8" s="48">
        <f t="shared" si="31"/>
        <v>16361.333686653426</v>
      </c>
      <c r="CA8" s="48">
        <f t="shared" si="31"/>
        <v>16847.609022334822</v>
      </c>
      <c r="CB8" s="48">
        <f t="shared" si="32"/>
        <v>16604.471354494126</v>
      </c>
      <c r="CC8" s="48">
        <f t="shared" si="33"/>
        <v>343.84858738407951</v>
      </c>
      <c r="CD8" s="49" t="s">
        <v>107</v>
      </c>
      <c r="CE8" s="10">
        <f t="shared" si="34"/>
        <v>32.442688974249009</v>
      </c>
      <c r="CF8" s="10">
        <f t="shared" si="34"/>
        <v>31.805506602725025</v>
      </c>
      <c r="CG8" s="10">
        <f t="shared" si="35"/>
        <v>32.12409778848702</v>
      </c>
      <c r="CH8" s="10">
        <f t="shared" si="36"/>
        <v>0.4505559757571353</v>
      </c>
      <c r="CI8" t="s">
        <v>94</v>
      </c>
    </row>
    <row r="9" spans="1:87" ht="15.5">
      <c r="A9" s="159"/>
      <c r="B9" s="46">
        <v>150</v>
      </c>
      <c r="C9" s="48">
        <v>2788.29</v>
      </c>
      <c r="D9" s="48">
        <v>2630.97</v>
      </c>
      <c r="E9" s="48">
        <f t="shared" si="4"/>
        <v>2709.63</v>
      </c>
      <c r="F9" s="48">
        <f t="shared" si="5"/>
        <v>111.24203881626777</v>
      </c>
      <c r="G9" s="49" t="s">
        <v>108</v>
      </c>
      <c r="H9" s="50">
        <v>2657.8624999999997</v>
      </c>
      <c r="I9" s="50">
        <v>2720.3606249999998</v>
      </c>
      <c r="J9" s="10">
        <f t="shared" si="6"/>
        <v>2689.1115624999998</v>
      </c>
      <c r="K9" s="10">
        <f t="shared" si="7"/>
        <v>44.192847998944544</v>
      </c>
      <c r="L9" t="s">
        <v>103</v>
      </c>
      <c r="M9" s="10">
        <v>760.27906868019954</v>
      </c>
      <c r="N9" s="10">
        <v>825.23029048034277</v>
      </c>
      <c r="O9" s="10">
        <f t="shared" si="8"/>
        <v>792.75467958027116</v>
      </c>
      <c r="P9" s="10">
        <f t="shared" si="0"/>
        <v>45.92744938123279</v>
      </c>
      <c r="Q9" t="s">
        <v>105</v>
      </c>
      <c r="R9" s="48">
        <f t="shared" si="9"/>
        <v>3418.1415686801993</v>
      </c>
      <c r="S9" s="48">
        <f t="shared" si="9"/>
        <v>3545.5909154803426</v>
      </c>
      <c r="T9" s="48">
        <f t="shared" si="10"/>
        <v>3481.8662420802711</v>
      </c>
      <c r="U9" s="48">
        <f t="shared" si="11"/>
        <v>90.120297380177334</v>
      </c>
      <c r="V9" s="49" t="s">
        <v>109</v>
      </c>
      <c r="W9" s="10">
        <v>4069.4503897878567</v>
      </c>
      <c r="X9" s="10">
        <v>3574.252687958211</v>
      </c>
      <c r="Y9" s="10">
        <f t="shared" si="12"/>
        <v>3821.8515388730339</v>
      </c>
      <c r="Z9" s="10">
        <f t="shared" si="13"/>
        <v>350.15765299173648</v>
      </c>
      <c r="AA9" t="s">
        <v>94</v>
      </c>
      <c r="AB9" s="10">
        <v>6151.6496102121437</v>
      </c>
      <c r="AC9" s="10">
        <v>6760.247312041789</v>
      </c>
      <c r="AD9" s="10">
        <f t="shared" si="14"/>
        <v>6455.9484611269663</v>
      </c>
      <c r="AE9" s="10">
        <f t="shared" si="15"/>
        <v>430.34356197829072</v>
      </c>
      <c r="AF9" t="s">
        <v>103</v>
      </c>
      <c r="AG9" s="48">
        <f t="shared" si="16"/>
        <v>10221.1</v>
      </c>
      <c r="AH9" s="48">
        <f t="shared" si="16"/>
        <v>10334.5</v>
      </c>
      <c r="AI9" s="48">
        <f t="shared" si="17"/>
        <v>10277.799999999999</v>
      </c>
      <c r="AJ9" s="48">
        <f t="shared" si="18"/>
        <v>80.185908986554239</v>
      </c>
      <c r="AK9" s="49" t="s">
        <v>108</v>
      </c>
      <c r="AL9" s="10">
        <v>3243.8553009809266</v>
      </c>
      <c r="AM9" s="10">
        <v>3823.0969002694201</v>
      </c>
      <c r="AN9" s="10">
        <f t="shared" si="19"/>
        <v>3533.4761006251733</v>
      </c>
      <c r="AO9" s="10">
        <f t="shared" si="20"/>
        <v>409.58566280223459</v>
      </c>
      <c r="AP9" t="s">
        <v>105</v>
      </c>
      <c r="AQ9" s="10">
        <v>4512.5503897878571</v>
      </c>
      <c r="AR9" s="10">
        <v>4275.8526879582096</v>
      </c>
      <c r="AS9" s="10">
        <f>AVERAGE(AQ9:AR9)</f>
        <v>4394.2015388730333</v>
      </c>
      <c r="AT9" s="10">
        <f t="shared" si="22"/>
        <v>167.37055005501523</v>
      </c>
      <c r="AU9" t="s">
        <v>106</v>
      </c>
      <c r="AV9" s="10">
        <v>3634.84604302143</v>
      </c>
      <c r="AW9" s="10">
        <v>3787.6660430214301</v>
      </c>
      <c r="AX9" s="10">
        <f t="shared" si="23"/>
        <v>3711.2560430214298</v>
      </c>
      <c r="AY9" s="10">
        <f t="shared" si="24"/>
        <v>108.0600583009283</v>
      </c>
      <c r="AZ9" t="s">
        <v>110</v>
      </c>
      <c r="BA9" s="48">
        <f t="shared" si="25"/>
        <v>11391.251733790214</v>
      </c>
      <c r="BB9" s="48">
        <f t="shared" si="25"/>
        <v>11886.61563124906</v>
      </c>
      <c r="BC9" s="48">
        <f t="shared" si="26"/>
        <v>11638.933682519637</v>
      </c>
      <c r="BD9" s="48">
        <f t="shared" si="27"/>
        <v>350.27517104814802</v>
      </c>
      <c r="BE9" s="49" t="s">
        <v>108</v>
      </c>
      <c r="BF9" s="10">
        <v>2786.7839999999997</v>
      </c>
      <c r="BG9" s="10">
        <v>2830.08</v>
      </c>
      <c r="BH9" s="10">
        <f t="shared" si="1"/>
        <v>2808.4319999999998</v>
      </c>
      <c r="BI9" s="10">
        <v>20.409930132156362</v>
      </c>
      <c r="BJ9" t="s">
        <v>103</v>
      </c>
      <c r="BK9" s="10">
        <v>6029.8879999999999</v>
      </c>
      <c r="BL9" s="10">
        <v>6079.84</v>
      </c>
      <c r="BM9" s="10">
        <f t="shared" si="2"/>
        <v>6054.8639999999996</v>
      </c>
      <c r="BN9" s="10">
        <v>51.771530091335357</v>
      </c>
      <c r="BO9" t="s">
        <v>87</v>
      </c>
      <c r="BP9" s="10">
        <v>3677.4227920060939</v>
      </c>
      <c r="BQ9" s="10">
        <v>3732.0563957359318</v>
      </c>
      <c r="BR9" s="10">
        <f t="shared" si="3"/>
        <v>3704.7395938710129</v>
      </c>
      <c r="BS9" s="10">
        <f t="shared" si="28"/>
        <v>38.631791678027021</v>
      </c>
      <c r="BT9" t="s">
        <v>105</v>
      </c>
      <c r="BU9" s="10">
        <v>5670.6716000000006</v>
      </c>
      <c r="BV9" s="10">
        <v>5648.8519999999999</v>
      </c>
      <c r="BW9" s="10">
        <f t="shared" si="29"/>
        <v>5659.7618000000002</v>
      </c>
      <c r="BX9" s="10">
        <f t="shared" si="30"/>
        <v>15.428787122778502</v>
      </c>
      <c r="BY9" t="s">
        <v>103</v>
      </c>
      <c r="BZ9" s="48">
        <f t="shared" si="31"/>
        <v>18164.766392006095</v>
      </c>
      <c r="CA9" s="48">
        <f t="shared" si="31"/>
        <v>18290.828395735931</v>
      </c>
      <c r="CB9" s="48">
        <f t="shared" si="32"/>
        <v>18227.797393871013</v>
      </c>
      <c r="CC9" s="48">
        <f t="shared" si="33"/>
        <v>89.139297687330782</v>
      </c>
      <c r="CD9" s="49" t="s">
        <v>108</v>
      </c>
      <c r="CE9" s="10">
        <f t="shared" si="34"/>
        <v>31.217971525885051</v>
      </c>
      <c r="CF9" s="10">
        <f t="shared" si="34"/>
        <v>30.883521936693114</v>
      </c>
      <c r="CG9" s="10">
        <f t="shared" si="35"/>
        <v>31.050746731289081</v>
      </c>
      <c r="CH9" s="10">
        <f t="shared" si="36"/>
        <v>0.23649157248267386</v>
      </c>
      <c r="CI9" t="s">
        <v>110</v>
      </c>
    </row>
    <row r="10" spans="1:87" ht="15.5">
      <c r="A10" s="159"/>
      <c r="B10" s="46">
        <v>180</v>
      </c>
      <c r="C10" s="48">
        <v>3099.48</v>
      </c>
      <c r="D10" s="48">
        <v>3165.03</v>
      </c>
      <c r="E10" s="48">
        <f t="shared" si="4"/>
        <v>3132.2550000000001</v>
      </c>
      <c r="F10" s="48">
        <f t="shared" si="5"/>
        <v>46.350849506778317</v>
      </c>
      <c r="G10" s="49" t="s">
        <v>111</v>
      </c>
      <c r="H10" s="50">
        <v>3074.4625000000001</v>
      </c>
      <c r="I10" s="50">
        <v>3098.5562500000001</v>
      </c>
      <c r="J10" s="10">
        <f t="shared" si="6"/>
        <v>3086.5093750000001</v>
      </c>
      <c r="K10" s="10">
        <f t="shared" si="7"/>
        <v>17.036854009213378</v>
      </c>
      <c r="L10" t="s">
        <v>96</v>
      </c>
      <c r="M10" s="10">
        <v>541.76859087340563</v>
      </c>
      <c r="N10" s="10">
        <v>480.50749387025462</v>
      </c>
      <c r="O10" s="10">
        <f t="shared" si="8"/>
        <v>511.13804237183012</v>
      </c>
      <c r="P10" s="10">
        <f t="shared" si="0"/>
        <v>43.318137113854959</v>
      </c>
      <c r="Q10" t="s">
        <v>110</v>
      </c>
      <c r="R10" s="48">
        <f t="shared" si="9"/>
        <v>3616.2310908734057</v>
      </c>
      <c r="S10" s="48">
        <f t="shared" si="9"/>
        <v>3579.0637438702547</v>
      </c>
      <c r="T10" s="48">
        <f t="shared" si="10"/>
        <v>3597.6474173718302</v>
      </c>
      <c r="U10" s="48">
        <f t="shared" si="11"/>
        <v>26.281283104641581</v>
      </c>
      <c r="V10" s="49" t="s">
        <v>111</v>
      </c>
      <c r="W10" s="10">
        <v>4861.0470801748843</v>
      </c>
      <c r="X10" s="10">
        <v>3892.8201525904014</v>
      </c>
      <c r="Y10" s="10">
        <f t="shared" si="12"/>
        <v>4376.9336163826429</v>
      </c>
      <c r="Z10" s="10">
        <f t="shared" si="13"/>
        <v>684.63982622240633</v>
      </c>
      <c r="AA10" t="s">
        <v>105</v>
      </c>
      <c r="AB10" s="10">
        <v>5803.1529198251164</v>
      </c>
      <c r="AC10" s="10">
        <v>6643.2798474095989</v>
      </c>
      <c r="AD10" s="10">
        <f t="shared" si="14"/>
        <v>6223.2163836173577</v>
      </c>
      <c r="AE10" s="10">
        <f t="shared" si="15"/>
        <v>594.05944755240716</v>
      </c>
      <c r="AF10" t="s">
        <v>103</v>
      </c>
      <c r="AG10" s="48">
        <f t="shared" si="16"/>
        <v>10664.2</v>
      </c>
      <c r="AH10" s="48">
        <f t="shared" si="16"/>
        <v>10536.1</v>
      </c>
      <c r="AI10" s="48">
        <f t="shared" si="17"/>
        <v>10600.150000000001</v>
      </c>
      <c r="AJ10" s="48">
        <f t="shared" si="18"/>
        <v>90.580378669997003</v>
      </c>
      <c r="AK10" s="49" t="s">
        <v>111</v>
      </c>
      <c r="AL10" s="10">
        <v>2371.8317436688012</v>
      </c>
      <c r="AM10" s="10">
        <v>2673.8173391708369</v>
      </c>
      <c r="AN10" s="10">
        <f t="shared" si="19"/>
        <v>2522.8245414198191</v>
      </c>
      <c r="AO10" s="10">
        <f t="shared" si="20"/>
        <v>213.53606240014722</v>
      </c>
      <c r="AP10" t="s">
        <v>85</v>
      </c>
      <c r="AQ10" s="10">
        <v>5417.9470801748839</v>
      </c>
      <c r="AR10" s="10">
        <v>4691.2201525904011</v>
      </c>
      <c r="AS10" s="10">
        <f t="shared" si="21"/>
        <v>5054.5836163826425</v>
      </c>
      <c r="AT10" s="10">
        <f t="shared" si="22"/>
        <v>513.87353856585287</v>
      </c>
      <c r="AU10" t="s">
        <v>105</v>
      </c>
      <c r="AV10" s="10">
        <v>4358.4795593232002</v>
      </c>
      <c r="AW10" s="10">
        <v>4982.8795593231998</v>
      </c>
      <c r="AX10" s="10">
        <f t="shared" si="23"/>
        <v>4670.6795593232</v>
      </c>
      <c r="AY10" s="10">
        <f t="shared" si="24"/>
        <v>441.51747417287999</v>
      </c>
      <c r="AZ10" t="s">
        <v>96</v>
      </c>
      <c r="BA10" s="48">
        <f t="shared" si="25"/>
        <v>12148.258383166885</v>
      </c>
      <c r="BB10" s="48">
        <f t="shared" si="25"/>
        <v>12347.917051084438</v>
      </c>
      <c r="BC10" s="48">
        <f t="shared" si="26"/>
        <v>12248.087717125662</v>
      </c>
      <c r="BD10" s="48">
        <f t="shared" si="27"/>
        <v>141.17999800717436</v>
      </c>
      <c r="BE10" s="49" t="s">
        <v>111</v>
      </c>
      <c r="BF10" s="10">
        <v>3165.8879999999999</v>
      </c>
      <c r="BG10" s="10">
        <v>3011.712</v>
      </c>
      <c r="BH10" s="10">
        <f t="shared" si="1"/>
        <v>3088.8</v>
      </c>
      <c r="BI10" s="10">
        <v>72.67926339748503</v>
      </c>
      <c r="BJ10" t="s">
        <v>96</v>
      </c>
      <c r="BK10" s="10">
        <v>7648.64</v>
      </c>
      <c r="BL10" s="10">
        <v>7743.68</v>
      </c>
      <c r="BM10" s="10">
        <f t="shared" si="2"/>
        <v>7696.16</v>
      </c>
      <c r="BN10" s="10">
        <v>98.565028443164991</v>
      </c>
      <c r="BO10" t="s">
        <v>96</v>
      </c>
      <c r="BP10" s="10">
        <v>2486.7886123148901</v>
      </c>
      <c r="BQ10" s="10">
        <v>2486.3723566082986</v>
      </c>
      <c r="BR10" s="10">
        <f t="shared" si="3"/>
        <v>2486.5804844615941</v>
      </c>
      <c r="BS10" s="10">
        <f t="shared" si="28"/>
        <v>0.2943372328384673</v>
      </c>
      <c r="BT10" t="s">
        <v>95</v>
      </c>
      <c r="BU10" s="10">
        <v>5754.6895999999997</v>
      </c>
      <c r="BV10" s="10">
        <v>5813.7948000000006</v>
      </c>
      <c r="BW10" s="10">
        <f t="shared" si="29"/>
        <v>5784.2422000000006</v>
      </c>
      <c r="BX10" s="10">
        <f t="shared" si="30"/>
        <v>41.793687723387748</v>
      </c>
      <c r="BY10" t="s">
        <v>96</v>
      </c>
      <c r="BZ10" s="48">
        <f t="shared" si="31"/>
        <v>19056.006212314889</v>
      </c>
      <c r="CA10" s="48">
        <f t="shared" si="31"/>
        <v>19055.559156608299</v>
      </c>
      <c r="CB10" s="48">
        <f t="shared" si="32"/>
        <v>19055.782684461592</v>
      </c>
      <c r="CC10" s="48">
        <f t="shared" si="33"/>
        <v>0.31611612169836933</v>
      </c>
      <c r="CD10" s="49" t="s">
        <v>111</v>
      </c>
      <c r="CE10" s="10">
        <f t="shared" si="34"/>
        <v>30.198823068608405</v>
      </c>
      <c r="CF10" s="10">
        <f t="shared" si="34"/>
        <v>30.509704555081651</v>
      </c>
      <c r="CG10" s="10">
        <f t="shared" si="35"/>
        <v>30.35426381184503</v>
      </c>
      <c r="CH10" s="10">
        <f t="shared" si="36"/>
        <v>0.21982640723058611</v>
      </c>
      <c r="CI10" t="s">
        <v>95</v>
      </c>
    </row>
    <row r="11" spans="1:87" ht="15.5">
      <c r="A11" s="159"/>
      <c r="B11" s="46">
        <v>210</v>
      </c>
      <c r="C11" s="48">
        <v>2320.4699999999998</v>
      </c>
      <c r="D11" s="48">
        <v>2404.19</v>
      </c>
      <c r="E11" s="48">
        <f t="shared" si="4"/>
        <v>2362.33</v>
      </c>
      <c r="F11" s="48">
        <f t="shared" si="5"/>
        <v>59.198979720937935</v>
      </c>
      <c r="G11" s="49" t="s">
        <v>112</v>
      </c>
      <c r="H11" s="50">
        <v>2605.7431249999995</v>
      </c>
      <c r="I11" s="50">
        <v>2713.5918749999996</v>
      </c>
      <c r="J11" s="10">
        <f t="shared" si="6"/>
        <v>2659.6674999999996</v>
      </c>
      <c r="K11" s="10">
        <f t="shared" si="7"/>
        <v>76.260582467492739</v>
      </c>
      <c r="L11" t="s">
        <v>103</v>
      </c>
      <c r="M11" s="10">
        <v>662.21121040025628</v>
      </c>
      <c r="N11" s="10">
        <v>374.91976181607833</v>
      </c>
      <c r="O11" s="10">
        <f t="shared" si="8"/>
        <v>518.56548610816731</v>
      </c>
      <c r="P11" s="10">
        <f t="shared" si="0"/>
        <v>203.14573147077849</v>
      </c>
      <c r="Q11" t="s">
        <v>113</v>
      </c>
      <c r="R11" s="48">
        <f t="shared" si="9"/>
        <v>3267.9543354002558</v>
      </c>
      <c r="S11" s="48">
        <f t="shared" si="9"/>
        <v>3088.511636816078</v>
      </c>
      <c r="T11" s="48">
        <f t="shared" si="10"/>
        <v>3178.2329861081671</v>
      </c>
      <c r="U11" s="48">
        <f t="shared" si="11"/>
        <v>126.88514900328583</v>
      </c>
      <c r="V11" s="49" t="s">
        <v>104</v>
      </c>
      <c r="W11" s="10">
        <v>2226.2596690384453</v>
      </c>
      <c r="X11" s="10">
        <v>2286.2308701296151</v>
      </c>
      <c r="Y11" s="10">
        <f t="shared" si="12"/>
        <v>2256.2452695840302</v>
      </c>
      <c r="Z11" s="10">
        <f t="shared" si="13"/>
        <v>42.406042967468288</v>
      </c>
      <c r="AA11" t="s">
        <v>100</v>
      </c>
      <c r="AB11" s="10">
        <v>7570.040330961554</v>
      </c>
      <c r="AC11" s="10">
        <v>7646.2691298703849</v>
      </c>
      <c r="AD11" s="10">
        <f t="shared" si="14"/>
        <v>7608.1547304159694</v>
      </c>
      <c r="AE11" s="10">
        <f t="shared" si="15"/>
        <v>53.901900630139998</v>
      </c>
      <c r="AF11" t="s">
        <v>96</v>
      </c>
      <c r="AG11" s="48">
        <f t="shared" si="16"/>
        <v>9796.2999999999993</v>
      </c>
      <c r="AH11" s="48">
        <f t="shared" si="16"/>
        <v>9932.5</v>
      </c>
      <c r="AI11" s="48">
        <f t="shared" si="17"/>
        <v>9864.4</v>
      </c>
      <c r="AJ11" s="48">
        <f t="shared" si="18"/>
        <v>96.307943597608286</v>
      </c>
      <c r="AK11" s="49" t="s">
        <v>104</v>
      </c>
      <c r="AL11" s="10">
        <v>4052.7229824591368</v>
      </c>
      <c r="AM11" s="10">
        <v>4399.8860253495177</v>
      </c>
      <c r="AN11" s="10">
        <f t="shared" si="19"/>
        <v>4226.3045039043272</v>
      </c>
      <c r="AO11" s="10">
        <f t="shared" si="20"/>
        <v>245.48134180514458</v>
      </c>
      <c r="AP11" t="s">
        <v>96</v>
      </c>
      <c r="AQ11" s="10">
        <v>2186.2596690384453</v>
      </c>
      <c r="AR11" s="10">
        <v>1986.2308701296151</v>
      </c>
      <c r="AS11" s="10">
        <f t="shared" si="21"/>
        <v>2086.2452695840302</v>
      </c>
      <c r="AT11" s="10">
        <f t="shared" si="22"/>
        <v>141.44172014103407</v>
      </c>
      <c r="AU11" t="s">
        <v>92</v>
      </c>
      <c r="AV11" s="10">
        <v>4592.9071173965904</v>
      </c>
      <c r="AW11" s="10">
        <v>4308.2471173965941</v>
      </c>
      <c r="AX11" s="10">
        <f t="shared" si="23"/>
        <v>4450.5771173965923</v>
      </c>
      <c r="AY11" s="10">
        <f t="shared" si="24"/>
        <v>201.28501633255993</v>
      </c>
      <c r="AZ11" t="s">
        <v>105</v>
      </c>
      <c r="BA11" s="48">
        <f t="shared" si="25"/>
        <v>10831.889768894172</v>
      </c>
      <c r="BB11" s="48">
        <f t="shared" si="25"/>
        <v>10694.364012875727</v>
      </c>
      <c r="BC11" s="48">
        <f t="shared" si="26"/>
        <v>10763.126890884949</v>
      </c>
      <c r="BD11" s="48">
        <f t="shared" si="27"/>
        <v>97.245394668449435</v>
      </c>
      <c r="BE11" s="49" t="s">
        <v>107</v>
      </c>
      <c r="BF11" s="10">
        <v>2496.9119999999998</v>
      </c>
      <c r="BG11" s="10">
        <v>2454.6719999999996</v>
      </c>
      <c r="BH11" s="10">
        <f t="shared" si="1"/>
        <v>2475.7919999999995</v>
      </c>
      <c r="BI11" s="10">
        <v>19.912126958239671</v>
      </c>
      <c r="BJ11" t="s">
        <v>88</v>
      </c>
      <c r="BK11" s="10">
        <v>6591.9359999999997</v>
      </c>
      <c r="BL11" s="10">
        <v>6665.152</v>
      </c>
      <c r="BM11" s="10">
        <f t="shared" si="2"/>
        <v>6628.5439999999999</v>
      </c>
      <c r="BN11" s="10">
        <v>96.573815747292628</v>
      </c>
      <c r="BO11" t="s">
        <v>88</v>
      </c>
      <c r="BP11" s="10">
        <v>2808.0468710335795</v>
      </c>
      <c r="BQ11" s="10">
        <v>2642.0240513645267</v>
      </c>
      <c r="BR11" s="10">
        <f t="shared" si="3"/>
        <v>2725.0354611990533</v>
      </c>
      <c r="BS11" s="10">
        <f t="shared" si="28"/>
        <v>117.39586161969852</v>
      </c>
      <c r="BT11" t="s">
        <v>100</v>
      </c>
      <c r="BU11" s="10">
        <v>5110.05</v>
      </c>
      <c r="BV11" s="10">
        <v>5011.4856</v>
      </c>
      <c r="BW11" s="10">
        <f t="shared" si="29"/>
        <v>5060.7677999999996</v>
      </c>
      <c r="BX11" s="10">
        <f t="shared" si="30"/>
        <v>69.695555623583488</v>
      </c>
      <c r="BY11" t="s">
        <v>100</v>
      </c>
      <c r="BZ11" s="48">
        <f t="shared" si="31"/>
        <v>17006.944871033578</v>
      </c>
      <c r="CA11" s="48">
        <f t="shared" si="31"/>
        <v>16773.333651364526</v>
      </c>
      <c r="CB11" s="48">
        <f t="shared" si="32"/>
        <v>16890.139261199052</v>
      </c>
      <c r="CC11" s="48">
        <f t="shared" si="33"/>
        <v>165.1880775892468</v>
      </c>
      <c r="CD11" s="49" t="s">
        <v>107</v>
      </c>
      <c r="CE11" s="10">
        <f t="shared" si="34"/>
        <v>30.046842855964655</v>
      </c>
      <c r="CF11" s="10">
        <f t="shared" si="34"/>
        <v>29.877695776905451</v>
      </c>
      <c r="CG11" s="10">
        <f t="shared" si="35"/>
        <v>29.962269316435055</v>
      </c>
      <c r="CH11" s="10">
        <f t="shared" si="36"/>
        <v>0.11960504662066039</v>
      </c>
      <c r="CI11" t="s">
        <v>101</v>
      </c>
    </row>
    <row r="12" spans="1:87" ht="15.5">
      <c r="A12" s="159" t="s">
        <v>114</v>
      </c>
      <c r="B12" s="51">
        <v>0</v>
      </c>
      <c r="C12" s="52">
        <v>1877.34</v>
      </c>
      <c r="D12" s="52">
        <v>1820.81</v>
      </c>
      <c r="E12" s="52">
        <f t="shared" si="4"/>
        <v>1849.0749999999998</v>
      </c>
      <c r="F12" s="52">
        <f t="shared" si="5"/>
        <v>39.97274634047551</v>
      </c>
      <c r="G12" s="53" t="s">
        <v>83</v>
      </c>
      <c r="H12" s="54">
        <v>2017.62</v>
      </c>
      <c r="I12" s="54">
        <v>2090.1418749999998</v>
      </c>
      <c r="J12" s="55">
        <f t="shared" si="6"/>
        <v>2053.8809375000001</v>
      </c>
      <c r="K12" s="55">
        <f t="shared" si="7"/>
        <v>51.28070959686309</v>
      </c>
      <c r="L12" s="56" t="s">
        <v>84</v>
      </c>
      <c r="M12" s="55">
        <v>519.59461971469318</v>
      </c>
      <c r="N12" s="55">
        <v>376.02396448308446</v>
      </c>
      <c r="O12" s="55">
        <f t="shared" si="8"/>
        <v>447.80929209888882</v>
      </c>
      <c r="P12" s="55">
        <f t="shared" si="0"/>
        <v>101.51978389366639</v>
      </c>
      <c r="Q12" s="56" t="s">
        <v>110</v>
      </c>
      <c r="R12" s="52">
        <f t="shared" si="9"/>
        <v>2537.2146197146931</v>
      </c>
      <c r="S12" s="52">
        <f t="shared" si="9"/>
        <v>2466.1658394830843</v>
      </c>
      <c r="T12" s="52">
        <f t="shared" si="10"/>
        <v>2501.6902295988884</v>
      </c>
      <c r="U12" s="52">
        <f t="shared" si="11"/>
        <v>50.239074296803317</v>
      </c>
      <c r="V12" s="53" t="s">
        <v>86</v>
      </c>
      <c r="W12" s="55">
        <v>3438.0335494519213</v>
      </c>
      <c r="X12" s="55">
        <v>2791.2930742986946</v>
      </c>
      <c r="Y12" s="55">
        <f t="shared" si="12"/>
        <v>3114.663311875308</v>
      </c>
      <c r="Z12" s="55">
        <f t="shared" si="13"/>
        <v>457.31457564865849</v>
      </c>
      <c r="AA12" s="56" t="s">
        <v>87</v>
      </c>
      <c r="AB12" s="55">
        <v>3582.9664505480787</v>
      </c>
      <c r="AC12" s="55">
        <v>4176.9069257013052</v>
      </c>
      <c r="AD12" s="55">
        <f t="shared" si="14"/>
        <v>3879.936688124692</v>
      </c>
      <c r="AE12" s="55">
        <f t="shared" si="15"/>
        <v>419.97933760200664</v>
      </c>
      <c r="AF12" s="56" t="s">
        <v>87</v>
      </c>
      <c r="AG12" s="52">
        <f t="shared" si="16"/>
        <v>7021</v>
      </c>
      <c r="AH12" s="52">
        <f t="shared" si="16"/>
        <v>6968.2</v>
      </c>
      <c r="AI12" s="52">
        <f t="shared" si="17"/>
        <v>6994.6</v>
      </c>
      <c r="AJ12" s="52">
        <f t="shared" si="18"/>
        <v>37.335238046649842</v>
      </c>
      <c r="AK12" s="53" t="s">
        <v>115</v>
      </c>
      <c r="AL12" s="55">
        <v>2484.1065184064055</v>
      </c>
      <c r="AM12" s="55">
        <v>3108.7558092790905</v>
      </c>
      <c r="AN12" s="55">
        <f t="shared" si="19"/>
        <v>2796.431163842748</v>
      </c>
      <c r="AO12" s="55">
        <f t="shared" si="20"/>
        <v>441.69374943944359</v>
      </c>
      <c r="AP12" s="56" t="s">
        <v>85</v>
      </c>
      <c r="AQ12" s="55">
        <v>3438.0335494519213</v>
      </c>
      <c r="AR12" s="55">
        <v>2791.2930742986946</v>
      </c>
      <c r="AS12" s="55">
        <f t="shared" si="21"/>
        <v>3114.663311875308</v>
      </c>
      <c r="AT12" s="55">
        <f t="shared" si="22"/>
        <v>457.31457564865849</v>
      </c>
      <c r="AU12" s="56" t="s">
        <v>95</v>
      </c>
      <c r="AV12" s="55">
        <v>3019.5288538068598</v>
      </c>
      <c r="AW12" s="55">
        <v>3115.1288538068602</v>
      </c>
      <c r="AX12" s="55">
        <f t="shared" si="23"/>
        <v>3067.32885380686</v>
      </c>
      <c r="AY12" s="55">
        <f t="shared" si="24"/>
        <v>67.599408281434208</v>
      </c>
      <c r="AZ12" s="56" t="s">
        <v>92</v>
      </c>
      <c r="BA12" s="52">
        <f t="shared" si="25"/>
        <v>8941.6689216651866</v>
      </c>
      <c r="BB12" s="52">
        <f t="shared" si="25"/>
        <v>9015.1777373846453</v>
      </c>
      <c r="BC12" s="52">
        <f t="shared" si="26"/>
        <v>8978.423329524916</v>
      </c>
      <c r="BD12" s="52">
        <f t="shared" si="27"/>
        <v>51.978582072221499</v>
      </c>
      <c r="BE12" s="53" t="s">
        <v>86</v>
      </c>
      <c r="BF12" s="55">
        <v>1638.384</v>
      </c>
      <c r="BG12" s="55">
        <v>1550.2080000000001</v>
      </c>
      <c r="BH12" s="55">
        <f t="shared" si="1"/>
        <v>1594.296</v>
      </c>
      <c r="BI12" s="55">
        <v>41.566565025273214</v>
      </c>
      <c r="BJ12" s="56" t="s">
        <v>92</v>
      </c>
      <c r="BK12" s="55">
        <v>5149.76</v>
      </c>
      <c r="BL12" s="55">
        <v>5333.152</v>
      </c>
      <c r="BM12" s="55">
        <f t="shared" si="2"/>
        <v>5241.4560000000001</v>
      </c>
      <c r="BN12" s="55">
        <v>31.11269837220809</v>
      </c>
      <c r="BO12" s="56" t="s">
        <v>116</v>
      </c>
      <c r="BP12" s="55">
        <v>3279.4987569630321</v>
      </c>
      <c r="BQ12" s="55">
        <v>3241.3819872551398</v>
      </c>
      <c r="BR12" s="55">
        <f t="shared" si="3"/>
        <v>3260.4403721090857</v>
      </c>
      <c r="BS12" s="55">
        <f t="shared" si="28"/>
        <v>26.952626337376564</v>
      </c>
      <c r="BT12" s="56" t="s">
        <v>90</v>
      </c>
      <c r="BU12" s="55">
        <v>4578.3121999999994</v>
      </c>
      <c r="BV12" s="55">
        <v>4506.3599999999997</v>
      </c>
      <c r="BW12" s="55">
        <f t="shared" si="29"/>
        <v>4542.3360999999995</v>
      </c>
      <c r="BX12" s="55">
        <f t="shared" si="30"/>
        <v>50.87788854129051</v>
      </c>
      <c r="BY12" s="56" t="s">
        <v>84</v>
      </c>
      <c r="BZ12" s="57">
        <f t="shared" si="31"/>
        <v>14645.954956963033</v>
      </c>
      <c r="CA12" s="57">
        <f>BG12+BL12+BQ12+BV12</f>
        <v>14631.101987255141</v>
      </c>
      <c r="CB12" s="52">
        <f t="shared" si="32"/>
        <v>14638.528472109087</v>
      </c>
      <c r="CC12" s="52">
        <f t="shared" si="33"/>
        <v>10.502635601208839</v>
      </c>
      <c r="CD12" s="53" t="s">
        <v>83</v>
      </c>
      <c r="CE12" s="11">
        <f t="shared" si="34"/>
        <v>31.259909056482261</v>
      </c>
      <c r="CF12" s="11">
        <f t="shared" si="34"/>
        <v>30.799867323222813</v>
      </c>
      <c r="CG12" s="11">
        <f t="shared" si="35"/>
        <v>31.029888189852535</v>
      </c>
      <c r="CH12" s="55">
        <f t="shared" si="36"/>
        <v>0.32529862921656871</v>
      </c>
      <c r="CI12" s="56" t="s">
        <v>110</v>
      </c>
    </row>
    <row r="13" spans="1:87" ht="15.5">
      <c r="A13" s="159"/>
      <c r="B13" s="46">
        <v>90</v>
      </c>
      <c r="C13" s="58">
        <v>2194.1999999999998</v>
      </c>
      <c r="D13" s="58">
        <v>2180.17</v>
      </c>
      <c r="E13" s="58">
        <f t="shared" si="4"/>
        <v>2187.1849999999999</v>
      </c>
      <c r="F13" s="58">
        <f t="shared" si="5"/>
        <v>9.9207081400470809</v>
      </c>
      <c r="G13" s="49" t="s">
        <v>86</v>
      </c>
      <c r="H13" s="59">
        <v>2352.36625</v>
      </c>
      <c r="I13" s="59">
        <v>2281.0687499999999</v>
      </c>
      <c r="J13" s="60">
        <f t="shared" si="6"/>
        <v>2316.7174999999997</v>
      </c>
      <c r="K13" s="60">
        <f t="shared" si="7"/>
        <v>50.414945731647961</v>
      </c>
      <c r="L13" t="s">
        <v>95</v>
      </c>
      <c r="M13" s="60">
        <v>199.5344761953238</v>
      </c>
      <c r="N13" s="60">
        <v>407.91761688623592</v>
      </c>
      <c r="O13" s="60">
        <f t="shared" si="8"/>
        <v>303.72604654077986</v>
      </c>
      <c r="P13" s="60">
        <f t="shared" si="0"/>
        <v>147.34913186749432</v>
      </c>
      <c r="Q13" t="s">
        <v>100</v>
      </c>
      <c r="R13" s="58">
        <f t="shared" si="9"/>
        <v>2551.9007261953238</v>
      </c>
      <c r="S13" s="58">
        <f t="shared" si="9"/>
        <v>2688.9863668862358</v>
      </c>
      <c r="T13" s="58">
        <f t="shared" si="10"/>
        <v>2620.4435465407796</v>
      </c>
      <c r="U13" s="58">
        <f t="shared" si="11"/>
        <v>96.934186135846375</v>
      </c>
      <c r="V13" s="49" t="s">
        <v>86</v>
      </c>
      <c r="W13" s="60">
        <v>3273.7781755036258</v>
      </c>
      <c r="X13" s="60">
        <v>3071.7028107484739</v>
      </c>
      <c r="Y13" s="60">
        <f t="shared" si="12"/>
        <v>3172.7404931260498</v>
      </c>
      <c r="Z13" s="60">
        <f t="shared" si="13"/>
        <v>142.88886072911296</v>
      </c>
      <c r="AA13" t="s">
        <v>90</v>
      </c>
      <c r="AB13" s="60">
        <v>4689.5218244963744</v>
      </c>
      <c r="AC13" s="60">
        <v>5142.4971892515268</v>
      </c>
      <c r="AD13" s="60">
        <f t="shared" si="14"/>
        <v>4916.0095068739502</v>
      </c>
      <c r="AE13" s="60">
        <f t="shared" si="15"/>
        <v>320.30195212881813</v>
      </c>
      <c r="AF13" t="s">
        <v>88</v>
      </c>
      <c r="AG13" s="58">
        <f t="shared" si="16"/>
        <v>7963.3</v>
      </c>
      <c r="AH13" s="58">
        <f t="shared" si="16"/>
        <v>8214.2000000000007</v>
      </c>
      <c r="AI13" s="58">
        <f t="shared" si="17"/>
        <v>8088.75</v>
      </c>
      <c r="AJ13" s="58">
        <f t="shared" si="18"/>
        <v>177.41309139970517</v>
      </c>
      <c r="AK13" s="49" t="s">
        <v>117</v>
      </c>
      <c r="AL13" s="60">
        <v>2341.6941480431979</v>
      </c>
      <c r="AM13" s="60">
        <v>2443.6762433820413</v>
      </c>
      <c r="AN13" s="60">
        <f t="shared" si="19"/>
        <v>2392.6851957126196</v>
      </c>
      <c r="AO13" s="60">
        <f t="shared" si="20"/>
        <v>72.112231173709219</v>
      </c>
      <c r="AP13" t="s">
        <v>90</v>
      </c>
      <c r="AQ13" s="60">
        <v>3273.7781755036258</v>
      </c>
      <c r="AR13" s="60">
        <v>3071.7028107484739</v>
      </c>
      <c r="AS13" s="60">
        <f t="shared" si="21"/>
        <v>3172.7404931260498</v>
      </c>
      <c r="AT13" s="60">
        <f t="shared" si="22"/>
        <v>142.88886072911296</v>
      </c>
      <c r="AU13" t="s">
        <v>118</v>
      </c>
      <c r="AV13" s="60">
        <v>3482.4646027743102</v>
      </c>
      <c r="AW13" s="60">
        <v>3451.9646027743056</v>
      </c>
      <c r="AX13" s="60">
        <f t="shared" si="23"/>
        <v>3467.2146027743079</v>
      </c>
      <c r="AY13" s="60">
        <f t="shared" si="24"/>
        <v>21.566756826192915</v>
      </c>
      <c r="AZ13" t="s">
        <v>100</v>
      </c>
      <c r="BA13" s="58">
        <f t="shared" si="25"/>
        <v>9097.9369263211338</v>
      </c>
      <c r="BB13" s="58">
        <f t="shared" si="25"/>
        <v>8967.3436569048208</v>
      </c>
      <c r="BC13" s="58">
        <f t="shared" si="26"/>
        <v>9032.6402916129773</v>
      </c>
      <c r="BD13" s="58">
        <f t="shared" si="27"/>
        <v>92.343386381596673</v>
      </c>
      <c r="BE13" s="49" t="s">
        <v>86</v>
      </c>
      <c r="BF13" s="60">
        <v>1943.568</v>
      </c>
      <c r="BG13" s="60">
        <v>1919.808</v>
      </c>
      <c r="BH13" s="60">
        <f t="shared" si="1"/>
        <v>1931.6880000000001</v>
      </c>
      <c r="BI13" s="60">
        <v>11.200571414019558</v>
      </c>
      <c r="BJ13" t="s">
        <v>87</v>
      </c>
      <c r="BK13" s="60">
        <v>5517.2480000000005</v>
      </c>
      <c r="BL13" s="60">
        <v>5561.2480000000005</v>
      </c>
      <c r="BM13" s="60">
        <f t="shared" si="2"/>
        <v>5539.2480000000005</v>
      </c>
      <c r="BN13" s="60">
        <v>2.2401142827987459</v>
      </c>
      <c r="BO13" t="s">
        <v>95</v>
      </c>
      <c r="BP13" s="60">
        <v>2210.844260095455</v>
      </c>
      <c r="BQ13" s="60">
        <v>2229.1789028274702</v>
      </c>
      <c r="BR13" s="60">
        <f>AVERAGE(BP13:BQ13)</f>
        <v>2220.0115814614628</v>
      </c>
      <c r="BS13" s="60">
        <f t="shared" si="28"/>
        <v>12.964550206440634</v>
      </c>
      <c r="BT13" t="s">
        <v>101</v>
      </c>
      <c r="BU13" s="60">
        <v>4930.0591999999997</v>
      </c>
      <c r="BV13" s="60">
        <v>4989.2623999999996</v>
      </c>
      <c r="BW13" s="60">
        <f t="shared" si="29"/>
        <v>4959.6607999999997</v>
      </c>
      <c r="BX13" s="60">
        <f t="shared" si="30"/>
        <v>41.862984187943354</v>
      </c>
      <c r="BY13" t="s">
        <v>92</v>
      </c>
      <c r="BZ13" s="48">
        <f t="shared" si="31"/>
        <v>14601.719460095455</v>
      </c>
      <c r="CA13" s="48">
        <f t="shared" si="31"/>
        <v>14699.497302827471</v>
      </c>
      <c r="CB13" s="58">
        <f t="shared" si="32"/>
        <v>14650.608381461463</v>
      </c>
      <c r="CC13" s="58">
        <f t="shared" si="33"/>
        <v>69.139375645599884</v>
      </c>
      <c r="CD13" s="49" t="s">
        <v>83</v>
      </c>
      <c r="CE13" s="10">
        <f t="shared" si="34"/>
        <v>33.763552391711073</v>
      </c>
      <c r="CF13" s="10">
        <f t="shared" si="34"/>
        <v>33.941721252197567</v>
      </c>
      <c r="CG13" s="10">
        <f t="shared" si="35"/>
        <v>33.85263682195432</v>
      </c>
      <c r="CH13" s="60">
        <f t="shared" si="36"/>
        <v>0.12598440944627978</v>
      </c>
      <c r="CI13" t="s">
        <v>96</v>
      </c>
    </row>
    <row r="14" spans="1:87" ht="15.5">
      <c r="A14" s="159"/>
      <c r="B14" s="46">
        <v>120</v>
      </c>
      <c r="C14" s="58">
        <v>2312.88</v>
      </c>
      <c r="D14" s="58">
        <v>2258.37</v>
      </c>
      <c r="E14" s="58">
        <f t="shared" si="4"/>
        <v>2285.625</v>
      </c>
      <c r="F14" s="58">
        <f t="shared" si="5"/>
        <v>38.544390642478859</v>
      </c>
      <c r="G14" s="49" t="s">
        <v>97</v>
      </c>
      <c r="H14" s="59">
        <v>2444.8243750000001</v>
      </c>
      <c r="I14" s="59">
        <v>2499.2481249999996</v>
      </c>
      <c r="J14" s="60">
        <f t="shared" si="6"/>
        <v>2472.0362500000001</v>
      </c>
      <c r="K14" s="60">
        <f t="shared" si="7"/>
        <v>38.483402682600996</v>
      </c>
      <c r="L14" t="s">
        <v>90</v>
      </c>
      <c r="M14" s="60">
        <v>706.57846175836812</v>
      </c>
      <c r="N14" s="60">
        <v>544.758298972376</v>
      </c>
      <c r="O14" s="60">
        <f t="shared" si="8"/>
        <v>625.66838036537206</v>
      </c>
      <c r="P14" s="60">
        <f t="shared" si="0"/>
        <v>114.42413443868618</v>
      </c>
      <c r="Q14" t="s">
        <v>85</v>
      </c>
      <c r="R14" s="58">
        <f t="shared" si="9"/>
        <v>3151.4028367583683</v>
      </c>
      <c r="S14" s="58">
        <f t="shared" si="9"/>
        <v>3044.0064239723756</v>
      </c>
      <c r="T14" s="58">
        <f t="shared" si="10"/>
        <v>3097.7046303653719</v>
      </c>
      <c r="U14" s="58">
        <f t="shared" si="11"/>
        <v>75.940731756085043</v>
      </c>
      <c r="V14" s="49" t="s">
        <v>102</v>
      </c>
      <c r="W14" s="60">
        <v>4352.9749853114999</v>
      </c>
      <c r="X14" s="60">
        <v>4282.0448946532197</v>
      </c>
      <c r="Y14" s="60">
        <f t="shared" si="12"/>
        <v>4317.5099399823594</v>
      </c>
      <c r="Z14" s="60">
        <f t="shared" si="13"/>
        <v>50.15514809464657</v>
      </c>
      <c r="AA14" t="s">
        <v>105</v>
      </c>
      <c r="AB14" s="60">
        <v>4858.8250146884993</v>
      </c>
      <c r="AC14" s="60">
        <v>5138.9751053467808</v>
      </c>
      <c r="AD14" s="60">
        <f t="shared" si="14"/>
        <v>4998.9000600176405</v>
      </c>
      <c r="AE14" s="60">
        <f t="shared" si="15"/>
        <v>198.09602885449686</v>
      </c>
      <c r="AF14" t="s">
        <v>88</v>
      </c>
      <c r="AG14" s="58">
        <f t="shared" si="16"/>
        <v>9211.7999999999993</v>
      </c>
      <c r="AH14" s="58">
        <f t="shared" si="16"/>
        <v>9421.02</v>
      </c>
      <c r="AI14" s="58">
        <f t="shared" si="17"/>
        <v>9316.41</v>
      </c>
      <c r="AJ14" s="58">
        <f t="shared" si="18"/>
        <v>147.9408807598503</v>
      </c>
      <c r="AK14" s="49" t="s">
        <v>86</v>
      </c>
      <c r="AL14" s="60">
        <v>3569.2100641042302</v>
      </c>
      <c r="AM14" s="60">
        <v>2455.5485020190872</v>
      </c>
      <c r="AN14" s="60">
        <f t="shared" si="19"/>
        <v>3012.3792830616585</v>
      </c>
      <c r="AO14" s="60">
        <f t="shared" si="20"/>
        <v>787.47764249721081</v>
      </c>
      <c r="AP14" t="s">
        <v>94</v>
      </c>
      <c r="AQ14" s="60">
        <v>3252.9749853115031</v>
      </c>
      <c r="AR14" s="60">
        <v>4182.044894653216</v>
      </c>
      <c r="AS14" s="60">
        <f t="shared" si="21"/>
        <v>3717.5099399823594</v>
      </c>
      <c r="AT14" s="60">
        <f t="shared" si="22"/>
        <v>656.95163309189809</v>
      </c>
      <c r="AU14" t="s">
        <v>113</v>
      </c>
      <c r="AV14" s="60">
        <v>3581.4389529764899</v>
      </c>
      <c r="AW14" s="60">
        <v>3553.0389529764898</v>
      </c>
      <c r="AX14" s="60">
        <f t="shared" si="23"/>
        <v>3567.2389529764896</v>
      </c>
      <c r="AY14" s="60">
        <f t="shared" si="24"/>
        <v>20.081832585698013</v>
      </c>
      <c r="AZ14" t="s">
        <v>100</v>
      </c>
      <c r="BA14" s="58">
        <f t="shared" si="25"/>
        <v>10403.624002392224</v>
      </c>
      <c r="BB14" s="58">
        <f t="shared" si="25"/>
        <v>10190.632349648793</v>
      </c>
      <c r="BC14" s="58">
        <f t="shared" si="26"/>
        <v>10297.128176020509</v>
      </c>
      <c r="BD14" s="58">
        <f t="shared" si="27"/>
        <v>150.60784199101016</v>
      </c>
      <c r="BE14" s="49" t="s">
        <v>112</v>
      </c>
      <c r="BF14" s="60">
        <v>2418.768</v>
      </c>
      <c r="BG14" s="60">
        <v>2404.5120000000002</v>
      </c>
      <c r="BH14" s="60">
        <f t="shared" si="1"/>
        <v>2411.6400000000003</v>
      </c>
      <c r="BI14" s="60">
        <v>6.7203428483798611</v>
      </c>
      <c r="BJ14" t="s">
        <v>88</v>
      </c>
      <c r="BK14" s="60">
        <v>6481.7280000000001</v>
      </c>
      <c r="BL14" s="60">
        <v>6453.2159999999994</v>
      </c>
      <c r="BM14" s="60">
        <f t="shared" si="2"/>
        <v>6467.4719999999998</v>
      </c>
      <c r="BN14" s="60">
        <v>20.161028545070291</v>
      </c>
      <c r="BO14" t="s">
        <v>88</v>
      </c>
      <c r="BP14" s="60">
        <v>1958.6192364171884</v>
      </c>
      <c r="BQ14" s="60">
        <v>1964.6141640295768</v>
      </c>
      <c r="BR14" s="60">
        <f t="shared" si="3"/>
        <v>1961.6167002233826</v>
      </c>
      <c r="BS14" s="60">
        <f t="shared" si="28"/>
        <v>4.2390539674423424</v>
      </c>
      <c r="BT14" t="s">
        <v>84</v>
      </c>
      <c r="BU14" s="60">
        <v>4883.9537999999993</v>
      </c>
      <c r="BV14" s="60">
        <v>4903.6833999999999</v>
      </c>
      <c r="BW14" s="60">
        <f t="shared" si="29"/>
        <v>4893.8185999999996</v>
      </c>
      <c r="BX14" s="60">
        <f t="shared" si="30"/>
        <v>13.950933950098513</v>
      </c>
      <c r="BY14" t="s">
        <v>92</v>
      </c>
      <c r="BZ14" s="48">
        <f t="shared" si="31"/>
        <v>15743.069036417186</v>
      </c>
      <c r="CA14" s="48">
        <f t="shared" si="31"/>
        <v>15726.025564029576</v>
      </c>
      <c r="CB14" s="58">
        <f t="shared" si="32"/>
        <v>15734.547300223381</v>
      </c>
      <c r="CC14" s="58">
        <f t="shared" si="33"/>
        <v>12.051554900244465</v>
      </c>
      <c r="CD14" s="49" t="s">
        <v>98</v>
      </c>
      <c r="CE14" s="10">
        <f t="shared" si="34"/>
        <v>31.022882442440785</v>
      </c>
      <c r="CF14" s="10">
        <f t="shared" si="34"/>
        <v>31.181962537414947</v>
      </c>
      <c r="CG14" s="10">
        <f t="shared" si="35"/>
        <v>31.102422489927868</v>
      </c>
      <c r="CH14" s="60">
        <f t="shared" si="36"/>
        <v>0.11248661390802948</v>
      </c>
      <c r="CI14" t="s">
        <v>110</v>
      </c>
    </row>
    <row r="15" spans="1:87" ht="15.5">
      <c r="A15" s="159"/>
      <c r="B15" s="46">
        <v>150</v>
      </c>
      <c r="C15" s="58">
        <v>2614.41</v>
      </c>
      <c r="D15" s="58">
        <v>2457.09</v>
      </c>
      <c r="E15" s="58">
        <f t="shared" si="4"/>
        <v>2535.75</v>
      </c>
      <c r="F15" s="58">
        <f t="shared" si="5"/>
        <v>111.24203881626745</v>
      </c>
      <c r="G15" s="49" t="s">
        <v>107</v>
      </c>
      <c r="H15" s="59">
        <v>2322.1324999999997</v>
      </c>
      <c r="I15" s="59">
        <v>2529.9812499999998</v>
      </c>
      <c r="J15" s="60">
        <f t="shared" si="6"/>
        <v>2426.0568749999998</v>
      </c>
      <c r="K15" s="60">
        <f t="shared" si="7"/>
        <v>146.97126058614751</v>
      </c>
      <c r="L15" t="s">
        <v>110</v>
      </c>
      <c r="M15" s="60">
        <v>860.99685667915355</v>
      </c>
      <c r="N15" s="60">
        <v>933.39075048468248</v>
      </c>
      <c r="O15" s="60">
        <f t="shared" si="8"/>
        <v>897.19380358191802</v>
      </c>
      <c r="P15" s="60">
        <f t="shared" si="0"/>
        <v>51.190213226388302</v>
      </c>
      <c r="Q15" t="s">
        <v>96</v>
      </c>
      <c r="R15" s="58">
        <f t="shared" si="9"/>
        <v>3183.1293566791533</v>
      </c>
      <c r="S15" s="58">
        <f t="shared" si="9"/>
        <v>3463.3720004846823</v>
      </c>
      <c r="T15" s="58">
        <f t="shared" si="10"/>
        <v>3323.2506785819178</v>
      </c>
      <c r="U15" s="58">
        <f t="shared" si="11"/>
        <v>198.1614738125358</v>
      </c>
      <c r="V15" s="49" t="s">
        <v>119</v>
      </c>
      <c r="W15" s="60">
        <v>4389.1884003061896</v>
      </c>
      <c r="X15" s="60">
        <v>4351.5275287346703</v>
      </c>
      <c r="Y15" s="60">
        <f t="shared" si="12"/>
        <v>4370.35796452043</v>
      </c>
      <c r="Z15" s="60">
        <f t="shared" si="13"/>
        <v>26.630257673616921</v>
      </c>
      <c r="AA15" t="s">
        <v>105</v>
      </c>
      <c r="AB15" s="60">
        <v>5477.6115996938097</v>
      </c>
      <c r="AC15" s="60">
        <v>5407.1724712653304</v>
      </c>
      <c r="AD15" s="60">
        <f t="shared" si="14"/>
        <v>5442.39203547957</v>
      </c>
      <c r="AE15" s="60">
        <f t="shared" si="15"/>
        <v>49.807985372647835</v>
      </c>
      <c r="AF15" t="s">
        <v>88</v>
      </c>
      <c r="AG15" s="58">
        <f t="shared" si="16"/>
        <v>9866.7999999999993</v>
      </c>
      <c r="AH15" s="58">
        <f t="shared" si="16"/>
        <v>9758.7000000000007</v>
      </c>
      <c r="AI15" s="58">
        <f>AVERAGE(AG15:AH15)</f>
        <v>9812.75</v>
      </c>
      <c r="AJ15" s="58">
        <f>STDEV(AG15:AH15)</f>
        <v>76.438243046264759</v>
      </c>
      <c r="AK15" s="49" t="s">
        <v>104</v>
      </c>
      <c r="AL15" s="60">
        <v>2098.1493767711781</v>
      </c>
      <c r="AM15" s="60">
        <v>1319.0096410719561</v>
      </c>
      <c r="AN15" s="60">
        <f t="shared" si="19"/>
        <v>1708.5795089215671</v>
      </c>
      <c r="AO15" s="60">
        <f t="shared" si="20"/>
        <v>550.93499060481395</v>
      </c>
      <c r="AP15" t="s">
        <v>87</v>
      </c>
      <c r="AQ15" s="60">
        <v>4389.1884003061896</v>
      </c>
      <c r="AR15" s="60">
        <v>5851.5275287346731</v>
      </c>
      <c r="AS15" s="60">
        <f t="shared" si="21"/>
        <v>5120.3579645204318</v>
      </c>
      <c r="AT15" s="60">
        <f t="shared" si="22"/>
        <v>1034.0299141062037</v>
      </c>
      <c r="AU15" t="s">
        <v>96</v>
      </c>
      <c r="AV15" s="60">
        <v>3959.4134214339301</v>
      </c>
      <c r="AW15" s="60">
        <v>3835.7734214339298</v>
      </c>
      <c r="AX15" s="60">
        <f t="shared" si="23"/>
        <v>3897.59342143393</v>
      </c>
      <c r="AY15" s="60">
        <f t="shared" si="24"/>
        <v>87.426682425904971</v>
      </c>
      <c r="AZ15" t="s">
        <v>87</v>
      </c>
      <c r="BA15" s="58">
        <f t="shared" si="25"/>
        <v>10446.751198511298</v>
      </c>
      <c r="BB15" s="58">
        <f t="shared" si="25"/>
        <v>11006.310591240559</v>
      </c>
      <c r="BC15" s="58">
        <f t="shared" si="26"/>
        <v>10726.530894875928</v>
      </c>
      <c r="BD15" s="58">
        <f t="shared" si="27"/>
        <v>395.66824107548712</v>
      </c>
      <c r="BE15" s="49" t="s">
        <v>104</v>
      </c>
      <c r="BF15" s="60">
        <v>1854.3359999999998</v>
      </c>
      <c r="BG15" s="60">
        <v>1928.2559999999999</v>
      </c>
      <c r="BH15" s="60">
        <f t="shared" si="1"/>
        <v>1891.2959999999998</v>
      </c>
      <c r="BI15" s="60">
        <v>34.846222176862625</v>
      </c>
      <c r="BJ15" t="s">
        <v>87</v>
      </c>
      <c r="BK15" s="60">
        <v>6592.6080000000002</v>
      </c>
      <c r="BL15" s="60">
        <v>6595.7759999999998</v>
      </c>
      <c r="BM15" s="60">
        <f t="shared" si="2"/>
        <v>6594.192</v>
      </c>
      <c r="BN15" s="60">
        <v>126.19310459764769</v>
      </c>
      <c r="BO15" t="s">
        <v>88</v>
      </c>
      <c r="BP15" s="60">
        <v>2855.5902178085121</v>
      </c>
      <c r="BQ15" s="60">
        <v>2894.7422337999701</v>
      </c>
      <c r="BR15" s="60">
        <f t="shared" si="3"/>
        <v>2875.1662258042411</v>
      </c>
      <c r="BS15" s="60">
        <f t="shared" si="28"/>
        <v>27.684656004684122</v>
      </c>
      <c r="BT15" t="s">
        <v>110</v>
      </c>
      <c r="BU15" s="60">
        <v>5193.2737999999999</v>
      </c>
      <c r="BV15" s="60">
        <v>5217.0998</v>
      </c>
      <c r="BW15" s="60">
        <f t="shared" si="29"/>
        <v>5205.1867999999995</v>
      </c>
      <c r="BX15" s="60">
        <f t="shared" si="30"/>
        <v>16.847526168550697</v>
      </c>
      <c r="BY15" t="s">
        <v>87</v>
      </c>
      <c r="BZ15" s="48">
        <f t="shared" si="31"/>
        <v>16495.808017808511</v>
      </c>
      <c r="CA15" s="48">
        <f t="shared" si="31"/>
        <v>16635.87403379997</v>
      </c>
      <c r="CB15" s="58">
        <f t="shared" si="32"/>
        <v>16565.841025804242</v>
      </c>
      <c r="CC15" s="58">
        <f t="shared" si="33"/>
        <v>99.041629721343853</v>
      </c>
      <c r="CD15" s="49" t="s">
        <v>107</v>
      </c>
      <c r="CE15" s="10">
        <f t="shared" si="34"/>
        <v>31.482385066517843</v>
      </c>
      <c r="CF15" s="10">
        <f t="shared" si="34"/>
        <v>31.36053921423153</v>
      </c>
      <c r="CG15" s="10">
        <f t="shared" si="35"/>
        <v>31.421462140374686</v>
      </c>
      <c r="CH15" s="60">
        <f t="shared" si="36"/>
        <v>8.6158028411106355E-2</v>
      </c>
      <c r="CI15" t="s">
        <v>90</v>
      </c>
    </row>
    <row r="16" spans="1:87" ht="15.5">
      <c r="A16" s="159"/>
      <c r="B16" s="46">
        <v>180</v>
      </c>
      <c r="C16" s="58">
        <v>2734.47</v>
      </c>
      <c r="D16" s="58">
        <v>2892.79</v>
      </c>
      <c r="E16" s="58">
        <f t="shared" si="4"/>
        <v>2813.63</v>
      </c>
      <c r="F16" s="58">
        <f t="shared" si="5"/>
        <v>111.94914559745432</v>
      </c>
      <c r="G16" s="49" t="s">
        <v>108</v>
      </c>
      <c r="H16" s="59">
        <v>2682.23</v>
      </c>
      <c r="I16" s="59">
        <v>2636.2024999999999</v>
      </c>
      <c r="J16" s="60">
        <f t="shared" si="6"/>
        <v>2659.2162499999999</v>
      </c>
      <c r="K16" s="60">
        <f t="shared" si="7"/>
        <v>32.54635737106392</v>
      </c>
      <c r="L16" t="s">
        <v>103</v>
      </c>
      <c r="M16" s="60">
        <v>715.40409835374476</v>
      </c>
      <c r="N16" s="60">
        <v>793.28079947169635</v>
      </c>
      <c r="O16" s="60">
        <f t="shared" si="8"/>
        <v>754.34244891272056</v>
      </c>
      <c r="P16" s="60">
        <f t="shared" si="0"/>
        <v>55.067143456941558</v>
      </c>
      <c r="Q16" t="s">
        <v>106</v>
      </c>
      <c r="R16" s="58">
        <f t="shared" si="9"/>
        <v>3397.6340983537448</v>
      </c>
      <c r="S16" s="58">
        <f t="shared" si="9"/>
        <v>3429.4832994716962</v>
      </c>
      <c r="T16" s="58">
        <f t="shared" si="10"/>
        <v>3413.5586989127205</v>
      </c>
      <c r="U16" s="58">
        <f t="shared" si="11"/>
        <v>22.520786085877642</v>
      </c>
      <c r="V16" s="49" t="s">
        <v>109</v>
      </c>
      <c r="W16" s="60">
        <v>4629.6211518413402</v>
      </c>
      <c r="X16" s="60">
        <v>4638.7173108511297</v>
      </c>
      <c r="Y16" s="60">
        <f t="shared" si="12"/>
        <v>4634.1692313462354</v>
      </c>
      <c r="Z16" s="60">
        <f t="shared" si="13"/>
        <v>6.4319557185732785</v>
      </c>
      <c r="AA16" t="s">
        <v>96</v>
      </c>
      <c r="AB16" s="60">
        <v>5435.3788481586598</v>
      </c>
      <c r="AC16" s="60">
        <v>5371.982689148871</v>
      </c>
      <c r="AD16" s="60">
        <f t="shared" si="14"/>
        <v>5403.680768653765</v>
      </c>
      <c r="AE16" s="60">
        <f t="shared" si="15"/>
        <v>44.827853937002295</v>
      </c>
      <c r="AF16" t="s">
        <v>88</v>
      </c>
      <c r="AG16" s="58">
        <f t="shared" si="16"/>
        <v>10065</v>
      </c>
      <c r="AH16" s="58">
        <f t="shared" si="16"/>
        <v>10010.700000000001</v>
      </c>
      <c r="AI16" s="58">
        <f>AVERAGE(AG16:AH16)</f>
        <v>10037.85</v>
      </c>
      <c r="AJ16" s="58">
        <f>STDEV(AG16:AH16)</f>
        <v>38.395898218429018</v>
      </c>
      <c r="AK16" s="49" t="s">
        <v>107</v>
      </c>
      <c r="AL16" s="60">
        <v>3348.7654242282078</v>
      </c>
      <c r="AM16" s="60">
        <v>2770.6767717211605</v>
      </c>
      <c r="AN16" s="60">
        <f t="shared" si="19"/>
        <v>3059.7210979746842</v>
      </c>
      <c r="AO16" s="60">
        <f t="shared" si="20"/>
        <v>408.77040631472681</v>
      </c>
      <c r="AP16" t="s">
        <v>94</v>
      </c>
      <c r="AQ16" s="60">
        <v>4429.6211518413447</v>
      </c>
      <c r="AR16" s="60">
        <v>4938.7173108511288</v>
      </c>
      <c r="AS16" s="60">
        <f t="shared" si="21"/>
        <v>4684.1692313462372</v>
      </c>
      <c r="AT16" s="60">
        <f t="shared" si="22"/>
        <v>359.98534631184316</v>
      </c>
      <c r="AU16" t="s">
        <v>106</v>
      </c>
      <c r="AV16" s="60">
        <v>4255.3659336850496</v>
      </c>
      <c r="AW16" s="60">
        <v>4284.42593368505</v>
      </c>
      <c r="AX16" s="60">
        <f t="shared" si="23"/>
        <v>4269.8959336850494</v>
      </c>
      <c r="AY16" s="60">
        <f t="shared" si="24"/>
        <v>20.548523061281355</v>
      </c>
      <c r="AZ16" t="s">
        <v>94</v>
      </c>
      <c r="BA16" s="58">
        <f t="shared" si="25"/>
        <v>12033.752509754602</v>
      </c>
      <c r="BB16" s="58">
        <f t="shared" si="25"/>
        <v>11993.820016257339</v>
      </c>
      <c r="BC16" s="58">
        <f t="shared" si="26"/>
        <v>12013.786263005972</v>
      </c>
      <c r="BD16" s="58">
        <f t="shared" si="27"/>
        <v>28.236536941602267</v>
      </c>
      <c r="BE16" s="49" t="s">
        <v>109</v>
      </c>
      <c r="BF16" s="60">
        <v>2829.5519999999997</v>
      </c>
      <c r="BG16" s="60">
        <v>2948.88</v>
      </c>
      <c r="BH16" s="60">
        <f t="shared" si="1"/>
        <v>2889.2159999999999</v>
      </c>
      <c r="BI16" s="60">
        <v>56.251758656949228</v>
      </c>
      <c r="BJ16" t="s">
        <v>103</v>
      </c>
      <c r="BK16" s="60">
        <v>7092.1279999999997</v>
      </c>
      <c r="BL16" s="60">
        <v>7270.5919999999996</v>
      </c>
      <c r="BM16" s="60">
        <f t="shared" si="2"/>
        <v>7181.36</v>
      </c>
      <c r="BN16" s="60">
        <v>122.45958079302943</v>
      </c>
      <c r="BO16" t="s">
        <v>103</v>
      </c>
      <c r="BP16" s="60">
        <v>2808.7256122163753</v>
      </c>
      <c r="BQ16" s="60">
        <v>2630.8823763986384</v>
      </c>
      <c r="BR16" s="60">
        <f t="shared" si="3"/>
        <v>2719.8039943075069</v>
      </c>
      <c r="BS16" s="60">
        <f t="shared" si="28"/>
        <v>125.75415803488011</v>
      </c>
      <c r="BT16" t="s">
        <v>100</v>
      </c>
      <c r="BU16" s="60">
        <v>5366.7438000000002</v>
      </c>
      <c r="BV16" s="60">
        <v>5347.4322000000002</v>
      </c>
      <c r="BW16" s="60">
        <f t="shared" si="29"/>
        <v>5357.0879999999997</v>
      </c>
      <c r="BX16" s="60">
        <f t="shared" si="30"/>
        <v>13.655363315562131</v>
      </c>
      <c r="BY16" t="s">
        <v>88</v>
      </c>
      <c r="BZ16" s="48">
        <f t="shared" si="31"/>
        <v>18097.149412216375</v>
      </c>
      <c r="CA16" s="48">
        <f t="shared" si="31"/>
        <v>18197.786576398637</v>
      </c>
      <c r="CB16" s="58">
        <f t="shared" si="32"/>
        <v>18147.467994307506</v>
      </c>
      <c r="CC16" s="58">
        <f t="shared" si="33"/>
        <v>71.161221232661745</v>
      </c>
      <c r="CD16" s="49" t="s">
        <v>108</v>
      </c>
      <c r="CE16" s="10">
        <f t="shared" si="34"/>
        <v>29.655188658481269</v>
      </c>
      <c r="CF16" s="10">
        <f t="shared" si="34"/>
        <v>29.385069319008707</v>
      </c>
      <c r="CG16" s="10">
        <f t="shared" si="35"/>
        <v>29.520128988744986</v>
      </c>
      <c r="CH16" s="60">
        <f t="shared" si="36"/>
        <v>0.19100321667067921</v>
      </c>
      <c r="CI16" t="s">
        <v>84</v>
      </c>
    </row>
    <row r="17" spans="1:87" ht="15.5">
      <c r="A17" s="159"/>
      <c r="B17" s="46">
        <v>210</v>
      </c>
      <c r="C17" s="58">
        <v>2260.44</v>
      </c>
      <c r="D17" s="58">
        <v>2227.3200000000002</v>
      </c>
      <c r="E17" s="58">
        <f t="shared" si="4"/>
        <v>2243.88</v>
      </c>
      <c r="F17" s="58">
        <f t="shared" si="5"/>
        <v>23.419376592898377</v>
      </c>
      <c r="G17" s="49" t="s">
        <v>97</v>
      </c>
      <c r="H17" s="59">
        <v>2450.5131249999995</v>
      </c>
      <c r="I17" s="59">
        <v>2329.1268749999999</v>
      </c>
      <c r="J17" s="60">
        <f t="shared" si="6"/>
        <v>2389.8199999999997</v>
      </c>
      <c r="K17" s="60">
        <f t="shared" si="7"/>
        <v>85.833040517805244</v>
      </c>
      <c r="L17" t="s">
        <v>110</v>
      </c>
      <c r="M17" s="60">
        <v>577.61616020985457</v>
      </c>
      <c r="N17" s="60">
        <v>795.9747678440126</v>
      </c>
      <c r="O17" s="60">
        <f t="shared" si="8"/>
        <v>686.79546402693359</v>
      </c>
      <c r="P17" s="60">
        <f t="shared" si="0"/>
        <v>154.4028521885659</v>
      </c>
      <c r="Q17" t="s">
        <v>99</v>
      </c>
      <c r="R17" s="58">
        <f t="shared" si="9"/>
        <v>3028.1292852098541</v>
      </c>
      <c r="S17" s="58">
        <f t="shared" si="9"/>
        <v>3125.1016428440125</v>
      </c>
      <c r="T17" s="58">
        <f t="shared" si="10"/>
        <v>3076.6154640269333</v>
      </c>
      <c r="U17" s="58">
        <f t="shared" si="11"/>
        <v>68.569811670760515</v>
      </c>
      <c r="V17" s="49" t="s">
        <v>102</v>
      </c>
      <c r="W17" s="60">
        <v>4554.8370621904196</v>
      </c>
      <c r="X17" s="60">
        <v>4587.4344642109199</v>
      </c>
      <c r="Y17" s="60">
        <f t="shared" si="12"/>
        <v>4571.1357632006693</v>
      </c>
      <c r="Z17" s="60">
        <f t="shared" si="13"/>
        <v>23.049844017759856</v>
      </c>
      <c r="AA17" t="s">
        <v>96</v>
      </c>
      <c r="AB17" s="60">
        <v>5208.3629378095811</v>
      </c>
      <c r="AC17" s="60">
        <v>5212.7655357890808</v>
      </c>
      <c r="AD17" s="60">
        <f t="shared" si="14"/>
        <v>5210.5642367993314</v>
      </c>
      <c r="AE17" s="60">
        <f t="shared" si="15"/>
        <v>3.1131068861424023</v>
      </c>
      <c r="AF17" t="s">
        <v>88</v>
      </c>
      <c r="AG17" s="58">
        <f t="shared" si="16"/>
        <v>9763.2000000000007</v>
      </c>
      <c r="AH17" s="58">
        <f t="shared" si="16"/>
        <v>9800.2000000000007</v>
      </c>
      <c r="AI17" s="58">
        <f t="shared" si="17"/>
        <v>9781.7000000000007</v>
      </c>
      <c r="AJ17" s="58">
        <f t="shared" si="18"/>
        <v>26.16295090390226</v>
      </c>
      <c r="AK17" s="49" t="s">
        <v>112</v>
      </c>
      <c r="AL17" s="60">
        <v>3051.0267191276857</v>
      </c>
      <c r="AM17" s="60">
        <v>2247.8403813747009</v>
      </c>
      <c r="AN17" s="60">
        <f t="shared" si="19"/>
        <v>2649.4335502511931</v>
      </c>
      <c r="AO17" s="60">
        <f t="shared" si="20"/>
        <v>567.93850598152574</v>
      </c>
      <c r="AP17" t="s">
        <v>85</v>
      </c>
      <c r="AQ17" s="60">
        <v>3654.8370621904155</v>
      </c>
      <c r="AR17" s="60">
        <v>4287.434464210919</v>
      </c>
      <c r="AS17" s="60">
        <f t="shared" si="21"/>
        <v>3971.1357632006675</v>
      </c>
      <c r="AT17" s="60">
        <f t="shared" si="22"/>
        <v>447.31391272969063</v>
      </c>
      <c r="AU17" t="s">
        <v>120</v>
      </c>
      <c r="AV17" s="60">
        <v>3972.7675900187301</v>
      </c>
      <c r="AW17" s="60">
        <v>3963.2275900187301</v>
      </c>
      <c r="AX17" s="60">
        <f t="shared" si="23"/>
        <v>3967.9975900187301</v>
      </c>
      <c r="AY17" s="60">
        <f t="shared" si="24"/>
        <v>6.7457986925196378</v>
      </c>
      <c r="AZ17" t="s">
        <v>90</v>
      </c>
      <c r="BA17" s="58">
        <f t="shared" si="25"/>
        <v>10678.631371336831</v>
      </c>
      <c r="BB17" s="58">
        <f t="shared" si="25"/>
        <v>10498.50243560435</v>
      </c>
      <c r="BC17" s="58">
        <f t="shared" si="26"/>
        <v>10588.56690347059</v>
      </c>
      <c r="BD17" s="58">
        <f t="shared" si="27"/>
        <v>127.37039194435269</v>
      </c>
      <c r="BE17" s="49" t="s">
        <v>104</v>
      </c>
      <c r="BF17" s="60">
        <v>1648.944</v>
      </c>
      <c r="BG17" s="60">
        <v>1525.3919999999998</v>
      </c>
      <c r="BH17" s="60">
        <f t="shared" si="1"/>
        <v>1587.1679999999999</v>
      </c>
      <c r="BI17" s="60">
        <v>58.242971352770262</v>
      </c>
      <c r="BJ17" t="s">
        <v>92</v>
      </c>
      <c r="BK17" s="60">
        <v>5615.808</v>
      </c>
      <c r="BL17" s="60">
        <v>5788.9919999999993</v>
      </c>
      <c r="BM17" s="60">
        <f t="shared" si="2"/>
        <v>5702.4</v>
      </c>
      <c r="BN17" s="60">
        <v>129.67772681538383</v>
      </c>
      <c r="BO17" t="s">
        <v>100</v>
      </c>
      <c r="BP17" s="60">
        <v>3778.1763896811685</v>
      </c>
      <c r="BQ17" s="60">
        <v>3392.8355874523322</v>
      </c>
      <c r="BR17" s="60">
        <f t="shared" si="3"/>
        <v>3585.5059885667506</v>
      </c>
      <c r="BS17" s="60">
        <f t="shared" si="28"/>
        <v>272.47709432387444</v>
      </c>
      <c r="BT17" t="s">
        <v>106</v>
      </c>
      <c r="BU17" s="60">
        <v>4943.7696000000005</v>
      </c>
      <c r="BV17" s="60">
        <v>4914.9276</v>
      </c>
      <c r="BW17" s="60">
        <f t="shared" si="29"/>
        <v>4929.3486000000003</v>
      </c>
      <c r="BX17" s="60">
        <f t="shared" si="30"/>
        <v>20.394373782982793</v>
      </c>
      <c r="BY17" t="s">
        <v>92</v>
      </c>
      <c r="BZ17" s="48">
        <f t="shared" si="31"/>
        <v>15986.697989681168</v>
      </c>
      <c r="CA17" s="48">
        <f t="shared" si="31"/>
        <v>15622.14718745233</v>
      </c>
      <c r="CB17" s="58">
        <f t="shared" si="32"/>
        <v>15804.422588566749</v>
      </c>
      <c r="CC17" s="58">
        <f t="shared" si="33"/>
        <v>257.77634434300711</v>
      </c>
      <c r="CD17" s="49" t="s">
        <v>98</v>
      </c>
      <c r="CE17" s="10">
        <f t="shared" si="34"/>
        <v>30.924269684652977</v>
      </c>
      <c r="CF17" s="10">
        <f t="shared" si="34"/>
        <v>31.461280840751886</v>
      </c>
      <c r="CG17" s="10">
        <f t="shared" si="35"/>
        <v>31.192775262702433</v>
      </c>
      <c r="CH17" s="60">
        <f t="shared" si="36"/>
        <v>0.37972423005036648</v>
      </c>
      <c r="CI17" t="s">
        <v>87</v>
      </c>
    </row>
    <row r="18" spans="1:87">
      <c r="C18" s="49"/>
      <c r="D18" s="49"/>
      <c r="E18" s="49"/>
      <c r="F18" s="49"/>
      <c r="G18" s="49"/>
      <c r="R18" s="49"/>
      <c r="S18" s="49"/>
      <c r="T18" s="49"/>
      <c r="U18" s="49"/>
      <c r="V18" s="49"/>
      <c r="AG18" s="49"/>
      <c r="AH18" s="49"/>
      <c r="AI18" s="49"/>
      <c r="AJ18" s="49"/>
      <c r="AK18" s="49"/>
      <c r="BA18" s="49"/>
      <c r="BB18" s="49"/>
      <c r="BC18" s="49"/>
      <c r="BD18" s="49"/>
      <c r="BE18" s="49"/>
      <c r="BZ18" s="49"/>
      <c r="CA18" s="49"/>
      <c r="CB18" s="49"/>
      <c r="CC18" s="49"/>
      <c r="CD18" s="49"/>
    </row>
  </sheetData>
  <mergeCells count="23">
    <mergeCell ref="A12:A17"/>
    <mergeCell ref="BF4:BJ4"/>
    <mergeCell ref="BK4:BO4"/>
    <mergeCell ref="BP4:BT4"/>
    <mergeCell ref="BU4:BY4"/>
    <mergeCell ref="BZ4:CD4"/>
    <mergeCell ref="A6:A11"/>
    <mergeCell ref="AB4:AF4"/>
    <mergeCell ref="AG4:AK4"/>
    <mergeCell ref="AL4:AP4"/>
    <mergeCell ref="AQ4:AU4"/>
    <mergeCell ref="AV4:AZ4"/>
    <mergeCell ref="BA4:BE4"/>
    <mergeCell ref="C4:G4"/>
    <mergeCell ref="H4:L4"/>
    <mergeCell ref="M4:Q4"/>
    <mergeCell ref="R4:V4"/>
    <mergeCell ref="W4:AA4"/>
    <mergeCell ref="C3:G3"/>
    <mergeCell ref="H3:V3"/>
    <mergeCell ref="W3:AK3"/>
    <mergeCell ref="AL3:BE3"/>
    <mergeCell ref="BF3:C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B19F-7A63-426B-977E-A44A9A22F3A0}">
  <dimension ref="A2:O53"/>
  <sheetViews>
    <sheetView workbookViewId="0">
      <selection activeCell="A14" sqref="A14:G14"/>
    </sheetView>
  </sheetViews>
  <sheetFormatPr defaultRowHeight="14.5"/>
  <cols>
    <col min="1" max="1" width="14.90625" customWidth="1"/>
    <col min="2" max="2" width="13.453125" customWidth="1"/>
    <col min="3" max="3" width="18.81640625" customWidth="1"/>
    <col min="4" max="4" width="18.08984375" customWidth="1"/>
    <col min="5" max="5" width="17.54296875" customWidth="1"/>
    <col min="6" max="6" width="19.6328125" customWidth="1"/>
  </cols>
  <sheetData>
    <row r="2" spans="1:15" ht="15.5">
      <c r="A2" s="160" t="s">
        <v>121</v>
      </c>
      <c r="B2" s="160"/>
      <c r="C2" s="160"/>
      <c r="D2" s="160"/>
      <c r="E2" s="160"/>
      <c r="F2" s="160"/>
      <c r="G2" s="160"/>
      <c r="H2" s="38"/>
      <c r="I2" s="38"/>
      <c r="J2" s="38"/>
      <c r="K2" s="38"/>
      <c r="L2" s="38"/>
      <c r="M2" s="38"/>
      <c r="N2" s="38"/>
      <c r="O2" s="38"/>
    </row>
    <row r="3" spans="1:15" ht="15.5">
      <c r="A3" s="67" t="s">
        <v>122</v>
      </c>
      <c r="B3" s="67" t="s">
        <v>123</v>
      </c>
      <c r="C3" s="67" t="s">
        <v>124</v>
      </c>
      <c r="D3" s="67" t="s">
        <v>125</v>
      </c>
      <c r="E3" s="67" t="s">
        <v>126</v>
      </c>
      <c r="F3" s="67" t="s">
        <v>127</v>
      </c>
      <c r="G3" s="67" t="s">
        <v>128</v>
      </c>
      <c r="H3" s="65"/>
      <c r="I3" s="38"/>
      <c r="J3" s="38"/>
      <c r="K3" s="38"/>
      <c r="L3" s="38"/>
      <c r="M3" s="38"/>
      <c r="N3" s="38"/>
      <c r="O3" s="38"/>
    </row>
    <row r="4" spans="1:15" ht="28" customHeight="1">
      <c r="A4" s="67" t="s">
        <v>129</v>
      </c>
      <c r="B4" s="67">
        <v>268.39</v>
      </c>
      <c r="C4" s="67">
        <v>50.01</v>
      </c>
      <c r="D4" s="67">
        <v>30.89</v>
      </c>
      <c r="E4" s="67">
        <v>33.4</v>
      </c>
      <c r="F4" s="67">
        <v>63.8</v>
      </c>
      <c r="G4" s="67">
        <v>446.5</v>
      </c>
      <c r="H4" s="65"/>
      <c r="I4" s="38"/>
      <c r="J4" s="38"/>
      <c r="K4" s="38"/>
      <c r="L4" s="38"/>
      <c r="M4" s="38"/>
      <c r="N4" s="38"/>
      <c r="O4" s="38"/>
    </row>
    <row r="5" spans="1:15" ht="15.5">
      <c r="A5" s="36"/>
      <c r="B5" s="67" t="s">
        <v>130</v>
      </c>
      <c r="C5" s="67" t="s">
        <v>131</v>
      </c>
      <c r="D5" s="67" t="s">
        <v>132</v>
      </c>
      <c r="E5" s="67" t="s">
        <v>133</v>
      </c>
      <c r="F5" s="67" t="s">
        <v>134</v>
      </c>
      <c r="G5" s="67" t="s">
        <v>135</v>
      </c>
      <c r="H5" s="65"/>
      <c r="I5" s="38"/>
      <c r="J5" s="38"/>
      <c r="K5" s="38"/>
      <c r="L5" s="38"/>
      <c r="M5" s="38"/>
      <c r="N5" s="38"/>
      <c r="O5" s="38"/>
    </row>
    <row r="6" spans="1:15" ht="21" customHeight="1">
      <c r="A6" s="64" t="s">
        <v>136</v>
      </c>
      <c r="B6" s="64">
        <v>173.1</v>
      </c>
      <c r="C6" s="64">
        <v>64.5</v>
      </c>
      <c r="D6" s="64">
        <v>12.6</v>
      </c>
      <c r="E6" s="64">
        <v>33.9</v>
      </c>
      <c r="F6" s="64">
        <v>50.9</v>
      </c>
      <c r="G6" s="64">
        <v>335</v>
      </c>
      <c r="H6" s="64" t="s">
        <v>137</v>
      </c>
      <c r="I6" s="63"/>
      <c r="J6" s="63"/>
      <c r="K6" s="63"/>
      <c r="L6" s="63"/>
      <c r="M6" s="63"/>
      <c r="N6" s="63"/>
      <c r="O6" s="63"/>
    </row>
    <row r="7" spans="1:15" ht="15.5">
      <c r="A7" s="67" t="s">
        <v>138</v>
      </c>
      <c r="B7" s="67">
        <v>401.5</v>
      </c>
      <c r="C7" s="67">
        <v>27.1</v>
      </c>
      <c r="D7" s="67">
        <v>19.100000000000001</v>
      </c>
      <c r="E7" s="67">
        <v>22.2</v>
      </c>
      <c r="F7" s="67">
        <v>64.8</v>
      </c>
      <c r="G7" s="67">
        <v>534.70000000000005</v>
      </c>
      <c r="H7" s="65" t="s">
        <v>139</v>
      </c>
      <c r="I7" s="38"/>
      <c r="J7" s="38"/>
      <c r="K7" s="38"/>
      <c r="L7" s="38"/>
      <c r="M7" s="38"/>
      <c r="N7" s="38"/>
      <c r="O7" s="38"/>
    </row>
    <row r="8" spans="1:15" ht="15.5">
      <c r="A8" s="67" t="s">
        <v>140</v>
      </c>
      <c r="B8" s="67">
        <v>459.9</v>
      </c>
      <c r="C8" s="67">
        <v>137.4</v>
      </c>
      <c r="D8" s="67">
        <v>28.2</v>
      </c>
      <c r="E8" s="67">
        <v>20.5</v>
      </c>
      <c r="F8" s="67">
        <v>27.1</v>
      </c>
      <c r="G8" s="68">
        <v>673.1</v>
      </c>
      <c r="H8" s="66" t="s">
        <v>141</v>
      </c>
      <c r="I8" s="38"/>
      <c r="J8" s="38"/>
      <c r="K8" s="38"/>
      <c r="L8" s="38"/>
      <c r="M8" s="38"/>
      <c r="N8" s="38"/>
      <c r="O8" s="38"/>
    </row>
    <row r="9" spans="1:15" ht="15.5">
      <c r="A9" s="64" t="s">
        <v>142</v>
      </c>
      <c r="B9" s="64">
        <v>171.1</v>
      </c>
      <c r="C9" s="64">
        <v>19.8</v>
      </c>
      <c r="D9" s="64">
        <v>26.3</v>
      </c>
      <c r="E9" s="64">
        <v>20.8</v>
      </c>
      <c r="F9" s="64">
        <v>104.9</v>
      </c>
      <c r="G9" s="64">
        <v>342.9</v>
      </c>
      <c r="H9" s="64" t="s">
        <v>137</v>
      </c>
      <c r="I9" s="63"/>
      <c r="J9" s="63"/>
      <c r="K9" s="63"/>
      <c r="L9" s="63"/>
      <c r="M9" s="63"/>
      <c r="N9" s="63"/>
      <c r="O9" s="63"/>
    </row>
    <row r="10" spans="1:15" ht="15.5">
      <c r="A10" s="67" t="s">
        <v>143</v>
      </c>
      <c r="B10" s="67">
        <v>283.7</v>
      </c>
      <c r="C10" s="67">
        <v>43.7</v>
      </c>
      <c r="D10" s="67">
        <v>19.3</v>
      </c>
      <c r="E10" s="67">
        <v>63.8</v>
      </c>
      <c r="F10" s="67">
        <v>63.7</v>
      </c>
      <c r="G10" s="67">
        <v>474.2</v>
      </c>
      <c r="H10" s="65" t="s">
        <v>139</v>
      </c>
      <c r="I10" s="38"/>
      <c r="J10" s="38"/>
      <c r="K10" s="38"/>
      <c r="L10" s="38"/>
      <c r="M10" s="38"/>
      <c r="N10" s="38"/>
      <c r="O10" s="38"/>
    </row>
    <row r="11" spans="1:15" ht="15.5">
      <c r="A11" s="67" t="s">
        <v>144</v>
      </c>
      <c r="B11" s="67">
        <v>365.6</v>
      </c>
      <c r="C11" s="67">
        <v>21.5</v>
      </c>
      <c r="D11" s="67">
        <v>50.8</v>
      </c>
      <c r="E11" s="67">
        <v>61.2</v>
      </c>
      <c r="F11" s="67">
        <v>17.600000000000001</v>
      </c>
      <c r="G11" s="67">
        <v>516.70000000000005</v>
      </c>
      <c r="H11" s="65" t="s">
        <v>139</v>
      </c>
      <c r="I11" s="38"/>
      <c r="J11" s="38"/>
      <c r="K11" s="38"/>
      <c r="L11" s="38"/>
      <c r="M11" s="38"/>
      <c r="N11" s="38"/>
      <c r="O11" s="38"/>
    </row>
    <row r="12" spans="1:15" ht="15.5">
      <c r="A12" s="64" t="s">
        <v>145</v>
      </c>
      <c r="B12" s="64">
        <v>94.7</v>
      </c>
      <c r="C12" s="64">
        <v>101.2</v>
      </c>
      <c r="D12" s="64">
        <v>11</v>
      </c>
      <c r="E12" s="64">
        <v>57.1</v>
      </c>
      <c r="F12" s="64">
        <v>122.8</v>
      </c>
      <c r="G12" s="64">
        <v>386.8</v>
      </c>
      <c r="H12" s="64" t="s">
        <v>137</v>
      </c>
      <c r="I12" s="63"/>
      <c r="J12" s="63"/>
      <c r="K12" s="63"/>
      <c r="L12" s="63"/>
      <c r="M12" s="63"/>
      <c r="N12" s="63"/>
      <c r="O12" s="63"/>
    </row>
    <row r="13" spans="1:15" ht="15.5">
      <c r="A13" s="64" t="s">
        <v>146</v>
      </c>
      <c r="B13" s="64">
        <v>165.4</v>
      </c>
      <c r="C13" s="64">
        <v>95.5</v>
      </c>
      <c r="D13" s="64">
        <v>66.8</v>
      </c>
      <c r="E13" s="64">
        <v>27.2</v>
      </c>
      <c r="F13" s="64">
        <v>51.4</v>
      </c>
      <c r="G13" s="64">
        <v>406.3</v>
      </c>
      <c r="H13" s="64" t="s">
        <v>137</v>
      </c>
      <c r="I13" s="63"/>
      <c r="J13" s="63"/>
      <c r="K13" s="63"/>
      <c r="L13" s="63"/>
      <c r="M13" s="63"/>
      <c r="N13" s="63"/>
      <c r="O13" s="63"/>
    </row>
    <row r="14" spans="1:15" ht="17" customHeight="1">
      <c r="A14" s="161"/>
      <c r="B14" s="162"/>
      <c r="C14" s="162"/>
      <c r="D14" s="162"/>
      <c r="E14" s="162"/>
      <c r="F14" s="162"/>
      <c r="G14" s="162"/>
      <c r="H14" s="38"/>
      <c r="I14" s="38"/>
      <c r="J14" s="38"/>
      <c r="K14" s="38"/>
      <c r="L14" s="38"/>
      <c r="M14" s="38"/>
      <c r="N14" s="38"/>
      <c r="O14" s="38"/>
    </row>
    <row r="15" spans="1:15" ht="15.5">
      <c r="A15" s="163"/>
      <c r="B15" s="162"/>
      <c r="C15" s="162"/>
      <c r="D15" s="162"/>
      <c r="E15" s="162"/>
      <c r="F15" s="162"/>
      <c r="G15" s="162"/>
      <c r="H15" s="38"/>
      <c r="I15" s="38"/>
      <c r="J15" s="38"/>
      <c r="K15" s="38"/>
      <c r="L15" s="38"/>
      <c r="M15" s="38"/>
      <c r="N15" s="38"/>
      <c r="O15" s="38"/>
    </row>
    <row r="16" spans="1:15" ht="15.5">
      <c r="A16" s="38" t="s">
        <v>147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.5">
      <c r="A17" s="38"/>
      <c r="B17" s="38" t="s">
        <v>148</v>
      </c>
      <c r="C17" s="38" t="s">
        <v>149</v>
      </c>
      <c r="D17" s="38" t="s">
        <v>150</v>
      </c>
      <c r="E17" s="38" t="s">
        <v>151</v>
      </c>
      <c r="F17" s="38" t="s">
        <v>152</v>
      </c>
      <c r="G17" s="38" t="s">
        <v>153</v>
      </c>
      <c r="H17" s="38" t="s">
        <v>154</v>
      </c>
      <c r="I17" s="38" t="s">
        <v>155</v>
      </c>
      <c r="J17" s="38"/>
      <c r="K17" s="38"/>
      <c r="L17" s="38"/>
      <c r="M17" s="38"/>
      <c r="N17" s="38"/>
      <c r="O17" s="38"/>
    </row>
    <row r="18" spans="1:15" ht="15.5">
      <c r="A18" s="38" t="s">
        <v>156</v>
      </c>
      <c r="B18" s="38">
        <v>268.39</v>
      </c>
      <c r="C18" s="38">
        <v>50.01</v>
      </c>
      <c r="D18" s="38">
        <v>30.89</v>
      </c>
      <c r="E18" s="38">
        <v>33.4</v>
      </c>
      <c r="F18" s="38">
        <v>63.8</v>
      </c>
      <c r="G18" s="38">
        <v>446.5</v>
      </c>
      <c r="H18" s="38"/>
      <c r="I18" s="38"/>
      <c r="J18" s="38"/>
      <c r="K18" s="38"/>
      <c r="L18" s="38"/>
      <c r="M18" s="38"/>
      <c r="N18" s="38"/>
      <c r="O18" s="38"/>
    </row>
    <row r="19" spans="1:15" ht="15.5">
      <c r="A19" s="38" t="s">
        <v>157</v>
      </c>
      <c r="B19" s="38">
        <v>365.6</v>
      </c>
      <c r="C19" s="38">
        <v>21.5</v>
      </c>
      <c r="D19" s="38">
        <v>50.8</v>
      </c>
      <c r="E19" s="38">
        <v>61.2</v>
      </c>
      <c r="F19" s="38">
        <v>17.600000000000001</v>
      </c>
      <c r="G19" s="38">
        <v>516.70000000000005</v>
      </c>
      <c r="H19" s="38">
        <f>SUM(C19:E19)</f>
        <v>133.5</v>
      </c>
      <c r="I19" s="38">
        <v>17.600000000000001</v>
      </c>
      <c r="J19" s="38"/>
      <c r="K19" s="38"/>
      <c r="L19" s="38"/>
      <c r="M19" s="38"/>
      <c r="N19" s="38"/>
      <c r="O19" s="38"/>
    </row>
    <row r="20" spans="1:15" ht="15.5">
      <c r="A20" s="38" t="s">
        <v>145</v>
      </c>
      <c r="B20" s="38">
        <v>94.7</v>
      </c>
      <c r="C20" s="38">
        <v>101.2</v>
      </c>
      <c r="D20" s="38">
        <v>11</v>
      </c>
      <c r="E20" s="38">
        <v>57.1</v>
      </c>
      <c r="F20" s="38">
        <v>122.8</v>
      </c>
      <c r="G20" s="38">
        <v>386.8</v>
      </c>
      <c r="H20" s="38">
        <f>SUM(C20:E20)</f>
        <v>169.3</v>
      </c>
      <c r="I20" s="38">
        <v>122.8</v>
      </c>
      <c r="J20" s="38"/>
      <c r="K20" s="38"/>
      <c r="L20" s="38"/>
      <c r="M20" s="38"/>
      <c r="N20" s="38"/>
      <c r="O20" s="38"/>
    </row>
    <row r="21" spans="1:15" ht="15.5">
      <c r="A21" s="38" t="s">
        <v>146</v>
      </c>
      <c r="B21" s="38">
        <v>165.4</v>
      </c>
      <c r="C21" s="38">
        <v>95.5</v>
      </c>
      <c r="D21" s="38">
        <v>66.8</v>
      </c>
      <c r="E21" s="38">
        <v>27.2</v>
      </c>
      <c r="F21" s="38">
        <v>51.4</v>
      </c>
      <c r="G21" s="38">
        <v>406.3</v>
      </c>
      <c r="H21" s="38">
        <f>SUM(C21:E21)</f>
        <v>189.5</v>
      </c>
      <c r="I21" s="38">
        <v>51.4</v>
      </c>
      <c r="J21" s="38"/>
      <c r="K21" s="38"/>
      <c r="L21" s="38"/>
      <c r="M21" s="38"/>
      <c r="N21" s="38"/>
      <c r="O21" s="38"/>
    </row>
    <row r="22" spans="1:15" ht="15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.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.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.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.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.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.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.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.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.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.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.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.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.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.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.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</sheetData>
  <mergeCells count="3">
    <mergeCell ref="A2:G2"/>
    <mergeCell ref="A14:G14"/>
    <mergeCell ref="A15:G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43309-1BC6-4C3E-A198-7C630B1EB75F}">
  <dimension ref="A3:AD42"/>
  <sheetViews>
    <sheetView workbookViewId="0">
      <selection activeCell="L2" sqref="L2"/>
    </sheetView>
  </sheetViews>
  <sheetFormatPr defaultRowHeight="14.5"/>
  <sheetData>
    <row r="3" spans="1:30" ht="15.5">
      <c r="A3" s="69" t="s">
        <v>158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5">
      <c r="A4" s="70" t="s">
        <v>159</v>
      </c>
      <c r="B4" s="2"/>
      <c r="C4" s="2" t="s">
        <v>160</v>
      </c>
      <c r="D4" s="2" t="s">
        <v>161</v>
      </c>
      <c r="E4" s="2">
        <v>20</v>
      </c>
      <c r="F4" s="2" t="s">
        <v>162</v>
      </c>
      <c r="G4" s="2"/>
      <c r="H4" s="2" t="s">
        <v>160</v>
      </c>
      <c r="I4" s="2" t="s">
        <v>161</v>
      </c>
      <c r="J4" s="2">
        <v>40</v>
      </c>
      <c r="K4" s="2" t="s">
        <v>162</v>
      </c>
      <c r="L4" s="2"/>
      <c r="M4" s="2" t="s">
        <v>160</v>
      </c>
      <c r="N4" s="2" t="s">
        <v>161</v>
      </c>
      <c r="O4" s="2">
        <v>60</v>
      </c>
      <c r="P4" s="2" t="s">
        <v>162</v>
      </c>
      <c r="Q4" s="2"/>
      <c r="R4" s="2" t="s">
        <v>160</v>
      </c>
      <c r="S4" s="2" t="s">
        <v>161</v>
      </c>
      <c r="T4" s="2">
        <v>80</v>
      </c>
      <c r="U4" s="2" t="s">
        <v>162</v>
      </c>
      <c r="V4" s="2"/>
      <c r="W4" s="2" t="s">
        <v>160</v>
      </c>
      <c r="X4" s="2" t="s">
        <v>161</v>
      </c>
      <c r="Y4" s="2">
        <v>100</v>
      </c>
      <c r="Z4" s="2" t="s">
        <v>162</v>
      </c>
      <c r="AA4" s="2"/>
      <c r="AB4" s="2" t="s">
        <v>160</v>
      </c>
      <c r="AC4" s="2" t="s">
        <v>161</v>
      </c>
      <c r="AD4" s="2">
        <v>120</v>
      </c>
    </row>
    <row r="5" spans="1:30" ht="15.5">
      <c r="A5" s="2"/>
      <c r="B5" s="2" t="s">
        <v>163</v>
      </c>
      <c r="C5" s="10">
        <f>45.76-0.3333333</f>
        <v>45.426666699999998</v>
      </c>
      <c r="D5" s="10">
        <f>46.16-0.3333333</f>
        <v>45.826666699999997</v>
      </c>
      <c r="E5" s="10">
        <f>AVERAGE(C5:D5)</f>
        <v>45.626666700000001</v>
      </c>
      <c r="F5" s="10">
        <f>STDEV(C5:D5)</f>
        <v>0.28284271247461801</v>
      </c>
      <c r="G5" s="10"/>
      <c r="H5" s="10">
        <f>44.59-0.3333333</f>
        <v>44.256666700000004</v>
      </c>
      <c r="I5" s="10">
        <f>44.47-0.333333</f>
        <v>44.136666999999996</v>
      </c>
      <c r="J5" s="10">
        <f>AVERAGE(H5:I5)</f>
        <v>44.19666685</v>
      </c>
      <c r="K5" s="10">
        <f>STDEV(H5:I5)</f>
        <v>8.4852601610357112E-2</v>
      </c>
      <c r="L5" s="10"/>
      <c r="M5" s="10">
        <f>43.41-0.3333333</f>
        <v>43.076666699999997</v>
      </c>
      <c r="N5" s="10">
        <f>44.53-0.3333333</f>
        <v>44.196666700000002</v>
      </c>
      <c r="O5" s="10">
        <f>AVERAGE(M5:N5)</f>
        <v>43.636666699999999</v>
      </c>
      <c r="P5" s="10">
        <f>STDEV(M5:N5)</f>
        <v>0.79195959492893642</v>
      </c>
      <c r="Q5" s="10"/>
      <c r="R5" s="10">
        <f>45.27-0.333333</f>
        <v>44.936667</v>
      </c>
      <c r="S5" s="10">
        <f>46.23-0.3333333</f>
        <v>45.896666699999997</v>
      </c>
      <c r="T5" s="10">
        <f>AVERAGE(R5:S5)</f>
        <v>45.416666849999999</v>
      </c>
      <c r="U5" s="10">
        <f>STDEV(R5:S5)</f>
        <v>0.67882229780704939</v>
      </c>
      <c r="V5" s="10"/>
      <c r="W5" s="10">
        <f>44.22-0.3333333</f>
        <v>43.886666699999999</v>
      </c>
      <c r="X5" s="10">
        <f>45.32-0.3333333</f>
        <v>44.986666700000001</v>
      </c>
      <c r="Y5" s="10">
        <f>AVERAGE(W5:X5)</f>
        <v>44.436666700000004</v>
      </c>
      <c r="Z5" s="10">
        <f>STDEV(W5:X5)</f>
        <v>0.7778174593052033</v>
      </c>
      <c r="AA5" s="10"/>
      <c r="AB5" s="10">
        <f>42.03-0.3333333</f>
        <v>41.696666700000002</v>
      </c>
      <c r="AC5" s="10">
        <f>42.87-0.3333333</f>
        <v>42.536666699999998</v>
      </c>
      <c r="AD5" s="10">
        <f>AVERAGE(AB5:AC5)</f>
        <v>42.116666699999996</v>
      </c>
    </row>
    <row r="6" spans="1:30" ht="15.5">
      <c r="A6" s="2"/>
      <c r="B6" s="2" t="s">
        <v>164</v>
      </c>
      <c r="C6" s="10">
        <f>48.96-0.8666667</f>
        <v>48.093333299999998</v>
      </c>
      <c r="D6" s="10">
        <f>48.52-1.2666667</f>
        <v>47.253333300000001</v>
      </c>
      <c r="E6" s="10">
        <f>AVERAGE(C6:D6)</f>
        <v>47.673333299999996</v>
      </c>
      <c r="F6" s="10">
        <f>STDEV(C6:D6)</f>
        <v>0.59396969619669726</v>
      </c>
      <c r="G6" s="10"/>
      <c r="H6" s="10">
        <f>46.99-0.8666667</f>
        <v>46.123333299999999</v>
      </c>
      <c r="I6" s="10">
        <f>46.73-1.2666667</f>
        <v>45.463333299999995</v>
      </c>
      <c r="J6" s="10">
        <f>AVERAGE(H6:I6)</f>
        <v>45.7933333</v>
      </c>
      <c r="K6" s="10">
        <f>STDEV(H6:I6)</f>
        <v>0.46669047558312399</v>
      </c>
      <c r="L6" s="10"/>
      <c r="M6" s="10">
        <f>45.74-0.8666667</f>
        <v>44.873333299999999</v>
      </c>
      <c r="N6" s="10">
        <f>44.34-1.2666667</f>
        <v>43.073333300000002</v>
      </c>
      <c r="O6" s="10">
        <f>AVERAGE(M6:N6)</f>
        <v>43.9733333</v>
      </c>
      <c r="P6" s="10">
        <f>STDEV(M6:N6)</f>
        <v>1.2727922061357835</v>
      </c>
      <c r="Q6" s="10"/>
      <c r="R6" s="10">
        <f>47.77-0.8666667</f>
        <v>46.9033333</v>
      </c>
      <c r="S6" s="10">
        <f>48.09-1.2666667</f>
        <v>46.823333300000002</v>
      </c>
      <c r="T6" s="10">
        <f>AVERAGE(R6:S6)</f>
        <v>46.863333300000001</v>
      </c>
      <c r="U6" s="10">
        <f>STDEV(R6:S6)</f>
        <v>5.6568542494922595E-2</v>
      </c>
      <c r="V6" s="10"/>
      <c r="W6" s="10">
        <f>46.43-0.8666667</f>
        <v>45.563333299999996</v>
      </c>
      <c r="X6" s="10">
        <f>47.03-1.2666667</f>
        <v>45.763333299999999</v>
      </c>
      <c r="Y6" s="10">
        <f>AVERAGE(W6:X6)</f>
        <v>45.663333299999998</v>
      </c>
      <c r="Z6" s="10">
        <f>STDEV(W6:X6)</f>
        <v>0.14142135623731153</v>
      </c>
      <c r="AA6" s="10"/>
      <c r="AB6" s="10">
        <f>46.79-0.8666667</f>
        <v>45.923333299999996</v>
      </c>
      <c r="AC6" s="10">
        <f>45.39-1.2666667</f>
        <v>44.123333299999999</v>
      </c>
      <c r="AD6" s="10">
        <f>AVERAGE(AB6:AC6)</f>
        <v>45.023333299999997</v>
      </c>
    </row>
    <row r="7" spans="1:30" ht="15.5">
      <c r="A7" s="2"/>
      <c r="B7" s="2"/>
      <c r="C7" s="2"/>
      <c r="D7" s="10"/>
      <c r="E7" s="2"/>
      <c r="F7" s="2"/>
      <c r="G7" s="2"/>
      <c r="H7" s="2"/>
      <c r="I7" s="10"/>
      <c r="J7" s="2"/>
      <c r="K7" s="2"/>
      <c r="L7" s="2"/>
      <c r="M7" s="2"/>
      <c r="N7" s="10"/>
      <c r="O7" s="2"/>
      <c r="P7" s="2"/>
      <c r="Q7" s="2"/>
      <c r="R7" s="2"/>
      <c r="S7" s="10"/>
      <c r="T7" s="2"/>
      <c r="U7" s="2"/>
      <c r="V7" s="2"/>
      <c r="W7" s="2"/>
      <c r="X7" s="10"/>
      <c r="Y7" s="2"/>
      <c r="Z7" s="2"/>
      <c r="AA7" s="2"/>
      <c r="AB7" s="2"/>
      <c r="AC7" s="10"/>
      <c r="AD7" s="2"/>
    </row>
    <row r="8" spans="1:30" ht="15.5">
      <c r="A8" s="70" t="s">
        <v>165</v>
      </c>
      <c r="B8" s="2"/>
      <c r="C8" s="2" t="s">
        <v>160</v>
      </c>
      <c r="D8" s="2" t="s">
        <v>161</v>
      </c>
      <c r="E8" s="2">
        <v>20</v>
      </c>
      <c r="F8" s="2" t="s">
        <v>162</v>
      </c>
      <c r="G8" s="2"/>
      <c r="H8" s="2" t="s">
        <v>160</v>
      </c>
      <c r="I8" s="2" t="s">
        <v>161</v>
      </c>
      <c r="J8" s="2">
        <v>40</v>
      </c>
      <c r="K8" s="2" t="s">
        <v>162</v>
      </c>
      <c r="L8" s="2"/>
      <c r="M8" s="2" t="s">
        <v>160</v>
      </c>
      <c r="N8" s="2" t="s">
        <v>161</v>
      </c>
      <c r="O8" s="2">
        <v>60</v>
      </c>
      <c r="P8" s="2" t="s">
        <v>162</v>
      </c>
      <c r="Q8" s="2"/>
      <c r="R8" s="2" t="s">
        <v>160</v>
      </c>
      <c r="S8" s="2" t="s">
        <v>161</v>
      </c>
      <c r="T8" s="2">
        <v>80</v>
      </c>
      <c r="U8" s="2" t="s">
        <v>162</v>
      </c>
      <c r="V8" s="2"/>
      <c r="W8" s="2" t="s">
        <v>160</v>
      </c>
      <c r="X8" s="2" t="s">
        <v>161</v>
      </c>
      <c r="Y8" s="2">
        <v>100</v>
      </c>
      <c r="Z8" s="2" t="s">
        <v>162</v>
      </c>
      <c r="AA8" s="2"/>
      <c r="AB8" s="2" t="s">
        <v>160</v>
      </c>
      <c r="AC8" s="2" t="s">
        <v>161</v>
      </c>
      <c r="AD8" s="2">
        <v>120</v>
      </c>
    </row>
    <row r="9" spans="1:30" ht="15.5">
      <c r="A9" s="2"/>
      <c r="B9" s="2" t="s">
        <v>163</v>
      </c>
      <c r="C9" s="10">
        <v>20.03</v>
      </c>
      <c r="D9" s="10">
        <v>21.398323197219817</v>
      </c>
      <c r="E9" s="10">
        <f>AVERAGE(C9:D9)</f>
        <v>20.714161598609909</v>
      </c>
      <c r="F9" s="10">
        <f>STDEV(C9:D9)</f>
        <v>0.96755061160898936</v>
      </c>
      <c r="G9" s="10"/>
      <c r="H9" s="10">
        <v>20</v>
      </c>
      <c r="I9" s="10">
        <v>20.855361596010091</v>
      </c>
      <c r="J9" s="10">
        <f>AVERAGE(H9:I9)</f>
        <v>20.427680798005046</v>
      </c>
      <c r="K9" s="10">
        <f>STDEV(H9:I9)</f>
        <v>0.60483198490528367</v>
      </c>
      <c r="L9" s="10"/>
      <c r="M9" s="10">
        <v>17.98</v>
      </c>
      <c r="N9" s="10">
        <v>18.791300448430487</v>
      </c>
      <c r="O9" s="10">
        <f>AVERAGE(M9:N9)</f>
        <v>18.385650224215244</v>
      </c>
      <c r="P9" s="10">
        <f>STDEV(M9:N9)</f>
        <v>0.57367604866488398</v>
      </c>
      <c r="Q9" s="10"/>
      <c r="R9" s="10">
        <v>20.11</v>
      </c>
      <c r="S9" s="10">
        <v>21.469617834394889</v>
      </c>
      <c r="T9" s="10">
        <f>AVERAGE(R9:S9)</f>
        <v>20.789808917197444</v>
      </c>
      <c r="U9" s="10">
        <f>STDEV(R9:S9)</f>
        <v>0.96139499052279453</v>
      </c>
      <c r="V9" s="10"/>
      <c r="W9" s="10">
        <v>19.829999999999998</v>
      </c>
      <c r="X9" s="10">
        <v>18.51459833795014</v>
      </c>
      <c r="Y9" s="10">
        <f>AVERAGE(W9:X9)</f>
        <v>19.172299168975069</v>
      </c>
      <c r="Z9" s="10">
        <f>STDEV(W9:X9)</f>
        <v>0.93012943521950997</v>
      </c>
      <c r="AA9" s="10"/>
      <c r="AB9" s="10">
        <v>19.05</v>
      </c>
      <c r="AC9" s="10">
        <v>20.414285714285601</v>
      </c>
      <c r="AD9" s="10">
        <f>AVERAGE(AB9:AC9)</f>
        <v>19.732142857142801</v>
      </c>
    </row>
    <row r="10" spans="1:30" ht="15.5">
      <c r="A10" s="2"/>
      <c r="B10" s="2" t="s">
        <v>164</v>
      </c>
      <c r="C10" s="10">
        <v>24.31</v>
      </c>
      <c r="D10" s="10">
        <v>25.452406015037599</v>
      </c>
      <c r="E10" s="10">
        <f>AVERAGE(C10:D10)</f>
        <v>24.881203007518799</v>
      </c>
      <c r="F10" s="10">
        <f>STDEV(C10:D10)</f>
        <v>0.80780304010138848</v>
      </c>
      <c r="G10" s="10"/>
      <c r="H10" s="10">
        <v>22.94</v>
      </c>
      <c r="I10" s="10">
        <v>22.547179487179395</v>
      </c>
      <c r="J10" s="10">
        <f>AVERAGE(H10:I10)</f>
        <v>22.743589743589698</v>
      </c>
      <c r="K10" s="10">
        <f>STDEV(H10:I10)</f>
        <v>0.2777660484046276</v>
      </c>
      <c r="L10" s="10"/>
      <c r="M10" s="10">
        <v>21</v>
      </c>
      <c r="N10" s="10">
        <v>21.3829787234042</v>
      </c>
      <c r="O10" s="10">
        <f>AVERAGE(M10:N10)</f>
        <v>21.1914893617021</v>
      </c>
      <c r="P10" s="10">
        <f>STDEV(M10:N10)</f>
        <v>0.27080685236927704</v>
      </c>
      <c r="Q10" s="10"/>
      <c r="R10" s="10">
        <v>21.77</v>
      </c>
      <c r="S10" s="10">
        <v>23.078226950354601</v>
      </c>
      <c r="T10" s="10">
        <f>AVERAGE(R10:S10)</f>
        <v>22.4241134751773</v>
      </c>
      <c r="U10" s="10">
        <f>STDEV(R10:S10)</f>
        <v>0.92505614792673563</v>
      </c>
      <c r="V10" s="10"/>
      <c r="W10" s="10">
        <v>24.99</v>
      </c>
      <c r="X10" s="10">
        <v>24.082916666666602</v>
      </c>
      <c r="Y10" s="10">
        <f>AVERAGE(W10:X10)</f>
        <v>24.5364583333333</v>
      </c>
      <c r="Z10" s="10">
        <f>STDEV(W10:X10)</f>
        <v>0.64140477610134217</v>
      </c>
      <c r="AA10" s="10"/>
      <c r="AB10" s="10">
        <v>22.48</v>
      </c>
      <c r="AC10" s="10">
        <v>22.162201834862397</v>
      </c>
      <c r="AD10" s="10">
        <f>AVERAGE(AB10:AC10)</f>
        <v>22.321100917431199</v>
      </c>
    </row>
    <row r="11" spans="1:30" ht="15.5">
      <c r="A11" s="2"/>
      <c r="B11" s="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5.5">
      <c r="A12" s="69" t="s">
        <v>166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5">
      <c r="A13" s="70" t="s">
        <v>159</v>
      </c>
      <c r="B13" s="71"/>
      <c r="C13" s="2" t="s">
        <v>160</v>
      </c>
      <c r="D13" s="2" t="s">
        <v>161</v>
      </c>
      <c r="E13" s="2">
        <v>20</v>
      </c>
      <c r="F13" s="2" t="s">
        <v>162</v>
      </c>
      <c r="G13" s="2"/>
      <c r="H13" s="2" t="s">
        <v>160</v>
      </c>
      <c r="I13" s="2" t="s">
        <v>161</v>
      </c>
      <c r="J13" s="2">
        <v>40</v>
      </c>
      <c r="K13" s="2" t="s">
        <v>162</v>
      </c>
      <c r="L13" s="2"/>
      <c r="M13" s="2" t="s">
        <v>160</v>
      </c>
      <c r="N13" s="2" t="s">
        <v>161</v>
      </c>
      <c r="O13" s="2">
        <v>60</v>
      </c>
      <c r="P13" s="2" t="s">
        <v>162</v>
      </c>
      <c r="Q13" s="2"/>
      <c r="R13" s="2" t="s">
        <v>160</v>
      </c>
      <c r="S13" s="2" t="s">
        <v>161</v>
      </c>
      <c r="T13" s="2">
        <v>80</v>
      </c>
      <c r="U13" s="2" t="s">
        <v>162</v>
      </c>
      <c r="V13" s="2"/>
      <c r="W13" s="2" t="s">
        <v>160</v>
      </c>
      <c r="X13" s="2" t="s">
        <v>161</v>
      </c>
      <c r="Y13" s="2">
        <v>100</v>
      </c>
      <c r="Z13" s="2" t="s">
        <v>162</v>
      </c>
      <c r="AA13" s="2"/>
      <c r="AB13" s="2" t="s">
        <v>160</v>
      </c>
      <c r="AC13" s="2" t="s">
        <v>161</v>
      </c>
      <c r="AD13" s="2">
        <v>120</v>
      </c>
    </row>
    <row r="14" spans="1:30" ht="15.5">
      <c r="A14" s="2"/>
      <c r="B14" s="2" t="s">
        <v>163</v>
      </c>
      <c r="C14" s="72">
        <f>33.14+1.4666667</f>
        <v>34.606666699999998</v>
      </c>
      <c r="D14" s="73">
        <f>33.62+1.133333</f>
        <v>34.753332999999998</v>
      </c>
      <c r="E14" s="74">
        <f>AVERAGE(C14:D14)</f>
        <v>34.679999850000002</v>
      </c>
      <c r="F14" s="75">
        <f>STDEV(C14:D14)</f>
        <v>0.10370873530154032</v>
      </c>
      <c r="G14" s="75"/>
      <c r="H14" s="72">
        <f>32.75+1.4666667</f>
        <v>34.216666699999998</v>
      </c>
      <c r="I14" s="73">
        <f>33.59+1.133333</f>
        <v>34.723333000000004</v>
      </c>
      <c r="J14" s="74">
        <f>AVERAGE(H14:I14)</f>
        <v>34.469999850000001</v>
      </c>
      <c r="K14" s="75">
        <f>STDEV(H14:I14)</f>
        <v>0.35826717652870205</v>
      </c>
      <c r="L14" s="75"/>
      <c r="M14" s="76">
        <f>31.92+1.4666667</f>
        <v>33.386666699999999</v>
      </c>
      <c r="N14" s="73">
        <f>31.36+1.133333</f>
        <v>32.493333</v>
      </c>
      <c r="O14" s="74">
        <f>AVERAGE(M14:N14)</f>
        <v>32.93999985</v>
      </c>
      <c r="P14" s="75">
        <f>STDEV(M14:N14)</f>
        <v>0.63168231713246847</v>
      </c>
      <c r="Q14" s="75"/>
      <c r="R14" s="76">
        <f>30.68+1.4666667</f>
        <v>32.146666699999997</v>
      </c>
      <c r="S14" s="73">
        <f>30.96+1.133333</f>
        <v>32.093333000000001</v>
      </c>
      <c r="T14" s="74">
        <f>AVERAGE(R14:S14)</f>
        <v>32.119999849999999</v>
      </c>
      <c r="U14" s="75">
        <f>STDEV(R14:S14)</f>
        <v>3.7712620935766168E-2</v>
      </c>
      <c r="V14" s="75"/>
      <c r="W14" s="76">
        <f>28.33+1.4666667</f>
        <v>29.796666699999999</v>
      </c>
      <c r="X14" s="73">
        <f>29.01+1.133333</f>
        <v>30.143333000000002</v>
      </c>
      <c r="Y14" s="74">
        <f>AVERAGE(W14:X14)</f>
        <v>29.969999850000001</v>
      </c>
      <c r="Z14" s="75">
        <f>STDEV(W14:X14)</f>
        <v>0.24513009153885185</v>
      </c>
      <c r="AA14" s="75"/>
      <c r="AB14" s="76">
        <f>26.31+1.4666667</f>
        <v>27.7766667</v>
      </c>
      <c r="AC14" s="73">
        <f>27.19+1.133333</f>
        <v>28.323333000000002</v>
      </c>
      <c r="AD14" s="74">
        <f>AVERAGE(AB14:AC14)</f>
        <v>28.049999849999999</v>
      </c>
    </row>
    <row r="15" spans="1:30" ht="15.5">
      <c r="A15" s="2"/>
      <c r="B15" s="2" t="s">
        <v>164</v>
      </c>
      <c r="C15" s="73">
        <v>33.176076404575603</v>
      </c>
      <c r="D15" s="73">
        <v>33.231204648034996</v>
      </c>
      <c r="E15" s="74">
        <f>AVERAGE(C15:D15)</f>
        <v>33.2036405263053</v>
      </c>
      <c r="F15" s="75">
        <f>STDEV(C15:D15)</f>
        <v>3.8981554785039681E-2</v>
      </c>
      <c r="G15" s="75"/>
      <c r="H15" s="73">
        <v>32.706076404575597</v>
      </c>
      <c r="I15" s="73">
        <v>34.321204648034993</v>
      </c>
      <c r="J15" s="74">
        <f>AVERAGE(H15:I15)</f>
        <v>33.513640526305295</v>
      </c>
      <c r="K15" s="75">
        <f>STDEV(H15:I15)</f>
        <v>1.1420681334360554</v>
      </c>
      <c r="L15" s="75"/>
      <c r="M15" s="75">
        <v>32.976076404575601</v>
      </c>
      <c r="N15" s="73">
        <v>32.311204648034995</v>
      </c>
      <c r="O15" s="74">
        <f>AVERAGE(M15:N15)</f>
        <v>32.643640526305298</v>
      </c>
      <c r="P15" s="75">
        <f>STDEV(M15:N15)</f>
        <v>0.47013532766927374</v>
      </c>
      <c r="Q15" s="75"/>
      <c r="R15" s="75">
        <v>32.786076404575603</v>
      </c>
      <c r="S15" s="73">
        <v>32.241204648034994</v>
      </c>
      <c r="T15" s="74">
        <f>AVERAGE(R15:S15)</f>
        <v>32.513640526305295</v>
      </c>
      <c r="U15" s="75">
        <f>STDEV(R15:S15)</f>
        <v>0.38528251392688984</v>
      </c>
      <c r="V15" s="75"/>
      <c r="W15" s="75">
        <v>30.236076404575599</v>
      </c>
      <c r="X15" s="73">
        <v>29.111204648034999</v>
      </c>
      <c r="Y15" s="74">
        <f>AVERAGE(W15:X15)</f>
        <v>29.673640526305299</v>
      </c>
      <c r="Z15" s="75">
        <f>STDEV(W15:X15)</f>
        <v>0.79540444701508117</v>
      </c>
      <c r="AA15" s="75"/>
      <c r="AB15" s="75">
        <v>27.476076404575601</v>
      </c>
      <c r="AC15" s="73">
        <v>27.051204648035</v>
      </c>
      <c r="AD15" s="74">
        <f>AVERAGE(AB15:AC15)</f>
        <v>27.263640526305302</v>
      </c>
    </row>
    <row r="16" spans="1:30" ht="15.5">
      <c r="A16" s="2"/>
      <c r="B16" s="3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>
      <c r="A17" s="70" t="s">
        <v>165</v>
      </c>
      <c r="B17" s="71"/>
      <c r="C17" s="2" t="s">
        <v>160</v>
      </c>
      <c r="D17" s="2" t="s">
        <v>161</v>
      </c>
      <c r="E17" s="2">
        <v>20</v>
      </c>
      <c r="F17" s="2" t="s">
        <v>162</v>
      </c>
      <c r="G17" s="2"/>
      <c r="H17" s="2" t="s">
        <v>160</v>
      </c>
      <c r="I17" s="2" t="s">
        <v>161</v>
      </c>
      <c r="J17" s="2">
        <v>40</v>
      </c>
      <c r="K17" s="2" t="s">
        <v>162</v>
      </c>
      <c r="L17" s="2"/>
      <c r="M17" s="2" t="s">
        <v>160</v>
      </c>
      <c r="N17" s="2" t="s">
        <v>161</v>
      </c>
      <c r="O17" s="2">
        <v>60</v>
      </c>
      <c r="P17" s="2" t="s">
        <v>162</v>
      </c>
      <c r="Q17" s="2"/>
      <c r="R17" s="2" t="s">
        <v>160</v>
      </c>
      <c r="S17" s="2" t="s">
        <v>161</v>
      </c>
      <c r="T17" s="2">
        <v>80</v>
      </c>
      <c r="U17" s="2" t="s">
        <v>162</v>
      </c>
      <c r="V17" s="2"/>
      <c r="W17" s="2" t="s">
        <v>160</v>
      </c>
      <c r="X17" s="2" t="s">
        <v>161</v>
      </c>
      <c r="Y17" s="2">
        <v>100</v>
      </c>
      <c r="Z17" s="2" t="s">
        <v>162</v>
      </c>
      <c r="AA17" s="2"/>
      <c r="AB17" s="2" t="s">
        <v>160</v>
      </c>
      <c r="AC17" s="2" t="s">
        <v>161</v>
      </c>
      <c r="AD17" s="2">
        <v>120</v>
      </c>
    </row>
    <row r="18" spans="1:30" ht="15.5">
      <c r="A18" s="2"/>
      <c r="B18" s="2" t="s">
        <v>163</v>
      </c>
      <c r="C18" s="10">
        <v>23.6157793138544</v>
      </c>
      <c r="D18" s="10">
        <v>24.8359795914544</v>
      </c>
      <c r="E18" s="10">
        <f>AVERAGE(C18:D18)</f>
        <v>24.2258794526544</v>
      </c>
      <c r="F18" s="10">
        <f>STDEV(C18:D18)</f>
        <v>0.86281189069666775</v>
      </c>
      <c r="G18" s="10"/>
      <c r="H18" s="10">
        <v>24.662799586654415</v>
      </c>
      <c r="I18" s="10">
        <v>23.686543231454415</v>
      </c>
      <c r="J18" s="10">
        <f>AVERAGE(H18:I18)</f>
        <v>24.174671409054415</v>
      </c>
      <c r="K18" s="10">
        <f>STDEV(H18:I18)</f>
        <v>0.69031748893838307</v>
      </c>
      <c r="L18" s="10"/>
      <c r="M18" s="10">
        <v>21.663259625654401</v>
      </c>
      <c r="N18" s="10">
        <v>22.106519279654417</v>
      </c>
      <c r="O18" s="10">
        <f>AVERAGE(M18:N18)</f>
        <v>21.884889452654409</v>
      </c>
      <c r="P18" s="10">
        <f>STDEV(M18:N18)</f>
        <v>0.31343190716981423</v>
      </c>
      <c r="Q18" s="10"/>
      <c r="R18" s="10">
        <v>20.448056952654415</v>
      </c>
      <c r="S18" s="10">
        <v>21.785663680654412</v>
      </c>
      <c r="T18" s="10">
        <f>AVERAGE(R18:S18)</f>
        <v>21.116860316654414</v>
      </c>
      <c r="U18" s="10">
        <f>STDEV(R18:S18)</f>
        <v>0.94583078792954778</v>
      </c>
      <c r="V18" s="10"/>
      <c r="W18" s="10">
        <v>20.321271686954415</v>
      </c>
      <c r="X18" s="10">
        <v>21.492893526354418</v>
      </c>
      <c r="Y18" s="10">
        <f>AVERAGE(W18:X18)</f>
        <v>20.907082606654416</v>
      </c>
      <c r="Z18" s="10">
        <f>STDEV(W18:X18)</f>
        <v>0.82846174762599878</v>
      </c>
      <c r="AA18" s="10"/>
      <c r="AB18" s="10">
        <v>20.873799295654415</v>
      </c>
      <c r="AC18" s="10">
        <v>19.804184009654414</v>
      </c>
      <c r="AD18" s="10">
        <f>AVERAGE(AB18:AC18)</f>
        <v>20.338991652654414</v>
      </c>
    </row>
    <row r="19" spans="1:30" ht="15.5">
      <c r="A19" s="2"/>
      <c r="B19" s="2" t="s">
        <v>164</v>
      </c>
      <c r="C19" s="10">
        <v>24.334724983040001</v>
      </c>
      <c r="D19" s="10">
        <v>24.947764383871998</v>
      </c>
      <c r="E19" s="10">
        <f>AVERAGE(C19:D19)</f>
        <v>24.641244683456001</v>
      </c>
      <c r="F19" s="10">
        <f>STDEV(C19:D19)</f>
        <v>0.43348431746284349</v>
      </c>
      <c r="G19" s="10"/>
      <c r="H19" s="10">
        <v>22.801358453999999</v>
      </c>
      <c r="I19" s="10">
        <v>23.201576014467999</v>
      </c>
      <c r="J19" s="10">
        <f>AVERAGE(H19:I19)</f>
        <v>23.001467234233999</v>
      </c>
      <c r="K19" s="10">
        <f>STDEV(H19:I19)</f>
        <v>0.28299655095686027</v>
      </c>
      <c r="L19" s="10"/>
      <c r="M19" s="10">
        <v>21.404358544000001</v>
      </c>
      <c r="N19" s="10">
        <v>22.042595196000001</v>
      </c>
      <c r="O19" s="10">
        <f>AVERAGE(M19:N19)</f>
        <v>21.723476869999999</v>
      </c>
      <c r="P19" s="10">
        <f>STDEV(M19:N19)</f>
        <v>0.45130146463099852</v>
      </c>
      <c r="Q19" s="10"/>
      <c r="R19" s="10">
        <v>20.38902452</v>
      </c>
      <c r="S19" s="10">
        <v>21.214110769000001</v>
      </c>
      <c r="T19" s="10">
        <f>AVERAGE(R19:S19)</f>
        <v>20.8015676445</v>
      </c>
      <c r="U19" s="10">
        <f>STDEV(R19:S19)</f>
        <v>0.58342408173167348</v>
      </c>
      <c r="V19" s="10"/>
      <c r="W19" s="10">
        <v>20.170349627299998</v>
      </c>
      <c r="X19" s="10">
        <v>20.512726000699999</v>
      </c>
      <c r="Y19" s="10">
        <f>AVERAGE(W19:X19)</f>
        <v>20.341537813999999</v>
      </c>
      <c r="Z19" s="10">
        <f>STDEV(W19:X19)</f>
        <v>0.24209665534919783</v>
      </c>
      <c r="AA19" s="10"/>
      <c r="AB19" s="10">
        <v>18.599248253999999</v>
      </c>
      <c r="AC19" s="10">
        <v>19.031642345999995</v>
      </c>
      <c r="AD19" s="10">
        <f>AVERAGE(AB19:AC19)</f>
        <v>18.815445299999997</v>
      </c>
    </row>
    <row r="20" spans="1:30" ht="15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5.5">
      <c r="A21" s="69" t="s">
        <v>167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5.5">
      <c r="A22" s="70" t="s">
        <v>159</v>
      </c>
      <c r="B22" s="71"/>
      <c r="C22" s="2" t="s">
        <v>160</v>
      </c>
      <c r="D22" s="2" t="s">
        <v>161</v>
      </c>
      <c r="E22" s="2">
        <v>20</v>
      </c>
      <c r="F22" s="2" t="s">
        <v>162</v>
      </c>
      <c r="G22" s="2"/>
      <c r="H22" s="2" t="s">
        <v>160</v>
      </c>
      <c r="I22" s="2" t="s">
        <v>161</v>
      </c>
      <c r="J22" s="2">
        <v>40</v>
      </c>
      <c r="K22" s="2" t="s">
        <v>162</v>
      </c>
      <c r="L22" s="2"/>
      <c r="M22" s="2" t="s">
        <v>160</v>
      </c>
      <c r="N22" s="2" t="s">
        <v>161</v>
      </c>
      <c r="O22" s="2">
        <v>60</v>
      </c>
      <c r="P22" s="2" t="s">
        <v>162</v>
      </c>
      <c r="Q22" s="2"/>
      <c r="R22" s="2" t="s">
        <v>160</v>
      </c>
      <c r="S22" s="2" t="s">
        <v>161</v>
      </c>
      <c r="T22" s="2">
        <v>80</v>
      </c>
      <c r="U22" s="2" t="s">
        <v>162</v>
      </c>
      <c r="V22" s="2"/>
      <c r="W22" s="2" t="s">
        <v>160</v>
      </c>
      <c r="X22" s="2" t="s">
        <v>161</v>
      </c>
      <c r="Y22" s="2">
        <v>100</v>
      </c>
      <c r="Z22" s="2" t="s">
        <v>162</v>
      </c>
      <c r="AA22" s="2"/>
      <c r="AB22" s="2" t="s">
        <v>160</v>
      </c>
      <c r="AC22" s="2" t="s">
        <v>161</v>
      </c>
      <c r="AD22" s="2">
        <v>120</v>
      </c>
    </row>
    <row r="23" spans="1:30" ht="15.5">
      <c r="A23" s="2"/>
      <c r="B23" s="2" t="s">
        <v>163</v>
      </c>
      <c r="C23" s="77">
        <v>30.76</v>
      </c>
      <c r="D23" s="77">
        <v>31.138397338977999</v>
      </c>
      <c r="E23" s="10">
        <f>AVERAGE(C23:D23)</f>
        <v>30.949198669489</v>
      </c>
      <c r="F23" s="10">
        <f>STDEV(C23:D23)</f>
        <v>0.2675673243742866</v>
      </c>
      <c r="G23" s="77"/>
      <c r="H23" s="77">
        <v>31</v>
      </c>
      <c r="I23" s="77">
        <v>29.2206051321334</v>
      </c>
      <c r="J23" s="10">
        <f>AVERAGE(H23:I23)</f>
        <v>30.1103025660667</v>
      </c>
      <c r="K23" s="10">
        <f>STDEV(H23:I23)</f>
        <v>1.2582221774770135</v>
      </c>
      <c r="L23" s="77"/>
      <c r="M23" s="77">
        <v>30.01</v>
      </c>
      <c r="N23" s="77">
        <v>29.263422562141596</v>
      </c>
      <c r="O23" s="10">
        <f>AVERAGE(M23:N23)</f>
        <v>29.636711281070799</v>
      </c>
      <c r="P23" s="10">
        <f>STDEV(M23:N23)</f>
        <v>0.52790996899055698</v>
      </c>
      <c r="Q23" s="77"/>
      <c r="R23" s="77">
        <v>28.56</v>
      </c>
      <c r="S23" s="77">
        <v>28.3517945251774</v>
      </c>
      <c r="T23" s="10">
        <f>AVERAGE(R23:S23)</f>
        <v>28.455897262588699</v>
      </c>
      <c r="U23" s="10">
        <f>STDEV(R23:S23)</f>
        <v>0.14722350312722443</v>
      </c>
      <c r="V23" s="77"/>
      <c r="W23" s="77">
        <v>26.62</v>
      </c>
      <c r="X23" s="77">
        <v>26.2927105666156</v>
      </c>
      <c r="Y23" s="10">
        <f>AVERAGE(W23:X23)</f>
        <v>26.456355283307801</v>
      </c>
      <c r="Z23" s="10">
        <f>STDEV(W23:X23)</f>
        <v>0.23142857775681258</v>
      </c>
      <c r="AA23" s="77"/>
      <c r="AB23" s="77">
        <v>22.04</v>
      </c>
      <c r="AC23" s="77">
        <v>21.947639060568598</v>
      </c>
      <c r="AD23" s="10">
        <f>AVERAGE(AB23:AC23)</f>
        <v>21.993819530284298</v>
      </c>
    </row>
    <row r="24" spans="1:30" ht="15.5">
      <c r="A24" s="2"/>
      <c r="B24" s="2" t="s">
        <v>164</v>
      </c>
      <c r="C24" s="77">
        <v>32.19</v>
      </c>
      <c r="D24" s="77">
        <v>32.9726016260162</v>
      </c>
      <c r="E24" s="10">
        <f>AVERAGE(C24:D24)</f>
        <v>32.581300813008099</v>
      </c>
      <c r="F24" s="10">
        <f>STDEV(C24:D24)</f>
        <v>0.5533829167236749</v>
      </c>
      <c r="G24" s="77"/>
      <c r="H24" s="77">
        <v>30.98</v>
      </c>
      <c r="I24" s="77">
        <v>32.855499070055799</v>
      </c>
      <c r="J24" s="10">
        <f>AVERAGE(H24:I24)</f>
        <v>31.917749535027902</v>
      </c>
      <c r="K24" s="10">
        <f>STDEV(H24:I24)</f>
        <v>1.3261781105455193</v>
      </c>
      <c r="L24" s="77"/>
      <c r="M24" s="77">
        <v>31.63</v>
      </c>
      <c r="N24" s="77">
        <v>31.995194401244202</v>
      </c>
      <c r="O24" s="10">
        <f>AVERAGE(M24:N24)</f>
        <v>31.812597200622101</v>
      </c>
      <c r="P24" s="10">
        <f>STDEV(M24:N24)</f>
        <v>0.25823143757113687</v>
      </c>
      <c r="Q24" s="77"/>
      <c r="R24" s="77">
        <v>30.98</v>
      </c>
      <c r="S24" s="77">
        <v>30.103570210346799</v>
      </c>
      <c r="T24" s="10">
        <f>AVERAGE(R24:S24)</f>
        <v>30.5417851051734</v>
      </c>
      <c r="U24" s="10">
        <f>STDEV(R24:S24)</f>
        <v>0.61972944749767811</v>
      </c>
      <c r="V24" s="77"/>
      <c r="W24" s="77">
        <v>27.01</v>
      </c>
      <c r="X24" s="77">
        <v>25.586348884381398</v>
      </c>
      <c r="Y24" s="10">
        <f>AVERAGE(W24:X24)</f>
        <v>26.2981744421907</v>
      </c>
      <c r="Z24" s="10">
        <f>STDEV(W24:X24)</f>
        <v>1.0066733578977085</v>
      </c>
      <c r="AA24" s="77"/>
      <c r="AB24" s="77">
        <v>23.4</v>
      </c>
      <c r="AC24" s="77">
        <v>23.370942812983003</v>
      </c>
      <c r="AD24" s="10">
        <f>AVERAGE(AB24:AC24)</f>
        <v>23.385471406491501</v>
      </c>
    </row>
    <row r="25" spans="1:30" ht="15.5">
      <c r="A25" s="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ht="15.5">
      <c r="A26" s="70" t="s">
        <v>165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ht="15.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ht="15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15.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ht="15.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ht="15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15.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ht="15.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ht="15.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ht="1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ht="1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ht="15.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ht="15.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ht="15.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ht="15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ht="15.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15.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0F33-3515-4A6B-8262-182F780DD4F0}">
  <dimension ref="A2:AF37"/>
  <sheetViews>
    <sheetView workbookViewId="0">
      <selection activeCell="H26" sqref="H26"/>
    </sheetView>
  </sheetViews>
  <sheetFormatPr defaultRowHeight="14.5"/>
  <sheetData>
    <row r="2" spans="1:32" ht="15.5">
      <c r="A2" s="88" t="s">
        <v>158</v>
      </c>
      <c r="B2" s="2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2"/>
      <c r="Q2" s="2"/>
      <c r="R2" s="2"/>
      <c r="S2" s="2"/>
      <c r="T2" s="2"/>
      <c r="U2" s="2"/>
      <c r="V2" s="2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 ht="15.5">
      <c r="A3" s="75"/>
      <c r="B3" s="75"/>
      <c r="C3" s="164" t="s">
        <v>198</v>
      </c>
      <c r="D3" s="165"/>
      <c r="E3" s="165"/>
      <c r="F3" s="165"/>
      <c r="G3" s="165"/>
      <c r="H3" s="166" t="s">
        <v>199</v>
      </c>
      <c r="I3" s="165"/>
      <c r="J3" s="165"/>
      <c r="K3" s="165"/>
      <c r="L3" s="165"/>
      <c r="M3" s="166" t="s">
        <v>200</v>
      </c>
      <c r="N3" s="165"/>
      <c r="O3" s="165"/>
      <c r="P3" s="165"/>
      <c r="Q3" s="165"/>
      <c r="R3" s="166" t="s">
        <v>201</v>
      </c>
      <c r="S3" s="165"/>
      <c r="T3" s="165"/>
      <c r="U3" s="165"/>
      <c r="V3" s="165"/>
      <c r="W3" s="166" t="s">
        <v>202</v>
      </c>
      <c r="X3" s="165"/>
      <c r="Y3" s="165"/>
      <c r="Z3" s="165"/>
      <c r="AA3" s="165"/>
      <c r="AB3" s="164" t="s">
        <v>203</v>
      </c>
      <c r="AC3" s="165"/>
      <c r="AD3" s="165"/>
      <c r="AE3" s="165"/>
      <c r="AF3" s="165"/>
    </row>
    <row r="4" spans="1:32" ht="15.5">
      <c r="A4" s="2" t="s">
        <v>170</v>
      </c>
      <c r="B4" s="2" t="s">
        <v>171</v>
      </c>
      <c r="C4" s="2" t="s">
        <v>160</v>
      </c>
      <c r="D4" s="2" t="s">
        <v>161</v>
      </c>
      <c r="E4" s="10" t="s">
        <v>179</v>
      </c>
      <c r="F4" s="10" t="s">
        <v>180</v>
      </c>
      <c r="G4" s="89"/>
      <c r="H4" s="2" t="s">
        <v>160</v>
      </c>
      <c r="I4" s="2" t="s">
        <v>161</v>
      </c>
      <c r="J4" s="10" t="s">
        <v>179</v>
      </c>
      <c r="K4" s="10" t="s">
        <v>180</v>
      </c>
      <c r="L4" s="89"/>
      <c r="M4" s="2" t="s">
        <v>160</v>
      </c>
      <c r="N4" s="2" t="s">
        <v>161</v>
      </c>
      <c r="O4" s="10" t="s">
        <v>179</v>
      </c>
      <c r="P4" s="10" t="s">
        <v>180</v>
      </c>
      <c r="Q4" s="89"/>
      <c r="R4" s="2" t="s">
        <v>160</v>
      </c>
      <c r="S4" s="2" t="s">
        <v>161</v>
      </c>
      <c r="T4" s="10" t="s">
        <v>179</v>
      </c>
      <c r="U4" s="10" t="s">
        <v>180</v>
      </c>
      <c r="V4" s="89"/>
      <c r="W4" s="2" t="s">
        <v>160</v>
      </c>
      <c r="X4" s="2" t="s">
        <v>161</v>
      </c>
      <c r="Y4" s="10" t="s">
        <v>179</v>
      </c>
      <c r="Z4" s="10" t="s">
        <v>180</v>
      </c>
      <c r="AA4" s="89"/>
      <c r="AB4" s="2" t="s">
        <v>160</v>
      </c>
      <c r="AC4" s="2" t="s">
        <v>161</v>
      </c>
      <c r="AD4" s="10" t="s">
        <v>179</v>
      </c>
      <c r="AE4" s="10" t="s">
        <v>180</v>
      </c>
      <c r="AF4" s="89"/>
    </row>
    <row r="5" spans="1:32" ht="15.5">
      <c r="A5" s="167" t="s">
        <v>197</v>
      </c>
      <c r="B5" s="2">
        <v>0</v>
      </c>
      <c r="C5" s="75">
        <v>1.35</v>
      </c>
      <c r="D5" s="75">
        <f>E5*2-C5</f>
        <v>1.37</v>
      </c>
      <c r="E5" s="2">
        <v>1.36</v>
      </c>
      <c r="F5" s="75">
        <f>STDEV(C5:D5)</f>
        <v>1.4142135623730963E-2</v>
      </c>
      <c r="G5" s="35" t="s">
        <v>87</v>
      </c>
      <c r="H5" s="75">
        <v>1.1299999999999999</v>
      </c>
      <c r="I5" s="75">
        <f>J5*2-H5</f>
        <v>1.1499999999999999</v>
      </c>
      <c r="J5" s="2">
        <v>1.1399999999999999</v>
      </c>
      <c r="K5" s="75">
        <f>STDEV(H5:I5)</f>
        <v>1.4142135623730963E-2</v>
      </c>
      <c r="L5" s="35" t="s">
        <v>87</v>
      </c>
      <c r="M5" s="75">
        <v>3.42</v>
      </c>
      <c r="N5" s="75">
        <f>O5*2-M5</f>
        <v>3.4000000000000004</v>
      </c>
      <c r="O5" s="2">
        <v>3.41</v>
      </c>
      <c r="P5" s="75">
        <f>STDEV(M5:N5)</f>
        <v>1.4142135623730649E-2</v>
      </c>
      <c r="Q5" s="35" t="s">
        <v>100</v>
      </c>
      <c r="R5" s="75">
        <v>3.4</v>
      </c>
      <c r="S5" s="75">
        <f>T5*2-R5</f>
        <v>3.4200000000000004</v>
      </c>
      <c r="T5" s="2">
        <v>3.41</v>
      </c>
      <c r="U5" s="75">
        <f>STDEV(R5:S5)</f>
        <v>1.4142135623731277E-2</v>
      </c>
      <c r="V5" s="35" t="s">
        <v>100</v>
      </c>
      <c r="W5" s="75">
        <f>R5/M5</f>
        <v>0.99415204678362568</v>
      </c>
      <c r="X5" s="75">
        <f t="shared" ref="X5:Y12" si="0">S5/N5</f>
        <v>1.0058823529411764</v>
      </c>
      <c r="Y5" s="75">
        <f t="shared" si="0"/>
        <v>1</v>
      </c>
      <c r="Z5" s="75">
        <f>STDEV(W5:X5)</f>
        <v>8.2945790293984661E-3</v>
      </c>
      <c r="AA5" s="35" t="s">
        <v>87</v>
      </c>
      <c r="AB5" s="90">
        <v>10.76</v>
      </c>
      <c r="AC5" s="91">
        <f>AD5*2-AB5</f>
        <v>10.799999999999999</v>
      </c>
      <c r="AD5" s="92">
        <v>10.78</v>
      </c>
      <c r="AE5" s="75">
        <f>STDEV(AB5:AC5)</f>
        <v>2.8284271247461298E-2</v>
      </c>
      <c r="AF5" s="35" t="s">
        <v>92</v>
      </c>
    </row>
    <row r="6" spans="1:32" ht="15.5">
      <c r="A6" s="153"/>
      <c r="B6" s="2">
        <v>90</v>
      </c>
      <c r="C6" s="75">
        <v>1.54</v>
      </c>
      <c r="D6" s="75">
        <f t="shared" ref="D6:D12" si="1">E6*2-C6</f>
        <v>1.56</v>
      </c>
      <c r="E6" s="2">
        <v>1.55</v>
      </c>
      <c r="F6" s="75">
        <f t="shared" ref="F6:F12" si="2">STDEV(C6:D6)</f>
        <v>1.4142135623730963E-2</v>
      </c>
      <c r="G6" s="35" t="s">
        <v>88</v>
      </c>
      <c r="H6" s="75">
        <v>1.32</v>
      </c>
      <c r="I6" s="75">
        <f t="shared" ref="I6:I12" si="3">J6*2-H6</f>
        <v>1.36</v>
      </c>
      <c r="J6" s="2">
        <v>1.34</v>
      </c>
      <c r="K6" s="75">
        <f t="shared" ref="K6:K12" si="4">STDEV(H6:I6)</f>
        <v>2.8284271247461926E-2</v>
      </c>
      <c r="L6" s="35" t="s">
        <v>88</v>
      </c>
      <c r="M6" s="75">
        <v>3.6</v>
      </c>
      <c r="N6" s="75">
        <f t="shared" ref="N6:N12" si="5">O6*2-M6</f>
        <v>3.6199999999999997</v>
      </c>
      <c r="O6" s="2">
        <v>3.61</v>
      </c>
      <c r="P6" s="75">
        <f t="shared" ref="P6:P12" si="6">STDEV(M6:N6)</f>
        <v>1.4142135623730649E-2</v>
      </c>
      <c r="Q6" s="35" t="s">
        <v>87</v>
      </c>
      <c r="R6" s="75">
        <v>3.71</v>
      </c>
      <c r="S6" s="75">
        <f t="shared" ref="S6:S12" si="7">T6*2-R6</f>
        <v>3.7300000000000004</v>
      </c>
      <c r="T6" s="2">
        <v>3.72</v>
      </c>
      <c r="U6" s="75">
        <f t="shared" ref="U6:U12" si="8">STDEV(R6:S6)</f>
        <v>1.4142135623731277E-2</v>
      </c>
      <c r="V6" s="35" t="s">
        <v>87</v>
      </c>
      <c r="W6" s="75">
        <f t="shared" ref="W6:W12" si="9">R6/M6</f>
        <v>1.0305555555555554</v>
      </c>
      <c r="X6" s="75">
        <f t="shared" si="0"/>
        <v>1.0303867403314919</v>
      </c>
      <c r="Y6" s="75">
        <f t="shared" si="0"/>
        <v>1.030470914127424</v>
      </c>
      <c r="Z6" s="75">
        <f t="shared" ref="Z6:Z12" si="10">STDEV(W6:X6)</f>
        <v>1.1937038970285156E-4</v>
      </c>
      <c r="AA6" s="35" t="s">
        <v>88</v>
      </c>
      <c r="AB6" s="93">
        <v>11.67</v>
      </c>
      <c r="AC6" s="75">
        <f t="shared" ref="AC6:AC12" si="11">AD6*2-AB6</f>
        <v>11.69</v>
      </c>
      <c r="AD6" s="94">
        <v>11.68</v>
      </c>
      <c r="AE6" s="75">
        <f t="shared" ref="AE6:AE12" si="12">STDEV(AB6:AC6)</f>
        <v>1.4142135623730649E-2</v>
      </c>
      <c r="AF6" s="35" t="s">
        <v>100</v>
      </c>
    </row>
    <row r="7" spans="1:32" ht="15.5">
      <c r="A7" s="153"/>
      <c r="B7" s="2">
        <v>150</v>
      </c>
      <c r="C7" s="75">
        <v>1.85</v>
      </c>
      <c r="D7" s="75">
        <f t="shared" si="1"/>
        <v>1.87</v>
      </c>
      <c r="E7" s="2">
        <v>1.86</v>
      </c>
      <c r="F7" s="75">
        <f t="shared" si="2"/>
        <v>1.4142135623730963E-2</v>
      </c>
      <c r="G7" s="35" t="s">
        <v>96</v>
      </c>
      <c r="H7" s="75">
        <v>1.54</v>
      </c>
      <c r="I7" s="75">
        <f t="shared" si="3"/>
        <v>1.52</v>
      </c>
      <c r="J7" s="2">
        <v>1.53</v>
      </c>
      <c r="K7" s="75">
        <f t="shared" si="4"/>
        <v>1.4142135623730963E-2</v>
      </c>
      <c r="L7" s="35" t="s">
        <v>96</v>
      </c>
      <c r="M7" s="75">
        <v>4.07</v>
      </c>
      <c r="N7" s="75">
        <f t="shared" si="5"/>
        <v>4.09</v>
      </c>
      <c r="O7" s="2">
        <v>4.08</v>
      </c>
      <c r="P7" s="75">
        <f t="shared" si="6"/>
        <v>1.4142135623730649E-2</v>
      </c>
      <c r="Q7" s="35" t="s">
        <v>96</v>
      </c>
      <c r="R7" s="75">
        <v>4.3099999999999996</v>
      </c>
      <c r="S7" s="75">
        <f t="shared" si="7"/>
        <v>4.330000000000001</v>
      </c>
      <c r="T7" s="2">
        <v>4.32</v>
      </c>
      <c r="U7" s="75">
        <f t="shared" si="8"/>
        <v>1.4142135623731905E-2</v>
      </c>
      <c r="V7" s="35" t="s">
        <v>96</v>
      </c>
      <c r="W7" s="75">
        <f t="shared" si="9"/>
        <v>1.0589680589680588</v>
      </c>
      <c r="X7" s="75">
        <f t="shared" si="0"/>
        <v>1.0586797066014673</v>
      </c>
      <c r="Y7" s="75">
        <f t="shared" si="0"/>
        <v>1.0588235294117647</v>
      </c>
      <c r="Z7" s="75">
        <f t="shared" si="10"/>
        <v>2.0389591378805775E-4</v>
      </c>
      <c r="AA7" s="35" t="s">
        <v>103</v>
      </c>
      <c r="AB7" s="93">
        <v>13.6</v>
      </c>
      <c r="AC7" s="75">
        <f t="shared" si="11"/>
        <v>13.62</v>
      </c>
      <c r="AD7" s="94">
        <v>13.61</v>
      </c>
      <c r="AE7" s="75">
        <f t="shared" si="12"/>
        <v>1.4142135623730649E-2</v>
      </c>
      <c r="AF7" s="35" t="s">
        <v>96</v>
      </c>
    </row>
    <row r="8" spans="1:32" ht="15.5">
      <c r="A8" s="153"/>
      <c r="B8" s="2">
        <v>210</v>
      </c>
      <c r="C8" s="75">
        <v>1.72</v>
      </c>
      <c r="D8" s="75">
        <f t="shared" si="1"/>
        <v>1.74</v>
      </c>
      <c r="E8" s="2">
        <v>1.73</v>
      </c>
      <c r="F8" s="75">
        <f t="shared" si="2"/>
        <v>1.4142135623730963E-2</v>
      </c>
      <c r="G8" s="35" t="s">
        <v>103</v>
      </c>
      <c r="H8" s="75">
        <v>1.42</v>
      </c>
      <c r="I8" s="75">
        <f t="shared" si="3"/>
        <v>1.44</v>
      </c>
      <c r="J8" s="2">
        <v>1.43</v>
      </c>
      <c r="K8" s="75">
        <f t="shared" si="4"/>
        <v>1.4142135623730963E-2</v>
      </c>
      <c r="L8" s="35" t="s">
        <v>103</v>
      </c>
      <c r="M8" s="75">
        <v>3.91</v>
      </c>
      <c r="N8" s="75">
        <f t="shared" si="5"/>
        <v>3.9299999999999997</v>
      </c>
      <c r="O8" s="2">
        <v>3.92</v>
      </c>
      <c r="P8" s="75">
        <f t="shared" si="6"/>
        <v>1.4142135623730649E-2</v>
      </c>
      <c r="Q8" s="35" t="s">
        <v>103</v>
      </c>
      <c r="R8" s="75">
        <v>4.1500000000000004</v>
      </c>
      <c r="S8" s="75">
        <f t="shared" si="7"/>
        <v>4.1899999999999995</v>
      </c>
      <c r="T8" s="2">
        <v>4.17</v>
      </c>
      <c r="U8" s="75">
        <f t="shared" si="8"/>
        <v>2.8284271247461298E-2</v>
      </c>
      <c r="V8" s="35" t="s">
        <v>103</v>
      </c>
      <c r="W8" s="75">
        <f t="shared" si="9"/>
        <v>1.0613810741687979</v>
      </c>
      <c r="X8" s="75">
        <f t="shared" si="0"/>
        <v>1.0661577608142494</v>
      </c>
      <c r="Y8" s="75">
        <f t="shared" si="0"/>
        <v>1.0637755102040816</v>
      </c>
      <c r="Z8" s="75">
        <f t="shared" si="10"/>
        <v>3.3776275186019776E-3</v>
      </c>
      <c r="AA8" s="35" t="s">
        <v>103</v>
      </c>
      <c r="AB8" s="95">
        <v>12.26</v>
      </c>
      <c r="AC8" s="96">
        <f t="shared" si="11"/>
        <v>12.299999999999999</v>
      </c>
      <c r="AD8" s="97">
        <v>12.28</v>
      </c>
      <c r="AE8" s="75">
        <f t="shared" si="12"/>
        <v>2.8284271247461298E-2</v>
      </c>
      <c r="AF8" s="35" t="s">
        <v>87</v>
      </c>
    </row>
    <row r="9" spans="1:32" ht="15.5">
      <c r="A9" s="167" t="s">
        <v>196</v>
      </c>
      <c r="B9" s="2">
        <v>0</v>
      </c>
      <c r="C9" s="76">
        <v>1.58</v>
      </c>
      <c r="D9" s="75">
        <f t="shared" si="1"/>
        <v>1.6</v>
      </c>
      <c r="E9" s="2">
        <v>1.59</v>
      </c>
      <c r="F9" s="75">
        <f t="shared" si="2"/>
        <v>1.4142135623730963E-2</v>
      </c>
      <c r="G9" s="35" t="s">
        <v>100</v>
      </c>
      <c r="H9" s="76">
        <v>1.18</v>
      </c>
      <c r="I9" s="75">
        <f t="shared" si="3"/>
        <v>1.2</v>
      </c>
      <c r="J9" s="2">
        <v>1.19</v>
      </c>
      <c r="K9" s="75">
        <f t="shared" si="4"/>
        <v>1.4142135623730963E-2</v>
      </c>
      <c r="L9" s="35" t="s">
        <v>87</v>
      </c>
      <c r="M9" s="76">
        <v>3.46</v>
      </c>
      <c r="N9" s="75">
        <f t="shared" si="5"/>
        <v>3.4800000000000004</v>
      </c>
      <c r="O9" s="2">
        <v>3.47</v>
      </c>
      <c r="P9" s="75">
        <f t="shared" si="6"/>
        <v>1.4142135623731277E-2</v>
      </c>
      <c r="Q9" s="35" t="s">
        <v>100</v>
      </c>
      <c r="R9" s="76">
        <v>3.54</v>
      </c>
      <c r="S9" s="75">
        <f t="shared" si="7"/>
        <v>3.5599999999999996</v>
      </c>
      <c r="T9" s="2">
        <v>3.55</v>
      </c>
      <c r="U9" s="75">
        <f t="shared" si="8"/>
        <v>1.4142135623730649E-2</v>
      </c>
      <c r="V9" s="35" t="s">
        <v>92</v>
      </c>
      <c r="W9" s="75">
        <f t="shared" si="9"/>
        <v>1.023121387283237</v>
      </c>
      <c r="X9" s="75">
        <f t="shared" si="0"/>
        <v>1.0229885057471262</v>
      </c>
      <c r="Y9" s="75">
        <f t="shared" si="0"/>
        <v>1.0230547550432276</v>
      </c>
      <c r="Z9" s="75">
        <f t="shared" si="10"/>
        <v>9.3961435278428946E-5</v>
      </c>
      <c r="AA9" s="35" t="s">
        <v>88</v>
      </c>
      <c r="AB9" s="98">
        <v>11.35</v>
      </c>
      <c r="AC9" s="91">
        <f t="shared" si="11"/>
        <v>11.37</v>
      </c>
      <c r="AD9" s="92">
        <v>11.36</v>
      </c>
      <c r="AE9" s="75">
        <f t="shared" si="12"/>
        <v>1.4142135623730649E-2</v>
      </c>
      <c r="AF9" s="35" t="s">
        <v>92</v>
      </c>
    </row>
    <row r="10" spans="1:32" ht="15.5">
      <c r="A10" s="153"/>
      <c r="B10" s="2">
        <v>90</v>
      </c>
      <c r="C10" s="76">
        <v>1.6</v>
      </c>
      <c r="D10" s="75">
        <f t="shared" si="1"/>
        <v>1.62</v>
      </c>
      <c r="E10" s="2">
        <v>1.61</v>
      </c>
      <c r="F10" s="75">
        <f t="shared" si="2"/>
        <v>1.4142135623730963E-2</v>
      </c>
      <c r="G10" s="35" t="s">
        <v>100</v>
      </c>
      <c r="H10" s="76">
        <v>1.27</v>
      </c>
      <c r="I10" s="75">
        <f t="shared" si="3"/>
        <v>1.31</v>
      </c>
      <c r="J10" s="2">
        <v>1.29</v>
      </c>
      <c r="K10" s="75">
        <f t="shared" si="4"/>
        <v>2.8284271247461926E-2</v>
      </c>
      <c r="L10" s="35" t="s">
        <v>88</v>
      </c>
      <c r="M10" s="76">
        <v>3.67</v>
      </c>
      <c r="N10" s="75">
        <f t="shared" si="5"/>
        <v>3.6500000000000004</v>
      </c>
      <c r="O10" s="2">
        <v>3.66</v>
      </c>
      <c r="P10" s="75">
        <f t="shared" si="6"/>
        <v>1.4142135623730649E-2</v>
      </c>
      <c r="Q10" s="35" t="s">
        <v>87</v>
      </c>
      <c r="R10" s="76">
        <v>3.81</v>
      </c>
      <c r="S10" s="75">
        <f t="shared" si="7"/>
        <v>3.7899999999999996</v>
      </c>
      <c r="T10" s="2">
        <v>3.8</v>
      </c>
      <c r="U10" s="75">
        <f t="shared" si="8"/>
        <v>1.4142135623731277E-2</v>
      </c>
      <c r="V10" s="35" t="s">
        <v>100</v>
      </c>
      <c r="W10" s="75">
        <f t="shared" si="9"/>
        <v>1.0381471389645778</v>
      </c>
      <c r="X10" s="75">
        <f t="shared" si="0"/>
        <v>1.0383561643835615</v>
      </c>
      <c r="Y10" s="75">
        <f t="shared" si="0"/>
        <v>1.0382513661202184</v>
      </c>
      <c r="Z10" s="75">
        <f t="shared" si="10"/>
        <v>1.4780329120374092E-4</v>
      </c>
      <c r="AA10" s="35" t="s">
        <v>103</v>
      </c>
      <c r="AB10" s="99">
        <v>11.96</v>
      </c>
      <c r="AC10" s="75">
        <f t="shared" si="11"/>
        <v>11.98</v>
      </c>
      <c r="AD10" s="94">
        <v>11.97</v>
      </c>
      <c r="AE10" s="75">
        <f t="shared" si="12"/>
        <v>1.4142135623730649E-2</v>
      </c>
      <c r="AF10" s="35" t="s">
        <v>100</v>
      </c>
    </row>
    <row r="11" spans="1:32" ht="15.5">
      <c r="A11" s="153"/>
      <c r="B11" s="2">
        <v>150</v>
      </c>
      <c r="C11" s="76">
        <v>2.0499999999999998</v>
      </c>
      <c r="D11" s="75">
        <f t="shared" si="1"/>
        <v>2.0700000000000003</v>
      </c>
      <c r="E11" s="2">
        <v>2.06</v>
      </c>
      <c r="F11" s="75">
        <f t="shared" si="2"/>
        <v>1.4142135623731277E-2</v>
      </c>
      <c r="G11" s="35" t="s">
        <v>96</v>
      </c>
      <c r="H11" s="76">
        <v>1.48</v>
      </c>
      <c r="I11" s="75">
        <f t="shared" si="3"/>
        <v>1.5</v>
      </c>
      <c r="J11" s="2">
        <v>1.49</v>
      </c>
      <c r="K11" s="75">
        <f t="shared" si="4"/>
        <v>1.4142135623730963E-2</v>
      </c>
      <c r="L11" s="35" t="s">
        <v>96</v>
      </c>
      <c r="M11" s="76">
        <v>4.13</v>
      </c>
      <c r="N11" s="75">
        <f t="shared" si="5"/>
        <v>4.1700000000000008</v>
      </c>
      <c r="O11" s="2">
        <v>4.1500000000000004</v>
      </c>
      <c r="P11" s="75">
        <f t="shared" si="6"/>
        <v>2.8284271247462554E-2</v>
      </c>
      <c r="Q11" s="35" t="s">
        <v>96</v>
      </c>
      <c r="R11" s="76">
        <v>4.42</v>
      </c>
      <c r="S11" s="75">
        <f t="shared" si="7"/>
        <v>4.4399999999999995</v>
      </c>
      <c r="T11" s="2">
        <v>4.43</v>
      </c>
      <c r="U11" s="75">
        <f t="shared" si="8"/>
        <v>1.4142135623730649E-2</v>
      </c>
      <c r="V11" s="35" t="s">
        <v>96</v>
      </c>
      <c r="W11" s="75">
        <f t="shared" si="9"/>
        <v>1.0702179176755449</v>
      </c>
      <c r="X11" s="75">
        <f t="shared" si="0"/>
        <v>1.0647482014388485</v>
      </c>
      <c r="Y11" s="75">
        <f t="shared" si="0"/>
        <v>1.0674698795180722</v>
      </c>
      <c r="Z11" s="75">
        <f t="shared" si="10"/>
        <v>3.8676734421341469E-3</v>
      </c>
      <c r="AA11" s="35" t="s">
        <v>96</v>
      </c>
      <c r="AB11" s="99">
        <v>13.94</v>
      </c>
      <c r="AC11" s="75">
        <f t="shared" si="11"/>
        <v>13.980000000000002</v>
      </c>
      <c r="AD11" s="94">
        <v>13.96</v>
      </c>
      <c r="AE11" s="75">
        <f t="shared" si="12"/>
        <v>2.828427124746381E-2</v>
      </c>
      <c r="AF11" s="35" t="s">
        <v>96</v>
      </c>
    </row>
    <row r="12" spans="1:32" ht="15.5">
      <c r="A12" s="153"/>
      <c r="B12" s="2">
        <v>210</v>
      </c>
      <c r="C12" s="76">
        <v>1.85</v>
      </c>
      <c r="D12" s="75">
        <f t="shared" si="1"/>
        <v>1.8900000000000001</v>
      </c>
      <c r="E12" s="2">
        <v>1.87</v>
      </c>
      <c r="F12" s="75">
        <f t="shared" si="2"/>
        <v>2.8284271247461926E-2</v>
      </c>
      <c r="G12" s="35" t="s">
        <v>88</v>
      </c>
      <c r="H12" s="76">
        <v>1.33</v>
      </c>
      <c r="I12" s="75">
        <f t="shared" si="3"/>
        <v>1.35</v>
      </c>
      <c r="J12" s="2">
        <v>1.34</v>
      </c>
      <c r="K12" s="75">
        <f t="shared" si="4"/>
        <v>1.4142135623730963E-2</v>
      </c>
      <c r="L12" s="35" t="s">
        <v>103</v>
      </c>
      <c r="M12" s="76">
        <v>4.03</v>
      </c>
      <c r="N12" s="75">
        <f t="shared" si="5"/>
        <v>4.089999999999999</v>
      </c>
      <c r="O12" s="2">
        <v>4.0599999999999996</v>
      </c>
      <c r="P12" s="75">
        <f t="shared" si="6"/>
        <v>4.2426406871191945E-2</v>
      </c>
      <c r="Q12" s="35" t="s">
        <v>103</v>
      </c>
      <c r="R12" s="76">
        <v>4.28</v>
      </c>
      <c r="S12" s="75">
        <f t="shared" si="7"/>
        <v>4.3</v>
      </c>
      <c r="T12" s="2">
        <v>4.29</v>
      </c>
      <c r="U12" s="75">
        <f t="shared" si="8"/>
        <v>1.4142135623730649E-2</v>
      </c>
      <c r="V12" s="35" t="s">
        <v>88</v>
      </c>
      <c r="W12" s="75">
        <f t="shared" si="9"/>
        <v>1.0620347394540943</v>
      </c>
      <c r="X12" s="75">
        <f t="shared" si="0"/>
        <v>1.0513447432762839</v>
      </c>
      <c r="Y12" s="75">
        <f t="shared" si="0"/>
        <v>1.0566502463054188</v>
      </c>
      <c r="Z12" s="75">
        <f t="shared" si="10"/>
        <v>7.5589687881880167E-3</v>
      </c>
      <c r="AA12" s="35" t="s">
        <v>105</v>
      </c>
      <c r="AB12" s="100">
        <v>12.97</v>
      </c>
      <c r="AC12" s="96">
        <f t="shared" si="11"/>
        <v>12.99</v>
      </c>
      <c r="AD12" s="97">
        <v>12.98</v>
      </c>
      <c r="AE12" s="75">
        <f t="shared" si="12"/>
        <v>1.4142135623730649E-2</v>
      </c>
      <c r="AF12" s="35" t="s">
        <v>88</v>
      </c>
    </row>
    <row r="13" spans="1:32" ht="15.5">
      <c r="A13" s="88" t="s">
        <v>166</v>
      </c>
      <c r="B13" s="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1:32" ht="15.5">
      <c r="A14" s="75"/>
      <c r="B14" s="75"/>
      <c r="C14" s="164" t="s">
        <v>198</v>
      </c>
      <c r="D14" s="165"/>
      <c r="E14" s="165"/>
      <c r="F14" s="165"/>
      <c r="G14" s="165"/>
      <c r="H14" s="166" t="s">
        <v>199</v>
      </c>
      <c r="I14" s="165"/>
      <c r="J14" s="165"/>
      <c r="K14" s="165"/>
      <c r="L14" s="165"/>
      <c r="M14" s="166" t="s">
        <v>200</v>
      </c>
      <c r="N14" s="165"/>
      <c r="O14" s="165"/>
      <c r="P14" s="165"/>
      <c r="Q14" s="165"/>
      <c r="R14" s="166" t="s">
        <v>201</v>
      </c>
      <c r="S14" s="165"/>
      <c r="T14" s="165"/>
      <c r="U14" s="165"/>
      <c r="V14" s="165"/>
      <c r="W14" s="166" t="s">
        <v>202</v>
      </c>
      <c r="X14" s="165"/>
      <c r="Y14" s="165"/>
      <c r="Z14" s="165"/>
      <c r="AA14" s="165"/>
      <c r="AB14" s="164" t="s">
        <v>203</v>
      </c>
      <c r="AC14" s="165"/>
      <c r="AD14" s="165"/>
      <c r="AE14" s="165"/>
      <c r="AF14" s="165"/>
    </row>
    <row r="15" spans="1:32" ht="15.5">
      <c r="A15" s="2" t="s">
        <v>170</v>
      </c>
      <c r="B15" s="2" t="s">
        <v>171</v>
      </c>
      <c r="C15" s="2" t="s">
        <v>160</v>
      </c>
      <c r="D15" s="2" t="s">
        <v>161</v>
      </c>
      <c r="E15" s="10" t="s">
        <v>179</v>
      </c>
      <c r="F15" s="10" t="s">
        <v>180</v>
      </c>
      <c r="G15" s="89"/>
      <c r="H15" s="2" t="s">
        <v>160</v>
      </c>
      <c r="I15" s="2" t="s">
        <v>161</v>
      </c>
      <c r="J15" s="10" t="s">
        <v>179</v>
      </c>
      <c r="K15" s="10" t="s">
        <v>180</v>
      </c>
      <c r="L15" s="89"/>
      <c r="M15" s="2" t="s">
        <v>160</v>
      </c>
      <c r="N15" s="2" t="s">
        <v>161</v>
      </c>
      <c r="O15" s="10" t="s">
        <v>179</v>
      </c>
      <c r="P15" s="10" t="s">
        <v>180</v>
      </c>
      <c r="Q15" s="89"/>
      <c r="R15" s="2" t="s">
        <v>160</v>
      </c>
      <c r="S15" s="2" t="s">
        <v>161</v>
      </c>
      <c r="T15" s="10" t="s">
        <v>179</v>
      </c>
      <c r="U15" s="10" t="s">
        <v>180</v>
      </c>
      <c r="V15" s="89"/>
      <c r="W15" s="2" t="s">
        <v>160</v>
      </c>
      <c r="X15" s="2" t="s">
        <v>161</v>
      </c>
      <c r="Y15" s="10" t="s">
        <v>179</v>
      </c>
      <c r="Z15" s="10" t="s">
        <v>180</v>
      </c>
      <c r="AA15" s="89"/>
      <c r="AB15" s="2" t="s">
        <v>160</v>
      </c>
      <c r="AC15" s="2" t="s">
        <v>161</v>
      </c>
      <c r="AD15" s="10" t="s">
        <v>179</v>
      </c>
      <c r="AE15" s="10" t="s">
        <v>180</v>
      </c>
      <c r="AF15" s="89"/>
    </row>
    <row r="16" spans="1:32" ht="15.5">
      <c r="A16" s="167" t="s">
        <v>197</v>
      </c>
      <c r="B16" s="2">
        <v>0</v>
      </c>
      <c r="C16" s="75">
        <v>1.64</v>
      </c>
      <c r="D16" s="75">
        <f>E16*2-C16</f>
        <v>1.6801841740000005</v>
      </c>
      <c r="E16" s="76">
        <v>1.6600920870000002</v>
      </c>
      <c r="F16" s="75">
        <f>STDEV(C16:D16)</f>
        <v>2.8414501931780595E-2</v>
      </c>
      <c r="G16" s="35" t="s">
        <v>87</v>
      </c>
      <c r="H16" s="75">
        <v>1.37</v>
      </c>
      <c r="I16" s="75">
        <f>J16*2-H16</f>
        <v>1.41879836772</v>
      </c>
      <c r="J16" s="76">
        <v>1.3943991838600001</v>
      </c>
      <c r="K16" s="75">
        <f>STDEV(H16:I16)</f>
        <v>3.4505656725646656E-2</v>
      </c>
      <c r="L16" s="35" t="s">
        <v>87</v>
      </c>
      <c r="M16" s="75">
        <v>3.7</v>
      </c>
      <c r="N16" s="75">
        <f>O16*2-M16</f>
        <v>3.7154012463599999</v>
      </c>
      <c r="O16" s="76">
        <v>3.70770062318</v>
      </c>
      <c r="P16" s="75">
        <f>STDEV(M16:N16)</f>
        <v>1.0890325739880441E-2</v>
      </c>
      <c r="Q16" s="35" t="s">
        <v>100</v>
      </c>
      <c r="R16" s="75">
        <v>3.71</v>
      </c>
      <c r="S16" s="75">
        <f>T16*2-R16</f>
        <v>3.69104596768</v>
      </c>
      <c r="T16" s="76">
        <v>3.70052298384</v>
      </c>
      <c r="U16" s="75">
        <f>STDEV(R16:S16)</f>
        <v>1.3402524784300936E-2</v>
      </c>
      <c r="V16" s="35" t="s">
        <v>100</v>
      </c>
      <c r="W16" s="75">
        <f>R16/M16</f>
        <v>1.0027027027027027</v>
      </c>
      <c r="X16" s="75">
        <f>S16/N16</f>
        <v>0.99344477835230827</v>
      </c>
      <c r="Y16" s="75">
        <f>T16/O16</f>
        <v>0.99806412651142151</v>
      </c>
      <c r="Z16" s="75">
        <f>STDEV(W16:X16)</f>
        <v>6.5463410878759494E-3</v>
      </c>
      <c r="AA16" s="35" t="s">
        <v>88</v>
      </c>
      <c r="AB16" s="75">
        <v>11.9</v>
      </c>
      <c r="AC16" s="75">
        <f>AD16*2-AB16</f>
        <v>11.953808791199998</v>
      </c>
      <c r="AD16" s="10">
        <v>11.926904395599999</v>
      </c>
      <c r="AE16" s="75">
        <f>STDEV(AB16:AC16)</f>
        <v>3.8048561144969635E-2</v>
      </c>
      <c r="AF16" s="35" t="s">
        <v>92</v>
      </c>
    </row>
    <row r="17" spans="1:32" ht="15.5">
      <c r="A17" s="153"/>
      <c r="B17" s="2">
        <v>90</v>
      </c>
      <c r="C17" s="75">
        <v>1.87</v>
      </c>
      <c r="D17" s="75">
        <f t="shared" ref="D17:D23" si="13">E17*2-C17</f>
        <v>1.8347932316</v>
      </c>
      <c r="E17" s="76">
        <v>1.8523966158</v>
      </c>
      <c r="F17" s="75">
        <f t="shared" ref="F17:F23" si="14">STDEV(C17:D17)</f>
        <v>2.4894944679304358E-2</v>
      </c>
      <c r="G17" s="35" t="s">
        <v>88</v>
      </c>
      <c r="H17" s="75">
        <v>1.61</v>
      </c>
      <c r="I17" s="75">
        <f t="shared" ref="I17:I23" si="15">J17*2-H17</f>
        <v>1.5691085119999999</v>
      </c>
      <c r="J17" s="76">
        <v>1.589554256</v>
      </c>
      <c r="K17" s="75">
        <f t="shared" ref="K17:K23" si="16">STDEV(H17:I17)</f>
        <v>2.8914648457608473E-2</v>
      </c>
      <c r="L17" s="35" t="s">
        <v>94</v>
      </c>
      <c r="M17" s="75">
        <v>3.9</v>
      </c>
      <c r="N17" s="75">
        <f t="shared" ref="N17:N23" si="17">O17*2-M17</f>
        <v>3.9170464602400004</v>
      </c>
      <c r="O17" s="76">
        <v>3.9085232301200001</v>
      </c>
      <c r="P17" s="75">
        <f t="shared" ref="P17:P23" si="18">STDEV(M17:N17)</f>
        <v>1.2053667630931181E-2</v>
      </c>
      <c r="Q17" s="35" t="s">
        <v>87</v>
      </c>
      <c r="R17" s="75">
        <v>4.0199999999999996</v>
      </c>
      <c r="S17" s="75">
        <f t="shared" ref="S17:S23" si="19">T17*2-R17</f>
        <v>3.9788242208000009</v>
      </c>
      <c r="T17" s="76">
        <v>3.9994121104000002</v>
      </c>
      <c r="U17" s="75">
        <f t="shared" ref="U17:U23" si="20">STDEV(R17:S17)</f>
        <v>2.9115672692959081E-2</v>
      </c>
      <c r="V17" s="35" t="s">
        <v>87</v>
      </c>
      <c r="W17" s="75">
        <f t="shared" ref="W17:Y23" si="21">R17/M17</f>
        <v>1.0307692307692307</v>
      </c>
      <c r="X17" s="75">
        <f t="shared" si="21"/>
        <v>1.0157715159079872</v>
      </c>
      <c r="Y17" s="75">
        <f t="shared" si="21"/>
        <v>1.0232540207461449</v>
      </c>
      <c r="Z17" s="75">
        <f t="shared" ref="Z17:Z23" si="22">STDEV(W17:X17)</f>
        <v>1.0604985880687512E-2</v>
      </c>
      <c r="AA17" s="35" t="s">
        <v>103</v>
      </c>
      <c r="AB17" s="75">
        <v>12.41</v>
      </c>
      <c r="AC17" s="75">
        <f t="shared" ref="AC17:AC23" si="23">AD17*2-AB17</f>
        <v>12.47506752</v>
      </c>
      <c r="AD17" s="10">
        <v>12.44253376</v>
      </c>
      <c r="AE17" s="75">
        <f t="shared" ref="AE17:AE23" si="24">STDEV(AB17:AC17)</f>
        <v>4.6009684626990947E-2</v>
      </c>
      <c r="AF17" s="35" t="s">
        <v>100</v>
      </c>
    </row>
    <row r="18" spans="1:32" ht="15.5">
      <c r="A18" s="153"/>
      <c r="B18" s="2">
        <v>150</v>
      </c>
      <c r="C18" s="75">
        <v>2.17</v>
      </c>
      <c r="D18" s="75">
        <f t="shared" si="13"/>
        <v>2.15447291</v>
      </c>
      <c r="E18" s="76">
        <v>2.1622364549999999</v>
      </c>
      <c r="F18" s="75">
        <f t="shared" si="14"/>
        <v>1.0979310631093806E-2</v>
      </c>
      <c r="G18" s="35" t="s">
        <v>96</v>
      </c>
      <c r="H18" s="75">
        <v>1.68</v>
      </c>
      <c r="I18" s="75">
        <f t="shared" si="15"/>
        <v>1.7010540327999999</v>
      </c>
      <c r="J18" s="76">
        <v>1.6905270163999999</v>
      </c>
      <c r="K18" s="75">
        <f t="shared" si="16"/>
        <v>1.4887449364203963E-2</v>
      </c>
      <c r="L18" s="35" t="s">
        <v>96</v>
      </c>
      <c r="M18" s="75">
        <v>4.26</v>
      </c>
      <c r="N18" s="75">
        <f t="shared" si="17"/>
        <v>4.3073098017600007</v>
      </c>
      <c r="O18" s="76">
        <v>4.2836549008800002</v>
      </c>
      <c r="P18" s="75">
        <f t="shared" si="18"/>
        <v>3.3453081641087887E-2</v>
      </c>
      <c r="Q18" s="35" t="s">
        <v>96</v>
      </c>
      <c r="R18" s="75">
        <v>4.51</v>
      </c>
      <c r="S18" s="75">
        <f t="shared" si="19"/>
        <v>4.536221728000001</v>
      </c>
      <c r="T18" s="76">
        <v>4.5231108640000004</v>
      </c>
      <c r="U18" s="75">
        <f t="shared" si="20"/>
        <v>1.854156168323003E-2</v>
      </c>
      <c r="V18" s="35" t="s">
        <v>96</v>
      </c>
      <c r="W18" s="75">
        <f t="shared" si="21"/>
        <v>1.0586854460093897</v>
      </c>
      <c r="X18" s="75">
        <f t="shared" si="21"/>
        <v>1.0531449876548153</v>
      </c>
      <c r="Y18" s="75">
        <f t="shared" si="21"/>
        <v>1.0558999192653937</v>
      </c>
      <c r="Z18" s="75">
        <f t="shared" si="22"/>
        <v>3.9176956734012164E-3</v>
      </c>
      <c r="AA18" s="35" t="s">
        <v>96</v>
      </c>
      <c r="AB18" s="75">
        <v>13.65</v>
      </c>
      <c r="AC18" s="75">
        <f t="shared" si="23"/>
        <v>13.691019727999999</v>
      </c>
      <c r="AD18" s="10">
        <v>13.670509864</v>
      </c>
      <c r="AE18" s="75">
        <f t="shared" si="24"/>
        <v>2.9005327831226582E-2</v>
      </c>
      <c r="AF18" s="35" t="s">
        <v>96</v>
      </c>
    </row>
    <row r="19" spans="1:32" ht="15.5">
      <c r="A19" s="153"/>
      <c r="B19" s="2">
        <v>210</v>
      </c>
      <c r="C19" s="75">
        <v>2.0499999999999998</v>
      </c>
      <c r="D19" s="75">
        <f t="shared" si="13"/>
        <v>2.0032946244000005</v>
      </c>
      <c r="E19" s="76">
        <v>2.0266473122000002</v>
      </c>
      <c r="F19" s="75">
        <f t="shared" si="14"/>
        <v>3.3025687804624233E-2</v>
      </c>
      <c r="G19" s="35" t="s">
        <v>103</v>
      </c>
      <c r="H19" s="75">
        <v>1.53</v>
      </c>
      <c r="I19" s="75">
        <f t="shared" si="15"/>
        <v>1.54932403</v>
      </c>
      <c r="J19" s="76">
        <v>1.539662015</v>
      </c>
      <c r="K19" s="75">
        <f t="shared" si="16"/>
        <v>1.3664152652852236E-2</v>
      </c>
      <c r="L19" s="35" t="s">
        <v>88</v>
      </c>
      <c r="M19" s="75">
        <v>4.12</v>
      </c>
      <c r="N19" s="75">
        <f t="shared" si="17"/>
        <v>4.1321080088000004</v>
      </c>
      <c r="O19" s="76">
        <v>4.1260540044000003</v>
      </c>
      <c r="P19" s="75">
        <f t="shared" si="18"/>
        <v>8.5616551291465975E-3</v>
      </c>
      <c r="Q19" s="35" t="s">
        <v>103</v>
      </c>
      <c r="R19" s="75">
        <v>4.37</v>
      </c>
      <c r="S19" s="75">
        <f t="shared" si="19"/>
        <v>4.3818539519999993</v>
      </c>
      <c r="T19" s="76">
        <v>4.3759269759999997</v>
      </c>
      <c r="U19" s="75">
        <f t="shared" si="20"/>
        <v>8.3820098430592502E-3</v>
      </c>
      <c r="V19" s="35" t="s">
        <v>103</v>
      </c>
      <c r="W19" s="75">
        <f t="shared" si="21"/>
        <v>1.0606796116504855</v>
      </c>
      <c r="X19" s="75">
        <f t="shared" si="21"/>
        <v>1.0604403231154955</v>
      </c>
      <c r="Y19" s="75">
        <f t="shared" si="21"/>
        <v>1.0605597918334408</v>
      </c>
      <c r="Z19" s="75">
        <f t="shared" si="22"/>
        <v>1.6920254575162409E-4</v>
      </c>
      <c r="AA19" s="35" t="s">
        <v>96</v>
      </c>
      <c r="AB19" s="75">
        <v>13.25</v>
      </c>
      <c r="AC19" s="75">
        <f t="shared" si="23"/>
        <v>13.270301068824001</v>
      </c>
      <c r="AD19" s="10">
        <v>13.260150534412</v>
      </c>
      <c r="AE19" s="75">
        <f t="shared" si="24"/>
        <v>1.435502343078565E-2</v>
      </c>
      <c r="AF19" s="35" t="s">
        <v>88</v>
      </c>
    </row>
    <row r="20" spans="1:32" ht="15.5">
      <c r="A20" s="167" t="s">
        <v>196</v>
      </c>
      <c r="B20" s="2">
        <v>0</v>
      </c>
      <c r="C20" s="76">
        <v>1.87</v>
      </c>
      <c r="D20" s="75">
        <f t="shared" si="13"/>
        <v>1.9103677660000002</v>
      </c>
      <c r="E20" s="76">
        <v>1.8901838830000002</v>
      </c>
      <c r="F20" s="75">
        <f t="shared" si="14"/>
        <v>2.8544321079951852E-2</v>
      </c>
      <c r="G20" s="35" t="s">
        <v>88</v>
      </c>
      <c r="H20" s="76">
        <v>1.42</v>
      </c>
      <c r="I20" s="75">
        <f t="shared" si="15"/>
        <v>1.4558342800000004</v>
      </c>
      <c r="J20" s="76">
        <v>1.4379171400000001</v>
      </c>
      <c r="K20" s="75">
        <f t="shared" si="16"/>
        <v>2.5338662386937785E-2</v>
      </c>
      <c r="L20" s="35" t="s">
        <v>100</v>
      </c>
      <c r="M20" s="76">
        <v>3.78</v>
      </c>
      <c r="N20" s="75">
        <f t="shared" si="17"/>
        <v>3.7664894614400004</v>
      </c>
      <c r="O20" s="76">
        <v>3.7732447307200001</v>
      </c>
      <c r="P20" s="75">
        <f t="shared" si="18"/>
        <v>9.5533934332579073E-3</v>
      </c>
      <c r="Q20" s="35" t="s">
        <v>92</v>
      </c>
      <c r="R20" s="76">
        <v>3.86</v>
      </c>
      <c r="S20" s="75">
        <f t="shared" si="19"/>
        <v>3.8348427776</v>
      </c>
      <c r="T20" s="76">
        <v>3.8474213888</v>
      </c>
      <c r="U20" s="75">
        <f t="shared" si="20"/>
        <v>1.7788842554858002E-2</v>
      </c>
      <c r="V20" s="35" t="s">
        <v>92</v>
      </c>
      <c r="W20" s="75">
        <f t="shared" si="21"/>
        <v>1.0211640211640212</v>
      </c>
      <c r="X20" s="75">
        <f t="shared" si="21"/>
        <v>1.0181477518680928</v>
      </c>
      <c r="Y20" s="75">
        <f t="shared" si="21"/>
        <v>1.0196585865412036</v>
      </c>
      <c r="Z20" s="75">
        <f t="shared" si="22"/>
        <v>2.1328244730357119E-3</v>
      </c>
      <c r="AA20" s="35" t="s">
        <v>88</v>
      </c>
      <c r="AB20" s="76">
        <v>12.37</v>
      </c>
      <c r="AC20" s="75">
        <f t="shared" si="23"/>
        <v>12.380476136</v>
      </c>
      <c r="AD20" s="10">
        <v>12.375238068</v>
      </c>
      <c r="AE20" s="75">
        <f t="shared" si="24"/>
        <v>7.407746806233355E-3</v>
      </c>
      <c r="AF20" s="35" t="s">
        <v>92</v>
      </c>
    </row>
    <row r="21" spans="1:32" ht="15.5">
      <c r="A21" s="153"/>
      <c r="B21" s="2">
        <v>90</v>
      </c>
      <c r="C21" s="76">
        <v>1.94</v>
      </c>
      <c r="D21" s="75">
        <f t="shared" si="13"/>
        <v>1.8809204972000004</v>
      </c>
      <c r="E21" s="76">
        <v>1.9104602486000002</v>
      </c>
      <c r="F21" s="75">
        <f t="shared" si="14"/>
        <v>4.1775517059009282E-2</v>
      </c>
      <c r="G21" s="35" t="s">
        <v>88</v>
      </c>
      <c r="H21" s="76">
        <v>1.63</v>
      </c>
      <c r="I21" s="75">
        <f t="shared" si="15"/>
        <v>1.6515485503200003</v>
      </c>
      <c r="J21" s="76">
        <v>1.6407742751600001</v>
      </c>
      <c r="K21" s="75">
        <f t="shared" si="16"/>
        <v>1.5237126056011803E-2</v>
      </c>
      <c r="L21" s="35" t="s">
        <v>87</v>
      </c>
      <c r="M21" s="76">
        <v>3.94</v>
      </c>
      <c r="N21" s="75">
        <f t="shared" si="17"/>
        <v>3.9760818416000006</v>
      </c>
      <c r="O21" s="76">
        <v>3.9580409208000003</v>
      </c>
      <c r="P21" s="75">
        <f t="shared" si="18"/>
        <v>2.5513714873059298E-2</v>
      </c>
      <c r="Q21" s="35" t="s">
        <v>100</v>
      </c>
      <c r="R21" s="76">
        <v>4.1100000000000003</v>
      </c>
      <c r="S21" s="75">
        <f t="shared" si="19"/>
        <v>4.0804034592000002</v>
      </c>
      <c r="T21" s="76">
        <v>4.0952017296000003</v>
      </c>
      <c r="U21" s="75">
        <f t="shared" si="20"/>
        <v>2.0927914699344376E-2</v>
      </c>
      <c r="V21" s="35" t="s">
        <v>100</v>
      </c>
      <c r="W21" s="75">
        <f t="shared" si="21"/>
        <v>1.0431472081218276</v>
      </c>
      <c r="X21" s="75">
        <f t="shared" si="21"/>
        <v>1.0262372913224593</v>
      </c>
      <c r="Y21" s="75">
        <f t="shared" si="21"/>
        <v>1.0346537116580081</v>
      </c>
      <c r="Z21" s="75">
        <f t="shared" si="22"/>
        <v>1.1957116838133618E-2</v>
      </c>
      <c r="AA21" s="35" t="s">
        <v>103</v>
      </c>
      <c r="AB21" s="76">
        <v>12.96</v>
      </c>
      <c r="AC21" s="75">
        <f t="shared" si="23"/>
        <v>13.006135439999998</v>
      </c>
      <c r="AD21" s="10">
        <v>12.983067719999999</v>
      </c>
      <c r="AE21" s="75">
        <f t="shared" si="24"/>
        <v>3.2622682477022914E-2</v>
      </c>
      <c r="AF21" s="35" t="s">
        <v>100</v>
      </c>
    </row>
    <row r="22" spans="1:32" ht="15.5">
      <c r="A22" s="153"/>
      <c r="B22" s="2">
        <v>150</v>
      </c>
      <c r="C22" s="76">
        <v>2.35</v>
      </c>
      <c r="D22" s="75">
        <f t="shared" si="13"/>
        <v>2.3703435516</v>
      </c>
      <c r="E22" s="76">
        <v>2.3601717758</v>
      </c>
      <c r="F22" s="75">
        <f t="shared" si="14"/>
        <v>1.4385063289778366E-2</v>
      </c>
      <c r="G22" s="35" t="s">
        <v>96</v>
      </c>
      <c r="H22" s="76">
        <v>1.85</v>
      </c>
      <c r="I22" s="75">
        <f t="shared" si="15"/>
        <v>1.8078719861480002</v>
      </c>
      <c r="J22" s="76">
        <v>1.8289359930740001</v>
      </c>
      <c r="K22" s="75">
        <f t="shared" si="16"/>
        <v>2.978900427266996E-2</v>
      </c>
      <c r="L22" s="35" t="s">
        <v>96</v>
      </c>
      <c r="M22" s="76">
        <v>4.43</v>
      </c>
      <c r="N22" s="75">
        <f t="shared" si="17"/>
        <v>4.4628061432000017</v>
      </c>
      <c r="O22" s="76">
        <v>4.4464030716000007</v>
      </c>
      <c r="P22" s="75">
        <f t="shared" si="18"/>
        <v>2.3197446321298335E-2</v>
      </c>
      <c r="Q22" s="35" t="s">
        <v>96</v>
      </c>
      <c r="R22" s="76">
        <v>4.74</v>
      </c>
      <c r="S22" s="75">
        <f t="shared" si="19"/>
        <v>4.7562313599999992</v>
      </c>
      <c r="T22" s="76">
        <v>4.7481156799999997</v>
      </c>
      <c r="U22" s="75">
        <f t="shared" si="20"/>
        <v>1.1477304723879393E-2</v>
      </c>
      <c r="V22" s="35" t="s">
        <v>96</v>
      </c>
      <c r="W22" s="75">
        <f t="shared" si="21"/>
        <v>1.0699774266365689</v>
      </c>
      <c r="X22" s="75">
        <f t="shared" si="21"/>
        <v>1.0657490393677733</v>
      </c>
      <c r="Y22" s="75">
        <f t="shared" si="21"/>
        <v>1.0678554336036454</v>
      </c>
      <c r="Z22" s="75">
        <f t="shared" si="22"/>
        <v>2.9899213112482316E-3</v>
      </c>
      <c r="AA22" s="35" t="s">
        <v>96</v>
      </c>
      <c r="AB22" s="76">
        <v>14.63</v>
      </c>
      <c r="AC22" s="75">
        <f t="shared" si="23"/>
        <v>14.651695200000001</v>
      </c>
      <c r="AD22" s="10">
        <v>14.640847600000001</v>
      </c>
      <c r="AE22" s="75">
        <f t="shared" si="24"/>
        <v>1.5340823039198325E-2</v>
      </c>
      <c r="AF22" s="35" t="s">
        <v>96</v>
      </c>
    </row>
    <row r="23" spans="1:32" ht="15.5">
      <c r="A23" s="153"/>
      <c r="B23" s="2">
        <v>210</v>
      </c>
      <c r="C23" s="76">
        <v>2.21</v>
      </c>
      <c r="D23" s="75">
        <f t="shared" si="13"/>
        <v>2.1814257429259998</v>
      </c>
      <c r="E23" s="76">
        <v>2.1957128714629999</v>
      </c>
      <c r="F23" s="75">
        <f t="shared" si="14"/>
        <v>2.0205050944393208E-2</v>
      </c>
      <c r="G23" s="35" t="s">
        <v>103</v>
      </c>
      <c r="H23" s="76">
        <v>1.72</v>
      </c>
      <c r="I23" s="75">
        <f t="shared" si="15"/>
        <v>1.7425348267999998</v>
      </c>
      <c r="J23" s="76">
        <v>1.7312674133999999</v>
      </c>
      <c r="K23" s="75">
        <f t="shared" si="16"/>
        <v>1.5934528843144242E-2</v>
      </c>
      <c r="L23" s="35" t="s">
        <v>94</v>
      </c>
      <c r="M23" s="76">
        <v>4.2699999999999996</v>
      </c>
      <c r="N23" s="75">
        <f t="shared" si="17"/>
        <v>4.2424309720000011</v>
      </c>
      <c r="O23" s="76">
        <v>4.2562154860000003</v>
      </c>
      <c r="P23" s="75">
        <f t="shared" si="18"/>
        <v>1.9494246649520739E-2</v>
      </c>
      <c r="Q23" s="35" t="s">
        <v>88</v>
      </c>
      <c r="R23" s="76">
        <v>4.58</v>
      </c>
      <c r="S23" s="75">
        <f t="shared" si="19"/>
        <v>4.5998596227200004</v>
      </c>
      <c r="T23" s="76">
        <v>4.5899298113600002</v>
      </c>
      <c r="U23" s="75">
        <f t="shared" si="20"/>
        <v>1.4042873897118642E-2</v>
      </c>
      <c r="V23" s="35" t="s">
        <v>88</v>
      </c>
      <c r="W23" s="75">
        <f t="shared" si="21"/>
        <v>1.0725995316159251</v>
      </c>
      <c r="X23" s="75">
        <f t="shared" si="21"/>
        <v>1.0842509054546849</v>
      </c>
      <c r="Y23" s="75">
        <f t="shared" si="21"/>
        <v>1.0784063510077646</v>
      </c>
      <c r="Z23" s="75">
        <f t="shared" si="22"/>
        <v>8.2387654515265925E-3</v>
      </c>
      <c r="AA23" s="35" t="s">
        <v>96</v>
      </c>
      <c r="AB23" s="76">
        <v>14.06</v>
      </c>
      <c r="AC23" s="75">
        <f t="shared" si="23"/>
        <v>14.094209231999999</v>
      </c>
      <c r="AD23" s="10">
        <v>14.077104616</v>
      </c>
      <c r="AE23" s="75">
        <f t="shared" si="24"/>
        <v>2.4189579926382765E-2</v>
      </c>
      <c r="AF23" s="35" t="s">
        <v>88</v>
      </c>
    </row>
    <row r="24" spans="1:32" ht="15.5">
      <c r="A24" s="69" t="s">
        <v>167</v>
      </c>
      <c r="B24" s="2"/>
      <c r="C24" s="76"/>
      <c r="D24" s="76"/>
      <c r="E24" s="76"/>
      <c r="F24" s="76"/>
      <c r="G24" s="7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6"/>
      <c r="W24" s="2"/>
      <c r="X24" s="2"/>
      <c r="Y24" s="2"/>
      <c r="Z24" s="2"/>
      <c r="AA24" s="76"/>
      <c r="AB24" s="2"/>
      <c r="AC24" s="2"/>
      <c r="AD24" s="2"/>
      <c r="AE24" s="2"/>
      <c r="AF24" s="76"/>
    </row>
    <row r="25" spans="1:32" ht="15.5">
      <c r="A25" s="2"/>
      <c r="B25" s="2"/>
      <c r="C25" s="2"/>
      <c r="D25" s="2"/>
      <c r="E25" s="2"/>
      <c r="F25" s="76"/>
      <c r="G25" s="7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6"/>
      <c r="W25" s="2"/>
      <c r="X25" s="2"/>
      <c r="Y25" s="2"/>
      <c r="Z25" s="2"/>
      <c r="AA25" s="76"/>
      <c r="AB25" s="2"/>
      <c r="AC25" s="2"/>
      <c r="AD25" s="2"/>
      <c r="AE25" s="2"/>
      <c r="AF25" s="76"/>
    </row>
    <row r="26" spans="1:32" ht="15.5">
      <c r="A26" s="35" t="s">
        <v>249</v>
      </c>
      <c r="B26" s="2" t="s">
        <v>171</v>
      </c>
      <c r="C26" s="137" t="s">
        <v>160</v>
      </c>
      <c r="D26" s="137" t="s">
        <v>161</v>
      </c>
      <c r="E26" s="10" t="s">
        <v>8</v>
      </c>
      <c r="F26" s="10" t="s">
        <v>9</v>
      </c>
      <c r="G26" s="89"/>
      <c r="H26" s="137" t="s">
        <v>160</v>
      </c>
      <c r="I26" s="137" t="s">
        <v>161</v>
      </c>
      <c r="J26" s="10" t="s">
        <v>8</v>
      </c>
      <c r="K26" s="10" t="s">
        <v>9</v>
      </c>
      <c r="L26" s="89"/>
      <c r="M26" s="137" t="s">
        <v>160</v>
      </c>
      <c r="N26" s="137" t="s">
        <v>161</v>
      </c>
      <c r="O26" s="10" t="s">
        <v>8</v>
      </c>
      <c r="P26" s="10" t="s">
        <v>9</v>
      </c>
      <c r="Q26" s="89"/>
      <c r="R26" s="137" t="s">
        <v>160</v>
      </c>
      <c r="S26" s="137" t="s">
        <v>161</v>
      </c>
      <c r="T26" s="10" t="s">
        <v>8</v>
      </c>
      <c r="U26" s="10" t="s">
        <v>9</v>
      </c>
      <c r="V26" s="89"/>
      <c r="W26" s="137" t="s">
        <v>160</v>
      </c>
      <c r="X26" s="137" t="s">
        <v>161</v>
      </c>
      <c r="Y26" s="10" t="s">
        <v>8</v>
      </c>
      <c r="Z26" s="10" t="s">
        <v>9</v>
      </c>
      <c r="AA26" s="89"/>
      <c r="AB26" s="137" t="s">
        <v>160</v>
      </c>
      <c r="AC26" s="137" t="s">
        <v>161</v>
      </c>
      <c r="AD26" s="10" t="s">
        <v>8</v>
      </c>
      <c r="AE26" s="10" t="s">
        <v>9</v>
      </c>
      <c r="AF26" s="2"/>
    </row>
    <row r="27" spans="1:32" ht="16">
      <c r="A27" s="167" t="s">
        <v>197</v>
      </c>
      <c r="B27" s="2">
        <v>0</v>
      </c>
      <c r="C27" s="10">
        <v>2.6876669887999998</v>
      </c>
      <c r="D27" s="10">
        <v>2.57177575</v>
      </c>
      <c r="E27" s="10">
        <f t="shared" ref="E27:E34" si="25">AVERAGE(C27:D27)</f>
        <v>2.6297213693999999</v>
      </c>
      <c r="F27" s="10">
        <f t="shared" ref="F27:F34" si="26">STDEV(C27:D27)</f>
        <v>8.1947480835589337E-2</v>
      </c>
      <c r="G27" s="102" t="s">
        <v>88</v>
      </c>
      <c r="H27" s="103">
        <v>1.5230719880000001</v>
      </c>
      <c r="I27" s="103">
        <v>1.5040657022799999</v>
      </c>
      <c r="J27" s="103">
        <f t="shared" ref="J27:J34" si="27">AVERAGE(H27:I27)</f>
        <v>1.51356884514</v>
      </c>
      <c r="K27" s="103">
        <f t="shared" ref="K27:K34" si="28">STDEV(H27:I27)</f>
        <v>1.3439473517781172E-2</v>
      </c>
      <c r="L27" s="102" t="s">
        <v>87</v>
      </c>
      <c r="M27" s="10">
        <v>3.8934024288</v>
      </c>
      <c r="N27" s="10">
        <v>3.8099656808</v>
      </c>
      <c r="O27" s="10">
        <f t="shared" ref="O27:O34" si="29">AVERAGE(M27:N27)</f>
        <v>3.8516840547999998</v>
      </c>
      <c r="P27" s="10">
        <f t="shared" ref="P27:P34" si="30">AVERAGE(STDEV(M27:N27))</f>
        <v>5.899869031095311E-2</v>
      </c>
      <c r="Q27" s="102" t="s">
        <v>88</v>
      </c>
      <c r="R27" s="10">
        <v>3.9420383999999999</v>
      </c>
      <c r="S27" s="10">
        <v>3.9275630425600001</v>
      </c>
      <c r="T27" s="10">
        <f t="shared" ref="T27:T34" si="31">AVERAGE(R27:S27)</f>
        <v>3.9348007212800002</v>
      </c>
      <c r="U27" s="10">
        <f t="shared" ref="U27:U34" si="32">STDEV(R27:S27)</f>
        <v>1.0235623405923027E-2</v>
      </c>
      <c r="V27" s="102" t="s">
        <v>87</v>
      </c>
      <c r="W27" s="10">
        <f t="shared" ref="W27:X34" si="33">R27/M27</f>
        <v>1.0124918941952246</v>
      </c>
      <c r="X27" s="10">
        <f t="shared" si="33"/>
        <v>1.0308657273089419</v>
      </c>
      <c r="Y27" s="10">
        <f t="shared" ref="Y27:Y34" si="34">AVERAGE(W27:X27)</f>
        <v>1.0216788107520833</v>
      </c>
      <c r="Z27" s="10">
        <f t="shared" ref="Z27:Z34" si="35">STDEV(W27:X27)</f>
        <v>1.2992261991099454E-2</v>
      </c>
      <c r="AA27" s="102" t="s">
        <v>103</v>
      </c>
      <c r="AB27" s="10">
        <v>13.667236559999999</v>
      </c>
      <c r="AC27" s="10">
        <v>13.462752480000001</v>
      </c>
      <c r="AD27" s="76">
        <f t="shared" ref="AD27:AD34" si="36">AVERAGE(AB27:AC27)</f>
        <v>13.564994519999999</v>
      </c>
      <c r="AE27" s="76">
        <f t="shared" ref="AE27:AE34" si="37">AVERAGE(STDEV(AB27:AC27))</f>
        <v>0.14459207961269144</v>
      </c>
      <c r="AF27" s="102" t="s">
        <v>88</v>
      </c>
    </row>
    <row r="28" spans="1:32" ht="16">
      <c r="A28" s="153"/>
      <c r="B28" s="2">
        <v>90</v>
      </c>
      <c r="C28" s="10">
        <v>2.7081044147199997</v>
      </c>
      <c r="D28" s="10">
        <v>2.6612118249200001</v>
      </c>
      <c r="E28" s="10">
        <f t="shared" si="25"/>
        <v>2.6846581198199999</v>
      </c>
      <c r="F28" s="10">
        <f t="shared" si="26"/>
        <v>3.3158068234978896E-2</v>
      </c>
      <c r="G28" s="102" t="s">
        <v>88</v>
      </c>
      <c r="H28" s="103">
        <v>1.5279091199999999</v>
      </c>
      <c r="I28" s="103">
        <v>1.5936293492</v>
      </c>
      <c r="J28" s="103">
        <f t="shared" si="27"/>
        <v>1.5607692345999999</v>
      </c>
      <c r="K28" s="103">
        <f t="shared" si="28"/>
        <v>4.6471219728454215E-2</v>
      </c>
      <c r="L28" s="102" t="s">
        <v>90</v>
      </c>
      <c r="M28" s="10">
        <v>3.9153222751999999</v>
      </c>
      <c r="N28" s="10">
        <v>3.8362406032799998</v>
      </c>
      <c r="O28" s="10">
        <f t="shared" si="29"/>
        <v>3.8757814392399998</v>
      </c>
      <c r="P28" s="10">
        <f t="shared" si="30"/>
        <v>5.5919186482201809E-2</v>
      </c>
      <c r="Q28" s="102" t="s">
        <v>94</v>
      </c>
      <c r="R28" s="10">
        <v>3.9620777601600001</v>
      </c>
      <c r="S28" s="10">
        <v>3.9913124</v>
      </c>
      <c r="T28" s="10">
        <f t="shared" si="31"/>
        <v>3.9766950800799998</v>
      </c>
      <c r="U28" s="10">
        <f t="shared" si="32"/>
        <v>2.0672012076410302E-2</v>
      </c>
      <c r="V28" s="102" t="s">
        <v>87</v>
      </c>
      <c r="W28" s="10">
        <f t="shared" si="33"/>
        <v>1.0119416695928591</v>
      </c>
      <c r="X28" s="10">
        <f t="shared" si="33"/>
        <v>1.0404228547571841</v>
      </c>
      <c r="Y28" s="10">
        <f t="shared" si="34"/>
        <v>1.0261822621750216</v>
      </c>
      <c r="Z28" s="10">
        <f t="shared" si="35"/>
        <v>2.0139239165923875E-2</v>
      </c>
      <c r="AA28" s="102" t="s">
        <v>105</v>
      </c>
      <c r="AB28" s="10">
        <v>13.423627680000001</v>
      </c>
      <c r="AC28" s="10">
        <v>13.881552000000001</v>
      </c>
      <c r="AD28" s="76">
        <f t="shared" si="36"/>
        <v>13.652589840000001</v>
      </c>
      <c r="AE28" s="76">
        <f t="shared" si="37"/>
        <v>0.32380139194223861</v>
      </c>
      <c r="AF28" s="102" t="s">
        <v>88</v>
      </c>
    </row>
    <row r="29" spans="1:32" ht="16">
      <c r="A29" s="153"/>
      <c r="B29" s="2">
        <v>150</v>
      </c>
      <c r="C29" s="10">
        <v>2.9538620527999999</v>
      </c>
      <c r="D29" s="10">
        <v>2.8547424191999999</v>
      </c>
      <c r="E29" s="10">
        <f t="shared" si="25"/>
        <v>2.9043022359999999</v>
      </c>
      <c r="F29" s="10">
        <f t="shared" si="26"/>
        <v>7.0088165067285949E-2</v>
      </c>
      <c r="G29" s="102" t="s">
        <v>103</v>
      </c>
      <c r="H29" s="103">
        <v>1.7083657299999999</v>
      </c>
      <c r="I29" s="103">
        <v>1.6710995071999999</v>
      </c>
      <c r="J29" s="103">
        <f t="shared" si="27"/>
        <v>1.6897326185999999</v>
      </c>
      <c r="K29" s="103">
        <f t="shared" si="28"/>
        <v>2.6351198851088747E-2</v>
      </c>
      <c r="L29" s="102" t="s">
        <v>103</v>
      </c>
      <c r="M29" s="10">
        <v>3.9615230312</v>
      </c>
      <c r="N29" s="10">
        <v>4.0625679999999997</v>
      </c>
      <c r="O29" s="10">
        <f t="shared" si="29"/>
        <v>4.0120455155999997</v>
      </c>
      <c r="P29" s="10">
        <f t="shared" si="30"/>
        <v>7.1449582643262899E-2</v>
      </c>
      <c r="Q29" s="102" t="s">
        <v>103</v>
      </c>
      <c r="R29" s="10">
        <v>4.1982257636</v>
      </c>
      <c r="S29" s="10">
        <v>4.2514803075999996</v>
      </c>
      <c r="T29" s="10">
        <f t="shared" si="31"/>
        <v>4.2248530355999998</v>
      </c>
      <c r="U29" s="10">
        <f t="shared" si="32"/>
        <v>3.76566491913971E-2</v>
      </c>
      <c r="V29" s="102" t="s">
        <v>103</v>
      </c>
      <c r="W29" s="10">
        <f t="shared" si="33"/>
        <v>1.0597504370253021</v>
      </c>
      <c r="X29" s="10">
        <f t="shared" si="33"/>
        <v>1.0465007127511465</v>
      </c>
      <c r="Y29" s="10">
        <f t="shared" si="34"/>
        <v>1.0531255748882242</v>
      </c>
      <c r="Z29" s="10">
        <f t="shared" si="35"/>
        <v>9.368969883107434E-3</v>
      </c>
      <c r="AA29" s="102" t="s">
        <v>96</v>
      </c>
      <c r="AB29" s="10">
        <v>14.499508151999999</v>
      </c>
      <c r="AC29" s="10">
        <v>14.240880000000001</v>
      </c>
      <c r="AD29" s="76">
        <f t="shared" si="36"/>
        <v>14.370194076000001</v>
      </c>
      <c r="AE29" s="76">
        <f t="shared" si="37"/>
        <v>0.18287772008494391</v>
      </c>
      <c r="AF29" s="102" t="s">
        <v>103</v>
      </c>
    </row>
    <row r="30" spans="1:32" ht="16">
      <c r="A30" s="153"/>
      <c r="B30" s="2">
        <v>210</v>
      </c>
      <c r="C30" s="10">
        <v>2.9384693120000001</v>
      </c>
      <c r="D30" s="10">
        <v>3.0375270092799997</v>
      </c>
      <c r="E30" s="10">
        <f t="shared" si="25"/>
        <v>2.9879981606400001</v>
      </c>
      <c r="F30" s="10">
        <f t="shared" si="26"/>
        <v>7.0044369475412011E-2</v>
      </c>
      <c r="G30" s="102" t="s">
        <v>103</v>
      </c>
      <c r="H30" s="103">
        <v>1.5965930373199999</v>
      </c>
      <c r="I30" s="103">
        <v>1.6265915520000001</v>
      </c>
      <c r="J30" s="103">
        <f t="shared" si="27"/>
        <v>1.6115922946599999</v>
      </c>
      <c r="K30" s="103">
        <f t="shared" si="28"/>
        <v>2.1212153155752294E-2</v>
      </c>
      <c r="L30" s="102" t="s">
        <v>88</v>
      </c>
      <c r="M30" s="10">
        <v>3.8737078980000001</v>
      </c>
      <c r="N30" s="10">
        <v>3.9773304168000001</v>
      </c>
      <c r="O30" s="10">
        <f t="shared" si="29"/>
        <v>3.9255191574000001</v>
      </c>
      <c r="P30" s="10">
        <f t="shared" si="30"/>
        <v>7.3272185727110473E-2</v>
      </c>
      <c r="Q30" s="102" t="s">
        <v>94</v>
      </c>
      <c r="R30" s="10">
        <v>4.0366433153600001</v>
      </c>
      <c r="S30" s="10">
        <v>4.1237098625600002</v>
      </c>
      <c r="T30" s="10">
        <f t="shared" si="31"/>
        <v>4.0801765889600006</v>
      </c>
      <c r="U30" s="10">
        <f t="shared" si="32"/>
        <v>6.1565345939618661E-2</v>
      </c>
      <c r="V30" s="102" t="s">
        <v>88</v>
      </c>
      <c r="W30" s="10">
        <f>R30/M30</f>
        <v>1.0420618749916903</v>
      </c>
      <c r="X30" s="10">
        <f>S30/N30</f>
        <v>1.0368034411075586</v>
      </c>
      <c r="Y30" s="10">
        <f t="shared" si="34"/>
        <v>1.0394326580496245</v>
      </c>
      <c r="Z30" s="10">
        <f t="shared" si="35"/>
        <v>3.7182742578906547E-3</v>
      </c>
      <c r="AA30" s="102" t="s">
        <v>105</v>
      </c>
      <c r="AB30" s="10">
        <v>14.049674640000001</v>
      </c>
      <c r="AC30" s="10">
        <v>14.166460800000001</v>
      </c>
      <c r="AD30" s="76">
        <f t="shared" si="36"/>
        <v>14.108067720000001</v>
      </c>
      <c r="AE30" s="76">
        <f t="shared" si="37"/>
        <v>8.258028568473727E-2</v>
      </c>
      <c r="AF30" s="102" t="s">
        <v>103</v>
      </c>
    </row>
    <row r="31" spans="1:32" ht="16">
      <c r="A31" s="167" t="s">
        <v>196</v>
      </c>
      <c r="B31" s="2">
        <v>0</v>
      </c>
      <c r="C31" s="6">
        <v>2.4928437970799999</v>
      </c>
      <c r="D31" s="6">
        <v>2.6129199999999999</v>
      </c>
      <c r="E31" s="6">
        <f t="shared" si="25"/>
        <v>2.5528818985399999</v>
      </c>
      <c r="F31" s="6">
        <f t="shared" si="26"/>
        <v>8.4906697343863913E-2</v>
      </c>
      <c r="G31" s="104" t="s">
        <v>191</v>
      </c>
      <c r="H31" s="105">
        <v>1.432801328</v>
      </c>
      <c r="I31" s="105">
        <v>1.4851407999999999</v>
      </c>
      <c r="J31" s="105">
        <f t="shared" si="27"/>
        <v>1.458971064</v>
      </c>
      <c r="K31" s="105">
        <f t="shared" si="28"/>
        <v>3.7009595574923351E-2</v>
      </c>
      <c r="L31" s="104" t="s">
        <v>185</v>
      </c>
      <c r="M31" s="6">
        <v>3.6539657999999999</v>
      </c>
      <c r="N31" s="6">
        <v>3.7152303120000001</v>
      </c>
      <c r="O31" s="6">
        <f t="shared" si="29"/>
        <v>3.684598056</v>
      </c>
      <c r="P31" s="6">
        <f t="shared" si="30"/>
        <v>4.3320551881284725E-2</v>
      </c>
      <c r="Q31" s="104" t="s">
        <v>191</v>
      </c>
      <c r="R31" s="6">
        <v>3.7055772095999999</v>
      </c>
      <c r="S31" s="6">
        <v>3.7373796000000001</v>
      </c>
      <c r="T31" s="6">
        <f t="shared" si="31"/>
        <v>3.7214784048</v>
      </c>
      <c r="U31" s="6">
        <f t="shared" si="32"/>
        <v>2.2487685909782111E-2</v>
      </c>
      <c r="V31" s="104" t="s">
        <v>204</v>
      </c>
      <c r="W31" s="6">
        <f t="shared" si="33"/>
        <v>1.0141247653713672</v>
      </c>
      <c r="X31" s="6">
        <f t="shared" si="33"/>
        <v>1.0059617536841414</v>
      </c>
      <c r="Y31" s="6">
        <f t="shared" si="34"/>
        <v>1.0100432595277544</v>
      </c>
      <c r="Z31" s="6">
        <f t="shared" si="35"/>
        <v>5.7721209189423852E-3</v>
      </c>
      <c r="AA31" s="104" t="s">
        <v>184</v>
      </c>
      <c r="AB31" s="6">
        <v>13.494408000000002</v>
      </c>
      <c r="AC31" s="6">
        <v>13.338912000000001</v>
      </c>
      <c r="AD31" s="106">
        <f t="shared" si="36"/>
        <v>13.41666</v>
      </c>
      <c r="AE31" s="106">
        <f t="shared" si="37"/>
        <v>0.10995227604738424</v>
      </c>
      <c r="AF31" s="104" t="s">
        <v>192</v>
      </c>
    </row>
    <row r="32" spans="1:32" ht="16">
      <c r="A32" s="153"/>
      <c r="B32" s="2">
        <v>90</v>
      </c>
      <c r="C32" s="6">
        <v>2.6183003795199999</v>
      </c>
      <c r="D32" s="6">
        <v>2.5620069372000001</v>
      </c>
      <c r="E32" s="6">
        <f t="shared" si="25"/>
        <v>2.5901536583600002</v>
      </c>
      <c r="F32" s="6">
        <f t="shared" si="26"/>
        <v>3.9805474800805693E-2</v>
      </c>
      <c r="G32" s="104" t="s">
        <v>195</v>
      </c>
      <c r="H32" s="105">
        <v>1.4659477000000001</v>
      </c>
      <c r="I32" s="105">
        <v>1.5335304272000001</v>
      </c>
      <c r="J32" s="105">
        <f t="shared" si="27"/>
        <v>1.4997390636000001</v>
      </c>
      <c r="K32" s="105">
        <f t="shared" si="28"/>
        <v>4.7788204694200552E-2</v>
      </c>
      <c r="L32" s="104" t="s">
        <v>185</v>
      </c>
      <c r="M32" s="6">
        <v>3.81022233832</v>
      </c>
      <c r="N32" s="6">
        <v>3.7390997088</v>
      </c>
      <c r="O32" s="6">
        <f t="shared" si="29"/>
        <v>3.7746610235600002</v>
      </c>
      <c r="P32" s="6">
        <f t="shared" si="30"/>
        <v>5.0291293629410552E-2</v>
      </c>
      <c r="Q32" s="104" t="s">
        <v>195</v>
      </c>
      <c r="R32" s="6">
        <v>3.8999523599999999</v>
      </c>
      <c r="S32" s="6">
        <v>3.82597904036</v>
      </c>
      <c r="T32" s="6">
        <f t="shared" si="31"/>
        <v>3.8629657001800002</v>
      </c>
      <c r="U32" s="6">
        <f t="shared" si="32"/>
        <v>5.2307035944323926E-2</v>
      </c>
      <c r="V32" s="104" t="s">
        <v>191</v>
      </c>
      <c r="W32" s="6">
        <f>R32/M32</f>
        <v>1.0235498125076774</v>
      </c>
      <c r="X32" s="6">
        <f>S32/N32</f>
        <v>1.0232353610029519</v>
      </c>
      <c r="Y32" s="6">
        <f t="shared" si="34"/>
        <v>1.0233925867553146</v>
      </c>
      <c r="Z32" s="6">
        <f t="shared" si="35"/>
        <v>2.2235079134573776E-4</v>
      </c>
      <c r="AA32" s="104" t="s">
        <v>184</v>
      </c>
      <c r="AB32" s="6">
        <v>13.6365888</v>
      </c>
      <c r="AC32" s="6">
        <v>13.338409944000002</v>
      </c>
      <c r="AD32" s="106">
        <f t="shared" si="36"/>
        <v>13.487499372000002</v>
      </c>
      <c r="AE32" s="106">
        <f t="shared" si="37"/>
        <v>0.21084429108404568</v>
      </c>
      <c r="AF32" s="104" t="s">
        <v>192</v>
      </c>
    </row>
    <row r="33" spans="1:32" ht="16">
      <c r="A33" s="153"/>
      <c r="B33" s="2">
        <v>150</v>
      </c>
      <c r="C33" s="6">
        <v>2.7411903140800002</v>
      </c>
      <c r="D33" s="6">
        <v>2.6138096833119997</v>
      </c>
      <c r="E33" s="6">
        <f t="shared" si="25"/>
        <v>2.6774999986959997</v>
      </c>
      <c r="F33" s="6">
        <f t="shared" si="26"/>
        <v>9.0071707807872964E-2</v>
      </c>
      <c r="G33" s="104" t="s">
        <v>205</v>
      </c>
      <c r="H33" s="105">
        <v>1.4859560528</v>
      </c>
      <c r="I33" s="105">
        <v>1.5670260432000001</v>
      </c>
      <c r="J33" s="105">
        <f t="shared" si="27"/>
        <v>1.526491048</v>
      </c>
      <c r="K33" s="105">
        <f t="shared" si="28"/>
        <v>5.7325139962568356E-2</v>
      </c>
      <c r="L33" s="104" t="s">
        <v>185</v>
      </c>
      <c r="M33" s="6">
        <v>3.8536162319999998</v>
      </c>
      <c r="N33" s="6">
        <v>3.83327844072</v>
      </c>
      <c r="O33" s="6">
        <f t="shared" si="29"/>
        <v>3.8434473363599997</v>
      </c>
      <c r="P33" s="6">
        <f t="shared" si="30"/>
        <v>1.4380990128444489E-2</v>
      </c>
      <c r="Q33" s="104" t="s">
        <v>192</v>
      </c>
      <c r="R33" s="6">
        <v>3.9380819728400001</v>
      </c>
      <c r="S33" s="6">
        <v>4.0126931360000002</v>
      </c>
      <c r="T33" s="6">
        <f t="shared" si="31"/>
        <v>3.9753875544200001</v>
      </c>
      <c r="U33" s="6">
        <f t="shared" si="32"/>
        <v>5.2758059422652027E-2</v>
      </c>
      <c r="V33" s="104" t="s">
        <v>192</v>
      </c>
      <c r="W33" s="6">
        <f>R33/M33</f>
        <v>1.0219185657717045</v>
      </c>
      <c r="X33" s="6">
        <f>S33/N33</f>
        <v>1.0468045037830074</v>
      </c>
      <c r="Y33" s="6">
        <f t="shared" si="34"/>
        <v>1.0343615347773558</v>
      </c>
      <c r="Z33" s="6">
        <f t="shared" si="35"/>
        <v>1.7597015523980346E-2</v>
      </c>
      <c r="AA33" s="104" t="s">
        <v>184</v>
      </c>
      <c r="AB33" s="6">
        <v>13.9821078432</v>
      </c>
      <c r="AC33" s="6">
        <v>14.091067219200001</v>
      </c>
      <c r="AD33" s="106">
        <f t="shared" si="36"/>
        <v>14.0365875312</v>
      </c>
      <c r="AE33" s="106">
        <f t="shared" si="37"/>
        <v>7.7045913643455741E-2</v>
      </c>
      <c r="AF33" s="104" t="s">
        <v>185</v>
      </c>
    </row>
    <row r="34" spans="1:32" ht="16">
      <c r="A34" s="153"/>
      <c r="B34" s="2">
        <v>210</v>
      </c>
      <c r="C34" s="6">
        <v>2.7567499191680001</v>
      </c>
      <c r="D34" s="6">
        <v>2.8058469312000001</v>
      </c>
      <c r="E34" s="6">
        <f t="shared" si="25"/>
        <v>2.7812984251840001</v>
      </c>
      <c r="F34" s="6">
        <f t="shared" si="26"/>
        <v>3.471683014382472E-2</v>
      </c>
      <c r="G34" s="104" t="s">
        <v>185</v>
      </c>
      <c r="H34" s="105">
        <v>1.63605873492</v>
      </c>
      <c r="I34" s="105">
        <v>1.6658280000000001</v>
      </c>
      <c r="J34" s="105">
        <f t="shared" si="27"/>
        <v>1.65094336746</v>
      </c>
      <c r="K34" s="105">
        <f t="shared" si="28"/>
        <v>2.1050049209007965E-2</v>
      </c>
      <c r="L34" s="104" t="s">
        <v>184</v>
      </c>
      <c r="M34" s="6">
        <v>4.0244391120799996</v>
      </c>
      <c r="N34" s="6">
        <v>3.9562710711200002</v>
      </c>
      <c r="O34" s="6">
        <f t="shared" si="29"/>
        <v>3.9903550915999997</v>
      </c>
      <c r="P34" s="6">
        <f t="shared" si="30"/>
        <v>4.8202084023017906E-2</v>
      </c>
      <c r="Q34" s="104" t="s">
        <v>185</v>
      </c>
      <c r="R34" s="6">
        <v>4.0682257960000001</v>
      </c>
      <c r="S34" s="6">
        <v>4.1320515999999996</v>
      </c>
      <c r="T34" s="6">
        <f t="shared" si="31"/>
        <v>4.1001386980000003</v>
      </c>
      <c r="U34" s="6">
        <f t="shared" si="32"/>
        <v>4.5131658823083107E-2</v>
      </c>
      <c r="V34" s="104" t="s">
        <v>185</v>
      </c>
      <c r="W34" s="6">
        <f t="shared" si="33"/>
        <v>1.010880195401284</v>
      </c>
      <c r="X34" s="6">
        <f t="shared" si="33"/>
        <v>1.044430860706983</v>
      </c>
      <c r="Y34" s="6">
        <f t="shared" si="34"/>
        <v>1.0276555280541335</v>
      </c>
      <c r="Z34" s="6">
        <f t="shared" si="35"/>
        <v>2.3723902950979956E-2</v>
      </c>
      <c r="AA34" s="104" t="s">
        <v>184</v>
      </c>
      <c r="AB34" s="6">
        <v>14.569063199999999</v>
      </c>
      <c r="AC34" s="6">
        <v>14.195280000000002</v>
      </c>
      <c r="AD34" s="106">
        <f t="shared" si="36"/>
        <v>14.3821716</v>
      </c>
      <c r="AE34" s="106">
        <f t="shared" si="37"/>
        <v>0.2643046354136051</v>
      </c>
      <c r="AF34" s="104" t="s">
        <v>185</v>
      </c>
    </row>
    <row r="35" spans="1:32" ht="15.5">
      <c r="A35" s="2"/>
      <c r="B35" s="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32" ht="15.5">
      <c r="A36" s="2"/>
      <c r="B36" s="2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1:32" ht="15.5">
      <c r="A37" s="2"/>
      <c r="B37" s="2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</sheetData>
  <mergeCells count="18">
    <mergeCell ref="W14:AA14"/>
    <mergeCell ref="AB14:AF14"/>
    <mergeCell ref="A16:A19"/>
    <mergeCell ref="A20:A23"/>
    <mergeCell ref="A27:A30"/>
    <mergeCell ref="M14:Q14"/>
    <mergeCell ref="R14:V14"/>
    <mergeCell ref="A31:A34"/>
    <mergeCell ref="A5:A8"/>
    <mergeCell ref="A9:A12"/>
    <mergeCell ref="C14:G14"/>
    <mergeCell ref="H14:L14"/>
    <mergeCell ref="AB3:AF3"/>
    <mergeCell ref="C3:G3"/>
    <mergeCell ref="H3:L3"/>
    <mergeCell ref="M3:Q3"/>
    <mergeCell ref="R3:V3"/>
    <mergeCell ref="W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correlation</vt:lpstr>
      <vt:lpstr>anova</vt:lpstr>
      <vt:lpstr>evapotranspiration</vt:lpstr>
      <vt:lpstr>dry biomass</vt:lpstr>
      <vt:lpstr>biomass2</vt:lpstr>
      <vt:lpstr>precipitation</vt:lpstr>
      <vt:lpstr>SWS</vt:lpstr>
      <vt:lpstr>Sheet10</vt:lpstr>
      <vt:lpstr>Plant N</vt:lpstr>
      <vt:lpstr>yield </vt:lpstr>
      <vt:lpstr>anova2</vt:lpstr>
      <vt:lpstr>WUE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reviewer</cp:lastModifiedBy>
  <dcterms:created xsi:type="dcterms:W3CDTF">2019-08-06T01:10:46Z</dcterms:created>
  <dcterms:modified xsi:type="dcterms:W3CDTF">2019-12-13T18:09:11Z</dcterms:modified>
</cp:coreProperties>
</file>