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Administrator\Desktop\Supplemental Files\EC50valuas\"/>
    </mc:Choice>
  </mc:AlternateContent>
  <xr:revisionPtr revIDLastSave="0" documentId="13_ncr:1_{E5F87218-759E-443E-9C8A-83D7FC317C2D}" xr6:coauthVersionLast="45" xr6:coauthVersionMax="45" xr10:uidLastSave="{00000000-0000-0000-0000-000000000000}"/>
  <bookViews>
    <workbookView xWindow="-108" yWindow="-108" windowWidth="19416" windowHeight="10416" activeTab="2" xr2:uid="{00000000-000D-0000-FFFF-FFFF00000000}"/>
  </bookViews>
  <sheets>
    <sheet name="o. vulgare（5d）" sheetId="1" r:id="rId1"/>
    <sheet name="cavacrol（5d）" sheetId="2" r:id="rId2"/>
    <sheet name="thymol（6d）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F7" i="3" l="1"/>
  <c r="G6" i="3"/>
  <c r="H6" i="3" s="1"/>
  <c r="I6" i="3" s="1"/>
  <c r="J6" i="3" s="1"/>
  <c r="K6" i="3" s="1"/>
  <c r="L6" i="3" s="1"/>
  <c r="M6" i="3" s="1"/>
  <c r="F6" i="3"/>
  <c r="C6" i="3"/>
  <c r="F5" i="3"/>
  <c r="C5" i="3"/>
  <c r="G4" i="3"/>
  <c r="H4" i="3" s="1"/>
  <c r="I4" i="3" s="1"/>
  <c r="J4" i="3" s="1"/>
  <c r="K4" i="3" s="1"/>
  <c r="L4" i="3" s="1"/>
  <c r="M4" i="3" s="1"/>
  <c r="F4" i="3"/>
  <c r="C4" i="3"/>
  <c r="F3" i="3"/>
  <c r="C3" i="3"/>
  <c r="F2" i="3"/>
  <c r="C2" i="3"/>
  <c r="C8" i="3" l="1"/>
  <c r="G3" i="3"/>
  <c r="H3" i="3" s="1"/>
  <c r="I3" i="3" s="1"/>
  <c r="J3" i="3" s="1"/>
  <c r="K3" i="3" s="1"/>
  <c r="L3" i="3" s="1"/>
  <c r="M3" i="3" s="1"/>
  <c r="G2" i="3"/>
  <c r="H2" i="3" s="1"/>
  <c r="I2" i="3" s="1"/>
  <c r="G5" i="3"/>
  <c r="H5" i="3" s="1"/>
  <c r="I5" i="3" s="1"/>
  <c r="J5" i="3" s="1"/>
  <c r="K5" i="3" s="1"/>
  <c r="L5" i="3" s="1"/>
  <c r="M5" i="3" s="1"/>
  <c r="E9" i="3" l="1"/>
  <c r="J2" i="3"/>
  <c r="K2" i="3" s="1"/>
  <c r="L2" i="3" s="1"/>
  <c r="C9" i="3"/>
  <c r="C25" i="3" l="1"/>
  <c r="C26" i="3" s="1"/>
  <c r="C19" i="3"/>
  <c r="C20" i="3" s="1"/>
  <c r="C10" i="3"/>
  <c r="C22" i="3"/>
  <c r="C23" i="3" s="1"/>
  <c r="L7" i="3"/>
  <c r="M2" i="3"/>
  <c r="M7" i="3" s="1"/>
  <c r="N2" i="3"/>
  <c r="N3" i="3" s="1"/>
  <c r="O4" i="3"/>
  <c r="P4" i="3" s="1"/>
  <c r="Q4" i="3" s="1"/>
  <c r="R4" i="3" s="1"/>
  <c r="S4" i="3" s="1"/>
  <c r="O2" i="3"/>
  <c r="P2" i="3" s="1"/>
  <c r="Q2" i="3" s="1"/>
  <c r="R2" i="3" s="1"/>
  <c r="S2" i="3" s="1"/>
  <c r="O6" i="3"/>
  <c r="P6" i="3" s="1"/>
  <c r="Q6" i="3" s="1"/>
  <c r="R6" i="3" s="1"/>
  <c r="S6" i="3" s="1"/>
  <c r="O5" i="3"/>
  <c r="P5" i="3" s="1"/>
  <c r="Q5" i="3" s="1"/>
  <c r="R5" i="3" s="1"/>
  <c r="S5" i="3" s="1"/>
  <c r="O3" i="3"/>
  <c r="P3" i="3" s="1"/>
  <c r="Q3" i="3" s="1"/>
  <c r="R3" i="3" s="1"/>
  <c r="S3" i="3" s="1"/>
  <c r="D14" i="3" l="1"/>
  <c r="D15" i="3" s="1"/>
  <c r="C11" i="3"/>
  <c r="C12" i="3" s="1"/>
  <c r="B14" i="3"/>
  <c r="B15" i="3" s="1"/>
  <c r="C13" i="3"/>
  <c r="F7" i="2" l="1"/>
  <c r="G6" i="2"/>
  <c r="H6" i="2" s="1"/>
  <c r="I6" i="2" s="1"/>
  <c r="J6" i="2" s="1"/>
  <c r="K6" i="2" s="1"/>
  <c r="L6" i="2" s="1"/>
  <c r="M6" i="2" s="1"/>
  <c r="F6" i="2"/>
  <c r="C6" i="2"/>
  <c r="F5" i="2"/>
  <c r="C5" i="2"/>
  <c r="G4" i="2"/>
  <c r="H4" i="2" s="1"/>
  <c r="I4" i="2" s="1"/>
  <c r="J4" i="2" s="1"/>
  <c r="K4" i="2" s="1"/>
  <c r="L4" i="2" s="1"/>
  <c r="M4" i="2" s="1"/>
  <c r="F4" i="2"/>
  <c r="C4" i="2"/>
  <c r="F3" i="2"/>
  <c r="C3" i="2"/>
  <c r="F2" i="2"/>
  <c r="C2" i="2"/>
  <c r="G3" i="2" l="1"/>
  <c r="H3" i="2" s="1"/>
  <c r="I3" i="2" s="1"/>
  <c r="J3" i="2" s="1"/>
  <c r="K3" i="2" s="1"/>
  <c r="L3" i="2" s="1"/>
  <c r="M3" i="2" s="1"/>
  <c r="G2" i="2"/>
  <c r="H2" i="2" s="1"/>
  <c r="I2" i="2" s="1"/>
  <c r="G5" i="2"/>
  <c r="H5" i="2" s="1"/>
  <c r="I5" i="2" s="1"/>
  <c r="J5" i="2" s="1"/>
  <c r="K5" i="2" s="1"/>
  <c r="L5" i="2" s="1"/>
  <c r="M5" i="2" s="1"/>
  <c r="E9" i="2" l="1"/>
  <c r="J2" i="2"/>
  <c r="K2" i="2" s="1"/>
  <c r="L2" i="2" s="1"/>
  <c r="C9" i="2"/>
  <c r="C8" i="2"/>
  <c r="C25" i="2" l="1"/>
  <c r="C26" i="2" s="1"/>
  <c r="C19" i="2"/>
  <c r="C20" i="2" s="1"/>
  <c r="C10" i="2"/>
  <c r="C22" i="2"/>
  <c r="C23" i="2" s="1"/>
  <c r="M2" i="2"/>
  <c r="M7" i="2" s="1"/>
  <c r="L7" i="2"/>
  <c r="N2" i="2"/>
  <c r="N3" i="2" s="1"/>
  <c r="O4" i="2"/>
  <c r="P4" i="2" s="1"/>
  <c r="Q4" i="2" s="1"/>
  <c r="R4" i="2" s="1"/>
  <c r="S4" i="2" s="1"/>
  <c r="O6" i="2"/>
  <c r="P6" i="2" s="1"/>
  <c r="Q6" i="2" s="1"/>
  <c r="R6" i="2" s="1"/>
  <c r="S6" i="2" s="1"/>
  <c r="O5" i="2"/>
  <c r="P5" i="2" s="1"/>
  <c r="Q5" i="2" s="1"/>
  <c r="R5" i="2" s="1"/>
  <c r="S5" i="2" s="1"/>
  <c r="O3" i="2"/>
  <c r="P3" i="2" s="1"/>
  <c r="Q3" i="2" s="1"/>
  <c r="R3" i="2" s="1"/>
  <c r="S3" i="2" s="1"/>
  <c r="O2" i="2"/>
  <c r="P2" i="2" s="1"/>
  <c r="Q2" i="2" s="1"/>
  <c r="R2" i="2" s="1"/>
  <c r="S2" i="2" s="1"/>
  <c r="C13" i="2" s="1"/>
  <c r="D14" i="2" l="1"/>
  <c r="D15" i="2" s="1"/>
  <c r="C11" i="2"/>
  <c r="C12" i="2" s="1"/>
  <c r="B14" i="2"/>
  <c r="B15" i="2" s="1"/>
  <c r="F7" i="1" l="1"/>
  <c r="I6" i="1"/>
  <c r="J6" i="1" s="1"/>
  <c r="K6" i="1" s="1"/>
  <c r="L6" i="1" s="1"/>
  <c r="M6" i="1" s="1"/>
  <c r="H6" i="1"/>
  <c r="G6" i="1"/>
  <c r="F6" i="1"/>
  <c r="C6" i="1"/>
  <c r="G5" i="1"/>
  <c r="H5" i="1" s="1"/>
  <c r="I5" i="1" s="1"/>
  <c r="J5" i="1" s="1"/>
  <c r="K5" i="1" s="1"/>
  <c r="L5" i="1" s="1"/>
  <c r="M5" i="1" s="1"/>
  <c r="F5" i="1"/>
  <c r="C5" i="1"/>
  <c r="G4" i="1"/>
  <c r="H4" i="1" s="1"/>
  <c r="I4" i="1" s="1"/>
  <c r="J4" i="1" s="1"/>
  <c r="K4" i="1" s="1"/>
  <c r="L4" i="1" s="1"/>
  <c r="M4" i="1" s="1"/>
  <c r="F4" i="1"/>
  <c r="C4" i="1"/>
  <c r="F3" i="1"/>
  <c r="G3" i="1" s="1"/>
  <c r="H3" i="1" s="1"/>
  <c r="I3" i="1" s="1"/>
  <c r="J3" i="1" s="1"/>
  <c r="K3" i="1" s="1"/>
  <c r="L3" i="1" s="1"/>
  <c r="M3" i="1" s="1"/>
  <c r="C3" i="1"/>
  <c r="G2" i="1"/>
  <c r="H2" i="1" s="1"/>
  <c r="I2" i="1" s="1"/>
  <c r="F2" i="1"/>
  <c r="C2" i="1"/>
  <c r="C8" i="1" l="1"/>
  <c r="J2" i="1"/>
  <c r="K2" i="1" s="1"/>
  <c r="L2" i="1" s="1"/>
  <c r="E9" i="1"/>
  <c r="O5" i="1" s="1"/>
  <c r="P5" i="1" s="1"/>
  <c r="Q5" i="1" s="1"/>
  <c r="R5" i="1" s="1"/>
  <c r="S5" i="1" s="1"/>
  <c r="C9" i="1"/>
  <c r="O4" i="1" l="1"/>
  <c r="P4" i="1" s="1"/>
  <c r="Q4" i="1" s="1"/>
  <c r="R4" i="1" s="1"/>
  <c r="S4" i="1" s="1"/>
  <c r="O6" i="1"/>
  <c r="P6" i="1" s="1"/>
  <c r="Q6" i="1" s="1"/>
  <c r="R6" i="1" s="1"/>
  <c r="S6" i="1" s="1"/>
  <c r="O3" i="1"/>
  <c r="P3" i="1" s="1"/>
  <c r="Q3" i="1" s="1"/>
  <c r="R3" i="1" s="1"/>
  <c r="S3" i="1" s="1"/>
  <c r="N2" i="1"/>
  <c r="N3" i="1" s="1"/>
  <c r="O2" i="1"/>
  <c r="P2" i="1" s="1"/>
  <c r="Q2" i="1" s="1"/>
  <c r="R2" i="1" s="1"/>
  <c r="S2" i="1" s="1"/>
  <c r="M2" i="1"/>
  <c r="M7" i="1" s="1"/>
  <c r="L7" i="1"/>
  <c r="C19" i="1"/>
  <c r="C10" i="1"/>
  <c r="D14" i="1" l="1"/>
  <c r="D15" i="1" s="1"/>
  <c r="C11" i="1"/>
  <c r="C12" i="1" s="1"/>
  <c r="B14" i="1"/>
  <c r="B15" i="1" s="1"/>
  <c r="C13" i="1"/>
</calcChain>
</file>

<file path=xl/sharedStrings.xml><?xml version="1.0" encoding="utf-8"?>
<sst xmlns="http://schemas.openxmlformats.org/spreadsheetml/2006/main" count="132" uniqueCount="47">
  <si>
    <t>nw</t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</si>
  <si>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r-np)*(r-np)/np/(1-p)</t>
    </r>
  </si>
  <si>
    <r>
      <rPr>
        <sz val="12"/>
        <rFont val="宋体"/>
        <family val="3"/>
        <charset val="134"/>
      </rPr>
      <t>∑</t>
    </r>
    <r>
      <rPr>
        <sz val="12"/>
        <rFont val="Times New Roman"/>
        <family val="1"/>
      </rPr>
      <t>nw=</t>
    </r>
  </si>
  <si>
    <t>r=</t>
  </si>
  <si>
    <t>Y=</t>
  </si>
  <si>
    <t>+</t>
  </si>
  <si>
    <t>lgEC50=</t>
  </si>
  <si>
    <t>EC50=</t>
  </si>
  <si>
    <t>SE=</t>
  </si>
  <si>
    <t>x*x=</t>
  </si>
  <si>
    <t>x0.05*x0.05=</t>
  </si>
  <si>
    <t xml:space="preserve"> </t>
  </si>
  <si>
    <t>lgEC90=</t>
  </si>
  <si>
    <t>EC90=</t>
  </si>
  <si>
    <t>lgEC75=</t>
  </si>
  <si>
    <t>EC75=</t>
  </si>
  <si>
    <t>lgEC25=</t>
  </si>
  <si>
    <t>EC25=</t>
  </si>
  <si>
    <t>Concentration logarithm</t>
    <phoneticPr fontId="3" type="noConversion"/>
  </si>
  <si>
    <t>Concentration</t>
    <phoneticPr fontId="3" type="noConversion"/>
  </si>
  <si>
    <t>Mean of two diameters</t>
    <phoneticPr fontId="3" type="noConversion"/>
  </si>
  <si>
    <t>NORMSINV</t>
    <phoneticPr fontId="3" type="noConversion"/>
  </si>
  <si>
    <t xml:space="preserve">Colony diameters </t>
    <phoneticPr fontId="3" type="noConversion"/>
  </si>
  <si>
    <t>Probability value of inhibition rate(Y)</t>
    <phoneticPr fontId="3" type="noConversion"/>
  </si>
  <si>
    <t>n*nw</t>
  </si>
  <si>
    <r>
      <rPr>
        <sz val="12"/>
        <rFont val="Times New Roman"/>
        <family val="3"/>
      </rPr>
      <t>Weight coefficient parameter</t>
    </r>
    <r>
      <rPr>
        <sz val="12"/>
        <rFont val="Times New Roman"/>
        <family val="1"/>
      </rPr>
      <t>(Z)</t>
    </r>
    <phoneticPr fontId="3" type="noConversion"/>
  </si>
  <si>
    <t>Inhibition ratio</t>
    <phoneticPr fontId="3" type="noConversion"/>
  </si>
  <si>
    <t>Blocks</t>
    <phoneticPr fontId="3" type="noConversion"/>
  </si>
  <si>
    <r>
      <rPr>
        <sz val="12"/>
        <rFont val="Times New Roman"/>
        <family val="3"/>
      </rPr>
      <t>Weight coefficient</t>
    </r>
    <r>
      <rPr>
        <sz val="12"/>
        <rFont val="Times New Roman"/>
        <family val="1"/>
      </rPr>
      <t>(w)</t>
    </r>
    <phoneticPr fontId="3" type="noConversion"/>
  </si>
  <si>
    <r>
      <t>logEC50</t>
    </r>
    <r>
      <rPr>
        <sz val="12"/>
        <rFont val="Times New Roman"/>
        <family val="3"/>
      </rPr>
      <t>Standard Error</t>
    </r>
    <phoneticPr fontId="3" type="noConversion"/>
  </si>
  <si>
    <t>Theoretical probability</t>
    <phoneticPr fontId="3" type="noConversion"/>
  </si>
  <si>
    <r>
      <rPr>
        <sz val="12"/>
        <rFont val="Times New Roman"/>
        <family val="3"/>
      </rPr>
      <t xml:space="preserve">
Theoretical inhibition rate</t>
    </r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p)</t>
    </r>
    <phoneticPr fontId="3" type="noConversion"/>
  </si>
  <si>
    <t>Theoretical colony diameter</t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</si>
  <si>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r-np)</t>
    </r>
    <phoneticPr fontId="3" type="noConversion"/>
  </si>
  <si>
    <t>Control</t>
    <phoneticPr fontId="3" type="noConversion"/>
  </si>
  <si>
    <t>Correlation coefficient</t>
    <phoneticPr fontId="3" type="noConversion"/>
  </si>
  <si>
    <t>Regression equation</t>
    <phoneticPr fontId="3" type="noConversion"/>
  </si>
  <si>
    <t>concentration for 50% of maximal effect</t>
    <phoneticPr fontId="3" type="noConversion"/>
  </si>
  <si>
    <r>
      <t>EC50</t>
    </r>
    <r>
      <rPr>
        <sz val="12"/>
        <rFont val="Times New Roman"/>
        <family val="3"/>
      </rPr>
      <t>SE</t>
    </r>
    <phoneticPr fontId="3" type="noConversion"/>
  </si>
  <si>
    <t>X,2-test</t>
    <phoneticPr fontId="3" type="noConversion"/>
  </si>
  <si>
    <t>P=0.05,N=3</t>
    <phoneticPr fontId="3" type="noConversion"/>
  </si>
  <si>
    <t>lg value of 95% lower confidence limit</t>
    <phoneticPr fontId="3" type="noConversion"/>
  </si>
  <si>
    <t>lg value of 95% upper confidence limit</t>
    <phoneticPr fontId="3" type="noConversion"/>
  </si>
  <si>
    <t>95% confidence upper limit</t>
    <phoneticPr fontId="3" type="noConversion"/>
  </si>
  <si>
    <t>95% confidence lower limit</t>
    <phoneticPr fontId="3" type="noConversion"/>
  </si>
  <si>
    <t xml:space="preserve">Date </t>
    <phoneticPr fontId="3" type="noConversion"/>
  </si>
  <si>
    <r>
      <t xml:space="preserve">logEC50 </t>
    </r>
    <r>
      <rPr>
        <sz val="12"/>
        <rFont val="Times New Roman"/>
        <family val="3"/>
      </rPr>
      <t>Standard Error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</si>
</sst>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000_);[Red]\(0.0000\)"/>
    <numFmt numFmtId="178" formatCode="0.000"/>
    <numFmt numFmtId="179" formatCode="0.0000_ "/>
  </numFmts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Times New Roman"/>
      <family val="1"/>
    </font>
    <font>
      <sz val="9"/>
      <name val="Times New Roman"/>
      <family val="1"/>
    </font>
    <font>
      <sz val="12"/>
      <color indexed="10"/>
      <name val="宋体"/>
      <family val="3"/>
      <charset val="134"/>
    </font>
    <font>
      <sz val="12"/>
      <color indexed="10"/>
      <name val="Times New Roman"/>
      <family val="1"/>
    </font>
    <font>
      <sz val="12"/>
      <name val="Times New Roman"/>
      <family val="3"/>
    </font>
    <font>
      <sz val="12"/>
      <name val="Times New Roman"/>
      <family val="3"/>
      <charset val="134"/>
    </font>
    <font>
      <sz val="12"/>
      <name val="宋体"/>
      <family val="1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176" fontId="5" fillId="4" borderId="1" xfId="0" applyNumberFormat="1" applyFont="1" applyFill="1" applyBorder="1" applyAlignment="1">
      <alignment horizontal="center" vertical="top" wrapText="1"/>
    </xf>
    <xf numFmtId="176" fontId="2" fillId="5" borderId="0" xfId="0" applyNumberFormat="1" applyFont="1" applyFill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top" wrapText="1"/>
    </xf>
    <xf numFmtId="176" fontId="5" fillId="4" borderId="2" xfId="0" applyNumberFormat="1" applyFont="1" applyFill="1" applyBorder="1" applyAlignment="1">
      <alignment horizontal="center" vertical="top" wrapText="1"/>
    </xf>
    <xf numFmtId="177" fontId="2" fillId="5" borderId="0" xfId="0" applyNumberFormat="1" applyFont="1" applyFill="1" applyAlignment="1">
      <alignment horizontal="center" vertical="center" wrapText="1"/>
    </xf>
    <xf numFmtId="178" fontId="4" fillId="5" borderId="0" xfId="0" applyNumberFormat="1" applyFont="1" applyFill="1" applyAlignment="1">
      <alignment horizontal="center" vertical="center" wrapText="1"/>
    </xf>
    <xf numFmtId="178" fontId="2" fillId="5" borderId="0" xfId="0" applyNumberFormat="1" applyFont="1" applyFill="1" applyAlignment="1">
      <alignment horizontal="center" vertical="center" wrapText="1"/>
    </xf>
    <xf numFmtId="0" fontId="2" fillId="0" borderId="0" xfId="0" applyFont="1"/>
    <xf numFmtId="0" fontId="2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176" fontId="6" fillId="5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176" fontId="4" fillId="5" borderId="0" xfId="0" applyNumberFormat="1" applyFont="1" applyFill="1" applyAlignment="1">
      <alignment horizontal="center" vertical="center" wrapText="1"/>
    </xf>
    <xf numFmtId="176" fontId="7" fillId="5" borderId="0" xfId="0" applyNumberFormat="1" applyFont="1" applyFill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2" fontId="6" fillId="5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78" fontId="6" fillId="5" borderId="0" xfId="0" applyNumberFormat="1" applyFont="1" applyFill="1" applyAlignment="1">
      <alignment horizontal="center" vertical="center" wrapText="1"/>
    </xf>
    <xf numFmtId="179" fontId="2" fillId="0" borderId="0" xfId="0" applyNumberFormat="1" applyFont="1"/>
    <xf numFmtId="0" fontId="4" fillId="2" borderId="0" xfId="0" applyFont="1" applyFill="1"/>
    <xf numFmtId="177" fontId="4" fillId="5" borderId="0" xfId="0" applyNumberFormat="1" applyFont="1" applyFill="1" applyAlignment="1">
      <alignment horizontal="center" vertical="center" wrapText="1"/>
    </xf>
    <xf numFmtId="0" fontId="4" fillId="0" borderId="0" xfId="0" applyFont="1"/>
    <xf numFmtId="178" fontId="4" fillId="0" borderId="0" xfId="0" applyNumberFormat="1" applyFont="1" applyAlignment="1">
      <alignment horizontal="center" vertical="center" wrapText="1"/>
    </xf>
    <xf numFmtId="9" fontId="4" fillId="0" borderId="0" xfId="1" applyFont="1" applyFill="1" applyBorder="1" applyAlignment="1">
      <alignment horizontal="center" vertical="center" wrapText="1"/>
    </xf>
    <xf numFmtId="2" fontId="7" fillId="5" borderId="0" xfId="0" applyNumberFormat="1" applyFont="1" applyFill="1" applyAlignment="1">
      <alignment horizontal="center" vertical="center" wrapText="1"/>
    </xf>
    <xf numFmtId="178" fontId="7" fillId="5" borderId="0" xfId="0" applyNumberFormat="1" applyFont="1" applyFill="1" applyAlignment="1">
      <alignment horizontal="center" vertical="center" wrapText="1"/>
    </xf>
    <xf numFmtId="0" fontId="4" fillId="3" borderId="0" xfId="0" applyFont="1" applyFill="1"/>
    <xf numFmtId="179" fontId="4" fillId="0" borderId="0" xfId="0" applyNumberFormat="1" applyFont="1"/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5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en-US" altLang="zh-CN">
                <a:latin typeface="Times New Roman" panose="02020603050405020304" pitchFamily="18" charset="0"/>
                <a:cs typeface="Times New Roman" panose="02020603050405020304" pitchFamily="18" charset="0"/>
              </a:rPr>
              <a:t>Toxicity Curve</a:t>
            </a:r>
            <a:endParaRPr lang="zh-CN" altLang="en-US" sz="1550" b="0" i="0" u="none" strike="noStrike" baseline="0">
              <a:solidFill>
                <a:srgbClr val="000000">
                  <a:alpha val="100000"/>
                </a:srgbClr>
              </a:solidFill>
              <a:latin typeface="Times New Roman" panose="02020603050405020304" pitchFamily="18" charset="0"/>
              <a:ea typeface="宋体" panose="02010600030101010101" pitchFamily="7" charset="-122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678682366539044"/>
          <c:y val="0.14678180576622091"/>
          <c:w val="0.72931701719103292"/>
          <c:h val="0.70833358512457634"/>
        </c:manualLayout>
      </c:layout>
      <c:scatterChart>
        <c:scatterStyle val="lineMarker"/>
        <c:varyColors val="0"/>
        <c:ser>
          <c:idx val="0"/>
          <c:order val="0"/>
          <c:spPr>
            <a:ln w="3175" cap="rnd" cmpd="sng" algn="ctr">
              <a:noFill/>
              <a:prstDash val="solid"/>
              <a:round/>
            </a:ln>
          </c:spPr>
          <c:marker>
            <c:symbol val="diamond"/>
            <c:size val="5"/>
            <c:spPr>
              <a:solidFill>
                <a:srgbClr val="000080">
                  <a:alpha val="100000"/>
                </a:srgbClr>
              </a:solidFill>
              <a:ln w="6350" cap="flat" cmpd="sng" algn="ctr">
                <a:solidFill>
                  <a:srgbClr val="000080">
                    <a:alpha val="100000"/>
                  </a:srgbClr>
                </a:solidFill>
                <a:prstDash val="solid"/>
                <a:round/>
              </a:ln>
            </c:spPr>
          </c:marker>
          <c:trendline>
            <c:spPr>
              <a:ln w="28575" cap="rnd" cmpd="sng" algn="ctr">
                <a:solidFill>
                  <a:srgbClr val="000000">
                    <a:alpha val="100000"/>
                  </a:srgbClr>
                </a:solidFill>
                <a:prstDash val="solid"/>
                <a:round/>
              </a:ln>
            </c:spPr>
            <c:trendlineType val="linear"/>
            <c:dispRSqr val="1"/>
            <c:dispEq val="1"/>
            <c:trendlineLbl>
              <c:layout>
                <c:manualLayout>
                  <c:x val="-0.10692231652861574"/>
                  <c:y val="0.12139701838881806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55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  <a:endParaRPr lang="zh-CN"/>
                </a:p>
              </c:txPr>
            </c:trendlineLbl>
          </c:trendline>
          <c:yVal>
            <c:numRef>
              <c:f>'o. vulgare（5d）'!$I$2:$I$6</c:f>
              <c:numCache>
                <c:formatCode>0.0000_);[Red]\(0.0000\)</c:formatCode>
                <c:ptCount val="5"/>
                <c:pt idx="0">
                  <c:v>4.2780572400826467</c:v>
                </c:pt>
                <c:pt idx="1">
                  <c:v>4.7066187678788065</c:v>
                </c:pt>
                <c:pt idx="2">
                  <c:v>5.0670773234171378</c:v>
                </c:pt>
                <c:pt idx="3">
                  <c:v>5.2268854445358794</c:v>
                </c:pt>
                <c:pt idx="4">
                  <c:v>5.9747781260151189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4A-42E3-960D-2E28FDA4B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65752"/>
        <c:axId val="803263562"/>
      </c:scatterChart>
      <c:valAx>
        <c:axId val="2276575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Log of concentration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6506128247730507"/>
              <c:y val="0.91371607616584372"/>
            </c:manualLayout>
          </c:layout>
          <c:overlay val="0"/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803263562"/>
        <c:crosses val="autoZero"/>
        <c:crossBetween val="midCat"/>
      </c:valAx>
      <c:valAx>
        <c:axId val="80326356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>
                  <a:alpha val="100000"/>
                </a:srgb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Probability valua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5411141789094545E-2"/>
              <c:y val="0.34647451973338328"/>
            </c:manualLayout>
          </c:layout>
          <c:overlay val="0"/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22765752"/>
        <c:crosses val="autoZero"/>
        <c:crossBetween val="midCat"/>
      </c:valAx>
      <c:spPr>
        <a:solidFill>
          <a:srgbClr val="C0C0C0">
            <a:alpha val="100000"/>
          </a:srgbClr>
        </a:solidFill>
        <a:ln w="12700">
          <a:solidFill>
            <a:srgbClr val="808080">
              <a:alpha val="100000"/>
            </a:srgbClr>
          </a:solidFill>
          <a:prstDash val="solid"/>
        </a:ln>
      </c:spPr>
    </c:plotArea>
    <c:plotVisOnly val="1"/>
    <c:dispBlanksAs val="gap"/>
    <c:showDLblsOverMax val="0"/>
  </c:chart>
  <c:spPr>
    <a:solidFill>
      <a:srgbClr val="FFFFFF">
        <a:alpha val="100000"/>
      </a:srgbClr>
    </a:solidFill>
    <a:ln w="3175" cap="flat" cmpd="sng" algn="ctr">
      <a:solidFill>
        <a:srgbClr val="000000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550" b="0" i="0" u="none" strike="noStrike" baseline="0">
          <a:solidFill>
            <a:srgbClr val="000000">
              <a:alpha val="100000"/>
            </a:srgbClr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5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en-US" altLang="zh-CN">
                <a:latin typeface="Times New Roman" panose="02020603050405020304" pitchFamily="18" charset="0"/>
                <a:cs typeface="Times New Roman" panose="02020603050405020304" pitchFamily="18" charset="0"/>
              </a:rPr>
              <a:t>Toxicity Curve</a:t>
            </a:r>
            <a:endParaRPr lang="zh-CN" altLang="en-US" sz="1550" b="0" i="0" u="none" strike="noStrike" baseline="0">
              <a:solidFill>
                <a:srgbClr val="000000">
                  <a:alpha val="100000"/>
                </a:srgbClr>
              </a:solidFill>
              <a:latin typeface="Times New Roman" panose="02020603050405020304" pitchFamily="18" charset="0"/>
              <a:ea typeface="宋体" panose="02010600030101010101" pitchFamily="7" charset="-122"/>
              <a:cs typeface="Times New Roman" panose="02020603050405020304" pitchFamily="18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01267112338147"/>
          <c:y val="0.13382506312645365"/>
          <c:w val="0.77634629374210706"/>
          <c:h val="0.7335135436995045"/>
        </c:manualLayout>
      </c:layout>
      <c:scatterChart>
        <c:scatterStyle val="lineMarker"/>
        <c:varyColors val="0"/>
        <c:ser>
          <c:idx val="0"/>
          <c:order val="0"/>
          <c:spPr>
            <a:ln w="3175" cap="rnd" cmpd="sng" algn="ctr">
              <a:noFill/>
              <a:prstDash val="solid"/>
              <a:round/>
            </a:ln>
          </c:spPr>
          <c:marker>
            <c:symbol val="diamond"/>
            <c:size val="5"/>
            <c:spPr>
              <a:solidFill>
                <a:srgbClr val="000080">
                  <a:alpha val="100000"/>
                </a:srgbClr>
              </a:solidFill>
              <a:ln w="6350" cap="flat" cmpd="sng" algn="ctr">
                <a:solidFill>
                  <a:srgbClr val="000080">
                    <a:alpha val="100000"/>
                  </a:srgbClr>
                </a:solidFill>
                <a:prstDash val="solid"/>
                <a:round/>
              </a:ln>
            </c:spPr>
          </c:marker>
          <c:trendline>
            <c:spPr>
              <a:ln w="28575" cap="rnd" cmpd="sng" algn="ctr">
                <a:solidFill>
                  <a:srgbClr val="000000">
                    <a:alpha val="100000"/>
                  </a:srgbClr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550" b="0" i="0" u="none" strike="noStrike" kern="1200" baseline="0">
                      <a:solidFill>
                        <a:srgbClr val="000000"/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  <a:endParaRPr lang="zh-CN"/>
                </a:p>
              </c:txPr>
            </c:trendlineLbl>
          </c:trendline>
          <c:yVal>
            <c:numRef>
              <c:f>'cavacrol（5d）'!$I$2:$I$6</c:f>
              <c:numCache>
                <c:formatCode>0.0000_);[Red]\(0.0000\)</c:formatCode>
                <c:ptCount val="5"/>
                <c:pt idx="0">
                  <c:v>3.8864214439198719</c:v>
                </c:pt>
                <c:pt idx="1">
                  <c:v>4.480365360929814</c:v>
                </c:pt>
                <c:pt idx="2">
                  <c:v>4.9867670361844434</c:v>
                </c:pt>
                <c:pt idx="3">
                  <c:v>5.6083031603816975</c:v>
                </c:pt>
                <c:pt idx="4">
                  <c:v>6.2022648388944912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3F-4B80-836F-D04818539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01863"/>
        <c:axId val="540952488"/>
      </c:scatterChart>
      <c:valAx>
        <c:axId val="167801863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 b="0" i="0" u="none" strike="noStrike" baseline="0">
                    <a:solidFill>
                      <a:srgbClr val="000000">
                        <a:alpha val="100000"/>
                      </a:srgbClr>
                    </a:solidFill>
                    <a:latin typeface="Times New Roman" panose="02020603050405020304" pitchFamily="18" charset="0"/>
                    <a:ea typeface="宋体" panose="02010600030101010101" pitchFamily="7" charset="-122"/>
                    <a:cs typeface="Times New Roman" panose="02020603050405020304" pitchFamily="18" charset="0"/>
                  </a:rPr>
                  <a:t>Log of concentration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4962186002803386"/>
              <c:y val="0.91276447152041862"/>
            </c:manualLayout>
          </c:layout>
          <c:overlay val="0"/>
          <c:spPr>
            <a:noFill/>
            <a:ln w="3175">
              <a:noFill/>
            </a:ln>
          </c:spPr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540952488"/>
        <c:crosses val="autoZero"/>
        <c:crossBetween val="midCat"/>
      </c:valAx>
      <c:valAx>
        <c:axId val="54095248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>
                  <a:alpha val="100000"/>
                </a:srgb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Probability value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0981097256312155E-2"/>
              <c:y val="0.35389345866980754"/>
            </c:manualLayout>
          </c:layout>
          <c:overlay val="0"/>
          <c:spPr>
            <a:noFill/>
            <a:ln w="3175">
              <a:noFill/>
            </a:ln>
          </c:spPr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67801863"/>
        <c:crosses val="autoZero"/>
        <c:crossBetween val="midCat"/>
      </c:valAx>
      <c:spPr>
        <a:solidFill>
          <a:srgbClr val="C0C0C0">
            <a:alpha val="100000"/>
          </a:srgbClr>
        </a:solidFill>
        <a:ln w="12700">
          <a:solidFill>
            <a:srgbClr val="808080">
              <a:alpha val="100000"/>
            </a:srgbClr>
          </a:solidFill>
          <a:prstDash val="solid"/>
        </a:ln>
      </c:spPr>
    </c:plotArea>
    <c:plotVisOnly val="1"/>
    <c:dispBlanksAs val="gap"/>
    <c:showDLblsOverMax val="0"/>
  </c:chart>
  <c:spPr>
    <a:solidFill>
      <a:srgbClr val="FFFFFF">
        <a:alpha val="100000"/>
      </a:srgbClr>
    </a:solidFill>
    <a:ln w="3175" cap="flat" cmpd="sng" algn="ctr">
      <a:solidFill>
        <a:srgbClr val="000000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55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5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en-US" altLang="zh-CN" sz="1550" b="0" i="0" u="none" strike="noStrike" baseline="0">
                <a:solidFill>
                  <a:srgbClr val="000000">
                    <a:alpha val="100000"/>
                  </a:srgbClr>
                </a:solidFill>
                <a:latin typeface="Times New Roman" panose="02020603050405020304" pitchFamily="18" charset="0"/>
                <a:ea typeface="宋体" panose="02010600030101010101" pitchFamily="7" charset="-122"/>
                <a:cs typeface="Times New Roman" panose="02020603050405020304" pitchFamily="18" charset="0"/>
              </a:rPr>
              <a:t>Toxicity Curve</a:t>
            </a:r>
          </a:p>
          <a:p>
            <a:pPr defTabSz="914400">
              <a:defRPr lang="zh-CN" sz="155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en-US" altLang="zh-CN" sz="1550" b="0" i="0" u="none" strike="noStrike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 </a:t>
            </a:r>
            <a:endParaRPr lang="zh-CN" altLang="en-US" sz="1550" b="0" i="0" u="none" strike="noStrike" baseline="0">
              <a:solidFill>
                <a:srgbClr val="000000">
                  <a:alpha val="100000"/>
                </a:srgbClr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3393800580241258"/>
          <c:y val="0"/>
        </c:manualLayout>
      </c:layout>
      <c:overlay val="0"/>
      <c:spPr>
        <a:noFill/>
        <a:ln w="3175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43610793497355"/>
          <c:y val="0.11162833846421726"/>
          <c:w val="0.77770147032124881"/>
          <c:h val="0.74261944826227888"/>
        </c:manualLayout>
      </c:layout>
      <c:scatterChart>
        <c:scatterStyle val="lineMarker"/>
        <c:varyColors val="0"/>
        <c:ser>
          <c:idx val="0"/>
          <c:order val="0"/>
          <c:spPr>
            <a:ln w="3175" cap="rnd" cmpd="sng" algn="ctr">
              <a:noFill/>
              <a:prstDash val="solid"/>
              <a:round/>
            </a:ln>
          </c:spPr>
          <c:marker>
            <c:symbol val="diamond"/>
            <c:size val="5"/>
            <c:spPr>
              <a:solidFill>
                <a:srgbClr val="000080">
                  <a:alpha val="100000"/>
                </a:srgbClr>
              </a:solidFill>
              <a:ln w="6350" cap="flat" cmpd="sng" algn="ctr">
                <a:solidFill>
                  <a:srgbClr val="000080">
                    <a:alpha val="100000"/>
                  </a:srgbClr>
                </a:solidFill>
                <a:prstDash val="solid"/>
                <a:round/>
              </a:ln>
            </c:spPr>
          </c:marker>
          <c:trendline>
            <c:spPr>
              <a:ln w="28575" cap="rnd" cmpd="sng" algn="ctr">
                <a:solidFill>
                  <a:srgbClr val="000000">
                    <a:alpha val="100000"/>
                  </a:srgbClr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5.520347519546772E-2"/>
                  <c:y val="9.6308189861259191E-2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550" b="0" i="0" u="none" strike="noStrike" kern="1200" baseline="0">
                      <a:solidFill>
                        <a:srgbClr val="000000"/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  <a:endParaRPr lang="zh-CN"/>
                </a:p>
              </c:txPr>
            </c:trendlineLbl>
          </c:trendline>
          <c:yVal>
            <c:numRef>
              <c:f>'thymol（6d）'!$I$2:$I$6</c:f>
              <c:numCache>
                <c:formatCode>0.0000_);[Red]\(0.0000\)</c:formatCode>
                <c:ptCount val="5"/>
                <c:pt idx="0">
                  <c:v>4.1147499773675591</c:v>
                </c:pt>
                <c:pt idx="1">
                  <c:v>4.8956526876292763</c:v>
                </c:pt>
                <c:pt idx="2">
                  <c:v>5.8141983419965468</c:v>
                </c:pt>
                <c:pt idx="3">
                  <c:v>6.2319074685225901</c:v>
                </c:pt>
                <c:pt idx="4">
                  <c:v>6.4280767985373242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6F-4DB4-87A2-5515BEA7A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01863"/>
        <c:axId val="540952488"/>
      </c:scatterChart>
      <c:valAx>
        <c:axId val="167801863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Log of concentration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6898775193183309"/>
              <c:y val="0.91074631168656939"/>
            </c:manualLayout>
          </c:layout>
          <c:overlay val="0"/>
          <c:spPr>
            <a:noFill/>
            <a:ln w="3175">
              <a:noFill/>
            </a:ln>
          </c:spPr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540952488"/>
        <c:crosses val="autoZero"/>
        <c:crossBetween val="midCat"/>
      </c:valAx>
      <c:valAx>
        <c:axId val="54095248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>
                  <a:alpha val="100000"/>
                </a:srgb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825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  <a:r>
                  <a:rPr lang="en-US" altLang="zh-CN" sz="1200" b="0" i="0" u="none" strike="noStrike" baseline="0">
                    <a:solidFill>
                      <a:srgbClr val="000000">
                        <a:alpha val="100000"/>
                      </a:srgbClr>
                    </a:solidFill>
                    <a:latin typeface="Times New Roman" panose="02020603050405020304" pitchFamily="18" charset="0"/>
                    <a:ea typeface="宋体" panose="02010600030101010101" pitchFamily="7" charset="-122"/>
                    <a:cs typeface="Times New Roman" panose="02020603050405020304" pitchFamily="18" charset="0"/>
                  </a:rPr>
                  <a:t>Probability value</a:t>
                </a:r>
                <a:endParaRPr lang="zh-CN" altLang="en-US" sz="1200" b="0" i="0" u="none" strike="noStrike" baseline="0">
                  <a:solidFill>
                    <a:srgbClr val="000000">
                      <a:alpha val="100000"/>
                    </a:srgbClr>
                  </a:solidFill>
                  <a:latin typeface="Times New Roman" panose="02020603050405020304" pitchFamily="18" charset="0"/>
                  <a:ea typeface="宋体" panose="02010600030101010101" pitchFamily="7" charset="-122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8799528208309726E-2"/>
              <c:y val="0.29899794336474661"/>
            </c:manualLayout>
          </c:layout>
          <c:overlay val="0"/>
          <c:spPr>
            <a:noFill/>
            <a:ln w="3175">
              <a:noFill/>
            </a:ln>
          </c:spPr>
        </c:title>
        <c:numFmt formatCode="0.00_);[Red]\(0.00\)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67801863"/>
        <c:crosses val="autoZero"/>
        <c:crossBetween val="midCat"/>
      </c:valAx>
      <c:spPr>
        <a:solidFill>
          <a:srgbClr val="C0C0C0">
            <a:alpha val="100000"/>
          </a:srgbClr>
        </a:solidFill>
        <a:ln w="12700">
          <a:solidFill>
            <a:srgbClr val="808080">
              <a:alpha val="100000"/>
            </a:srgbClr>
          </a:solidFill>
          <a:prstDash val="solid"/>
        </a:ln>
      </c:spPr>
    </c:plotArea>
    <c:plotVisOnly val="1"/>
    <c:dispBlanksAs val="gap"/>
    <c:showDLblsOverMax val="0"/>
  </c:chart>
  <c:spPr>
    <a:solidFill>
      <a:srgbClr val="FFFFFF">
        <a:alpha val="100000"/>
      </a:srgbClr>
    </a:solidFill>
    <a:ln w="3175" cap="flat" cmpd="sng" algn="ctr">
      <a:solidFill>
        <a:srgbClr val="000000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55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251460</xdr:colOff>
      <xdr:row>7</xdr:row>
      <xdr:rowOff>312421</xdr:rowOff>
    </xdr:from>
    <xdr:to>
      <xdr:col>9</xdr:col>
      <xdr:colOff>830580</xdr:colOff>
      <xdr:row>14</xdr:row>
      <xdr:rowOff>452121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79046D1E-3156-4984-BE13-3914B7B3A0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7</xdr:row>
      <xdr:rowOff>184785</xdr:rowOff>
    </xdr:from>
    <xdr:to>
      <xdr:col>15</xdr:col>
      <xdr:colOff>563880</xdr:colOff>
      <xdr:row>14</xdr:row>
      <xdr:rowOff>525780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1D542FF-E862-424F-9C86-4BA31717B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481965</xdr:colOff>
      <xdr:row>7</xdr:row>
      <xdr:rowOff>47625</xdr:rowOff>
    </xdr:from>
    <xdr:to>
      <xdr:col>11</xdr:col>
      <xdr:colOff>167640</xdr:colOff>
      <xdr:row>14</xdr:row>
      <xdr:rowOff>381000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A1CEDE0-8356-4928-BD13-B857A8771E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workbookViewId="0">
      <selection activeCell="M16" sqref="M16"/>
    </sheetView>
  </sheetViews>
  <sheetFormatPr defaultColWidth="9" defaultRowHeight="16.2" x14ac:dyDescent="0.3"/>
  <cols>
    <col min="1" max="1" width="14.33203125" style="33" customWidth="1"/>
    <col min="2" max="2" width="13.33203125" style="9" customWidth="1"/>
    <col min="3" max="3" width="14" style="9" customWidth="1"/>
    <col min="4" max="4" width="9" style="9"/>
    <col min="5" max="5" width="14.77734375" style="9" customWidth="1"/>
    <col min="6" max="6" width="11.109375" style="9" customWidth="1"/>
    <col min="7" max="7" width="11.88671875" style="9" customWidth="1"/>
    <col min="8" max="8" width="20.21875" style="9" customWidth="1"/>
    <col min="9" max="9" width="20" style="9" customWidth="1"/>
    <col min="10" max="10" width="18.6640625" style="9" customWidth="1"/>
    <col min="11" max="11" width="15.5546875" style="9" customWidth="1"/>
    <col min="12" max="13" width="7.21875" style="9" customWidth="1"/>
    <col min="14" max="14" width="15.77734375" style="9" customWidth="1"/>
    <col min="15" max="15" width="11.88671875" style="9" customWidth="1"/>
    <col min="16" max="16" width="15.6640625" style="9" customWidth="1"/>
    <col min="17" max="17" width="13.33203125" style="9" customWidth="1"/>
    <col min="18" max="18" width="13.44140625" style="9" customWidth="1"/>
    <col min="19" max="19" width="22" style="9" customWidth="1"/>
    <col min="20" max="16384" width="9" style="9"/>
  </cols>
  <sheetData>
    <row r="1" spans="1:19" s="26" customFormat="1" ht="63" x14ac:dyDescent="0.3">
      <c r="A1" s="1" t="s">
        <v>45</v>
      </c>
      <c r="B1" s="1" t="s">
        <v>19</v>
      </c>
      <c r="C1" s="1" t="s">
        <v>18</v>
      </c>
      <c r="D1" s="1" t="s">
        <v>27</v>
      </c>
      <c r="E1" s="1" t="s">
        <v>20</v>
      </c>
      <c r="F1" s="1" t="s">
        <v>22</v>
      </c>
      <c r="G1" s="1" t="s">
        <v>26</v>
      </c>
      <c r="H1" s="1" t="s">
        <v>21</v>
      </c>
      <c r="I1" s="1" t="s">
        <v>23</v>
      </c>
      <c r="J1" s="35" t="s">
        <v>25</v>
      </c>
      <c r="K1" s="35" t="s">
        <v>28</v>
      </c>
      <c r="L1" s="1" t="s">
        <v>0</v>
      </c>
      <c r="M1" s="1" t="s">
        <v>24</v>
      </c>
      <c r="N1" s="1" t="s">
        <v>46</v>
      </c>
      <c r="O1" s="1" t="s">
        <v>30</v>
      </c>
      <c r="P1" s="36" t="s">
        <v>31</v>
      </c>
      <c r="Q1" s="35" t="s">
        <v>32</v>
      </c>
      <c r="R1" s="36" t="s">
        <v>33</v>
      </c>
      <c r="S1" s="1" t="s">
        <v>1</v>
      </c>
    </row>
    <row r="2" spans="1:19" ht="15.6" x14ac:dyDescent="0.25">
      <c r="A2" s="20">
        <v>1</v>
      </c>
      <c r="B2" s="2">
        <v>50</v>
      </c>
      <c r="C2" s="3">
        <f t="shared" ref="C2:C6" si="0">LOG10(B2)</f>
        <v>1.6989700043360187</v>
      </c>
      <c r="D2" s="4">
        <v>3</v>
      </c>
      <c r="E2" s="5">
        <v>5.72</v>
      </c>
      <c r="F2" s="5">
        <f>(E2-0.5)*10</f>
        <v>52.199999999999996</v>
      </c>
      <c r="G2" s="3">
        <f>(F7-F2)/F7</f>
        <v>0.23516483516483522</v>
      </c>
      <c r="H2" s="3">
        <f t="shared" ref="H2:H6" si="1">NORMSINV(G2)</f>
        <v>-0.72194275991735357</v>
      </c>
      <c r="I2" s="6">
        <f t="shared" ref="I2:I6" si="2">5+H2</f>
        <v>4.2780572400826467</v>
      </c>
      <c r="J2" s="7">
        <f t="shared" ref="J2:J6" si="3">1/POWER(PI()*2,1/2)*EXP(-1/2*(I2-5)*(I2-5))</f>
        <v>0.30742036296551639</v>
      </c>
      <c r="K2" s="8">
        <f t="shared" ref="K2:K6" si="4">J2*J2/G2/(1-G2)</f>
        <v>0.52544230186164087</v>
      </c>
      <c r="L2" s="8">
        <f t="shared" ref="L2:L6" si="5">D2*K2</f>
        <v>1.5763269055849225</v>
      </c>
      <c r="M2" s="7">
        <f>L2*(C2-AVERAGE(C2:C6))*(C2-AVERAGE(C2:C6))</f>
        <v>0.35722124830660984</v>
      </c>
      <c r="N2" s="7">
        <f>1/E9/E9*(1/L7+(C10-AVERAGE(C2:C6))*(C10-AVERAGE(C2:C6))/M7)</f>
        <v>3.8048816828294342E-2</v>
      </c>
      <c r="O2" s="3">
        <f>C2*E9+C9</f>
        <v>4.2121120548367346</v>
      </c>
      <c r="P2" s="3">
        <f t="shared" ref="P2:P6" si="6">NORMSDIST(O2-5)</f>
        <v>0.21538112649824759</v>
      </c>
      <c r="Q2" s="3">
        <f>F7-F7*P2</f>
        <v>53.550238116494604</v>
      </c>
      <c r="R2" s="6">
        <f t="shared" ref="R2:R6" si="7">F2-Q2</f>
        <v>-1.3502381164946087</v>
      </c>
      <c r="S2" s="3">
        <f t="shared" ref="S2:S6" si="8">R2*R2/Q2/(1-P2)</f>
        <v>4.3391091063952274E-2</v>
      </c>
    </row>
    <row r="3" spans="1:19" ht="15.6" x14ac:dyDescent="0.25">
      <c r="A3" s="20">
        <v>2</v>
      </c>
      <c r="B3" s="5">
        <v>100</v>
      </c>
      <c r="C3" s="3">
        <f t="shared" si="0"/>
        <v>2</v>
      </c>
      <c r="D3" s="4">
        <v>3</v>
      </c>
      <c r="E3" s="5">
        <v>4.7</v>
      </c>
      <c r="F3" s="5">
        <f t="shared" ref="F3:F7" si="9">(E3-0.5)*10</f>
        <v>42</v>
      </c>
      <c r="G3" s="3">
        <f>(F7-F3)/F7</f>
        <v>0.38461538461538464</v>
      </c>
      <c r="H3" s="3">
        <f t="shared" si="1"/>
        <v>-0.29338123212119332</v>
      </c>
      <c r="I3" s="6">
        <f t="shared" si="2"/>
        <v>4.7066187678788065</v>
      </c>
      <c r="J3" s="7">
        <f t="shared" si="3"/>
        <v>0.38213749259113639</v>
      </c>
      <c r="K3" s="8">
        <f t="shared" si="4"/>
        <v>0.61697279220522749</v>
      </c>
      <c r="L3" s="8">
        <f t="shared" si="5"/>
        <v>1.8509183766156825</v>
      </c>
      <c r="M3" s="7">
        <f>L3*(C3-AVERAGE(C2:C6))*(C3-AVERAGE(C2:C6))</f>
        <v>5.6692313109356102E-2</v>
      </c>
      <c r="N3" s="8">
        <f>POWER(N2,1/2)</f>
        <v>0.19506105923093503</v>
      </c>
      <c r="O3" s="3">
        <f>C3*E9+C9</f>
        <v>4.7423908764603224</v>
      </c>
      <c r="P3" s="3">
        <f t="shared" si="6"/>
        <v>0.39835429387539811</v>
      </c>
      <c r="Q3" s="3">
        <f>F7-F7*P3</f>
        <v>41.062319443004078</v>
      </c>
      <c r="R3" s="6">
        <f t="shared" si="7"/>
        <v>0.93768055699592168</v>
      </c>
      <c r="S3" s="3">
        <f t="shared" si="8"/>
        <v>3.5589797998934303E-2</v>
      </c>
    </row>
    <row r="4" spans="1:19" ht="15.6" x14ac:dyDescent="0.25">
      <c r="A4" s="20">
        <v>3</v>
      </c>
      <c r="B4" s="5">
        <v>150</v>
      </c>
      <c r="C4" s="3">
        <f t="shared" si="0"/>
        <v>2.1760912590556813</v>
      </c>
      <c r="D4" s="4">
        <v>3</v>
      </c>
      <c r="E4" s="5">
        <v>3.73</v>
      </c>
      <c r="F4" s="5">
        <f t="shared" si="9"/>
        <v>32.299999999999997</v>
      </c>
      <c r="G4" s="3">
        <f>(F7-F4)/F7</f>
        <v>0.52673992673992676</v>
      </c>
      <c r="H4" s="3">
        <f t="shared" si="1"/>
        <v>6.7077323417138124E-2</v>
      </c>
      <c r="I4" s="6">
        <f t="shared" si="2"/>
        <v>5.0670773234171378</v>
      </c>
      <c r="J4" s="7">
        <f t="shared" si="3"/>
        <v>0.398045795254658</v>
      </c>
      <c r="K4" s="8">
        <f t="shared" si="4"/>
        <v>0.63557963845295995</v>
      </c>
      <c r="L4" s="8">
        <f t="shared" si="5"/>
        <v>1.9067389153588798</v>
      </c>
      <c r="M4" s="7">
        <f>L4*(C4-AVERAGE(C2:C6))*(C4-AVERAGE(C2:C6))</f>
        <v>2.219929862751066E-6</v>
      </c>
      <c r="N4" s="10"/>
      <c r="O4" s="3">
        <f>C4*E9+C9</f>
        <v>5.0525841020367244</v>
      </c>
      <c r="P4" s="3">
        <f t="shared" si="6"/>
        <v>0.52096835790932572</v>
      </c>
      <c r="Q4" s="3">
        <f>F7-F7*P4</f>
        <v>32.693909572688518</v>
      </c>
      <c r="R4" s="6">
        <f t="shared" si="7"/>
        <v>-0.39390957268852134</v>
      </c>
      <c r="S4" s="3">
        <f t="shared" si="8"/>
        <v>9.9074527920080327E-3</v>
      </c>
    </row>
    <row r="5" spans="1:19" ht="15.6" x14ac:dyDescent="0.25">
      <c r="A5" s="20">
        <v>4</v>
      </c>
      <c r="B5" s="5">
        <v>250</v>
      </c>
      <c r="C5" s="3">
        <f t="shared" si="0"/>
        <v>2.3979400086720375</v>
      </c>
      <c r="D5" s="4">
        <v>3</v>
      </c>
      <c r="E5" s="5">
        <v>3.3</v>
      </c>
      <c r="F5" s="5">
        <f t="shared" si="9"/>
        <v>28</v>
      </c>
      <c r="G5" s="3">
        <f>(F7-F5)/F7</f>
        <v>0.58974358974358976</v>
      </c>
      <c r="H5" s="3">
        <f t="shared" si="1"/>
        <v>0.22688544453587917</v>
      </c>
      <c r="I5" s="6">
        <f t="shared" si="2"/>
        <v>5.2268854445358794</v>
      </c>
      <c r="J5" s="7">
        <f t="shared" si="3"/>
        <v>0.38880512080968105</v>
      </c>
      <c r="K5" s="8">
        <f t="shared" si="4"/>
        <v>0.62480622503551753</v>
      </c>
      <c r="L5" s="8">
        <f t="shared" si="5"/>
        <v>1.8744186751065526</v>
      </c>
      <c r="M5" s="7">
        <f>L5*(C5-AVERAGE(C2:C6))*(C5-AVERAGE(C2:C6))</f>
        <v>9.315258075783113E-2</v>
      </c>
      <c r="N5" s="10"/>
      <c r="O5" s="3">
        <f>C5*E9+C9</f>
        <v>5.4433813488883072</v>
      </c>
      <c r="P5" s="3">
        <f t="shared" si="6"/>
        <v>0.67125503793741936</v>
      </c>
      <c r="Q5" s="3">
        <f>F7-F7*P5</f>
        <v>22.436843660771132</v>
      </c>
      <c r="R5" s="6">
        <f t="shared" si="7"/>
        <v>5.5631563392288683</v>
      </c>
      <c r="S5" s="3">
        <f t="shared" si="8"/>
        <v>4.1958665016287533</v>
      </c>
    </row>
    <row r="6" spans="1:19" ht="15.6" x14ac:dyDescent="0.25">
      <c r="A6" s="20">
        <v>5</v>
      </c>
      <c r="B6" s="5">
        <v>400</v>
      </c>
      <c r="C6" s="3">
        <f t="shared" si="0"/>
        <v>2.6020599913279625</v>
      </c>
      <c r="D6" s="4">
        <v>3</v>
      </c>
      <c r="E6" s="5">
        <v>1.625</v>
      </c>
      <c r="F6" s="5">
        <f t="shared" si="9"/>
        <v>11.25</v>
      </c>
      <c r="G6" s="3">
        <f>(F7-F6)/F7</f>
        <v>0.8351648351648352</v>
      </c>
      <c r="H6" s="3">
        <f t="shared" si="1"/>
        <v>0.97477812601511937</v>
      </c>
      <c r="I6" s="6">
        <f t="shared" si="2"/>
        <v>5.9747781260151189</v>
      </c>
      <c r="J6" s="7">
        <f t="shared" si="3"/>
        <v>0.24807237748859898</v>
      </c>
      <c r="K6" s="8">
        <f t="shared" si="4"/>
        <v>0.44702802538564684</v>
      </c>
      <c r="L6" s="8">
        <f t="shared" si="5"/>
        <v>1.3410840761569405</v>
      </c>
      <c r="M6" s="7">
        <f>L6*(C6-AVERAGE(C2:C6))*(C6-AVERAGE(C2:C6))</f>
        <v>0.24457319597549396</v>
      </c>
      <c r="N6" s="10"/>
      <c r="O6" s="3">
        <f>C6*E9+C9</f>
        <v>5.8029485197074973</v>
      </c>
      <c r="P6" s="3">
        <f t="shared" si="6"/>
        <v>0.78899775482067103</v>
      </c>
      <c r="Q6" s="3">
        <f>F7-F7*P6</f>
        <v>14.400903233489203</v>
      </c>
      <c r="R6" s="6">
        <f t="shared" si="7"/>
        <v>-3.1509032334892026</v>
      </c>
      <c r="S6" s="3">
        <f t="shared" si="8"/>
        <v>3.2673324281885412</v>
      </c>
    </row>
    <row r="7" spans="1:19" x14ac:dyDescent="0.25">
      <c r="A7" s="37" t="s">
        <v>34</v>
      </c>
      <c r="B7" s="11"/>
      <c r="C7" s="10"/>
      <c r="D7" s="4">
        <v>3</v>
      </c>
      <c r="E7" s="5">
        <v>7.3250000000000002</v>
      </c>
      <c r="F7" s="5">
        <f t="shared" si="9"/>
        <v>68.25</v>
      </c>
      <c r="G7" s="10"/>
      <c r="H7" s="3"/>
      <c r="I7" s="6"/>
      <c r="J7" s="10"/>
      <c r="K7" s="10" t="s">
        <v>2</v>
      </c>
      <c r="L7" s="8">
        <f>SUM(L2:L6)</f>
        <v>8.5494869488229774</v>
      </c>
      <c r="M7" s="7">
        <f>SUM(M2:M6)</f>
        <v>0.75164155807915378</v>
      </c>
      <c r="N7" s="12"/>
      <c r="O7" s="10"/>
      <c r="P7" s="10"/>
      <c r="Q7" s="10"/>
      <c r="R7" s="10"/>
      <c r="S7" s="10"/>
    </row>
    <row r="8" spans="1:19" ht="31.2" x14ac:dyDescent="0.25">
      <c r="A8" s="37" t="s">
        <v>35</v>
      </c>
      <c r="B8" s="13" t="s">
        <v>3</v>
      </c>
      <c r="C8" s="14">
        <f>CORREL(C2:C6,I2:I6)</f>
        <v>0.97397266436543406</v>
      </c>
      <c r="D8" s="15"/>
      <c r="E8" s="11"/>
      <c r="F8" s="11"/>
      <c r="G8" s="11"/>
      <c r="H8" s="11"/>
      <c r="I8" s="11"/>
      <c r="J8" s="11"/>
      <c r="K8" s="11"/>
      <c r="L8" s="16"/>
      <c r="M8" s="11"/>
      <c r="N8" s="11"/>
      <c r="O8" s="11"/>
      <c r="P8" s="11"/>
      <c r="Q8" s="11"/>
      <c r="R8" s="11"/>
      <c r="S8" s="11"/>
    </row>
    <row r="9" spans="1:19" ht="31.2" x14ac:dyDescent="0.25">
      <c r="A9" s="37" t="s">
        <v>36</v>
      </c>
      <c r="B9" s="13" t="s">
        <v>4</v>
      </c>
      <c r="C9" s="14">
        <f>INTERCEPT(I2:I6,C2:C6)</f>
        <v>1.2192946451100029</v>
      </c>
      <c r="D9" s="17" t="s">
        <v>5</v>
      </c>
      <c r="E9" s="18">
        <f>SLOPE(I2:I6,C2:C6)</f>
        <v>1.7615481156751598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9" ht="15.6" x14ac:dyDescent="0.25">
      <c r="A10" s="20"/>
      <c r="B10" s="13" t="s">
        <v>6</v>
      </c>
      <c r="C10" s="18">
        <f>(5-C9)/E9</f>
        <v>2.1462401856908362</v>
      </c>
      <c r="D10" s="19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46.8" x14ac:dyDescent="0.25">
      <c r="A11" s="37" t="s">
        <v>37</v>
      </c>
      <c r="B11" s="13" t="s">
        <v>7</v>
      </c>
      <c r="C11" s="14">
        <f>POWER(10,C10)</f>
        <v>140.03615756097832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9" ht="15.6" x14ac:dyDescent="0.25">
      <c r="A12" s="20" t="s">
        <v>38</v>
      </c>
      <c r="B12" s="13" t="s">
        <v>8</v>
      </c>
      <c r="C12" s="21">
        <f>C11*LN(10)*N3</f>
        <v>62.896496185644992</v>
      </c>
      <c r="D12" s="22"/>
      <c r="E12" s="22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9" ht="31.2" x14ac:dyDescent="0.25">
      <c r="A13" s="37" t="s">
        <v>39</v>
      </c>
      <c r="B13" s="13" t="s">
        <v>9</v>
      </c>
      <c r="C13" s="21">
        <f>SUM(S2:S6)</f>
        <v>7.552087271672189</v>
      </c>
      <c r="D13" s="38" t="s">
        <v>40</v>
      </c>
      <c r="E13" s="13" t="s">
        <v>10</v>
      </c>
      <c r="F13" s="23">
        <v>7.8150000000000004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9" ht="62.4" x14ac:dyDescent="0.25">
      <c r="A14" s="20" t="s">
        <v>42</v>
      </c>
      <c r="B14" s="8">
        <f>C10-1.96*N3</f>
        <v>1.7639205095982036</v>
      </c>
      <c r="C14" s="22" t="s">
        <v>41</v>
      </c>
      <c r="D14" s="8">
        <f>C10+1.96*N3</f>
        <v>2.528559861783469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9" ht="46.8" x14ac:dyDescent="0.25">
      <c r="A15" s="20" t="s">
        <v>43</v>
      </c>
      <c r="B15" s="24">
        <f>POWER(10,B14)</f>
        <v>58.065812795468794</v>
      </c>
      <c r="C15" s="22" t="s">
        <v>44</v>
      </c>
      <c r="D15" s="24">
        <f>POWER(10,D14)</f>
        <v>337.72239602531579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8" spans="2:8" x14ac:dyDescent="0.3">
      <c r="H18" s="9" t="s">
        <v>11</v>
      </c>
    </row>
    <row r="19" spans="2:8" x14ac:dyDescent="0.3">
      <c r="B19" s="13" t="s">
        <v>12</v>
      </c>
      <c r="C19" s="18">
        <f>(6.2816-C9)/E9</f>
        <v>2.8737820499156417</v>
      </c>
    </row>
    <row r="20" spans="2:8" x14ac:dyDescent="0.3">
      <c r="B20" s="13" t="s">
        <v>13</v>
      </c>
      <c r="C20" s="14">
        <f>POWER(10,C19)</f>
        <v>747.79412688158982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4372E-FDB5-4AC0-BE63-AE4465476B93}">
  <dimension ref="A1:S26"/>
  <sheetViews>
    <sheetView workbookViewId="0">
      <selection activeCell="H9" sqref="H9"/>
    </sheetView>
  </sheetViews>
  <sheetFormatPr defaultColWidth="9" defaultRowHeight="16.2" x14ac:dyDescent="0.3"/>
  <cols>
    <col min="1" max="1" width="14.33203125" style="33" customWidth="1"/>
    <col min="2" max="2" width="14.88671875" style="9" customWidth="1"/>
    <col min="3" max="3" width="13.109375" style="9" customWidth="1"/>
    <col min="4" max="4" width="9" style="9"/>
    <col min="5" max="5" width="14.77734375" style="9" customWidth="1"/>
    <col min="6" max="6" width="9.77734375" style="9" customWidth="1"/>
    <col min="7" max="7" width="10" style="9" customWidth="1"/>
    <col min="8" max="8" width="20.21875" style="9" customWidth="1"/>
    <col min="9" max="9" width="20.5546875" style="9" customWidth="1"/>
    <col min="10" max="10" width="19.44140625" style="9" customWidth="1"/>
    <col min="11" max="11" width="16.77734375" style="9" customWidth="1"/>
    <col min="12" max="13" width="7.21875" style="9" customWidth="1"/>
    <col min="14" max="14" width="14.6640625" style="9" customWidth="1"/>
    <col min="15" max="15" width="13.109375" style="9" customWidth="1"/>
    <col min="16" max="16" width="16.88671875" style="9" customWidth="1"/>
    <col min="17" max="17" width="13.5546875" style="9" customWidth="1"/>
    <col min="18" max="18" width="13.44140625" style="9" customWidth="1"/>
    <col min="19" max="19" width="22" style="9" customWidth="1"/>
    <col min="20" max="16384" width="9" style="9"/>
  </cols>
  <sheetData>
    <row r="1" spans="1:19" s="26" customFormat="1" ht="63" x14ac:dyDescent="0.3">
      <c r="A1" s="1" t="s">
        <v>45</v>
      </c>
      <c r="B1" s="1" t="s">
        <v>19</v>
      </c>
      <c r="C1" s="1" t="s">
        <v>18</v>
      </c>
      <c r="D1" s="1" t="s">
        <v>27</v>
      </c>
      <c r="E1" s="1" t="s">
        <v>20</v>
      </c>
      <c r="F1" s="1" t="s">
        <v>22</v>
      </c>
      <c r="G1" s="1" t="s">
        <v>26</v>
      </c>
      <c r="H1" s="1" t="s">
        <v>21</v>
      </c>
      <c r="I1" s="1" t="s">
        <v>23</v>
      </c>
      <c r="J1" s="35" t="s">
        <v>25</v>
      </c>
      <c r="K1" s="35" t="s">
        <v>28</v>
      </c>
      <c r="L1" s="1" t="s">
        <v>0</v>
      </c>
      <c r="M1" s="1" t="s">
        <v>24</v>
      </c>
      <c r="N1" s="1" t="s">
        <v>46</v>
      </c>
      <c r="O1" s="1" t="s">
        <v>30</v>
      </c>
      <c r="P1" s="36" t="s">
        <v>31</v>
      </c>
      <c r="Q1" s="35" t="s">
        <v>32</v>
      </c>
      <c r="R1" s="36" t="s">
        <v>33</v>
      </c>
      <c r="S1" s="1" t="s">
        <v>1</v>
      </c>
    </row>
    <row r="2" spans="1:19" ht="15.6" x14ac:dyDescent="0.25">
      <c r="A2" s="20">
        <v>1</v>
      </c>
      <c r="B2" s="2">
        <v>2.5</v>
      </c>
      <c r="C2" s="3">
        <f t="shared" ref="C2:C6" si="0">LOG10(B2)</f>
        <v>0.3979400086720376</v>
      </c>
      <c r="D2" s="4">
        <v>3</v>
      </c>
      <c r="E2" s="5">
        <v>6.25</v>
      </c>
      <c r="F2" s="5">
        <f t="shared" ref="F2:F7" si="1">(E2-0.5)*10</f>
        <v>57.5</v>
      </c>
      <c r="G2" s="3">
        <f>(F7-F2)/F7</f>
        <v>0.13273001508295623</v>
      </c>
      <c r="H2" s="3">
        <f t="shared" ref="H2:H6" si="2">NORMSINV(G2)</f>
        <v>-1.1135785560801279</v>
      </c>
      <c r="I2" s="6">
        <f t="shared" ref="I2:I6" si="3">5+H2</f>
        <v>3.8864214439198719</v>
      </c>
      <c r="J2" s="7">
        <f t="shared" ref="J2:J6" si="4">1/POWER(PI()*2,1/2)*EXP(-1/2*(I2-5)*(I2-5))</f>
        <v>0.21460264287967851</v>
      </c>
      <c r="K2" s="8">
        <f t="shared" ref="K2:K6" si="5">J2*J2/G2/(1-G2)</f>
        <v>0.40007984396755364</v>
      </c>
      <c r="L2" s="8">
        <f t="shared" ref="L2:L6" si="6">D2*K2</f>
        <v>1.2002395319026609</v>
      </c>
      <c r="M2" s="7">
        <f>L2*(C2-AVERAGE(C2:C6))*(C2-AVERAGE(C2:C6))</f>
        <v>0.39969461685070939</v>
      </c>
      <c r="N2" s="7">
        <f>1/E9/E9*(1/L7+(C10-AVERAGE(C2:C6))*(C10-AVERAGE(C2:C6))/M7)</f>
        <v>3.3888743828899587E-2</v>
      </c>
      <c r="O2" s="3">
        <f>C2*E9+C9</f>
        <v>3.8957810025365109</v>
      </c>
      <c r="P2" s="3">
        <f t="shared" ref="P2:P6" si="7">NORMSDIST(O2-5)</f>
        <v>0.13474907535137801</v>
      </c>
      <c r="Q2" s="3">
        <f>F7-F7*P2</f>
        <v>57.366136304203636</v>
      </c>
      <c r="R2" s="6">
        <f t="shared" ref="R2:R6" si="8">F2-Q2</f>
        <v>0.13386369579636437</v>
      </c>
      <c r="S2" s="3">
        <f t="shared" ref="S2:S6" si="9">R2*R2/Q2/(1-P2)</f>
        <v>3.6101724665465009E-4</v>
      </c>
    </row>
    <row r="3" spans="1:19" ht="15.6" x14ac:dyDescent="0.25">
      <c r="A3" s="20">
        <v>2</v>
      </c>
      <c r="B3" s="5">
        <v>5</v>
      </c>
      <c r="C3" s="3">
        <f t="shared" si="0"/>
        <v>0.69897000433601886</v>
      </c>
      <c r="D3" s="4">
        <v>3</v>
      </c>
      <c r="E3" s="5">
        <v>5.13</v>
      </c>
      <c r="F3" s="5">
        <f t="shared" si="1"/>
        <v>46.3</v>
      </c>
      <c r="G3" s="3">
        <f>(F7-F3)/F7</f>
        <v>0.30165912518853699</v>
      </c>
      <c r="H3" s="3">
        <f t="shared" si="2"/>
        <v>-0.51963463907018581</v>
      </c>
      <c r="I3" s="6">
        <f t="shared" si="3"/>
        <v>4.480365360929814</v>
      </c>
      <c r="J3" s="7">
        <f t="shared" si="4"/>
        <v>0.34855870506975539</v>
      </c>
      <c r="K3" s="8">
        <f t="shared" si="5"/>
        <v>0.57672388369879957</v>
      </c>
      <c r="L3" s="8">
        <f t="shared" si="6"/>
        <v>1.7301716510963987</v>
      </c>
      <c r="M3" s="7">
        <f>L3*(C3-AVERAGE(C2:C6))*(C3-AVERAGE(C2:C6))</f>
        <v>0.13183790826221428</v>
      </c>
      <c r="N3" s="8">
        <f>POWER(N2,1/2)</f>
        <v>0.18408895629260216</v>
      </c>
      <c r="O3" s="3">
        <f>C3*E9+C9</f>
        <v>4.488920185626692</v>
      </c>
      <c r="P3" s="3">
        <f t="shared" si="7"/>
        <v>0.30464758489872712</v>
      </c>
      <c r="Q3" s="3">
        <f>F7-F7*P3</f>
        <v>46.101865121214388</v>
      </c>
      <c r="R3" s="6">
        <f t="shared" si="8"/>
        <v>0.1981348787856092</v>
      </c>
      <c r="S3" s="3">
        <f t="shared" si="9"/>
        <v>1.2246116986497154E-3</v>
      </c>
    </row>
    <row r="4" spans="1:19" ht="15.6" x14ac:dyDescent="0.25">
      <c r="A4" s="20">
        <v>3</v>
      </c>
      <c r="B4" s="5">
        <v>10</v>
      </c>
      <c r="C4" s="3">
        <f t="shared" si="0"/>
        <v>1</v>
      </c>
      <c r="D4" s="4">
        <v>3</v>
      </c>
      <c r="E4" s="5">
        <v>3.85</v>
      </c>
      <c r="F4" s="5">
        <f t="shared" si="1"/>
        <v>33.5</v>
      </c>
      <c r="G4" s="3">
        <f>(F7-F4)/F7</f>
        <v>0.49472096530920057</v>
      </c>
      <c r="H4" s="3">
        <f t="shared" si="2"/>
        <v>-1.3232963815556838E-2</v>
      </c>
      <c r="I4" s="6">
        <f t="shared" si="3"/>
        <v>4.9867670361844434</v>
      </c>
      <c r="J4" s="7">
        <f t="shared" si="4"/>
        <v>0.39890735227360752</v>
      </c>
      <c r="K4" s="8">
        <f t="shared" si="5"/>
        <v>0.63657926408325261</v>
      </c>
      <c r="L4" s="8">
        <f t="shared" si="6"/>
        <v>1.9097377922497578</v>
      </c>
      <c r="M4" s="7">
        <f>L4*(C4-AVERAGE(C2:C6))*(C4-AVERAGE(C2:C6))</f>
        <v>1.1924164367173448E-3</v>
      </c>
      <c r="N4" s="10"/>
      <c r="O4" s="3">
        <f>C4*E9+C9</f>
        <v>5.0820593687168722</v>
      </c>
      <c r="P4" s="3">
        <f t="shared" si="7"/>
        <v>0.53270024841100583</v>
      </c>
      <c r="Q4" s="3">
        <f>F7-F7*P4</f>
        <v>30.981973530350309</v>
      </c>
      <c r="R4" s="6">
        <f t="shared" si="8"/>
        <v>2.5180264696496906</v>
      </c>
      <c r="S4" s="3">
        <f t="shared" si="9"/>
        <v>0.43794135074240165</v>
      </c>
    </row>
    <row r="5" spans="1:19" ht="15.6" x14ac:dyDescent="0.25">
      <c r="A5" s="20">
        <v>4</v>
      </c>
      <c r="B5" s="5">
        <v>15</v>
      </c>
      <c r="C5" s="3">
        <f t="shared" si="0"/>
        <v>1.1760912590556813</v>
      </c>
      <c r="D5" s="4">
        <v>3</v>
      </c>
      <c r="E5" s="5">
        <v>2.2999999999999998</v>
      </c>
      <c r="F5" s="5">
        <f t="shared" si="1"/>
        <v>18</v>
      </c>
      <c r="G5" s="3">
        <f>(F7-F5)/F7</f>
        <v>0.72850678733031671</v>
      </c>
      <c r="H5" s="3">
        <f t="shared" si="2"/>
        <v>0.60830316038169763</v>
      </c>
      <c r="I5" s="6">
        <f t="shared" si="3"/>
        <v>5.6083031603816975</v>
      </c>
      <c r="J5" s="7">
        <f t="shared" si="4"/>
        <v>0.33155721145584144</v>
      </c>
      <c r="K5" s="8">
        <f t="shared" si="5"/>
        <v>0.55580746786954782</v>
      </c>
      <c r="L5" s="8">
        <f t="shared" si="6"/>
        <v>1.6674224036086436</v>
      </c>
      <c r="M5" s="7">
        <f>L5*(C5-AVERAGE(C2:C6))*(C5-AVERAGE(C2:C6))</f>
        <v>6.74185012117062E-2</v>
      </c>
      <c r="N5" s="10"/>
      <c r="O5" s="3">
        <f>C5*E9+C9</f>
        <v>5.4290235485330083</v>
      </c>
      <c r="P5" s="3">
        <f t="shared" si="7"/>
        <v>0.66604695621303933</v>
      </c>
      <c r="Q5" s="3">
        <f>F7-F7*P5</f>
        <v>22.141086803075488</v>
      </c>
      <c r="R5" s="6">
        <f t="shared" si="8"/>
        <v>-4.1410868030754884</v>
      </c>
      <c r="S5" s="3">
        <f t="shared" si="9"/>
        <v>2.3192327086102034</v>
      </c>
    </row>
    <row r="6" spans="1:19" ht="15.6" x14ac:dyDescent="0.25">
      <c r="A6" s="20">
        <v>5</v>
      </c>
      <c r="B6" s="5">
        <v>40</v>
      </c>
      <c r="C6" s="3">
        <f t="shared" si="0"/>
        <v>1.6020599913279623</v>
      </c>
      <c r="D6" s="4">
        <v>3</v>
      </c>
      <c r="E6" s="5">
        <v>1.26</v>
      </c>
      <c r="F6" s="5">
        <f t="shared" si="1"/>
        <v>7.6</v>
      </c>
      <c r="G6" s="3">
        <f>(F7-F6)/F7</f>
        <v>0.88536953242835592</v>
      </c>
      <c r="H6" s="3">
        <f t="shared" si="2"/>
        <v>1.2022648388944908</v>
      </c>
      <c r="I6" s="6">
        <f t="shared" si="3"/>
        <v>6.2022648388944912</v>
      </c>
      <c r="J6" s="7">
        <f t="shared" si="4"/>
        <v>0.19365851466701497</v>
      </c>
      <c r="K6" s="8">
        <f t="shared" si="5"/>
        <v>0.36952902521708392</v>
      </c>
      <c r="L6" s="8">
        <f t="shared" si="6"/>
        <v>1.1085870756512517</v>
      </c>
      <c r="M6" s="7">
        <f>L6*(C6-AVERAGE(C2:C6))*(C6-AVERAGE(C2:C6))</f>
        <v>0.43588409574242254</v>
      </c>
      <c r="N6" s="10"/>
      <c r="O6" s="3">
        <f>C6*E9+C9</f>
        <v>6.2683377348972336</v>
      </c>
      <c r="P6" s="3">
        <f t="shared" si="7"/>
        <v>0.8976613165471149</v>
      </c>
      <c r="Q6" s="3">
        <f>F7-F7*P6</f>
        <v>6.7850547129262821</v>
      </c>
      <c r="R6" s="6">
        <f t="shared" si="8"/>
        <v>0.81494528707371749</v>
      </c>
      <c r="S6" s="3">
        <f t="shared" si="9"/>
        <v>0.95645320183134996</v>
      </c>
    </row>
    <row r="7" spans="1:19" x14ac:dyDescent="0.25">
      <c r="A7" s="37" t="s">
        <v>34</v>
      </c>
      <c r="B7" s="11"/>
      <c r="C7" s="10"/>
      <c r="D7" s="4">
        <v>3</v>
      </c>
      <c r="E7" s="5">
        <v>7.13</v>
      </c>
      <c r="F7" s="5">
        <f t="shared" si="1"/>
        <v>66.3</v>
      </c>
      <c r="G7" s="10"/>
      <c r="H7" s="10"/>
      <c r="I7" s="10"/>
      <c r="J7" s="10"/>
      <c r="K7" s="10" t="s">
        <v>2</v>
      </c>
      <c r="L7" s="8">
        <f>SUM(L2:L6)</f>
        <v>7.6161584545087129</v>
      </c>
      <c r="M7" s="7">
        <f>SUM(M2:M6)</f>
        <v>1.0360275385037698</v>
      </c>
      <c r="N7" s="12"/>
      <c r="O7" s="10"/>
      <c r="P7" s="10"/>
      <c r="Q7" s="10"/>
      <c r="R7" s="10"/>
      <c r="S7" s="10"/>
    </row>
    <row r="8" spans="1:19" ht="31.2" x14ac:dyDescent="0.25">
      <c r="A8" s="37" t="s">
        <v>35</v>
      </c>
      <c r="B8" s="13" t="s">
        <v>3</v>
      </c>
      <c r="C8" s="14">
        <f>CORREL(C2:C6,I2:I6)</f>
        <v>0.99308701580269965</v>
      </c>
      <c r="D8" s="15"/>
      <c r="E8" s="11"/>
      <c r="F8" s="11"/>
      <c r="G8" s="11"/>
      <c r="H8" s="11"/>
      <c r="I8" s="11"/>
      <c r="J8" s="11"/>
      <c r="K8" s="11"/>
      <c r="L8" s="16"/>
      <c r="M8" s="11"/>
      <c r="N8" s="11"/>
      <c r="O8" s="11"/>
      <c r="P8" s="11"/>
      <c r="Q8" s="11"/>
      <c r="R8" s="11"/>
      <c r="S8" s="11"/>
    </row>
    <row r="9" spans="1:19" ht="31.2" x14ac:dyDescent="0.25">
      <c r="A9" s="37" t="s">
        <v>36</v>
      </c>
      <c r="B9" s="13" t="s">
        <v>4</v>
      </c>
      <c r="C9" s="14">
        <f>INTERCEPT(I2:I6,C2:C6)</f>
        <v>3.1116936522310623</v>
      </c>
      <c r="D9" s="17" t="s">
        <v>5</v>
      </c>
      <c r="E9" s="18">
        <f>SLOPE(I2:I6,C2:C6)</f>
        <v>1.9703657164858099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9" ht="15.6" x14ac:dyDescent="0.25">
      <c r="A10" s="20"/>
      <c r="B10" s="13" t="s">
        <v>6</v>
      </c>
      <c r="C10" s="18">
        <f>(5-C9)/E9</f>
        <v>0.95835322953993185</v>
      </c>
      <c r="D10" s="19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46.8" x14ac:dyDescent="0.25">
      <c r="A11" s="37" t="s">
        <v>37</v>
      </c>
      <c r="B11" s="13" t="s">
        <v>7</v>
      </c>
      <c r="C11" s="14">
        <f>POWER(10,C10)</f>
        <v>9.0855919825616294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9" ht="15.6" x14ac:dyDescent="0.25">
      <c r="A12" s="20" t="s">
        <v>38</v>
      </c>
      <c r="B12" s="13" t="s">
        <v>8</v>
      </c>
      <c r="C12" s="21">
        <f>C11*LN(10)*N3</f>
        <v>3.8512051501101081</v>
      </c>
      <c r="D12" s="22"/>
      <c r="E12" s="22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9" ht="31.2" x14ac:dyDescent="0.25">
      <c r="A13" s="37" t="s">
        <v>39</v>
      </c>
      <c r="B13" s="13" t="s">
        <v>9</v>
      </c>
      <c r="C13" s="21">
        <f>SUM(S2:S6)</f>
        <v>3.7152128901292594</v>
      </c>
      <c r="D13" s="13" t="s">
        <v>40</v>
      </c>
      <c r="E13" s="13" t="s">
        <v>10</v>
      </c>
      <c r="F13" s="23">
        <v>7.8150000000000004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9" ht="62.4" x14ac:dyDescent="0.25">
      <c r="A14" s="20" t="s">
        <v>42</v>
      </c>
      <c r="B14" s="8">
        <f>C10-1.96*N3</f>
        <v>0.59753887520643167</v>
      </c>
      <c r="C14" s="22" t="s">
        <v>41</v>
      </c>
      <c r="D14" s="8">
        <f>C10+1.96*N3</f>
        <v>1.319167583873432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9" ht="46.8" x14ac:dyDescent="0.25">
      <c r="A15" s="20" t="s">
        <v>43</v>
      </c>
      <c r="B15" s="24">
        <f>POWER(10,B14)</f>
        <v>3.9585749782841324</v>
      </c>
      <c r="C15" s="22" t="s">
        <v>44</v>
      </c>
      <c r="D15" s="24">
        <f>POWER(10,D14)</f>
        <v>20.852953935804713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9" spans="2:3" x14ac:dyDescent="0.3">
      <c r="B19" s="13" t="s">
        <v>12</v>
      </c>
      <c r="C19" s="18">
        <f>(6.2816-C9)/E9</f>
        <v>1.6087908560561714</v>
      </c>
    </row>
    <row r="20" spans="2:3" x14ac:dyDescent="0.3">
      <c r="B20" s="13" t="s">
        <v>13</v>
      </c>
      <c r="C20" s="14">
        <f>POWER(10,C19)</f>
        <v>40.624764467095886</v>
      </c>
    </row>
    <row r="22" spans="2:3" x14ac:dyDescent="0.3">
      <c r="B22" s="13" t="s">
        <v>14</v>
      </c>
      <c r="C22" s="25">
        <f>(5.6745-C9)/E9</f>
        <v>1.3006754666538547</v>
      </c>
    </row>
    <row r="23" spans="2:3" x14ac:dyDescent="0.3">
      <c r="B23" s="13" t="s">
        <v>15</v>
      </c>
      <c r="C23" s="25">
        <f>POWER(10,C22)</f>
        <v>19.983679997911164</v>
      </c>
    </row>
    <row r="24" spans="2:3" x14ac:dyDescent="0.3">
      <c r="C24" s="25"/>
    </row>
    <row r="25" spans="2:3" x14ac:dyDescent="0.3">
      <c r="B25" s="13" t="s">
        <v>16</v>
      </c>
      <c r="C25" s="25">
        <f>(4.3255-C9)/E9</f>
        <v>0.61603099242600889</v>
      </c>
    </row>
    <row r="26" spans="2:3" x14ac:dyDescent="0.3">
      <c r="B26" s="13" t="s">
        <v>17</v>
      </c>
      <c r="C26" s="25">
        <f>POWER(10,C25)</f>
        <v>4.1307697922613169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7D200-0887-4AF1-ACA5-57ED3C570342}">
  <dimension ref="A1:S26"/>
  <sheetViews>
    <sheetView tabSelected="1" workbookViewId="0">
      <selection activeCell="G11" sqref="G11"/>
    </sheetView>
  </sheetViews>
  <sheetFormatPr defaultColWidth="9" defaultRowHeight="15.6" x14ac:dyDescent="0.3"/>
  <cols>
    <col min="1" max="1" width="14.33203125" style="33" customWidth="1"/>
    <col min="2" max="2" width="14.44140625" style="28" customWidth="1"/>
    <col min="3" max="3" width="11.88671875" style="28" customWidth="1"/>
    <col min="4" max="4" width="9.109375" style="28" bestFit="1" customWidth="1"/>
    <col min="5" max="5" width="14.77734375" style="28" customWidth="1"/>
    <col min="6" max="6" width="9.6640625" style="28" customWidth="1"/>
    <col min="7" max="7" width="9.77734375" style="28" customWidth="1"/>
    <col min="8" max="8" width="20.21875" style="28" customWidth="1"/>
    <col min="9" max="9" width="16.77734375" style="28" customWidth="1"/>
    <col min="10" max="10" width="15.77734375" style="28" customWidth="1"/>
    <col min="11" max="11" width="12.44140625" style="28" customWidth="1"/>
    <col min="12" max="13" width="7.21875" style="28" customWidth="1"/>
    <col min="14" max="14" width="15.77734375" style="28" customWidth="1"/>
    <col min="15" max="15" width="13.109375" style="28" customWidth="1"/>
    <col min="16" max="16" width="15.6640625" style="28" customWidth="1"/>
    <col min="17" max="17" width="13.33203125" style="28" customWidth="1"/>
    <col min="18" max="18" width="13.44140625" style="28" customWidth="1"/>
    <col min="19" max="19" width="22" style="28" customWidth="1"/>
    <col min="20" max="16384" width="9" style="28"/>
  </cols>
  <sheetData>
    <row r="1" spans="1:19" s="26" customFormat="1" ht="63" x14ac:dyDescent="0.3">
      <c r="A1" s="1" t="s">
        <v>45</v>
      </c>
      <c r="B1" s="1" t="s">
        <v>19</v>
      </c>
      <c r="C1" s="1" t="s">
        <v>18</v>
      </c>
      <c r="D1" s="1" t="s">
        <v>27</v>
      </c>
      <c r="E1" s="1" t="s">
        <v>20</v>
      </c>
      <c r="F1" s="1" t="s">
        <v>22</v>
      </c>
      <c r="G1" s="1" t="s">
        <v>26</v>
      </c>
      <c r="H1" s="1" t="s">
        <v>21</v>
      </c>
      <c r="I1" s="1" t="s">
        <v>23</v>
      </c>
      <c r="J1" s="35" t="s">
        <v>25</v>
      </c>
      <c r="K1" s="35" t="s">
        <v>28</v>
      </c>
      <c r="L1" s="1" t="s">
        <v>0</v>
      </c>
      <c r="M1" s="1" t="s">
        <v>24</v>
      </c>
      <c r="N1" s="1" t="s">
        <v>29</v>
      </c>
      <c r="O1" s="1" t="s">
        <v>30</v>
      </c>
      <c r="P1" s="36" t="s">
        <v>31</v>
      </c>
      <c r="Q1" s="35" t="s">
        <v>32</v>
      </c>
      <c r="R1" s="36" t="s">
        <v>33</v>
      </c>
      <c r="S1" s="1" t="s">
        <v>1</v>
      </c>
    </row>
    <row r="2" spans="1:19" x14ac:dyDescent="0.3">
      <c r="A2" s="20">
        <v>1</v>
      </c>
      <c r="B2" s="2">
        <v>10</v>
      </c>
      <c r="C2" s="17">
        <f t="shared" ref="C2:C6" si="0">LOG10(B2)</f>
        <v>1</v>
      </c>
      <c r="D2" s="4">
        <v>3</v>
      </c>
      <c r="E2" s="5">
        <v>6.46</v>
      </c>
      <c r="F2" s="5">
        <f t="shared" ref="F2:F7" si="1">(E2-0.5)*10</f>
        <v>59.6</v>
      </c>
      <c r="G2" s="17">
        <f>(F7-F2)/F7</f>
        <v>0.18801089918256136</v>
      </c>
      <c r="H2" s="17">
        <f t="shared" ref="H2:H6" si="2">NORMSINV(G2)</f>
        <v>-0.88525002263244079</v>
      </c>
      <c r="I2" s="27">
        <f t="shared" ref="I2:I6" si="3">5+H2</f>
        <v>4.1147499773675591</v>
      </c>
      <c r="J2" s="7">
        <f t="shared" ref="J2:J6" si="4">1/POWER(PI()*2,1/2)*EXP(-1/2*(I2-5)*(I2-5))</f>
        <v>0.26961174550223044</v>
      </c>
      <c r="K2" s="7">
        <f t="shared" ref="K2:K6" si="5">J2*J2/G2/(1-G2)</f>
        <v>0.47615065916750604</v>
      </c>
      <c r="L2" s="7">
        <f t="shared" ref="L2:L6" si="6">D2*K2</f>
        <v>1.4284519775025182</v>
      </c>
      <c r="M2" s="7">
        <f>L2*(C2-AVERAGE(C2:C6))*(C2-AVERAGE(C2:C6))</f>
        <v>0.38161196726100705</v>
      </c>
      <c r="N2" s="7">
        <f>1/E9/E9*(1/L7+(C10-AVERAGE(C2:C6))*(C10-AVERAGE(C2:C6))/M7)</f>
        <v>2.8500354321449584E-2</v>
      </c>
      <c r="O2" s="17">
        <f>C2*E9+C9</f>
        <v>4.1310304801503888</v>
      </c>
      <c r="P2" s="17">
        <f t="shared" ref="P2:P6" si="7">NORMSDIST(O2-5)</f>
        <v>0.19243190127135132</v>
      </c>
      <c r="Q2" s="17">
        <f>F7-F7*P2</f>
        <v>59.275498446682818</v>
      </c>
      <c r="R2" s="27">
        <f t="shared" ref="R2:R6" si="8">F2-Q2</f>
        <v>0.32450155331718378</v>
      </c>
      <c r="S2" s="17">
        <f t="shared" ref="S2:S6" si="9">R2*R2/Q2/(1-P2)</f>
        <v>2.1997797034760741E-3</v>
      </c>
    </row>
    <row r="3" spans="1:19" x14ac:dyDescent="0.3">
      <c r="A3" s="20">
        <v>2</v>
      </c>
      <c r="B3" s="5">
        <v>20</v>
      </c>
      <c r="C3" s="17">
        <f t="shared" si="0"/>
        <v>1.3010299956639813</v>
      </c>
      <c r="D3" s="4">
        <v>3</v>
      </c>
      <c r="E3" s="5">
        <v>4.4749999999999996</v>
      </c>
      <c r="F3" s="5">
        <f t="shared" si="1"/>
        <v>39.75</v>
      </c>
      <c r="G3" s="17">
        <f>(F7-F3)/F7</f>
        <v>0.45844686648501365</v>
      </c>
      <c r="H3" s="17">
        <f t="shared" si="2"/>
        <v>-0.1043473123707241</v>
      </c>
      <c r="I3" s="27">
        <f t="shared" si="3"/>
        <v>4.8956526876292763</v>
      </c>
      <c r="J3" s="7">
        <f t="shared" si="4"/>
        <v>0.39677626793000453</v>
      </c>
      <c r="K3" s="7">
        <f t="shared" si="5"/>
        <v>0.63410517067391903</v>
      </c>
      <c r="L3" s="7">
        <f t="shared" si="6"/>
        <v>1.9023155120217572</v>
      </c>
      <c r="M3" s="7">
        <f>L3*(C3-AVERAGE(C2:C6))*(C3-AVERAGE(C2:C6))</f>
        <v>8.8619913089253544E-2</v>
      </c>
      <c r="N3" s="7">
        <f>POWER(N2,1/2)</f>
        <v>0.16882047956764482</v>
      </c>
      <c r="O3" s="17">
        <f>C3*E9+C9</f>
        <v>4.9265415697710671</v>
      </c>
      <c r="P3" s="17">
        <f t="shared" si="7"/>
        <v>0.47072066126787743</v>
      </c>
      <c r="Q3" s="17">
        <f>F7-F7*P3</f>
        <v>38.849103462937798</v>
      </c>
      <c r="R3" s="27">
        <f t="shared" si="8"/>
        <v>0.90089653706220219</v>
      </c>
      <c r="S3" s="17">
        <f t="shared" si="9"/>
        <v>3.9471523856126477E-2</v>
      </c>
    </row>
    <row r="4" spans="1:19" x14ac:dyDescent="0.3">
      <c r="A4" s="20">
        <v>3</v>
      </c>
      <c r="B4" s="5">
        <v>40</v>
      </c>
      <c r="C4" s="17">
        <f t="shared" si="0"/>
        <v>1.6020599913279623</v>
      </c>
      <c r="D4" s="4">
        <v>3</v>
      </c>
      <c r="E4" s="5">
        <v>2.0249999999999999</v>
      </c>
      <c r="F4" s="5">
        <f t="shared" si="1"/>
        <v>15.25</v>
      </c>
      <c r="G4" s="17">
        <f>(F7-F4)/F7</f>
        <v>0.79223433242506813</v>
      </c>
      <c r="H4" s="17">
        <f t="shared" si="2"/>
        <v>0.8141983419965465</v>
      </c>
      <c r="I4" s="27">
        <f t="shared" si="3"/>
        <v>5.8141983419965468</v>
      </c>
      <c r="J4" s="7">
        <f t="shared" si="4"/>
        <v>0.28639078970625292</v>
      </c>
      <c r="K4" s="7">
        <f t="shared" si="5"/>
        <v>0.49829972912337289</v>
      </c>
      <c r="L4" s="7">
        <f t="shared" si="6"/>
        <v>1.4948991873701187</v>
      </c>
      <c r="M4" s="7">
        <f>L4*(C4-AVERAGE(C2:C6))*(C4-AVERAGE(C2:C6))</f>
        <v>1.0849940084754098E-2</v>
      </c>
      <c r="N4" s="12"/>
      <c r="O4" s="17">
        <f>C4*E9+C9</f>
        <v>5.7220526593917453</v>
      </c>
      <c r="P4" s="17">
        <f t="shared" si="7"/>
        <v>0.76486894883115619</v>
      </c>
      <c r="Q4" s="17">
        <f>F7-F7*P4</f>
        <v>17.258619155793134</v>
      </c>
      <c r="R4" s="27">
        <f t="shared" si="8"/>
        <v>-2.0086191557931343</v>
      </c>
      <c r="S4" s="17">
        <f t="shared" si="9"/>
        <v>0.99421238660999245</v>
      </c>
    </row>
    <row r="5" spans="1:19" x14ac:dyDescent="0.3">
      <c r="A5" s="20">
        <v>4</v>
      </c>
      <c r="B5" s="5">
        <v>60</v>
      </c>
      <c r="C5" s="17">
        <f t="shared" si="0"/>
        <v>1.7781512503836436</v>
      </c>
      <c r="D5" s="4">
        <v>3</v>
      </c>
      <c r="E5" s="5">
        <v>1.3</v>
      </c>
      <c r="F5" s="5">
        <f t="shared" si="1"/>
        <v>8</v>
      </c>
      <c r="G5" s="17">
        <f>(F7-F5)/F7</f>
        <v>0.89100817438692104</v>
      </c>
      <c r="H5" s="17">
        <f t="shared" si="2"/>
        <v>1.2319074685225901</v>
      </c>
      <c r="I5" s="27">
        <f t="shared" si="3"/>
        <v>6.2319074685225901</v>
      </c>
      <c r="J5" s="7">
        <f t="shared" si="4"/>
        <v>0.18679630410177306</v>
      </c>
      <c r="K5" s="7">
        <f t="shared" si="5"/>
        <v>0.35930308228606811</v>
      </c>
      <c r="L5" s="7">
        <f t="shared" si="6"/>
        <v>1.0779092468582043</v>
      </c>
      <c r="M5" s="7">
        <f>L5*(C5-AVERAGE(C2:C6))*(C5-AVERAGE(C2:C6))</f>
        <v>7.3588707020828384E-2</v>
      </c>
      <c r="N5" s="12"/>
      <c r="O5" s="17">
        <f>C5*E9+C9</f>
        <v>6.1873968157276691</v>
      </c>
      <c r="P5" s="17">
        <f t="shared" si="7"/>
        <v>0.88246443228326976</v>
      </c>
      <c r="Q5" s="17">
        <f>F7-F7*P5</f>
        <v>8.6271106704080012</v>
      </c>
      <c r="R5" s="27">
        <f t="shared" si="8"/>
        <v>-0.62711067040800117</v>
      </c>
      <c r="S5" s="17">
        <f t="shared" si="9"/>
        <v>0.38784098596391564</v>
      </c>
    </row>
    <row r="6" spans="1:19" x14ac:dyDescent="0.3">
      <c r="A6" s="20">
        <v>5</v>
      </c>
      <c r="B6" s="5">
        <v>80</v>
      </c>
      <c r="C6" s="17">
        <f t="shared" si="0"/>
        <v>1.9030899869919435</v>
      </c>
      <c r="D6" s="4">
        <v>3</v>
      </c>
      <c r="E6" s="5">
        <v>1.0625</v>
      </c>
      <c r="F6" s="5">
        <f t="shared" si="1"/>
        <v>5.625</v>
      </c>
      <c r="G6" s="17">
        <f>(F7-F6)/F7</f>
        <v>0.92336512261580383</v>
      </c>
      <c r="H6" s="17">
        <f t="shared" si="2"/>
        <v>1.4280767985373246</v>
      </c>
      <c r="I6" s="27">
        <f t="shared" si="3"/>
        <v>6.4280767985373242</v>
      </c>
      <c r="J6" s="7">
        <f t="shared" si="4"/>
        <v>0.14389949068467128</v>
      </c>
      <c r="K6" s="7">
        <f t="shared" si="5"/>
        <v>0.29262982016069755</v>
      </c>
      <c r="L6" s="7">
        <f t="shared" si="6"/>
        <v>0.8778894604820926</v>
      </c>
      <c r="M6" s="7">
        <f>L6*(C6-AVERAGE(C2:C6))*(C6-AVERAGE(C2:C6))</f>
        <v>0.13095369889598613</v>
      </c>
      <c r="N6" s="12"/>
      <c r="O6" s="17">
        <f>C6*E9+C9</f>
        <v>6.5175637490124236</v>
      </c>
      <c r="P6" s="17">
        <f t="shared" si="7"/>
        <v>0.9354377943355574</v>
      </c>
      <c r="Q6" s="17">
        <f>F7-F7*P6</f>
        <v>4.7388658957700898</v>
      </c>
      <c r="R6" s="27">
        <f t="shared" si="8"/>
        <v>0.88613410422991024</v>
      </c>
      <c r="S6" s="17">
        <f t="shared" si="9"/>
        <v>2.5665286990868847</v>
      </c>
    </row>
    <row r="7" spans="1:19" ht="16.2" x14ac:dyDescent="0.3">
      <c r="A7" s="37" t="s">
        <v>34</v>
      </c>
      <c r="B7" s="22"/>
      <c r="C7" s="12"/>
      <c r="D7" s="4">
        <v>3</v>
      </c>
      <c r="E7" s="5">
        <v>7.84</v>
      </c>
      <c r="F7" s="5">
        <f t="shared" si="1"/>
        <v>73.400000000000006</v>
      </c>
      <c r="G7" s="12"/>
      <c r="H7" s="12"/>
      <c r="I7" s="12"/>
      <c r="J7" s="12"/>
      <c r="K7" s="12" t="s">
        <v>2</v>
      </c>
      <c r="L7" s="7">
        <f>SUM(L2:L6)</f>
        <v>6.781465384234691</v>
      </c>
      <c r="M7" s="7">
        <f>SUM(M2:M6)</f>
        <v>0.68562422635182929</v>
      </c>
      <c r="N7" s="12"/>
      <c r="O7" s="12"/>
      <c r="P7" s="12"/>
      <c r="Q7" s="12"/>
      <c r="R7" s="12"/>
      <c r="S7" s="12"/>
    </row>
    <row r="8" spans="1:19" ht="31.2" x14ac:dyDescent="0.3">
      <c r="A8" s="37" t="s">
        <v>35</v>
      </c>
      <c r="B8" s="13" t="s">
        <v>3</v>
      </c>
      <c r="C8" s="18">
        <f>CORREL(C2:C6,I2:I6)</f>
        <v>0.99739078337565457</v>
      </c>
      <c r="D8" s="19"/>
      <c r="E8" s="22"/>
      <c r="F8" s="22"/>
      <c r="G8" s="22"/>
      <c r="H8" s="22"/>
      <c r="I8" s="22"/>
      <c r="J8" s="22"/>
      <c r="K8" s="22"/>
      <c r="L8" s="29"/>
      <c r="M8" s="22"/>
      <c r="N8" s="22"/>
      <c r="O8" s="22"/>
      <c r="P8" s="22"/>
      <c r="Q8" s="22"/>
      <c r="R8" s="22"/>
      <c r="S8" s="22"/>
    </row>
    <row r="9" spans="1:19" ht="31.2" x14ac:dyDescent="0.3">
      <c r="A9" s="37" t="s">
        <v>36</v>
      </c>
      <c r="B9" s="13" t="s">
        <v>4</v>
      </c>
      <c r="C9" s="18">
        <f>INTERCEPT(I2:I6,C2:C6)</f>
        <v>1.4883998417449993</v>
      </c>
      <c r="D9" s="17" t="s">
        <v>5</v>
      </c>
      <c r="E9" s="18">
        <f>SLOPE(I2:I6,C2:C6)</f>
        <v>2.6426306384053895</v>
      </c>
      <c r="F9" s="22"/>
      <c r="G9" s="22"/>
      <c r="H9" s="30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9" x14ac:dyDescent="0.3">
      <c r="A10" s="20"/>
      <c r="B10" s="13" t="s">
        <v>6</v>
      </c>
      <c r="C10" s="18">
        <f>(5-C9)/E9</f>
        <v>1.3288274597368488</v>
      </c>
      <c r="D10" s="19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ht="46.8" x14ac:dyDescent="0.3">
      <c r="A11" s="37" t="s">
        <v>37</v>
      </c>
      <c r="B11" s="13" t="s">
        <v>7</v>
      </c>
      <c r="C11" s="18">
        <f>POWER(10,C10)</f>
        <v>21.321976469542708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9" x14ac:dyDescent="0.3">
      <c r="A12" s="20" t="s">
        <v>38</v>
      </c>
      <c r="B12" s="13" t="s">
        <v>8</v>
      </c>
      <c r="C12" s="31">
        <f>C11*LN(10)*N3</f>
        <v>8.2883537390192341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9" ht="31.2" x14ac:dyDescent="0.3">
      <c r="A13" s="37" t="s">
        <v>39</v>
      </c>
      <c r="B13" s="13" t="s">
        <v>9</v>
      </c>
      <c r="C13" s="31">
        <f>SUM(S2:S6)</f>
        <v>3.9902533752203952</v>
      </c>
      <c r="D13" s="13" t="s">
        <v>40</v>
      </c>
      <c r="E13" s="13" t="s">
        <v>10</v>
      </c>
      <c r="F13" s="13">
        <v>7.8150000000000004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9" ht="62.4" x14ac:dyDescent="0.3">
      <c r="A14" s="20" t="s">
        <v>42</v>
      </c>
      <c r="B14" s="7">
        <f>C10-1.96*N3</f>
        <v>0.99793931978426498</v>
      </c>
      <c r="C14" s="22" t="s">
        <v>41</v>
      </c>
      <c r="D14" s="7">
        <f>C10+1.96*N3</f>
        <v>1.6597155996894326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9" ht="46.8" x14ac:dyDescent="0.3">
      <c r="A15" s="20" t="s">
        <v>43</v>
      </c>
      <c r="B15" s="32">
        <f>POWER(10,B14)</f>
        <v>9.9526634766840214</v>
      </c>
      <c r="C15" s="22" t="s">
        <v>44</v>
      </c>
      <c r="D15" s="32">
        <f>POWER(10,D14)</f>
        <v>45.678896069658229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9" spans="2:3" x14ac:dyDescent="0.3">
      <c r="B19" s="13" t="s">
        <v>12</v>
      </c>
      <c r="C19" s="18">
        <f>(6.2816-C9)/E9</f>
        <v>1.8137987536341074</v>
      </c>
    </row>
    <row r="20" spans="2:3" x14ac:dyDescent="0.3">
      <c r="B20" s="13" t="s">
        <v>13</v>
      </c>
      <c r="C20" s="18">
        <f>POWER(10,C19)</f>
        <v>65.132650796144716</v>
      </c>
    </row>
    <row r="22" spans="2:3" x14ac:dyDescent="0.3">
      <c r="B22" s="13" t="s">
        <v>14</v>
      </c>
      <c r="C22" s="34">
        <f>(5.6745-C9)/E9</f>
        <v>1.5840655509772521</v>
      </c>
    </row>
    <row r="23" spans="2:3" x14ac:dyDescent="0.3">
      <c r="B23" s="13" t="s">
        <v>15</v>
      </c>
      <c r="C23" s="34">
        <f>POWER(10,C22)</f>
        <v>38.376516536985832</v>
      </c>
    </row>
    <row r="24" spans="2:3" x14ac:dyDescent="0.3">
      <c r="C24" s="34"/>
    </row>
    <row r="25" spans="2:3" x14ac:dyDescent="0.3">
      <c r="B25" s="13" t="s">
        <v>16</v>
      </c>
      <c r="C25" s="34">
        <f>(4.3255-C9)/E9</f>
        <v>1.0735893684964455</v>
      </c>
    </row>
    <row r="26" spans="2:3" x14ac:dyDescent="0.3">
      <c r="B26" s="13" t="s">
        <v>17</v>
      </c>
      <c r="C26" s="34">
        <f>POWER(10,C25)</f>
        <v>11.846481171097976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o. vulgare（5d）</vt:lpstr>
      <vt:lpstr>cavacrol（5d）</vt:lpstr>
      <vt:lpstr>thymol（6d）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2020-02-05T12:42:36Z</dcterms:modified>
</cp:coreProperties>
</file>