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3B970CA7-9CF4-484F-AB81-FC44BA2C8D1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Yield (by Bradford method)" sheetId="6" r:id="rId1"/>
    <sheet name="Purity RP-HPLC data" sheetId="8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8" l="1"/>
  <c r="F15" i="8"/>
  <c r="F16" i="8"/>
  <c r="F13" i="8"/>
  <c r="E14" i="8"/>
  <c r="E15" i="8"/>
  <c r="E16" i="8"/>
  <c r="E13" i="8"/>
  <c r="F6" i="8"/>
  <c r="F7" i="8"/>
  <c r="F8" i="8"/>
  <c r="F5" i="8"/>
  <c r="E6" i="8"/>
  <c r="E7" i="8"/>
  <c r="E8" i="8"/>
  <c r="E5" i="8"/>
  <c r="W12" i="6"/>
  <c r="X12" i="6"/>
  <c r="X4" i="6"/>
  <c r="W4" i="6"/>
  <c r="P16" i="6"/>
  <c r="S16" i="6" s="1"/>
  <c r="P15" i="6"/>
  <c r="S15" i="6" s="1"/>
  <c r="P14" i="6"/>
  <c r="S14" i="6" s="1"/>
  <c r="P13" i="6"/>
  <c r="S13" i="6" s="1"/>
  <c r="P12" i="6"/>
  <c r="S12" i="6" s="1"/>
  <c r="O16" i="6"/>
  <c r="R16" i="6" s="1"/>
  <c r="O15" i="6"/>
  <c r="R15" i="6" s="1"/>
  <c r="O14" i="6"/>
  <c r="R14" i="6" s="1"/>
  <c r="O13" i="6"/>
  <c r="R13" i="6" s="1"/>
  <c r="O12" i="6"/>
  <c r="R12" i="6" s="1"/>
  <c r="N16" i="6"/>
  <c r="Q16" i="6" s="1"/>
  <c r="N15" i="6"/>
  <c r="Q15" i="6" s="1"/>
  <c r="N14" i="6"/>
  <c r="Q14" i="6" s="1"/>
  <c r="N13" i="6"/>
  <c r="Q13" i="6" s="1"/>
  <c r="N12" i="6"/>
  <c r="Q12" i="6" s="1"/>
  <c r="P8" i="6"/>
  <c r="S8" i="6" s="1"/>
  <c r="P7" i="6"/>
  <c r="S7" i="6" s="1"/>
  <c r="P6" i="6"/>
  <c r="S6" i="6" s="1"/>
  <c r="P5" i="6"/>
  <c r="S5" i="6" s="1"/>
  <c r="P4" i="6"/>
  <c r="S4" i="6" s="1"/>
  <c r="O8" i="6"/>
  <c r="R8" i="6" s="1"/>
  <c r="O7" i="6"/>
  <c r="R7" i="6" s="1"/>
  <c r="O6" i="6"/>
  <c r="R6" i="6" s="1"/>
  <c r="O5" i="6"/>
  <c r="R5" i="6" s="1"/>
  <c r="O4" i="6"/>
  <c r="R4" i="6" s="1"/>
  <c r="N8" i="6"/>
  <c r="Q8" i="6" s="1"/>
  <c r="N7" i="6"/>
  <c r="Q7" i="6" s="1"/>
  <c r="N6" i="6"/>
  <c r="Q6" i="6" s="1"/>
  <c r="N5" i="6"/>
  <c r="Q5" i="6" s="1"/>
  <c r="N4" i="6"/>
  <c r="Q4" i="6" s="1"/>
  <c r="V7" i="6" l="1"/>
  <c r="T13" i="6"/>
  <c r="T16" i="6"/>
  <c r="V13" i="6"/>
  <c r="U8" i="6"/>
  <c r="U13" i="6"/>
  <c r="U16" i="6"/>
  <c r="V16" i="6"/>
  <c r="U7" i="6"/>
  <c r="V6" i="6"/>
  <c r="T15" i="6"/>
  <c r="U15" i="6"/>
  <c r="V15" i="6"/>
  <c r="T14" i="6"/>
  <c r="U14" i="6"/>
  <c r="V14" i="6"/>
  <c r="T6" i="6"/>
  <c r="T8" i="6"/>
  <c r="T5" i="6"/>
  <c r="T7" i="6"/>
  <c r="U6" i="6"/>
  <c r="V5" i="6"/>
  <c r="U5" i="6"/>
  <c r="V8" i="6"/>
  <c r="W7" i="6" l="1"/>
  <c r="X7" i="6"/>
  <c r="X5" i="6"/>
  <c r="W5" i="6"/>
  <c r="W15" i="6"/>
  <c r="X15" i="6"/>
  <c r="X16" i="6"/>
  <c r="W16" i="6"/>
  <c r="X8" i="6"/>
  <c r="W8" i="6"/>
  <c r="W14" i="6"/>
  <c r="X14" i="6"/>
  <c r="W13" i="6"/>
  <c r="X13" i="6"/>
  <c r="X6" i="6"/>
  <c r="W6" i="6"/>
</calcChain>
</file>

<file path=xl/sharedStrings.xml><?xml version="1.0" encoding="utf-8"?>
<sst xmlns="http://schemas.openxmlformats.org/spreadsheetml/2006/main" count="94" uniqueCount="50">
  <si>
    <t>Refolding</t>
  </si>
  <si>
    <t>Stage</t>
  </si>
  <si>
    <t>Yield, %</t>
  </si>
  <si>
    <t>Concentration, mg/mL</t>
  </si>
  <si>
    <t>Solubilization</t>
  </si>
  <si>
    <t>not determined</t>
  </si>
  <si>
    <t>Quantity, mg</t>
  </si>
  <si>
    <t>I chromatography step (anion exchange)</t>
  </si>
  <si>
    <t>II chromatography step (mixed mode)</t>
  </si>
  <si>
    <t>III chromatography step (cation exchange)</t>
  </si>
  <si>
    <t>y = 1.026x + 0.0710</t>
  </si>
  <si>
    <t>Measured AU, 595 nm</t>
  </si>
  <si>
    <t>y = 1.073x + 0.0630</t>
  </si>
  <si>
    <t>y = 1.085x + 0.0710</t>
  </si>
  <si>
    <t>y = 0. 976x + 0.0620</t>
  </si>
  <si>
    <t>y = 1.059x + 0.1380</t>
  </si>
  <si>
    <t>y = 1.057x + 0.0460</t>
  </si>
  <si>
    <t>y = 0.927x + 0.0440</t>
  </si>
  <si>
    <t>y = 1.036x + 0.0400</t>
  </si>
  <si>
    <t>y = 1.031x + 0.0650</t>
  </si>
  <si>
    <t>y = 0.849x + 0.0180</t>
  </si>
  <si>
    <t>STDEV</t>
  </si>
  <si>
    <t>Equation of the generated BSA standard curve*</t>
  </si>
  <si>
    <t>Measured volume, mL</t>
  </si>
  <si>
    <r>
      <t>*y is absorbance, x is concentration (</t>
    </r>
    <r>
      <rPr>
        <b/>
        <i/>
        <sz val="10"/>
        <color theme="1"/>
        <rFont val="Arial"/>
        <family val="2"/>
        <charset val="204"/>
      </rPr>
      <t>Bradford assay</t>
    </r>
    <r>
      <rPr>
        <b/>
        <sz val="10"/>
        <color theme="1"/>
        <rFont val="Arial"/>
        <family val="2"/>
        <charset val="204"/>
      </rPr>
      <t>)</t>
    </r>
  </si>
  <si>
    <t xml:space="preserve"> y = 0.871x + 0.0120</t>
  </si>
  <si>
    <t>y = 1.011x + 0.0620</t>
  </si>
  <si>
    <t>y = 0.954x + 0.0300</t>
  </si>
  <si>
    <t xml:space="preserve"> y = 0.933x + 0.0460</t>
  </si>
  <si>
    <t>y = 0.961x + 0.0610</t>
  </si>
  <si>
    <t>y = 1.115x + 0.0820</t>
  </si>
  <si>
    <t>y = 1.121x + 0.0460</t>
  </si>
  <si>
    <t>y = 1.027x + 0.0480</t>
  </si>
  <si>
    <t>y = 1.057x + 0.0310</t>
  </si>
  <si>
    <t>y = 1.054x + 0.0250</t>
  </si>
  <si>
    <t>y = 1.057x + 0.0350</t>
  </si>
  <si>
    <t>y = 1.016x + 0.0390</t>
  </si>
  <si>
    <t>y = 0.893x + 0.0370</t>
  </si>
  <si>
    <t>y = 1.071x + 0.0650</t>
  </si>
  <si>
    <t>y = 1.052x + 0.0720</t>
  </si>
  <si>
    <t xml:space="preserve"> y = 1.084x + 0.0330</t>
  </si>
  <si>
    <t>y = 1.010x + 0.0740</t>
  </si>
  <si>
    <t>y = 0.914 x + 0.0640</t>
  </si>
  <si>
    <t xml:space="preserve">Dilution factor </t>
  </si>
  <si>
    <t xml:space="preserve"> SCF-Lα-GCSF studies </t>
  </si>
  <si>
    <t xml:space="preserve">GCSF-Lα-SCF studies </t>
  </si>
  <si>
    <t>Mean, %</t>
  </si>
  <si>
    <t>not applicable</t>
  </si>
  <si>
    <r>
      <t>Target peak Area, %</t>
    </r>
    <r>
      <rPr>
        <b/>
        <sz val="10"/>
        <color theme="1"/>
        <rFont val="Calibri"/>
        <family val="2"/>
        <charset val="204"/>
      </rPr>
      <t>*</t>
    </r>
  </si>
  <si>
    <t>*Target peak Area, %, represents protein purity by RP-HPLC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</si>
</sst>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2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readingOrder="1"/>
    </xf>
    <xf numFmtId="164" fontId="2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"/>
  <sheetViews>
    <sheetView tabSelected="1" workbookViewId="0">
      <pane xSplit="19908" topLeftCell="X1"/>
      <selection activeCell="C19" sqref="C19"/>
      <selection pane="topRight" activeCell="X2" sqref="X2"/>
    </sheetView>
  </sheetViews>
  <sheetFormatPr defaultColWidth="9.109375" defaultRowHeight="13.2" x14ac:dyDescent="0.25"/>
  <cols>
    <col min="1" max="1" width="41" style="1" customWidth="1"/>
    <col min="2" max="2" width="7.6640625" style="1" customWidth="1"/>
    <col min="3" max="3" width="8.33203125" style="1" customWidth="1"/>
    <col min="4" max="4" width="7.6640625" style="1" customWidth="1"/>
    <col min="5" max="5" width="4.88671875" style="1" customWidth="1"/>
    <col min="6" max="6" width="5.109375" style="1" customWidth="1"/>
    <col min="7" max="7" width="4.6640625" style="1" customWidth="1"/>
    <col min="8" max="8" width="5.33203125" style="1" customWidth="1"/>
    <col min="9" max="9" width="4.109375" style="1" customWidth="1"/>
    <col min="10" max="10" width="4.44140625" style="1" customWidth="1"/>
    <col min="11" max="11" width="18.5546875" style="1" customWidth="1"/>
    <col min="12" max="12" width="18.44140625" style="1" customWidth="1"/>
    <col min="13" max="13" width="18.109375" style="1" customWidth="1"/>
    <col min="14" max="14" width="6.88671875" style="1" customWidth="1"/>
    <col min="15" max="15" width="5.88671875" style="1" customWidth="1"/>
    <col min="16" max="16" width="6.109375" style="1" customWidth="1"/>
    <col min="17" max="17" width="8.44140625" style="1" customWidth="1"/>
    <col min="18" max="18" width="8.33203125" style="1" customWidth="1"/>
    <col min="19" max="19" width="7.33203125" style="1" customWidth="1"/>
    <col min="20" max="20" width="8.33203125" style="1" customWidth="1"/>
    <col min="21" max="22" width="7.33203125" style="1" customWidth="1"/>
    <col min="23" max="23" width="9" style="1" customWidth="1"/>
    <col min="24" max="24" width="8.109375" style="1" customWidth="1"/>
    <col min="25" max="16384" width="9.109375" style="1"/>
  </cols>
  <sheetData>
    <row r="1" spans="1:24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4" ht="34.5" customHeight="1" x14ac:dyDescent="0.25">
      <c r="A2" s="25" t="s">
        <v>44</v>
      </c>
      <c r="B2" s="29" t="s">
        <v>11</v>
      </c>
      <c r="C2" s="29"/>
      <c r="D2" s="29"/>
      <c r="E2" s="29" t="s">
        <v>23</v>
      </c>
      <c r="F2" s="29"/>
      <c r="G2" s="29"/>
      <c r="H2" s="29" t="s">
        <v>43</v>
      </c>
      <c r="I2" s="29"/>
      <c r="J2" s="29"/>
      <c r="K2" s="29" t="s">
        <v>22</v>
      </c>
      <c r="L2" s="29"/>
      <c r="M2" s="29"/>
      <c r="N2" s="30" t="s">
        <v>3</v>
      </c>
      <c r="O2" s="30"/>
      <c r="P2" s="30"/>
      <c r="Q2" s="30" t="s">
        <v>6</v>
      </c>
      <c r="R2" s="30"/>
      <c r="S2" s="30"/>
      <c r="T2" s="29" t="s">
        <v>2</v>
      </c>
      <c r="U2" s="29"/>
      <c r="V2" s="29"/>
      <c r="W2" s="22" t="s">
        <v>46</v>
      </c>
      <c r="X2" s="14" t="s">
        <v>21</v>
      </c>
    </row>
    <row r="3" spans="1:24" ht="24.75" customHeight="1" x14ac:dyDescent="0.25">
      <c r="A3" s="7" t="s">
        <v>1</v>
      </c>
      <c r="B3" s="7">
        <v>1</v>
      </c>
      <c r="C3" s="7">
        <v>2</v>
      </c>
      <c r="D3" s="7">
        <v>3</v>
      </c>
      <c r="E3" s="24">
        <v>1</v>
      </c>
      <c r="F3" s="9">
        <v>2</v>
      </c>
      <c r="G3" s="9">
        <v>3</v>
      </c>
      <c r="H3" s="24">
        <v>1</v>
      </c>
      <c r="I3" s="24">
        <v>2</v>
      </c>
      <c r="J3" s="24">
        <v>3</v>
      </c>
      <c r="K3" s="24">
        <v>1</v>
      </c>
      <c r="L3" s="24">
        <v>2</v>
      </c>
      <c r="M3" s="9">
        <v>3</v>
      </c>
      <c r="N3" s="16">
        <v>1</v>
      </c>
      <c r="O3" s="15">
        <v>2</v>
      </c>
      <c r="P3" s="15">
        <v>3</v>
      </c>
      <c r="Q3" s="15">
        <v>1</v>
      </c>
      <c r="R3" s="15">
        <v>2</v>
      </c>
      <c r="S3" s="21">
        <v>3</v>
      </c>
      <c r="T3" s="16">
        <v>1</v>
      </c>
      <c r="U3" s="21">
        <v>2</v>
      </c>
      <c r="V3" s="21">
        <v>3</v>
      </c>
      <c r="W3" s="6"/>
      <c r="X3" s="6"/>
    </row>
    <row r="4" spans="1:24" x14ac:dyDescent="0.25">
      <c r="A4" s="10" t="s">
        <v>4</v>
      </c>
      <c r="B4" s="19">
        <v>0.50339999999999996</v>
      </c>
      <c r="C4" s="19">
        <v>0.51770000000000005</v>
      </c>
      <c r="D4" s="19">
        <v>0.50119999999999998</v>
      </c>
      <c r="E4" s="20">
        <v>120</v>
      </c>
      <c r="F4" s="20">
        <v>118</v>
      </c>
      <c r="G4" s="20">
        <v>119</v>
      </c>
      <c r="H4" s="17">
        <v>4</v>
      </c>
      <c r="I4" s="17">
        <v>4</v>
      </c>
      <c r="J4" s="17">
        <v>4</v>
      </c>
      <c r="K4" s="17" t="s">
        <v>10</v>
      </c>
      <c r="L4" s="17" t="s">
        <v>16</v>
      </c>
      <c r="M4" s="11" t="s">
        <v>36</v>
      </c>
      <c r="N4" s="18">
        <f>(B4-0.071/1.026)*H4</f>
        <v>1.7367968810916179</v>
      </c>
      <c r="O4" s="18">
        <f>(C4-0.046)/1.057*I4</f>
        <v>1.7850520340586569</v>
      </c>
      <c r="P4" s="18">
        <f>(D4-0.039)/1.016*J4</f>
        <v>1.8196850393700787</v>
      </c>
      <c r="Q4" s="18">
        <f t="shared" ref="Q4:S8" si="0">N4*E4</f>
        <v>208.41562573099415</v>
      </c>
      <c r="R4" s="18">
        <f t="shared" si="0"/>
        <v>210.63614001892151</v>
      </c>
      <c r="S4" s="18">
        <f t="shared" si="0"/>
        <v>216.54251968503937</v>
      </c>
      <c r="T4" s="23">
        <v>100</v>
      </c>
      <c r="U4" s="23">
        <v>100</v>
      </c>
      <c r="V4" s="23">
        <v>100</v>
      </c>
      <c r="W4" s="13">
        <f>AVERAGE(T4:V4)</f>
        <v>100</v>
      </c>
      <c r="X4" s="13">
        <f>STDEV(T4:V4)</f>
        <v>0</v>
      </c>
    </row>
    <row r="5" spans="1:24" x14ac:dyDescent="0.25">
      <c r="A5" s="10" t="s">
        <v>0</v>
      </c>
      <c r="B5" s="19">
        <v>0.52349999999999997</v>
      </c>
      <c r="C5" s="19">
        <v>0.44729999999999998</v>
      </c>
      <c r="D5" s="19">
        <v>0.43009999999999998</v>
      </c>
      <c r="E5" s="20">
        <v>437</v>
      </c>
      <c r="F5" s="20">
        <v>455</v>
      </c>
      <c r="G5" s="20">
        <v>470</v>
      </c>
      <c r="H5" s="17">
        <v>1</v>
      </c>
      <c r="I5" s="17">
        <v>1</v>
      </c>
      <c r="J5" s="17">
        <v>1</v>
      </c>
      <c r="K5" s="17" t="s">
        <v>12</v>
      </c>
      <c r="L5" s="17" t="s">
        <v>17</v>
      </c>
      <c r="M5" s="12" t="s">
        <v>37</v>
      </c>
      <c r="N5" s="18">
        <f>(B5-0.063)/1.073*H5</f>
        <v>0.42917054986020503</v>
      </c>
      <c r="O5" s="18">
        <f>(C5-0.044)/0.927*I5</f>
        <v>0.43505933117583601</v>
      </c>
      <c r="P5" s="18">
        <f>(D5-0.037)/0.893*J5</f>
        <v>0.44020156774916014</v>
      </c>
      <c r="Q5" s="18">
        <f t="shared" si="0"/>
        <v>187.5475302889096</v>
      </c>
      <c r="R5" s="18">
        <f t="shared" si="0"/>
        <v>197.95199568500539</v>
      </c>
      <c r="S5" s="18">
        <f t="shared" si="0"/>
        <v>206.89473684210526</v>
      </c>
      <c r="T5" s="23">
        <f>(Q5*T4)/Q4</f>
        <v>89.987269251577416</v>
      </c>
      <c r="U5" s="23">
        <f>(R5*U4)/R4</f>
        <v>93.978172818407756</v>
      </c>
      <c r="V5" s="23">
        <f>(S5*V4)/S4</f>
        <v>95.54462428119578</v>
      </c>
      <c r="W5" s="13">
        <f t="shared" ref="W5:W8" si="1">AVERAGE(T5:V5)</f>
        <v>93.170022117060327</v>
      </c>
      <c r="X5" s="13">
        <f t="shared" ref="X5:X8" si="2">STDEV(T5:V5)</f>
        <v>2.8654632083438791</v>
      </c>
    </row>
    <row r="6" spans="1:24" x14ac:dyDescent="0.25">
      <c r="A6" s="10" t="s">
        <v>7</v>
      </c>
      <c r="B6" s="19">
        <v>0.63219999999999998</v>
      </c>
      <c r="C6" s="19">
        <v>0.58660000000000001</v>
      </c>
      <c r="D6" s="19">
        <v>0.70009999999999994</v>
      </c>
      <c r="E6" s="20">
        <v>25</v>
      </c>
      <c r="F6" s="20">
        <v>23</v>
      </c>
      <c r="G6" s="20">
        <v>27</v>
      </c>
      <c r="H6" s="17">
        <v>1</v>
      </c>
      <c r="I6" s="17">
        <v>1</v>
      </c>
      <c r="J6" s="17">
        <v>1</v>
      </c>
      <c r="K6" s="17" t="s">
        <v>13</v>
      </c>
      <c r="L6" s="17" t="s">
        <v>20</v>
      </c>
      <c r="M6" s="12" t="s">
        <v>16</v>
      </c>
      <c r="N6" s="18">
        <f>(B6-0.071/1.085)*H6</f>
        <v>0.56676221198156684</v>
      </c>
      <c r="O6" s="18">
        <f>(C6-0.018)/0.849*I6</f>
        <v>0.66972909305064787</v>
      </c>
      <c r="P6" s="18">
        <f>(D6-0.046)/1.057*J6</f>
        <v>0.61882686849574264</v>
      </c>
      <c r="Q6" s="18">
        <f t="shared" si="0"/>
        <v>14.169055299539171</v>
      </c>
      <c r="R6" s="18">
        <f t="shared" si="0"/>
        <v>15.403769140164901</v>
      </c>
      <c r="S6" s="18">
        <f t="shared" si="0"/>
        <v>16.70832544938505</v>
      </c>
      <c r="T6" s="23">
        <f>(Q6*T4)/Q4</f>
        <v>6.7984611277790794</v>
      </c>
      <c r="U6" s="23">
        <f>(R6*U4)/R4</f>
        <v>7.3129754175998354</v>
      </c>
      <c r="V6" s="23">
        <f>(S6*V4)/S4</f>
        <v>7.7159559580664681</v>
      </c>
      <c r="W6" s="13">
        <f t="shared" si="1"/>
        <v>7.2757975011484604</v>
      </c>
      <c r="X6" s="13">
        <f t="shared" si="2"/>
        <v>0.45987589522040628</v>
      </c>
    </row>
    <row r="7" spans="1:24" x14ac:dyDescent="0.25">
      <c r="A7" s="10" t="s">
        <v>8</v>
      </c>
      <c r="B7" s="19">
        <v>0.30349999999999999</v>
      </c>
      <c r="C7" s="19">
        <v>0.27189999999999998</v>
      </c>
      <c r="D7" s="19">
        <v>0.29559999999999997</v>
      </c>
      <c r="E7" s="20">
        <v>20</v>
      </c>
      <c r="F7" s="20">
        <v>18</v>
      </c>
      <c r="G7" s="20">
        <v>22</v>
      </c>
      <c r="H7" s="17">
        <v>1</v>
      </c>
      <c r="I7" s="17">
        <v>1</v>
      </c>
      <c r="J7" s="17">
        <v>1</v>
      </c>
      <c r="K7" s="17" t="s">
        <v>15</v>
      </c>
      <c r="L7" s="17" t="s">
        <v>18</v>
      </c>
      <c r="M7" s="11" t="s">
        <v>10</v>
      </c>
      <c r="N7" s="18">
        <f>(B7-0.138)/1.059*H7</f>
        <v>0.15627950897072709</v>
      </c>
      <c r="O7" s="18">
        <f>(C7-0.04)/1.036*I7</f>
        <v>0.2238416988416988</v>
      </c>
      <c r="P7" s="18">
        <f>(D7-0.071)/1.026*J7</f>
        <v>0.21890838206627677</v>
      </c>
      <c r="Q7" s="18">
        <f t="shared" si="0"/>
        <v>3.1255901794145418</v>
      </c>
      <c r="R7" s="18">
        <f t="shared" si="0"/>
        <v>4.0291505791505786</v>
      </c>
      <c r="S7" s="18">
        <f t="shared" si="0"/>
        <v>4.8159844054580887</v>
      </c>
      <c r="T7" s="23">
        <f>(Q7*T4)/Q4</f>
        <v>1.4996909029502412</v>
      </c>
      <c r="U7" s="23">
        <f>(R7*U4)/R4</f>
        <v>1.9128486587290474</v>
      </c>
      <c r="V7" s="23">
        <f>(S7*V4)/S4</f>
        <v>2.2240363751483674</v>
      </c>
      <c r="W7" s="13">
        <f t="shared" si="1"/>
        <v>1.8788586456092187</v>
      </c>
      <c r="X7" s="13">
        <f t="shared" si="2"/>
        <v>0.36336700664396615</v>
      </c>
    </row>
    <row r="8" spans="1:24" x14ac:dyDescent="0.25">
      <c r="A8" s="10" t="s">
        <v>9</v>
      </c>
      <c r="B8" s="19">
        <v>0.42670000000000002</v>
      </c>
      <c r="C8" s="19">
        <v>0.53790000000000004</v>
      </c>
      <c r="D8" s="19">
        <v>0.43609999999999999</v>
      </c>
      <c r="E8" s="20">
        <v>4</v>
      </c>
      <c r="F8" s="20">
        <v>3</v>
      </c>
      <c r="G8" s="20">
        <v>5</v>
      </c>
      <c r="H8" s="17">
        <v>2</v>
      </c>
      <c r="I8" s="17">
        <v>2</v>
      </c>
      <c r="J8" s="17">
        <v>2</v>
      </c>
      <c r="K8" s="17" t="s">
        <v>14</v>
      </c>
      <c r="L8" s="17" t="s">
        <v>19</v>
      </c>
      <c r="M8" s="11" t="s">
        <v>38</v>
      </c>
      <c r="N8" s="18">
        <f>(B8-0.062)/0.976*H8</f>
        <v>0.74733606557377052</v>
      </c>
      <c r="O8" s="18">
        <f>(C8-0.065)/1.031*I8</f>
        <v>0.9173617846750729</v>
      </c>
      <c r="P8" s="18">
        <f>(D8-0.065)/1.071*J8</f>
        <v>0.6929971988795518</v>
      </c>
      <c r="Q8" s="18">
        <f t="shared" si="0"/>
        <v>2.9893442622950821</v>
      </c>
      <c r="R8" s="18">
        <f t="shared" si="0"/>
        <v>2.7520853540252186</v>
      </c>
      <c r="S8" s="18">
        <f t="shared" si="0"/>
        <v>3.4649859943977592</v>
      </c>
      <c r="T8" s="23">
        <f>(Q8*T4)/Q4</f>
        <v>1.434318684988372</v>
      </c>
      <c r="U8" s="23">
        <f>(R8*U4)/R4</f>
        <v>1.3065589569662632</v>
      </c>
      <c r="V8" s="23">
        <f>(S8*V4)/S4</f>
        <v>1.6001411637019713</v>
      </c>
      <c r="W8" s="13">
        <f t="shared" si="1"/>
        <v>1.447006268552202</v>
      </c>
      <c r="X8" s="13">
        <f t="shared" si="2"/>
        <v>0.14720176327228182</v>
      </c>
    </row>
    <row r="9" spans="1:24" ht="19.5" customHeight="1" x14ac:dyDescent="0.25">
      <c r="A9" s="3"/>
      <c r="B9" s="3"/>
      <c r="C9" s="3"/>
      <c r="D9" s="3"/>
      <c r="F9" s="2"/>
      <c r="G9" s="2"/>
      <c r="M9" s="4"/>
      <c r="N9" s="8"/>
      <c r="O9" s="8"/>
      <c r="P9" s="8"/>
      <c r="Q9" s="8"/>
      <c r="R9" s="8"/>
      <c r="S9" s="8"/>
      <c r="T9" s="8"/>
    </row>
    <row r="10" spans="1:24" ht="34.5" customHeight="1" x14ac:dyDescent="0.25">
      <c r="A10" s="25" t="s">
        <v>45</v>
      </c>
      <c r="B10" s="29" t="s">
        <v>11</v>
      </c>
      <c r="C10" s="29"/>
      <c r="D10" s="29"/>
      <c r="E10" s="29" t="s">
        <v>23</v>
      </c>
      <c r="F10" s="29"/>
      <c r="G10" s="29"/>
      <c r="H10" s="29" t="s">
        <v>43</v>
      </c>
      <c r="I10" s="29"/>
      <c r="J10" s="29"/>
      <c r="K10" s="29" t="s">
        <v>22</v>
      </c>
      <c r="L10" s="29"/>
      <c r="M10" s="29"/>
      <c r="N10" s="30" t="s">
        <v>3</v>
      </c>
      <c r="O10" s="30"/>
      <c r="P10" s="30"/>
      <c r="Q10" s="30" t="s">
        <v>6</v>
      </c>
      <c r="R10" s="30"/>
      <c r="S10" s="30"/>
      <c r="T10" s="29" t="s">
        <v>2</v>
      </c>
      <c r="U10" s="29"/>
      <c r="V10" s="29"/>
      <c r="W10" s="22" t="s">
        <v>46</v>
      </c>
      <c r="X10" s="14" t="s">
        <v>21</v>
      </c>
    </row>
    <row r="11" spans="1:24" ht="24.75" customHeight="1" x14ac:dyDescent="0.25">
      <c r="A11" s="7" t="s">
        <v>1</v>
      </c>
      <c r="B11" s="7">
        <v>1</v>
      </c>
      <c r="C11" s="7">
        <v>2</v>
      </c>
      <c r="D11" s="7">
        <v>3</v>
      </c>
      <c r="E11" s="24">
        <v>1</v>
      </c>
      <c r="F11" s="9">
        <v>2</v>
      </c>
      <c r="G11" s="9">
        <v>3</v>
      </c>
      <c r="H11" s="24">
        <v>1</v>
      </c>
      <c r="I11" s="24">
        <v>2</v>
      </c>
      <c r="J11" s="24">
        <v>3</v>
      </c>
      <c r="K11" s="24">
        <v>1</v>
      </c>
      <c r="L11" s="24">
        <v>2</v>
      </c>
      <c r="M11" s="9">
        <v>3</v>
      </c>
      <c r="N11" s="16">
        <v>1</v>
      </c>
      <c r="O11" s="15">
        <v>2</v>
      </c>
      <c r="P11" s="15">
        <v>3</v>
      </c>
      <c r="Q11" s="15">
        <v>1</v>
      </c>
      <c r="R11" s="15">
        <v>2</v>
      </c>
      <c r="S11" s="21">
        <v>3</v>
      </c>
      <c r="T11" s="16">
        <v>1</v>
      </c>
      <c r="U11" s="21">
        <v>2</v>
      </c>
      <c r="V11" s="21">
        <v>3</v>
      </c>
      <c r="W11" s="6"/>
      <c r="X11" s="6"/>
    </row>
    <row r="12" spans="1:24" x14ac:dyDescent="0.25">
      <c r="A12" s="10" t="s">
        <v>4</v>
      </c>
      <c r="B12" s="19">
        <v>0.46750000000000003</v>
      </c>
      <c r="C12" s="19">
        <v>0.42120000000000002</v>
      </c>
      <c r="D12" s="19">
        <v>0.50170000000000003</v>
      </c>
      <c r="E12" s="20">
        <v>122</v>
      </c>
      <c r="F12" s="20">
        <v>123</v>
      </c>
      <c r="G12" s="20">
        <v>118</v>
      </c>
      <c r="H12" s="17">
        <v>4</v>
      </c>
      <c r="I12" s="17">
        <v>4</v>
      </c>
      <c r="J12" s="17">
        <v>4</v>
      </c>
      <c r="K12" s="17" t="s">
        <v>25</v>
      </c>
      <c r="L12" s="17" t="s">
        <v>27</v>
      </c>
      <c r="M12" s="17" t="s">
        <v>29</v>
      </c>
      <c r="N12" s="18">
        <f>(B12-0.012/0.871)*H12</f>
        <v>1.8148909299655569</v>
      </c>
      <c r="O12" s="18">
        <f>(C12-0.03)/0.954*I12</f>
        <v>1.6402515723270441</v>
      </c>
      <c r="P12" s="18">
        <f>(D12-0.061)/0.961*J12</f>
        <v>1.8343392299687826</v>
      </c>
      <c r="Q12" s="18">
        <f t="shared" ref="Q12:S16" si="3">N12*E12</f>
        <v>221.41669345579794</v>
      </c>
      <c r="R12" s="18">
        <f t="shared" si="3"/>
        <v>201.75094339622643</v>
      </c>
      <c r="S12" s="18">
        <f t="shared" si="3"/>
        <v>216.45202913631636</v>
      </c>
      <c r="T12" s="23">
        <v>100</v>
      </c>
      <c r="U12" s="23">
        <v>100</v>
      </c>
      <c r="V12" s="23">
        <v>100</v>
      </c>
      <c r="W12" s="13">
        <f>AVERAGE(T12:V12)</f>
        <v>100</v>
      </c>
      <c r="X12" s="13">
        <f>STDEV(T12:V12)</f>
        <v>0</v>
      </c>
    </row>
    <row r="13" spans="1:24" x14ac:dyDescent="0.25">
      <c r="A13" s="10" t="s">
        <v>0</v>
      </c>
      <c r="B13" s="19">
        <v>0.44550000000000001</v>
      </c>
      <c r="C13" s="19">
        <v>0.48830000000000001</v>
      </c>
      <c r="D13" s="19">
        <v>0.5857</v>
      </c>
      <c r="E13" s="20">
        <v>480</v>
      </c>
      <c r="F13" s="20">
        <v>453</v>
      </c>
      <c r="G13" s="20">
        <v>448</v>
      </c>
      <c r="H13" s="17">
        <v>1</v>
      </c>
      <c r="I13" s="17">
        <v>1</v>
      </c>
      <c r="J13" s="17">
        <v>1</v>
      </c>
      <c r="K13" s="17" t="s">
        <v>35</v>
      </c>
      <c r="L13" s="17" t="s">
        <v>41</v>
      </c>
      <c r="M13" s="17" t="s">
        <v>30</v>
      </c>
      <c r="N13" s="18">
        <f>(B13-0.035/1.057)*H13</f>
        <v>0.41238741721854305</v>
      </c>
      <c r="O13" s="18">
        <f>(C13-0.074)/1.01*I13</f>
        <v>0.41019801980198017</v>
      </c>
      <c r="P13" s="18">
        <f>(D13-0.082)/1.115*J13</f>
        <v>0.45174887892376686</v>
      </c>
      <c r="Q13" s="18">
        <f t="shared" si="3"/>
        <v>197.94596026490066</v>
      </c>
      <c r="R13" s="18">
        <f t="shared" si="3"/>
        <v>185.81970297029702</v>
      </c>
      <c r="S13" s="18">
        <f t="shared" si="3"/>
        <v>202.38349775784755</v>
      </c>
      <c r="T13" s="23">
        <f>(Q13*T12)/Q12</f>
        <v>89.399745419112762</v>
      </c>
      <c r="U13" s="23">
        <f>(R13*U12)/R12</f>
        <v>92.103511310655207</v>
      </c>
      <c r="V13" s="23">
        <f>(S13*V12)/S12</f>
        <v>93.500392934820312</v>
      </c>
      <c r="W13" s="13">
        <f t="shared" ref="W13:W16" si="4">AVERAGE(T13:V13)</f>
        <v>91.667883221529436</v>
      </c>
      <c r="X13" s="13">
        <f t="shared" ref="X13:X16" si="5">STDEV(T13:V13)</f>
        <v>2.0847437219107197</v>
      </c>
    </row>
    <row r="14" spans="1:24" x14ac:dyDescent="0.25">
      <c r="A14" s="10" t="s">
        <v>7</v>
      </c>
      <c r="B14" s="19">
        <v>0.4577</v>
      </c>
      <c r="C14" s="19">
        <v>0.56620000000000004</v>
      </c>
      <c r="D14" s="19">
        <v>0.56279999999999997</v>
      </c>
      <c r="E14" s="20">
        <v>30</v>
      </c>
      <c r="F14" s="20">
        <v>25</v>
      </c>
      <c r="G14" s="20">
        <v>25</v>
      </c>
      <c r="H14" s="17">
        <v>1</v>
      </c>
      <c r="I14" s="17">
        <v>1</v>
      </c>
      <c r="J14" s="17">
        <v>1</v>
      </c>
      <c r="K14" s="17" t="s">
        <v>33</v>
      </c>
      <c r="L14" s="17" t="s">
        <v>40</v>
      </c>
      <c r="M14" s="17" t="s">
        <v>42</v>
      </c>
      <c r="N14" s="18">
        <f>(B14-0.031/1.057)*H14</f>
        <v>0.42837171239356669</v>
      </c>
      <c r="O14" s="18">
        <f>(C14-0.033)/1.084 *I14</f>
        <v>0.49188191881918819</v>
      </c>
      <c r="P14" s="18">
        <f>(D14-0.064)/0.914*J14</f>
        <v>0.54573304157549229</v>
      </c>
      <c r="Q14" s="18">
        <f t="shared" si="3"/>
        <v>12.851151371807001</v>
      </c>
      <c r="R14" s="18">
        <f t="shared" si="3"/>
        <v>12.297047970479705</v>
      </c>
      <c r="S14" s="18">
        <f t="shared" si="3"/>
        <v>13.643326039387308</v>
      </c>
      <c r="T14" s="23">
        <f>(Q14*T12)/Q12</f>
        <v>5.8040571247047881</v>
      </c>
      <c r="U14" s="23">
        <f>(R14*U12)/R12</f>
        <v>6.0951625620550676</v>
      </c>
      <c r="V14" s="23">
        <f>(S14*V12)/S12</f>
        <v>6.3031638436593562</v>
      </c>
      <c r="W14" s="13">
        <f t="shared" si="4"/>
        <v>6.067461176806404</v>
      </c>
      <c r="X14" s="13">
        <f t="shared" si="5"/>
        <v>0.2507038178507055</v>
      </c>
    </row>
    <row r="15" spans="1:24" x14ac:dyDescent="0.25">
      <c r="A15" s="10" t="s">
        <v>8</v>
      </c>
      <c r="B15" s="19">
        <v>0.1827</v>
      </c>
      <c r="C15" s="19">
        <v>0.23619999999999999</v>
      </c>
      <c r="D15" s="19">
        <v>0.26290000000000002</v>
      </c>
      <c r="E15" s="20">
        <v>23</v>
      </c>
      <c r="F15" s="20">
        <v>22</v>
      </c>
      <c r="G15" s="20">
        <v>24</v>
      </c>
      <c r="H15" s="17">
        <v>1</v>
      </c>
      <c r="I15" s="17">
        <v>1</v>
      </c>
      <c r="J15" s="17">
        <v>1</v>
      </c>
      <c r="K15" s="17" t="s">
        <v>34</v>
      </c>
      <c r="L15" s="17" t="s">
        <v>39</v>
      </c>
      <c r="M15" s="17" t="s">
        <v>31</v>
      </c>
      <c r="N15" s="18">
        <f>(B15-0.025/1.054)*H15</f>
        <v>0.15898083491461101</v>
      </c>
      <c r="O15" s="18">
        <f>(C15-0.072)/1.052*I15</f>
        <v>0.15608365019011408</v>
      </c>
      <c r="P15" s="18">
        <f>(D15-0.046)/1.121*J15</f>
        <v>0.19348795718108835</v>
      </c>
      <c r="Q15" s="18">
        <f t="shared" si="3"/>
        <v>3.6565592030360534</v>
      </c>
      <c r="R15" s="18">
        <f t="shared" si="3"/>
        <v>3.4338403041825099</v>
      </c>
      <c r="S15" s="18">
        <f t="shared" si="3"/>
        <v>4.6437109723461205</v>
      </c>
      <c r="T15" s="23">
        <f>(Q15*T12)/Q12</f>
        <v>1.6514379046880776</v>
      </c>
      <c r="U15" s="23">
        <f>(R15*U12)/R12</f>
        <v>1.7020194534796591</v>
      </c>
      <c r="V15" s="23">
        <f>(S15*V12)/S12</f>
        <v>2.1453765025328644</v>
      </c>
      <c r="W15" s="13">
        <f t="shared" si="4"/>
        <v>1.832944620233534</v>
      </c>
      <c r="X15" s="13">
        <f t="shared" si="5"/>
        <v>0.27175335154762148</v>
      </c>
    </row>
    <row r="16" spans="1:24" x14ac:dyDescent="0.25">
      <c r="A16" s="10" t="s">
        <v>9</v>
      </c>
      <c r="B16" s="19">
        <v>0.55479999999999996</v>
      </c>
      <c r="C16" s="19">
        <v>0.59130000000000005</v>
      </c>
      <c r="D16" s="19">
        <v>0.45429999999999998</v>
      </c>
      <c r="E16" s="20">
        <v>5</v>
      </c>
      <c r="F16" s="20">
        <v>4</v>
      </c>
      <c r="G16" s="20">
        <v>4</v>
      </c>
      <c r="H16" s="17">
        <v>1</v>
      </c>
      <c r="I16" s="17">
        <v>1</v>
      </c>
      <c r="J16" s="17">
        <v>2</v>
      </c>
      <c r="K16" s="17" t="s">
        <v>26</v>
      </c>
      <c r="L16" s="17" t="s">
        <v>28</v>
      </c>
      <c r="M16" s="17" t="s">
        <v>32</v>
      </c>
      <c r="N16" s="18">
        <f>(B16-0.062/1.011)*H16</f>
        <v>0.49347457962413449</v>
      </c>
      <c r="O16" s="18">
        <f>(C16-0.046)/0.933*I16</f>
        <v>0.58445873526259373</v>
      </c>
      <c r="P16" s="18">
        <f>(D16-0.048)/1.027*J16</f>
        <v>0.79123661148977609</v>
      </c>
      <c r="Q16" s="18">
        <f t="shared" si="3"/>
        <v>2.4673728981206726</v>
      </c>
      <c r="R16" s="18">
        <f t="shared" si="3"/>
        <v>2.3378349410503749</v>
      </c>
      <c r="S16" s="18">
        <f t="shared" si="3"/>
        <v>3.1649464459591043</v>
      </c>
      <c r="T16" s="23">
        <f>(Q16*T12)/Q12</f>
        <v>1.1143572147206875</v>
      </c>
      <c r="U16" s="23">
        <f>(R16*U12)/R12</f>
        <v>1.1587727431137762</v>
      </c>
      <c r="V16" s="23">
        <f>(S16*V12)/S12</f>
        <v>1.4621930127371991</v>
      </c>
      <c r="W16" s="13">
        <f t="shared" si="4"/>
        <v>1.245107656857221</v>
      </c>
      <c r="X16" s="13">
        <f t="shared" si="5"/>
        <v>0.18930854073116113</v>
      </c>
    </row>
    <row r="17" spans="1:20" ht="14.25" customHeight="1" x14ac:dyDescent="0.25">
      <c r="A17" s="3"/>
      <c r="B17" s="3"/>
      <c r="C17" s="3"/>
      <c r="D17" s="3"/>
      <c r="F17" s="2"/>
      <c r="G17" s="2"/>
      <c r="M17" s="5"/>
      <c r="N17" s="8"/>
      <c r="O17" s="8"/>
      <c r="P17" s="8"/>
      <c r="Q17" s="8"/>
      <c r="R17" s="8"/>
      <c r="S17" s="8"/>
      <c r="T17" s="8"/>
    </row>
    <row r="18" spans="1:20" x14ac:dyDescent="0.25">
      <c r="A18" s="3" t="s">
        <v>24</v>
      </c>
      <c r="B18" s="3"/>
      <c r="C18" s="3"/>
      <c r="D18" s="3"/>
      <c r="F18" s="2"/>
      <c r="G18" s="2"/>
      <c r="N18" s="8"/>
      <c r="O18" s="8"/>
      <c r="P18" s="8"/>
      <c r="Q18" s="8"/>
      <c r="R18" s="8"/>
      <c r="S18" s="8"/>
      <c r="T18" s="8"/>
    </row>
    <row r="19" spans="1:20" x14ac:dyDescent="0.25">
      <c r="A19" s="3"/>
      <c r="B19" s="3"/>
      <c r="C19" s="3"/>
      <c r="D19" s="3"/>
      <c r="F19" s="2"/>
      <c r="G19" s="2"/>
      <c r="N19" s="8"/>
      <c r="O19" s="8"/>
      <c r="P19" s="8"/>
      <c r="Q19" s="8"/>
      <c r="R19" s="8"/>
      <c r="S19" s="8"/>
      <c r="T19" s="8"/>
    </row>
    <row r="20" spans="1:20" x14ac:dyDescent="0.25">
      <c r="A20" s="3"/>
      <c r="B20" s="3"/>
      <c r="C20" s="3"/>
      <c r="D20" s="3"/>
      <c r="F20" s="2"/>
      <c r="G20" s="2"/>
      <c r="N20" s="8"/>
      <c r="O20" s="8"/>
      <c r="P20" s="8"/>
      <c r="Q20" s="8"/>
      <c r="R20" s="8"/>
      <c r="S20" s="8"/>
      <c r="T20" s="8"/>
    </row>
    <row r="22" spans="1:20" x14ac:dyDescent="0.25">
      <c r="A22" s="3"/>
      <c r="B22" s="3"/>
      <c r="C22" s="3"/>
      <c r="D22" s="3"/>
      <c r="F22" s="2"/>
      <c r="G22" s="2"/>
      <c r="N22" s="8"/>
      <c r="O22" s="8"/>
      <c r="P22" s="8"/>
      <c r="Q22" s="8"/>
      <c r="R22" s="8"/>
      <c r="S22" s="8"/>
      <c r="T22" s="8"/>
    </row>
    <row r="23" spans="1:20" x14ac:dyDescent="0.25">
      <c r="A23" s="3"/>
      <c r="B23" s="3"/>
      <c r="C23" s="3"/>
      <c r="D23" s="3"/>
      <c r="F23" s="2"/>
      <c r="G23" s="2"/>
      <c r="N23" s="8"/>
      <c r="O23" s="8"/>
      <c r="P23" s="8"/>
      <c r="Q23" s="8"/>
      <c r="R23" s="8"/>
      <c r="S23" s="8"/>
      <c r="T23" s="8"/>
    </row>
    <row r="24" spans="1:20" x14ac:dyDescent="0.25">
      <c r="A24" s="3"/>
      <c r="B24" s="3"/>
      <c r="C24" s="3"/>
      <c r="D24" s="3"/>
      <c r="F24" s="2"/>
      <c r="G24" s="2"/>
      <c r="N24" s="8"/>
      <c r="O24" s="8"/>
      <c r="P24" s="8"/>
      <c r="Q24" s="8"/>
      <c r="R24" s="8"/>
      <c r="S24" s="8"/>
      <c r="T24" s="8"/>
    </row>
    <row r="25" spans="1:20" x14ac:dyDescent="0.25">
      <c r="A25" s="3"/>
      <c r="B25" s="3"/>
      <c r="C25" s="3"/>
      <c r="D25" s="3"/>
      <c r="F25" s="2"/>
      <c r="G25" s="2"/>
      <c r="N25" s="8"/>
      <c r="O25" s="8"/>
      <c r="P25" s="8"/>
      <c r="Q25" s="8"/>
      <c r="R25" s="8"/>
      <c r="S25" s="8"/>
      <c r="T25" s="8"/>
    </row>
    <row r="26" spans="1:20" x14ac:dyDescent="0.25">
      <c r="A26" s="3"/>
      <c r="B26" s="3"/>
      <c r="C26" s="3"/>
      <c r="D26" s="3"/>
      <c r="F26" s="2"/>
      <c r="G26" s="2"/>
      <c r="N26" s="8"/>
      <c r="O26" s="8"/>
      <c r="P26" s="8"/>
      <c r="Q26" s="8"/>
      <c r="R26" s="8"/>
      <c r="S26" s="8"/>
      <c r="T26" s="8"/>
    </row>
  </sheetData>
  <mergeCells count="15">
    <mergeCell ref="T10:V10"/>
    <mergeCell ref="N2:P2"/>
    <mergeCell ref="Q2:S2"/>
    <mergeCell ref="T2:V2"/>
    <mergeCell ref="B10:D10"/>
    <mergeCell ref="E10:G10"/>
    <mergeCell ref="H10:J10"/>
    <mergeCell ref="K10:M10"/>
    <mergeCell ref="N10:P10"/>
    <mergeCell ref="Q10:S10"/>
    <mergeCell ref="A1:T1"/>
    <mergeCell ref="B2:D2"/>
    <mergeCell ref="E2:G2"/>
    <mergeCell ref="H2:J2"/>
    <mergeCell ref="K2:M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workbookViewId="0">
      <selection activeCell="A21" sqref="A21"/>
    </sheetView>
  </sheetViews>
  <sheetFormatPr defaultColWidth="9.109375" defaultRowHeight="13.2" x14ac:dyDescent="0.25"/>
  <cols>
    <col min="1" max="1" width="41" style="1" customWidth="1"/>
    <col min="2" max="2" width="14.33203125" style="1" customWidth="1"/>
    <col min="3" max="3" width="14.44140625" style="1" customWidth="1"/>
    <col min="4" max="4" width="14.109375" style="1" customWidth="1"/>
    <col min="5" max="5" width="12.5546875" style="1" customWidth="1"/>
    <col min="6" max="6" width="11.6640625" style="1" customWidth="1"/>
    <col min="7" max="16384" width="9.109375" style="1"/>
  </cols>
  <sheetData>
    <row r="1" spans="1:6" x14ac:dyDescent="0.25">
      <c r="A1" s="28"/>
      <c r="B1" s="28"/>
      <c r="C1" s="28"/>
      <c r="D1" s="28"/>
    </row>
    <row r="2" spans="1:6" ht="34.5" customHeight="1" x14ac:dyDescent="0.25">
      <c r="A2" s="25" t="s">
        <v>44</v>
      </c>
      <c r="B2" s="29" t="s">
        <v>48</v>
      </c>
      <c r="C2" s="29"/>
      <c r="D2" s="29"/>
      <c r="E2" s="22" t="s">
        <v>46</v>
      </c>
      <c r="F2" s="14" t="s">
        <v>21</v>
      </c>
    </row>
    <row r="3" spans="1:6" ht="24.75" customHeight="1" x14ac:dyDescent="0.25">
      <c r="A3" s="7" t="s">
        <v>1</v>
      </c>
      <c r="B3" s="7">
        <v>1</v>
      </c>
      <c r="C3" s="7">
        <v>2</v>
      </c>
      <c r="D3" s="7">
        <v>3</v>
      </c>
      <c r="E3" s="6"/>
      <c r="F3" s="6"/>
    </row>
    <row r="4" spans="1:6" x14ac:dyDescent="0.25">
      <c r="A4" s="10" t="s">
        <v>4</v>
      </c>
      <c r="B4" s="26" t="s">
        <v>5</v>
      </c>
      <c r="C4" s="26" t="s">
        <v>5</v>
      </c>
      <c r="D4" s="26" t="s">
        <v>5</v>
      </c>
      <c r="E4" s="27" t="s">
        <v>47</v>
      </c>
      <c r="F4" s="27" t="s">
        <v>47</v>
      </c>
    </row>
    <row r="5" spans="1:6" x14ac:dyDescent="0.25">
      <c r="A5" s="10" t="s">
        <v>0</v>
      </c>
      <c r="B5" s="26">
        <v>25.1</v>
      </c>
      <c r="C5" s="26">
        <v>24.32</v>
      </c>
      <c r="D5" s="26">
        <v>23.11</v>
      </c>
      <c r="E5" s="27">
        <f>AVERAGE(B5:D5)</f>
        <v>24.176666666666666</v>
      </c>
      <c r="F5" s="27">
        <f>STDEV(B5:D5)</f>
        <v>1.0027129865187423</v>
      </c>
    </row>
    <row r="6" spans="1:6" x14ac:dyDescent="0.25">
      <c r="A6" s="10" t="s">
        <v>7</v>
      </c>
      <c r="B6" s="26">
        <v>60.65</v>
      </c>
      <c r="C6" s="26">
        <v>64.55</v>
      </c>
      <c r="D6" s="26">
        <v>65.209999999999994</v>
      </c>
      <c r="E6" s="27">
        <f t="shared" ref="E6:E8" si="0">AVERAGE(B6:D6)</f>
        <v>63.469999999999992</v>
      </c>
      <c r="F6" s="27">
        <f t="shared" ref="F6:F8" si="1">STDEV(B6:D6)</f>
        <v>2.4643863333495402</v>
      </c>
    </row>
    <row r="7" spans="1:6" x14ac:dyDescent="0.25">
      <c r="A7" s="10" t="s">
        <v>8</v>
      </c>
      <c r="B7" s="26">
        <v>80.989999999999995</v>
      </c>
      <c r="C7" s="26">
        <v>75.42</v>
      </c>
      <c r="D7" s="26">
        <v>76.17</v>
      </c>
      <c r="E7" s="27">
        <f t="shared" si="0"/>
        <v>77.526666666666657</v>
      </c>
      <c r="F7" s="27">
        <f t="shared" si="1"/>
        <v>3.0226864431054223</v>
      </c>
    </row>
    <row r="8" spans="1:6" x14ac:dyDescent="0.25">
      <c r="A8" s="10" t="s">
        <v>9</v>
      </c>
      <c r="B8" s="26">
        <v>89.78</v>
      </c>
      <c r="C8" s="26">
        <v>93.69</v>
      </c>
      <c r="D8" s="26">
        <v>92.99</v>
      </c>
      <c r="E8" s="27">
        <f t="shared" si="0"/>
        <v>92.153333333333322</v>
      </c>
      <c r="F8" s="27">
        <f t="shared" si="1"/>
        <v>2.0849540362639467</v>
      </c>
    </row>
    <row r="9" spans="1:6" ht="19.5" customHeight="1" x14ac:dyDescent="0.25">
      <c r="A9" s="3"/>
      <c r="B9" s="3"/>
      <c r="C9" s="3"/>
      <c r="D9" s="3"/>
    </row>
    <row r="10" spans="1:6" ht="34.5" customHeight="1" x14ac:dyDescent="0.25">
      <c r="A10" s="25" t="s">
        <v>45</v>
      </c>
      <c r="B10" s="29" t="s">
        <v>48</v>
      </c>
      <c r="C10" s="29"/>
      <c r="D10" s="29"/>
      <c r="E10" s="22" t="s">
        <v>46</v>
      </c>
      <c r="F10" s="14" t="s">
        <v>21</v>
      </c>
    </row>
    <row r="11" spans="1:6" ht="24.75" customHeight="1" x14ac:dyDescent="0.25">
      <c r="A11" s="7" t="s">
        <v>1</v>
      </c>
      <c r="B11" s="7">
        <v>1</v>
      </c>
      <c r="C11" s="7">
        <v>2</v>
      </c>
      <c r="D11" s="7">
        <v>3</v>
      </c>
      <c r="E11" s="6"/>
      <c r="F11" s="6"/>
    </row>
    <row r="12" spans="1:6" x14ac:dyDescent="0.25">
      <c r="A12" s="10" t="s">
        <v>4</v>
      </c>
      <c r="B12" s="26" t="s">
        <v>5</v>
      </c>
      <c r="C12" s="26" t="s">
        <v>5</v>
      </c>
      <c r="D12" s="26" t="s">
        <v>5</v>
      </c>
      <c r="E12" s="27" t="s">
        <v>47</v>
      </c>
      <c r="F12" s="27" t="s">
        <v>47</v>
      </c>
    </row>
    <row r="13" spans="1:6" x14ac:dyDescent="0.25">
      <c r="A13" s="10" t="s">
        <v>0</v>
      </c>
      <c r="B13" s="26">
        <v>33.5</v>
      </c>
      <c r="C13" s="26">
        <v>36</v>
      </c>
      <c r="D13" s="26">
        <v>37.799999999999997</v>
      </c>
      <c r="E13" s="27">
        <f>AVERAGE(B13:D13)</f>
        <v>35.766666666666666</v>
      </c>
      <c r="F13" s="27">
        <f>STDEV(B13:D13)</f>
        <v>2.1594752448994008</v>
      </c>
    </row>
    <row r="14" spans="1:6" x14ac:dyDescent="0.25">
      <c r="A14" s="10" t="s">
        <v>7</v>
      </c>
      <c r="B14" s="26">
        <v>59.9</v>
      </c>
      <c r="C14" s="26">
        <v>58.9</v>
      </c>
      <c r="D14" s="26">
        <v>57.1</v>
      </c>
      <c r="E14" s="27">
        <f t="shared" ref="E14:E16" si="2">AVERAGE(B14:D14)</f>
        <v>58.633333333333333</v>
      </c>
      <c r="F14" s="27">
        <f t="shared" ref="F14:F16" si="3">STDEV(B14:D14)</f>
        <v>1.4189197769195161</v>
      </c>
    </row>
    <row r="15" spans="1:6" x14ac:dyDescent="0.25">
      <c r="A15" s="10" t="s">
        <v>8</v>
      </c>
      <c r="B15" s="26">
        <v>68.760000000000005</v>
      </c>
      <c r="C15" s="26">
        <v>68.290000000000006</v>
      </c>
      <c r="D15" s="26">
        <v>64.650000000000006</v>
      </c>
      <c r="E15" s="27">
        <f t="shared" si="2"/>
        <v>67.233333333333334</v>
      </c>
      <c r="F15" s="27">
        <f t="shared" si="3"/>
        <v>2.2495406938602676</v>
      </c>
    </row>
    <row r="16" spans="1:6" x14ac:dyDescent="0.25">
      <c r="A16" s="10" t="s">
        <v>9</v>
      </c>
      <c r="B16" s="26">
        <v>88.7</v>
      </c>
      <c r="C16" s="26">
        <v>90.97</v>
      </c>
      <c r="D16" s="26">
        <v>91.67</v>
      </c>
      <c r="E16" s="27">
        <f t="shared" si="2"/>
        <v>90.446666666666673</v>
      </c>
      <c r="F16" s="27">
        <f t="shared" si="3"/>
        <v>1.552621439158087</v>
      </c>
    </row>
    <row r="17" spans="1:4" ht="14.25" customHeight="1" x14ac:dyDescent="0.25">
      <c r="A17" s="3"/>
      <c r="B17" s="3"/>
      <c r="C17" s="3"/>
      <c r="D17" s="3"/>
    </row>
    <row r="18" spans="1:4" x14ac:dyDescent="0.25">
      <c r="A18" s="3" t="s">
        <v>49</v>
      </c>
      <c r="B18" s="3"/>
      <c r="C18" s="3"/>
      <c r="D18" s="3"/>
    </row>
    <row r="19" spans="1:4" x14ac:dyDescent="0.25">
      <c r="A19" s="3"/>
      <c r="B19" s="3"/>
      <c r="C19" s="3"/>
      <c r="D19" s="3"/>
    </row>
    <row r="20" spans="1:4" x14ac:dyDescent="0.25">
      <c r="A20" s="3"/>
      <c r="B20" s="3"/>
      <c r="C20" s="3"/>
      <c r="D20" s="3"/>
    </row>
    <row r="22" spans="1:4" x14ac:dyDescent="0.25">
      <c r="A22" s="3"/>
      <c r="B22" s="3"/>
      <c r="C22" s="3"/>
      <c r="D22" s="3"/>
    </row>
    <row r="23" spans="1:4" x14ac:dyDescent="0.25">
      <c r="A23" s="3"/>
      <c r="B23" s="3"/>
      <c r="C23" s="3"/>
      <c r="D23" s="3"/>
    </row>
    <row r="24" spans="1:4" x14ac:dyDescent="0.25">
      <c r="A24" s="3"/>
      <c r="B24" s="3"/>
      <c r="C24" s="3"/>
      <c r="D24" s="3"/>
    </row>
    <row r="25" spans="1:4" x14ac:dyDescent="0.25">
      <c r="A25" s="3"/>
      <c r="B25" s="3"/>
      <c r="C25" s="3"/>
      <c r="D25" s="3"/>
    </row>
    <row r="26" spans="1:4" x14ac:dyDescent="0.25">
      <c r="A26" s="3"/>
      <c r="B26" s="3"/>
      <c r="C26" s="3"/>
      <c r="D26" s="3"/>
    </row>
  </sheetData>
  <mergeCells count="3">
    <mergeCell ref="B10:D10"/>
    <mergeCell ref="A1:D1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 (by Bradford method)</vt:lpstr>
      <vt:lpstr>Purity RP-HPLC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2020-04-21T07:45:24Z</dcterms:modified>
</cp:coreProperties>
</file>