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2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ml.chartshapes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ml.chartshape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ml.chartshapes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ml.chartshapes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5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7.xml" ContentType="application/vnd.openxmlformats-officedocument.drawing+xml"/>
  <Override PartName="/xl/charts/chart6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6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 codeName="{1AED2BDD-1FA3-CEF2-32D4-FBADEFEB71E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old windows\Eigene Dateien\Uni\Paläontologie+Erdgeschichte\Zanno Lab work\Alligator teeth\"/>
    </mc:Choice>
  </mc:AlternateContent>
  <xr:revisionPtr revIDLastSave="0" documentId="13_ncr:1_{A48CBE43-44EA-4810-8C2D-BE498B1331F3}" xr6:coauthVersionLast="44" xr6:coauthVersionMax="44" xr10:uidLastSave="{00000000-0000-0000-0000-000000000000}"/>
  <bookViews>
    <workbookView xWindow="-120" yWindow="-120" windowWidth="20730" windowHeight="11160" tabRatio="726" firstSheet="10" activeTab="13" xr2:uid="{00000000-000D-0000-FFFF-FFFF00000000}"/>
  </bookViews>
  <sheets>
    <sheet name="Tooth measurements raw data" sheetId="2" r:id="rId1"/>
    <sheet name="Tooth measurements" sheetId="1" r:id="rId2"/>
    <sheet name="Tooth size Developmental st" sheetId="13" r:id="rId3"/>
    <sheet name="Enamel thickness" sheetId="17" r:id="rId4"/>
    <sheet name="Oblique and perpendicular trans" sheetId="16" r:id="rId5"/>
    <sheet name="VEIW var along CA" sheetId="18" r:id="rId6"/>
    <sheet name="VEIW near and far CA " sheetId="19" r:id="rId7"/>
    <sheet name="VEIW by tooth position" sheetId="20" r:id="rId8"/>
    <sheet name="TFT +- SD" sheetId="21" r:id="rId9"/>
    <sheet name="Body length vs. VEIW, TRR" sheetId="22" r:id="rId10"/>
    <sheet name="TFTs in Archosaurs" sheetId="23" r:id="rId11"/>
    <sheet name="TRR in Sauropods" sheetId="24" r:id="rId12"/>
    <sheet name="TH, CAH, TFT relations" sheetId="25" r:id="rId13"/>
    <sheet name="Collected fig and table illus" sheetId="11" r:id="rId14"/>
  </sheets>
  <externalReferences>
    <externalReference r:id="rId15"/>
  </externalReferences>
  <definedNames>
    <definedName name="solver_eng" localSheetId="2" hidden="1">1</definedName>
    <definedName name="solver_neg" localSheetId="2" hidden="1">1</definedName>
    <definedName name="solver_num" localSheetId="2" hidden="1">0</definedName>
    <definedName name="solver_opt" localSheetId="2" hidden="1">'Tooth size Developmental st'!#REF!</definedName>
    <definedName name="solver_typ" localSheetId="2" hidden="1">1</definedName>
    <definedName name="solver_val" localSheetId="2" hidden="1">0</definedName>
    <definedName name="solver_ver" localSheetId="2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1" i="22" l="1"/>
  <c r="H52" i="22"/>
  <c r="H53" i="22"/>
  <c r="H54" i="22"/>
  <c r="H55" i="22"/>
  <c r="H56" i="22"/>
  <c r="H57" i="22"/>
  <c r="H58" i="22"/>
  <c r="H59" i="22"/>
  <c r="H60" i="22"/>
  <c r="H50" i="22"/>
  <c r="G48" i="22"/>
  <c r="H46" i="22"/>
  <c r="H45" i="22" s="1"/>
  <c r="G45" i="22"/>
  <c r="H44" i="22"/>
  <c r="G44" i="22"/>
  <c r="I36" i="22"/>
  <c r="E36" i="22"/>
  <c r="E35" i="22"/>
  <c r="H43" i="22"/>
  <c r="G43" i="22"/>
  <c r="H38" i="22"/>
  <c r="H42" i="22" s="1"/>
  <c r="H39" i="22"/>
  <c r="H40" i="22"/>
  <c r="H41" i="22"/>
  <c r="G42" i="22"/>
  <c r="F42" i="22"/>
  <c r="F46" i="22" s="1"/>
  <c r="G40" i="22"/>
  <c r="G38" i="22"/>
  <c r="E34" i="22"/>
  <c r="F43" i="22"/>
  <c r="I35" i="22"/>
  <c r="I34" i="22"/>
  <c r="G41" i="22"/>
  <c r="F41" i="22"/>
  <c r="F40" i="22"/>
  <c r="G39" i="22"/>
  <c r="F39" i="22"/>
  <c r="F38" i="22"/>
  <c r="E43" i="22"/>
  <c r="E42" i="22"/>
  <c r="D42" i="22"/>
  <c r="E41" i="22"/>
  <c r="E40" i="22"/>
  <c r="E39" i="22"/>
  <c r="E38" i="22"/>
  <c r="F45" i="22" l="1"/>
  <c r="F50" i="22"/>
  <c r="G46" i="22"/>
  <c r="G54" i="22" s="1"/>
  <c r="F44" i="22"/>
  <c r="E44" i="22"/>
  <c r="E46" i="22" s="1"/>
  <c r="E45" i="22" s="1"/>
  <c r="E50" i="22" s="1"/>
  <c r="D40" i="22"/>
  <c r="D39" i="22"/>
  <c r="D38" i="22"/>
  <c r="D43" i="22"/>
  <c r="D41" i="22"/>
  <c r="L34" i="22"/>
  <c r="K34" i="22"/>
  <c r="L17" i="22"/>
  <c r="L18" i="22"/>
  <c r="L19" i="22"/>
  <c r="L16" i="22"/>
  <c r="L14" i="22"/>
  <c r="L13" i="22"/>
  <c r="G52" i="22" l="1"/>
  <c r="G56" i="22"/>
  <c r="G57" i="22"/>
  <c r="G58" i="22"/>
  <c r="G51" i="22"/>
  <c r="G53" i="22"/>
  <c r="G50" i="22"/>
  <c r="G55" i="22"/>
  <c r="G49" i="22"/>
  <c r="F51" i="22"/>
  <c r="D44" i="22"/>
  <c r="D46" i="22" s="1"/>
  <c r="D45" i="22" s="1"/>
  <c r="H32" i="18"/>
  <c r="H31" i="18"/>
  <c r="H30" i="18"/>
  <c r="H29" i="18"/>
  <c r="H28" i="18"/>
  <c r="H27" i="18"/>
  <c r="H26" i="18"/>
  <c r="H25" i="18"/>
  <c r="F58" i="22" l="1"/>
  <c r="F52" i="22"/>
  <c r="F57" i="22"/>
  <c r="F55" i="22"/>
  <c r="F54" i="22"/>
  <c r="F56" i="22"/>
  <c r="F53" i="22"/>
  <c r="D51" i="22"/>
  <c r="D55" i="22"/>
  <c r="D50" i="22"/>
  <c r="D54" i="22"/>
  <c r="D52" i="22"/>
  <c r="D56" i="22"/>
  <c r="D57" i="22"/>
  <c r="D58" i="22"/>
  <c r="D53" i="22"/>
  <c r="E58" i="22"/>
  <c r="E54" i="22"/>
  <c r="E57" i="22"/>
  <c r="E53" i="22"/>
  <c r="E56" i="22"/>
  <c r="E52" i="22"/>
  <c r="E55" i="22"/>
  <c r="E51" i="22"/>
  <c r="X18" i="19"/>
  <c r="X19" i="19" s="1"/>
  <c r="V18" i="19"/>
  <c r="V19" i="19" s="1"/>
  <c r="Z16" i="19"/>
  <c r="X13" i="19"/>
  <c r="X14" i="19" s="1"/>
  <c r="Z14" i="19" s="1"/>
  <c r="X9" i="19"/>
  <c r="V13" i="19" s="1"/>
  <c r="X8" i="19"/>
  <c r="W8" i="19"/>
  <c r="V8" i="19"/>
  <c r="X7" i="19"/>
  <c r="W7" i="19"/>
  <c r="V7" i="19"/>
  <c r="U8" i="19"/>
  <c r="U7" i="19"/>
  <c r="BL62" i="24"/>
  <c r="BL61" i="24"/>
  <c r="BL60" i="24"/>
  <c r="BL57" i="24"/>
  <c r="AM43" i="24"/>
  <c r="AL43" i="24"/>
  <c r="AO43" i="24" s="1"/>
  <c r="AM42" i="24"/>
  <c r="AL42" i="24"/>
  <c r="AO42" i="24" s="1"/>
  <c r="AM39" i="24"/>
  <c r="AL39" i="24"/>
  <c r="AO39" i="24" s="1"/>
  <c r="AM37" i="24"/>
  <c r="AL37" i="24"/>
  <c r="AO37" i="24" s="1"/>
  <c r="AT36" i="24"/>
  <c r="AO36" i="24"/>
  <c r="AM36" i="24"/>
  <c r="AL36" i="24"/>
  <c r="AN36" i="24" s="1"/>
  <c r="AV35" i="24"/>
  <c r="AZ35" i="24" s="1"/>
  <c r="AT35" i="24"/>
  <c r="AO35" i="24"/>
  <c r="AQ35" i="24" s="1"/>
  <c r="AN35" i="24"/>
  <c r="AM35" i="24"/>
  <c r="AL35" i="24"/>
  <c r="AT34" i="24"/>
  <c r="AM34" i="24"/>
  <c r="BN60" i="24" s="1"/>
  <c r="AL34" i="24"/>
  <c r="AM31" i="24"/>
  <c r="AN31" i="24" s="1"/>
  <c r="AL31" i="24"/>
  <c r="AO31" i="24" s="1"/>
  <c r="AT30" i="24"/>
  <c r="AM30" i="24"/>
  <c r="BN57" i="24" s="1"/>
  <c r="AL30" i="24"/>
  <c r="AO30" i="24" s="1"/>
  <c r="AT29" i="24"/>
  <c r="BL56" i="24" s="1"/>
  <c r="AO29" i="24"/>
  <c r="AV29" i="24" s="1"/>
  <c r="AZ29" i="24" s="1"/>
  <c r="AM29" i="24"/>
  <c r="AL29" i="24"/>
  <c r="AN29" i="24" s="1"/>
  <c r="AO28" i="24"/>
  <c r="AQ28" i="24" s="1"/>
  <c r="AM28" i="24"/>
  <c r="AL28" i="24"/>
  <c r="AN28" i="24" s="1"/>
  <c r="AV27" i="24"/>
  <c r="AZ27" i="24" s="1"/>
  <c r="AT27" i="24"/>
  <c r="AO27" i="24"/>
  <c r="AQ27" i="24" s="1"/>
  <c r="AN27" i="24"/>
  <c r="AU27" i="24" s="1"/>
  <c r="AY27" i="24" s="1"/>
  <c r="AM27" i="24"/>
  <c r="AL27" i="24"/>
  <c r="AT26" i="24"/>
  <c r="AM26" i="24"/>
  <c r="AN26" i="24" s="1"/>
  <c r="AL26" i="24"/>
  <c r="AO26" i="24" s="1"/>
  <c r="AM22" i="24"/>
  <c r="AN22" i="24" s="1"/>
  <c r="AL22" i="24"/>
  <c r="AO22" i="24" s="1"/>
  <c r="AM21" i="24"/>
  <c r="AN21" i="24" s="1"/>
  <c r="AL21" i="24"/>
  <c r="AO21" i="24" s="1"/>
  <c r="BN62" i="24"/>
  <c r="BK62" i="24"/>
  <c r="BJ62" i="24"/>
  <c r="BI62" i="24"/>
  <c r="BP61" i="24"/>
  <c r="BO61" i="24"/>
  <c r="BN61" i="24"/>
  <c r="BM61" i="24"/>
  <c r="BK61" i="24"/>
  <c r="BJ61" i="24"/>
  <c r="BI61" i="24"/>
  <c r="BM60" i="24"/>
  <c r="BK60" i="24"/>
  <c r="BJ60" i="24"/>
  <c r="BK59" i="24"/>
  <c r="BJ59" i="24"/>
  <c r="BK58" i="24"/>
  <c r="BJ58" i="24"/>
  <c r="BI58" i="24"/>
  <c r="BK57" i="24"/>
  <c r="BJ57" i="24"/>
  <c r="BN56" i="24"/>
  <c r="BK56" i="24"/>
  <c r="BJ56" i="24"/>
  <c r="BK55" i="24"/>
  <c r="BJ55" i="24"/>
  <c r="AM50" i="24"/>
  <c r="BI64" i="24"/>
  <c r="AL50" i="24"/>
  <c r="AT50" i="24"/>
  <c r="AL51" i="24"/>
  <c r="AL55" i="24"/>
  <c r="Y5" i="23"/>
  <c r="AH26" i="21"/>
  <c r="AI2" i="24"/>
  <c r="AI1" i="24"/>
  <c r="Q3" i="23"/>
  <c r="T2" i="23"/>
  <c r="Q2" i="23"/>
  <c r="F28" i="23" s="1"/>
  <c r="AA580" i="24"/>
  <c r="Z580" i="24"/>
  <c r="AC580" i="24" s="1"/>
  <c r="AC579" i="24"/>
  <c r="Z579" i="24"/>
  <c r="AK579" i="24" s="1"/>
  <c r="Z578" i="24"/>
  <c r="AC578" i="24" s="1"/>
  <c r="Z577" i="24"/>
  <c r="AA578" i="24" s="1"/>
  <c r="Z576" i="24"/>
  <c r="AC576" i="24" s="1"/>
  <c r="Z575" i="24"/>
  <c r="AA576" i="24" s="1"/>
  <c r="Z574" i="24"/>
  <c r="AC574" i="24" s="1"/>
  <c r="Z573" i="24"/>
  <c r="Z569" i="24"/>
  <c r="AC569" i="24" s="1"/>
  <c r="Z568" i="24"/>
  <c r="Z567" i="24"/>
  <c r="AC567" i="24" s="1"/>
  <c r="Z566" i="24"/>
  <c r="Z565" i="24"/>
  <c r="AC565" i="24" s="1"/>
  <c r="Z564" i="24"/>
  <c r="AC559" i="24"/>
  <c r="AC558" i="24"/>
  <c r="AC557" i="24"/>
  <c r="AC556" i="24"/>
  <c r="AC555" i="24"/>
  <c r="AK554" i="24"/>
  <c r="AC554" i="24"/>
  <c r="AC553" i="24"/>
  <c r="AK552" i="24"/>
  <c r="AC552" i="24"/>
  <c r="AC551" i="24"/>
  <c r="AK550" i="24"/>
  <c r="AC550" i="24"/>
  <c r="AC549" i="24"/>
  <c r="AC547" i="24"/>
  <c r="AK546" i="24"/>
  <c r="AC546" i="24"/>
  <c r="AC543" i="24"/>
  <c r="AK542" i="24"/>
  <c r="AC542" i="24"/>
  <c r="AT540" i="24"/>
  <c r="AT539" i="24"/>
  <c r="AC539" i="24"/>
  <c r="AT538" i="24"/>
  <c r="AK538" i="24"/>
  <c r="AC538" i="24"/>
  <c r="AK537" i="24"/>
  <c r="AC537" i="24"/>
  <c r="AC534" i="24"/>
  <c r="AK533" i="24"/>
  <c r="AC533" i="24"/>
  <c r="AK532" i="24"/>
  <c r="AC532" i="24"/>
  <c r="AC529" i="24"/>
  <c r="AK528" i="24"/>
  <c r="AC528" i="24"/>
  <c r="AK527" i="24"/>
  <c r="AC527" i="24"/>
  <c r="AC524" i="24"/>
  <c r="AK523" i="24"/>
  <c r="AC523" i="24"/>
  <c r="AK522" i="24"/>
  <c r="AC522" i="24"/>
  <c r="AC519" i="24"/>
  <c r="AK518" i="24"/>
  <c r="AC518" i="24"/>
  <c r="AK517" i="24"/>
  <c r="AC517" i="24"/>
  <c r="AC514" i="24"/>
  <c r="AK513" i="24"/>
  <c r="AC513" i="24"/>
  <c r="AK512" i="24"/>
  <c r="AC512" i="24"/>
  <c r="AC509" i="24"/>
  <c r="AK508" i="24"/>
  <c r="AC508" i="24"/>
  <c r="AC507" i="24"/>
  <c r="AK506" i="24"/>
  <c r="AC506" i="24"/>
  <c r="AC505" i="24"/>
  <c r="AC501" i="24"/>
  <c r="AT500" i="24"/>
  <c r="AT499" i="24"/>
  <c r="AT498" i="24"/>
  <c r="AC498" i="24"/>
  <c r="AT497" i="24"/>
  <c r="AK497" i="24"/>
  <c r="AC497" i="24"/>
  <c r="AC494" i="24"/>
  <c r="AK493" i="24"/>
  <c r="AC493" i="24"/>
  <c r="AK492" i="24"/>
  <c r="AC492" i="24"/>
  <c r="AK491" i="24"/>
  <c r="AC491" i="24"/>
  <c r="AC489" i="24"/>
  <c r="AC487" i="24"/>
  <c r="AK486" i="24"/>
  <c r="AC486" i="24"/>
  <c r="AC484" i="24"/>
  <c r="AK483" i="24"/>
  <c r="AC483" i="24"/>
  <c r="AK482" i="24"/>
  <c r="AC482" i="24"/>
  <c r="AK481" i="24"/>
  <c r="AC481" i="24"/>
  <c r="AC479" i="24"/>
  <c r="AK478" i="24"/>
  <c r="AC478" i="24"/>
  <c r="AK477" i="24"/>
  <c r="AC477" i="24"/>
  <c r="AK476" i="24"/>
  <c r="AC476" i="24"/>
  <c r="AT474" i="24"/>
  <c r="AC474" i="24"/>
  <c r="AT473" i="24"/>
  <c r="AK473" i="24"/>
  <c r="AC473" i="24"/>
  <c r="AT472" i="24"/>
  <c r="AK472" i="24"/>
  <c r="AC472" i="24"/>
  <c r="AT471" i="24"/>
  <c r="AT470" i="24"/>
  <c r="AC467" i="24"/>
  <c r="AK466" i="24"/>
  <c r="AC466" i="24"/>
  <c r="AK465" i="24"/>
  <c r="AC465" i="24"/>
  <c r="AK464" i="24"/>
  <c r="AC464" i="24"/>
  <c r="AC462" i="24"/>
  <c r="AK461" i="24"/>
  <c r="AC461" i="24"/>
  <c r="AK460" i="24"/>
  <c r="AC460" i="24"/>
  <c r="AK459" i="24"/>
  <c r="AC459" i="24"/>
  <c r="AK458" i="24"/>
  <c r="AC458" i="24"/>
  <c r="AC456" i="24"/>
  <c r="AK455" i="24"/>
  <c r="AW473" i="24" s="1"/>
  <c r="AC455" i="24"/>
  <c r="AK454" i="24"/>
  <c r="AC454" i="24"/>
  <c r="AK453" i="24"/>
  <c r="AC453" i="24"/>
  <c r="AK452" i="24"/>
  <c r="AC452" i="24"/>
  <c r="AT449" i="24"/>
  <c r="AC449" i="24"/>
  <c r="AT448" i="24"/>
  <c r="AK448" i="24"/>
  <c r="AC448" i="24"/>
  <c r="AT447" i="24"/>
  <c r="AK447" i="24"/>
  <c r="AC447" i="24"/>
  <c r="AT446" i="24"/>
  <c r="AK446" i="24"/>
  <c r="AC446" i="24"/>
  <c r="AT445" i="24"/>
  <c r="AC442" i="24"/>
  <c r="AK441" i="24"/>
  <c r="AC441" i="24"/>
  <c r="AK440" i="24"/>
  <c r="AC440" i="24"/>
  <c r="AK439" i="24"/>
  <c r="AC439" i="24"/>
  <c r="AC436" i="24"/>
  <c r="AK435" i="24"/>
  <c r="AC435" i="24"/>
  <c r="AK434" i="24"/>
  <c r="AC434" i="24"/>
  <c r="AK433" i="24"/>
  <c r="AC433" i="24"/>
  <c r="AC431" i="24"/>
  <c r="AK430" i="24"/>
  <c r="AW448" i="24" s="1"/>
  <c r="AC430" i="24"/>
  <c r="AK429" i="24"/>
  <c r="AC429" i="24"/>
  <c r="AK428" i="24"/>
  <c r="AC428" i="24"/>
  <c r="AK427" i="24"/>
  <c r="AC427" i="24"/>
  <c r="AT424" i="24"/>
  <c r="AC424" i="24"/>
  <c r="AT423" i="24"/>
  <c r="AK423" i="24"/>
  <c r="AC423" i="24"/>
  <c r="AT422" i="24"/>
  <c r="AK422" i="24"/>
  <c r="AC422" i="24"/>
  <c r="AT421" i="24"/>
  <c r="AK421" i="24"/>
  <c r="AC421" i="24"/>
  <c r="AT420" i="24"/>
  <c r="AC417" i="24"/>
  <c r="AK416" i="24"/>
  <c r="AC416" i="24"/>
  <c r="AK415" i="24"/>
  <c r="AC415" i="24"/>
  <c r="AK414" i="24"/>
  <c r="AC414" i="24"/>
  <c r="AC412" i="24"/>
  <c r="AK411" i="24"/>
  <c r="AC411" i="24"/>
  <c r="AK410" i="24"/>
  <c r="AC410" i="24"/>
  <c r="AK409" i="24"/>
  <c r="AC409" i="24"/>
  <c r="AK408" i="24"/>
  <c r="AC408" i="24"/>
  <c r="AC405" i="24"/>
  <c r="AK404" i="24"/>
  <c r="AC404" i="24"/>
  <c r="AK403" i="24"/>
  <c r="AC403" i="24"/>
  <c r="AK402" i="24"/>
  <c r="AC402" i="24"/>
  <c r="AC400" i="24"/>
  <c r="AK399" i="24"/>
  <c r="AW423" i="24" s="1"/>
  <c r="AC399" i="24"/>
  <c r="AK398" i="24"/>
  <c r="AC398" i="24"/>
  <c r="AK397" i="24"/>
  <c r="AC397" i="24"/>
  <c r="AK396" i="24"/>
  <c r="AC396" i="24"/>
  <c r="AC391" i="24"/>
  <c r="AC388" i="24"/>
  <c r="AC385" i="24"/>
  <c r="AC382" i="24"/>
  <c r="AC380" i="24"/>
  <c r="AK379" i="24"/>
  <c r="AC379" i="24"/>
  <c r="AC376" i="24"/>
  <c r="AC373" i="24"/>
  <c r="AC371" i="24"/>
  <c r="AK370" i="24"/>
  <c r="AC370" i="24"/>
  <c r="AT369" i="24"/>
  <c r="AT368" i="24"/>
  <c r="AC368" i="24"/>
  <c r="AK367" i="24"/>
  <c r="AC367" i="24"/>
  <c r="AC364" i="24"/>
  <c r="AC362" i="24"/>
  <c r="AK361" i="24"/>
  <c r="AC361" i="24"/>
  <c r="AC359" i="24"/>
  <c r="AK358" i="24"/>
  <c r="AC358" i="24"/>
  <c r="AC355" i="24"/>
  <c r="AC353" i="24"/>
  <c r="AK352" i="24"/>
  <c r="AC352" i="24"/>
  <c r="AC348" i="24"/>
  <c r="AC346" i="24"/>
  <c r="AC342" i="24"/>
  <c r="AC339" i="24"/>
  <c r="AC337" i="24"/>
  <c r="AK336" i="24"/>
  <c r="AC336" i="24"/>
  <c r="AC333" i="24"/>
  <c r="AC330" i="24"/>
  <c r="AC328" i="24"/>
  <c r="AK327" i="24"/>
  <c r="AC327" i="24"/>
  <c r="AT326" i="24"/>
  <c r="AT325" i="24"/>
  <c r="AC324" i="24"/>
  <c r="AC321" i="24"/>
  <c r="AC319" i="24"/>
  <c r="AK318" i="24"/>
  <c r="AC318" i="24"/>
  <c r="AC315" i="24"/>
  <c r="AC313" i="24"/>
  <c r="AK312" i="24"/>
  <c r="AC312" i="24"/>
  <c r="AC309" i="24"/>
  <c r="AC305" i="24"/>
  <c r="AC303" i="24"/>
  <c r="AK302" i="24"/>
  <c r="AC302" i="24"/>
  <c r="AC300" i="24"/>
  <c r="AK299" i="24"/>
  <c r="AC299" i="24"/>
  <c r="AC296" i="24"/>
  <c r="AC294" i="24"/>
  <c r="AK293" i="24"/>
  <c r="AC293" i="24"/>
  <c r="AC291" i="24"/>
  <c r="AK290" i="24"/>
  <c r="AC290" i="24"/>
  <c r="AT289" i="24"/>
  <c r="AT288" i="24"/>
  <c r="AT287" i="24"/>
  <c r="AC287" i="24"/>
  <c r="AC285" i="24"/>
  <c r="AK284" i="24"/>
  <c r="AC284" i="24"/>
  <c r="AC282" i="24"/>
  <c r="AK281" i="24"/>
  <c r="AC281" i="24"/>
  <c r="AK280" i="24"/>
  <c r="AC280" i="24"/>
  <c r="AC279" i="24"/>
  <c r="AK278" i="24"/>
  <c r="AC278" i="24"/>
  <c r="AC276" i="24"/>
  <c r="AK275" i="24"/>
  <c r="AC275" i="24"/>
  <c r="AC273" i="24"/>
  <c r="AK272" i="24"/>
  <c r="AC272" i="24"/>
  <c r="AC260" i="24"/>
  <c r="AK259" i="24"/>
  <c r="AC259" i="24"/>
  <c r="AC256" i="24"/>
  <c r="AC253" i="24"/>
  <c r="AC250" i="24"/>
  <c r="AT249" i="24"/>
  <c r="AT248" i="24"/>
  <c r="AT247" i="24"/>
  <c r="AC247" i="24"/>
  <c r="AC244" i="24"/>
  <c r="AC242" i="24"/>
  <c r="AK241" i="24"/>
  <c r="AC241" i="24"/>
  <c r="AC239" i="24"/>
  <c r="AK238" i="24"/>
  <c r="AC238" i="24"/>
  <c r="AC236" i="24"/>
  <c r="AK235" i="24"/>
  <c r="AC235" i="24"/>
  <c r="AC231" i="24"/>
  <c r="AC228" i="24"/>
  <c r="AC225" i="24"/>
  <c r="AC222" i="24"/>
  <c r="AC219" i="24"/>
  <c r="AC217" i="24"/>
  <c r="AK216" i="24"/>
  <c r="AC216" i="24"/>
  <c r="AC213" i="24"/>
  <c r="AT211" i="24"/>
  <c r="AT210" i="24"/>
  <c r="AC210" i="24"/>
  <c r="AC208" i="24"/>
  <c r="AK207" i="24"/>
  <c r="AC207" i="24"/>
  <c r="AC204" i="24"/>
  <c r="AC202" i="24"/>
  <c r="AK201" i="24"/>
  <c r="AC201" i="24"/>
  <c r="AC199" i="24"/>
  <c r="AK198" i="24"/>
  <c r="AW210" i="24" s="1"/>
  <c r="AC198" i="24"/>
  <c r="AC195" i="24"/>
  <c r="AC191" i="24"/>
  <c r="AC188" i="24"/>
  <c r="AC185" i="24"/>
  <c r="AC182" i="24"/>
  <c r="AC180" i="24"/>
  <c r="AK179" i="24"/>
  <c r="AC179" i="24"/>
  <c r="AC177" i="24"/>
  <c r="AK176" i="24"/>
  <c r="AC176" i="24"/>
  <c r="AT174" i="24"/>
  <c r="AT173" i="24"/>
  <c r="AC173" i="24"/>
  <c r="AC170" i="24"/>
  <c r="AC167" i="24"/>
  <c r="AC165" i="24"/>
  <c r="AK164" i="24"/>
  <c r="AW173" i="24" s="1"/>
  <c r="AC164" i="24"/>
  <c r="AC161" i="24"/>
  <c r="AT158" i="24"/>
  <c r="AC158" i="24"/>
  <c r="AT157" i="24"/>
  <c r="AT156" i="24"/>
  <c r="AC155" i="24"/>
  <c r="AK154" i="24"/>
  <c r="AC154" i="24"/>
  <c r="AK153" i="24"/>
  <c r="AC153" i="24"/>
  <c r="AC151" i="24"/>
  <c r="AK150" i="24"/>
  <c r="AC150" i="24"/>
  <c r="AC149" i="24"/>
  <c r="AK148" i="24"/>
  <c r="AC148" i="24"/>
  <c r="AK147" i="24"/>
  <c r="AC147" i="24"/>
  <c r="AC146" i="24"/>
  <c r="AT145" i="24"/>
  <c r="AK145" i="24"/>
  <c r="AC145" i="24"/>
  <c r="AT144" i="24"/>
  <c r="AK144" i="24"/>
  <c r="AC144" i="24"/>
  <c r="AT143" i="24"/>
  <c r="AC142" i="24"/>
  <c r="AK141" i="24"/>
  <c r="AC141" i="24"/>
  <c r="AC139" i="24"/>
  <c r="AK138" i="24"/>
  <c r="AC138" i="24"/>
  <c r="AC136" i="24"/>
  <c r="AK135" i="24"/>
  <c r="AC135" i="24"/>
  <c r="AC133" i="24"/>
  <c r="AT132" i="24"/>
  <c r="AK132" i="24"/>
  <c r="AC132" i="24"/>
  <c r="AT131" i="24"/>
  <c r="AK131" i="24"/>
  <c r="AW143" i="24" s="1"/>
  <c r="AC131" i="24"/>
  <c r="AT130" i="24"/>
  <c r="AC129" i="24"/>
  <c r="AK128" i="24"/>
  <c r="AC128" i="24"/>
  <c r="AC125" i="24"/>
  <c r="AK124" i="24"/>
  <c r="AC124" i="24"/>
  <c r="AC123" i="24"/>
  <c r="AK122" i="24"/>
  <c r="AC122" i="24"/>
  <c r="AC119" i="24"/>
  <c r="AK118" i="24"/>
  <c r="AC118" i="24"/>
  <c r="AT117" i="24"/>
  <c r="AT116" i="24"/>
  <c r="AT115" i="24"/>
  <c r="AC114" i="24"/>
  <c r="AK113" i="24"/>
  <c r="AC113" i="24"/>
  <c r="AC111" i="24"/>
  <c r="AK110" i="24"/>
  <c r="AC110" i="24"/>
  <c r="AC106" i="24"/>
  <c r="AK105" i="24"/>
  <c r="AC105" i="24"/>
  <c r="AC103" i="24"/>
  <c r="AK102" i="24"/>
  <c r="AC102" i="24"/>
  <c r="AK101" i="24"/>
  <c r="AC101" i="24"/>
  <c r="AM100" i="24"/>
  <c r="AM99" i="24"/>
  <c r="AM98" i="24"/>
  <c r="AC98" i="24"/>
  <c r="AK97" i="24"/>
  <c r="AC97" i="24"/>
  <c r="AC96" i="24"/>
  <c r="AK95" i="24"/>
  <c r="AC95" i="24"/>
  <c r="AK94" i="24"/>
  <c r="AC94" i="24"/>
  <c r="AC92" i="24"/>
  <c r="AK91" i="24"/>
  <c r="AC91" i="24"/>
  <c r="AK90" i="24"/>
  <c r="AC90" i="24"/>
  <c r="AC87" i="24"/>
  <c r="AK86" i="24"/>
  <c r="AC86" i="24"/>
  <c r="AK85" i="24"/>
  <c r="AC85" i="24"/>
  <c r="AC82" i="24"/>
  <c r="AK81" i="24"/>
  <c r="AC81" i="24"/>
  <c r="AC79" i="24"/>
  <c r="AK78" i="24"/>
  <c r="AC78" i="24"/>
  <c r="AK76" i="24"/>
  <c r="AC76" i="24"/>
  <c r="AC73" i="24"/>
  <c r="AK72" i="24"/>
  <c r="AC72" i="24"/>
  <c r="AC70" i="24"/>
  <c r="AK69" i="24"/>
  <c r="AC69" i="24"/>
  <c r="AP67" i="24"/>
  <c r="BI65" i="24" s="1"/>
  <c r="AP66" i="24"/>
  <c r="AC66" i="24"/>
  <c r="AP64" i="24"/>
  <c r="AC62" i="24"/>
  <c r="AK61" i="24"/>
  <c r="AC61" i="24"/>
  <c r="AC58" i="24"/>
  <c r="F32" i="23"/>
  <c r="F31" i="23"/>
  <c r="F30" i="23"/>
  <c r="F26" i="23"/>
  <c r="F25" i="23"/>
  <c r="F24" i="23"/>
  <c r="D32" i="23"/>
  <c r="D31" i="23"/>
  <c r="D30" i="23"/>
  <c r="D28" i="23"/>
  <c r="D26" i="23"/>
  <c r="D25" i="23"/>
  <c r="D24" i="23"/>
  <c r="V38" i="23"/>
  <c r="V37" i="23"/>
  <c r="V35" i="23"/>
  <c r="V34" i="23"/>
  <c r="V6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5" i="23"/>
  <c r="X5" i="23" s="1"/>
  <c r="U38" i="23"/>
  <c r="U37" i="23"/>
  <c r="X37" i="23" s="1"/>
  <c r="Z37" i="23" s="1"/>
  <c r="U35" i="23"/>
  <c r="X35" i="23" s="1"/>
  <c r="Z35" i="23" s="1"/>
  <c r="U34" i="23"/>
  <c r="X34" i="23" s="1"/>
  <c r="Z34" i="23" s="1"/>
  <c r="U21" i="23"/>
  <c r="U20" i="23"/>
  <c r="U19" i="23"/>
  <c r="X19" i="23" s="1"/>
  <c r="Z19" i="23" s="1"/>
  <c r="U18" i="23"/>
  <c r="U17" i="23"/>
  <c r="U16" i="23"/>
  <c r="U15" i="23"/>
  <c r="X15" i="23" s="1"/>
  <c r="Z15" i="23" s="1"/>
  <c r="U14" i="23"/>
  <c r="X14" i="23" s="1"/>
  <c r="Z14" i="23" s="1"/>
  <c r="U13" i="23"/>
  <c r="U12" i="23"/>
  <c r="U11" i="23"/>
  <c r="X11" i="23" s="1"/>
  <c r="Z11" i="23" s="1"/>
  <c r="U10" i="23"/>
  <c r="X10" i="23" s="1"/>
  <c r="Z10" i="23" s="1"/>
  <c r="U9" i="23"/>
  <c r="U8" i="23"/>
  <c r="U7" i="23"/>
  <c r="X7" i="23" s="1"/>
  <c r="Z7" i="23" s="1"/>
  <c r="U6" i="23"/>
  <c r="X6" i="23" s="1"/>
  <c r="Z6" i="23" s="1"/>
  <c r="U5" i="23"/>
  <c r="AT67" i="21"/>
  <c r="AQ67" i="21"/>
  <c r="I24" i="22"/>
  <c r="I26" i="22"/>
  <c r="H26" i="22"/>
  <c r="I25" i="22"/>
  <c r="O13" i="22" s="1"/>
  <c r="P13" i="22" s="1"/>
  <c r="H25" i="22"/>
  <c r="H24" i="22"/>
  <c r="G15" i="22"/>
  <c r="G12" i="22"/>
  <c r="M19" i="22"/>
  <c r="M18" i="22"/>
  <c r="M17" i="22"/>
  <c r="M16" i="22"/>
  <c r="O14" i="22"/>
  <c r="P14" i="22" s="1"/>
  <c r="M14" i="22"/>
  <c r="M13" i="22"/>
  <c r="O12" i="22"/>
  <c r="P12" i="22" s="1"/>
  <c r="O10" i="22"/>
  <c r="P10" i="22" s="1"/>
  <c r="O9" i="22"/>
  <c r="P9" i="22" s="1"/>
  <c r="O8" i="22"/>
  <c r="P8" i="22" s="1"/>
  <c r="O7" i="22"/>
  <c r="P7" i="22" s="1"/>
  <c r="AE26" i="21"/>
  <c r="AE21" i="21"/>
  <c r="AI21" i="21"/>
  <c r="AJ21" i="21"/>
  <c r="AM21" i="21"/>
  <c r="AQ21" i="21"/>
  <c r="AR21" i="21"/>
  <c r="AU21" i="21"/>
  <c r="AY21" i="21"/>
  <c r="AZ21" i="21"/>
  <c r="AD22" i="21"/>
  <c r="AI22" i="21"/>
  <c r="AL22" i="21"/>
  <c r="AM22" i="21"/>
  <c r="AN22" i="21"/>
  <c r="AP22" i="21"/>
  <c r="AU22" i="21"/>
  <c r="AX22" i="21"/>
  <c r="AY22" i="21"/>
  <c r="AB21" i="21"/>
  <c r="Z25" i="21"/>
  <c r="AK23" i="21"/>
  <c r="AH23" i="21"/>
  <c r="BA23" i="21" s="1"/>
  <c r="AY18" i="21"/>
  <c r="AU18" i="21"/>
  <c r="AT18" i="21"/>
  <c r="AT22" i="21" s="1"/>
  <c r="AQ18" i="21"/>
  <c r="AQ22" i="21" s="1"/>
  <c r="AM18" i="21"/>
  <c r="AL18" i="21"/>
  <c r="AI18" i="21"/>
  <c r="AE18" i="21"/>
  <c r="AE22" i="21" s="1"/>
  <c r="AD18" i="21"/>
  <c r="AZ17" i="21"/>
  <c r="AY17" i="21"/>
  <c r="AY19" i="21" s="1"/>
  <c r="AV17" i="21"/>
  <c r="AV21" i="21" s="1"/>
  <c r="AU17" i="21"/>
  <c r="AU19" i="21" s="1"/>
  <c r="AR17" i="21"/>
  <c r="AQ17" i="21"/>
  <c r="AQ19" i="21" s="1"/>
  <c r="AN17" i="21"/>
  <c r="AN21" i="21" s="1"/>
  <c r="AM17" i="21"/>
  <c r="AM19" i="21" s="1"/>
  <c r="AJ17" i="21"/>
  <c r="AI17" i="21"/>
  <c r="AI19" i="21" s="1"/>
  <c r="AF17" i="21"/>
  <c r="AF21" i="21" s="1"/>
  <c r="AE17" i="21"/>
  <c r="AE19" i="21" s="1"/>
  <c r="AB17" i="21"/>
  <c r="AB19" i="21" s="1"/>
  <c r="BA10" i="21"/>
  <c r="AZ18" i="21"/>
  <c r="AZ22" i="21" s="1"/>
  <c r="AX18" i="21"/>
  <c r="AV18" i="21"/>
  <c r="AV22" i="21" s="1"/>
  <c r="AR18" i="21"/>
  <c r="AR22" i="21" s="1"/>
  <c r="AP18" i="21"/>
  <c r="AN18" i="21"/>
  <c r="AJ18" i="21"/>
  <c r="AJ22" i="21" s="1"/>
  <c r="AH18" i="21"/>
  <c r="AH22" i="21" s="1"/>
  <c r="AF18" i="21"/>
  <c r="AF22" i="21" s="1"/>
  <c r="T56" i="21"/>
  <c r="I56" i="21"/>
  <c r="G56" i="21"/>
  <c r="U55" i="21"/>
  <c r="P55" i="21"/>
  <c r="I55" i="21"/>
  <c r="Q54" i="21"/>
  <c r="P54" i="21"/>
  <c r="W53" i="21"/>
  <c r="Q53" i="21"/>
  <c r="P53" i="21"/>
  <c r="F53" i="21"/>
  <c r="P52" i="21"/>
  <c r="X50" i="21"/>
  <c r="W50" i="21"/>
  <c r="P50" i="21"/>
  <c r="H50" i="21"/>
  <c r="Q48" i="21"/>
  <c r="I48" i="21"/>
  <c r="X47" i="21"/>
  <c r="W47" i="21"/>
  <c r="Q47" i="21"/>
  <c r="I47" i="21"/>
  <c r="G47" i="21"/>
  <c r="V46" i="21"/>
  <c r="W45" i="21"/>
  <c r="V45" i="21"/>
  <c r="Q45" i="21"/>
  <c r="P45" i="21"/>
  <c r="E58" i="21" s="1"/>
  <c r="H45" i="21"/>
  <c r="W24" i="21"/>
  <c r="U24" i="21"/>
  <c r="T24" i="21"/>
  <c r="Q24" i="21"/>
  <c r="P24" i="21"/>
  <c r="I24" i="21"/>
  <c r="G24" i="21"/>
  <c r="F24" i="21"/>
  <c r="X23" i="21"/>
  <c r="W23" i="21"/>
  <c r="V23" i="21"/>
  <c r="Q23" i="21"/>
  <c r="P23" i="21"/>
  <c r="H23" i="21"/>
  <c r="X22" i="21"/>
  <c r="W22" i="21"/>
  <c r="V22" i="21"/>
  <c r="Q22" i="21"/>
  <c r="P22" i="21"/>
  <c r="I22" i="21"/>
  <c r="G12" i="21"/>
  <c r="G22" i="21" s="1"/>
  <c r="H10" i="21"/>
  <c r="U89" i="20"/>
  <c r="O83" i="20" s="1"/>
  <c r="Q83" i="20" s="1"/>
  <c r="T89" i="20"/>
  <c r="S89" i="20"/>
  <c r="R89" i="20"/>
  <c r="P88" i="20"/>
  <c r="O88" i="20"/>
  <c r="N88" i="20"/>
  <c r="M88" i="20"/>
  <c r="P83" i="20"/>
  <c r="P82" i="20"/>
  <c r="AQ92" i="20"/>
  <c r="AO92" i="20"/>
  <c r="AN92" i="20"/>
  <c r="AK92" i="20"/>
  <c r="AJ92" i="20"/>
  <c r="AC92" i="20"/>
  <c r="AA92" i="20"/>
  <c r="Z92" i="20"/>
  <c r="AR91" i="20"/>
  <c r="AQ91" i="20"/>
  <c r="AP91" i="20"/>
  <c r="AK91" i="20"/>
  <c r="AJ91" i="20"/>
  <c r="AB91" i="20"/>
  <c r="AR90" i="20"/>
  <c r="AQ90" i="20"/>
  <c r="AP90" i="20"/>
  <c r="AK90" i="20"/>
  <c r="AJ90" i="20"/>
  <c r="AC90" i="20"/>
  <c r="AB90" i="20"/>
  <c r="AA90" i="20"/>
  <c r="AQ89" i="20"/>
  <c r="AO89" i="20"/>
  <c r="AK89" i="20"/>
  <c r="AJ89" i="20"/>
  <c r="AC89" i="20"/>
  <c r="Z89" i="20"/>
  <c r="AR88" i="20"/>
  <c r="AQ88" i="20"/>
  <c r="AP88" i="20"/>
  <c r="AK88" i="20"/>
  <c r="AJ88" i="20"/>
  <c r="AB88" i="20"/>
  <c r="AR87" i="20"/>
  <c r="AQ87" i="20"/>
  <c r="AP87" i="20"/>
  <c r="AK87" i="20"/>
  <c r="AJ87" i="20"/>
  <c r="AC87" i="20"/>
  <c r="AB87" i="20"/>
  <c r="AA87" i="20"/>
  <c r="AC86" i="20"/>
  <c r="AJ85" i="20"/>
  <c r="AC85" i="20"/>
  <c r="AK83" i="20"/>
  <c r="Z83" i="20"/>
  <c r="AQ81" i="20"/>
  <c r="AP79" i="20"/>
  <c r="AB75" i="20"/>
  <c r="W60" i="20"/>
  <c r="W53" i="20"/>
  <c r="U53" i="20"/>
  <c r="T53" i="20"/>
  <c r="AA55" i="20"/>
  <c r="AA54" i="20"/>
  <c r="AB63" i="20"/>
  <c r="AB62" i="20"/>
  <c r="AB54" i="20"/>
  <c r="T70" i="20"/>
  <c r="E70" i="20"/>
  <c r="F69" i="20"/>
  <c r="W68" i="20"/>
  <c r="V68" i="20"/>
  <c r="U68" i="20"/>
  <c r="T68" i="20"/>
  <c r="F68" i="20"/>
  <c r="W67" i="20"/>
  <c r="V67" i="20"/>
  <c r="T67" i="20"/>
  <c r="N67" i="20"/>
  <c r="U67" i="20" s="1"/>
  <c r="F67" i="20"/>
  <c r="W66" i="20"/>
  <c r="V66" i="20"/>
  <c r="U66" i="20"/>
  <c r="T66" i="20"/>
  <c r="L66" i="20"/>
  <c r="F66" i="20"/>
  <c r="V65" i="20"/>
  <c r="T65" i="20"/>
  <c r="F65" i="20"/>
  <c r="V64" i="20"/>
  <c r="T64" i="20"/>
  <c r="F64" i="20"/>
  <c r="F63" i="20"/>
  <c r="F62" i="20"/>
  <c r="T61" i="20"/>
  <c r="P61" i="20"/>
  <c r="V61" i="20" s="1"/>
  <c r="R60" i="20"/>
  <c r="U60" i="20" s="1"/>
  <c r="F59" i="20"/>
  <c r="F58" i="20"/>
  <c r="F57" i="20"/>
  <c r="F56" i="20"/>
  <c r="F55" i="20"/>
  <c r="F54" i="20"/>
  <c r="S53" i="20"/>
  <c r="R53" i="20"/>
  <c r="V52" i="20"/>
  <c r="U52" i="20"/>
  <c r="T52" i="20"/>
  <c r="H52" i="20"/>
  <c r="V70" i="20" s="1"/>
  <c r="F52" i="20"/>
  <c r="W51" i="20"/>
  <c r="V51" i="20"/>
  <c r="U51" i="20"/>
  <c r="T51" i="20"/>
  <c r="F51" i="20"/>
  <c r="P50" i="20"/>
  <c r="V50" i="20" s="1"/>
  <c r="R39" i="20"/>
  <c r="G39" i="20"/>
  <c r="W37" i="20"/>
  <c r="I35" i="20"/>
  <c r="AX33" i="20"/>
  <c r="W33" i="20"/>
  <c r="BE32" i="20"/>
  <c r="AX32" i="20"/>
  <c r="BL30" i="20"/>
  <c r="I15" i="20"/>
  <c r="H14" i="20"/>
  <c r="J13" i="20"/>
  <c r="H13" i="20"/>
  <c r="E13" i="20"/>
  <c r="G5" i="20"/>
  <c r="Y26" i="19"/>
  <c r="P82" i="19"/>
  <c r="O82" i="19"/>
  <c r="J6" i="19"/>
  <c r="G6" i="19"/>
  <c r="J5" i="19"/>
  <c r="G5" i="19"/>
  <c r="J4" i="19"/>
  <c r="G4" i="19"/>
  <c r="AE14" i="18"/>
  <c r="AE13" i="18"/>
  <c r="AE12" i="18"/>
  <c r="N16" i="18"/>
  <c r="M16" i="18"/>
  <c r="Q10" i="18"/>
  <c r="P10" i="18"/>
  <c r="O10" i="18"/>
  <c r="N10" i="18"/>
  <c r="M10" i="18"/>
  <c r="L10" i="18"/>
  <c r="AF9" i="18"/>
  <c r="AE9" i="18"/>
  <c r="AD9" i="18"/>
  <c r="AC9" i="18"/>
  <c r="Q9" i="18"/>
  <c r="P9" i="18"/>
  <c r="O9" i="18"/>
  <c r="N9" i="18"/>
  <c r="M9" i="18"/>
  <c r="L9" i="18"/>
  <c r="AF8" i="18"/>
  <c r="AE8" i="18"/>
  <c r="AD8" i="18"/>
  <c r="AC8" i="18"/>
  <c r="Y8" i="18"/>
  <c r="X8" i="18"/>
  <c r="W8" i="18"/>
  <c r="X13" i="18" s="1"/>
  <c r="V8" i="18"/>
  <c r="W13" i="18" s="1"/>
  <c r="Q8" i="18"/>
  <c r="P8" i="18"/>
  <c r="O8" i="18"/>
  <c r="N8" i="18"/>
  <c r="M8" i="18"/>
  <c r="L8" i="18"/>
  <c r="AF7" i="18"/>
  <c r="AE7" i="18"/>
  <c r="AD7" i="18"/>
  <c r="AC7" i="18"/>
  <c r="Y7" i="18"/>
  <c r="X7" i="18"/>
  <c r="W7" i="18"/>
  <c r="V7" i="18"/>
  <c r="W12" i="18" s="1"/>
  <c r="Y6" i="18"/>
  <c r="Y9" i="18" s="1"/>
  <c r="X6" i="18"/>
  <c r="W6" i="18"/>
  <c r="V6" i="18"/>
  <c r="V13" i="18" s="1"/>
  <c r="H11" i="18"/>
  <c r="H10" i="18"/>
  <c r="H9" i="18"/>
  <c r="H8" i="18"/>
  <c r="H7" i="18"/>
  <c r="H6" i="18"/>
  <c r="H5" i="18"/>
  <c r="H4" i="18"/>
  <c r="L8" i="16"/>
  <c r="M8" i="16" s="1"/>
  <c r="G8" i="16"/>
  <c r="L7" i="16"/>
  <c r="M7" i="16" s="1"/>
  <c r="G7" i="16"/>
  <c r="L6" i="16"/>
  <c r="G6" i="16"/>
  <c r="P18" i="17"/>
  <c r="K18" i="17"/>
  <c r="J18" i="17"/>
  <c r="E18" i="17"/>
  <c r="P17" i="17"/>
  <c r="J17" i="17"/>
  <c r="E17" i="17"/>
  <c r="P14" i="17"/>
  <c r="P15" i="17" s="1"/>
  <c r="O14" i="17"/>
  <c r="O15" i="17" s="1"/>
  <c r="J14" i="17"/>
  <c r="I14" i="17"/>
  <c r="E14" i="17"/>
  <c r="E15" i="17" s="1"/>
  <c r="D14" i="17"/>
  <c r="D15" i="17" s="1"/>
  <c r="O13" i="17"/>
  <c r="I13" i="17"/>
  <c r="D13" i="17"/>
  <c r="O12" i="17"/>
  <c r="D12" i="17"/>
  <c r="Q9" i="17"/>
  <c r="P9" i="17"/>
  <c r="O9" i="17"/>
  <c r="O11" i="17" s="1"/>
  <c r="L9" i="17"/>
  <c r="I12" i="17" s="1"/>
  <c r="K9" i="17"/>
  <c r="J9" i="17"/>
  <c r="I9" i="17"/>
  <c r="I11" i="17" s="1"/>
  <c r="F9" i="17"/>
  <c r="D11" i="17" s="1"/>
  <c r="E9" i="17"/>
  <c r="D9" i="17"/>
  <c r="AC13" i="18"/>
  <c r="Z18" i="19"/>
  <c r="AC12" i="18"/>
  <c r="Z19" i="19"/>
  <c r="AC14" i="18"/>
  <c r="Y9" i="19" l="1"/>
  <c r="AA19" i="19"/>
  <c r="AB19" i="19"/>
  <c r="AA14" i="19"/>
  <c r="W13" i="19"/>
  <c r="V14" i="19"/>
  <c r="AB14" i="19" s="1"/>
  <c r="W18" i="19"/>
  <c r="Z13" i="19"/>
  <c r="AQ22" i="24"/>
  <c r="AS22" i="24"/>
  <c r="AU35" i="24"/>
  <c r="AY35" i="24" s="1"/>
  <c r="AS42" i="24"/>
  <c r="AQ42" i="24"/>
  <c r="AP22" i="24"/>
  <c r="AR22" i="24"/>
  <c r="AQ31" i="24"/>
  <c r="AS31" i="24"/>
  <c r="AR36" i="24"/>
  <c r="AX36" i="24"/>
  <c r="AP36" i="24"/>
  <c r="BO62" i="24"/>
  <c r="AU36" i="24"/>
  <c r="AY36" i="24" s="1"/>
  <c r="AS21" i="24"/>
  <c r="AQ21" i="24"/>
  <c r="AV26" i="24"/>
  <c r="AZ26" i="24" s="1"/>
  <c r="AQ26" i="24"/>
  <c r="AW26" i="24"/>
  <c r="AS26" i="24"/>
  <c r="AR29" i="24"/>
  <c r="AP29" i="24"/>
  <c r="BO56" i="24"/>
  <c r="AX29" i="24"/>
  <c r="AW30" i="24"/>
  <c r="AS30" i="24"/>
  <c r="BP57" i="24"/>
  <c r="AV30" i="24"/>
  <c r="AZ30" i="24" s="1"/>
  <c r="AQ30" i="24"/>
  <c r="AP31" i="24"/>
  <c r="AR31" i="24"/>
  <c r="AV36" i="24"/>
  <c r="AZ36" i="24" s="1"/>
  <c r="AS39" i="24"/>
  <c r="AQ39" i="24"/>
  <c r="AS43" i="24"/>
  <c r="AQ43" i="24"/>
  <c r="AS37" i="24"/>
  <c r="AQ37" i="24"/>
  <c r="AP21" i="24"/>
  <c r="AR21" i="24"/>
  <c r="AX26" i="24"/>
  <c r="AP26" i="24"/>
  <c r="AU26" i="24"/>
  <c r="AY26" i="24" s="1"/>
  <c r="AR26" i="24"/>
  <c r="AR28" i="24"/>
  <c r="AP28" i="24"/>
  <c r="AR27" i="24"/>
  <c r="AS28" i="24"/>
  <c r="BP56" i="24"/>
  <c r="BM57" i="24"/>
  <c r="BM62" i="24"/>
  <c r="AP27" i="24"/>
  <c r="AX27" i="24"/>
  <c r="AQ29" i="24"/>
  <c r="AN30" i="24"/>
  <c r="AO34" i="24"/>
  <c r="AP35" i="24"/>
  <c r="AX35" i="24"/>
  <c r="AQ36" i="24"/>
  <c r="AN37" i="24"/>
  <c r="AN39" i="24"/>
  <c r="AN42" i="24"/>
  <c r="AN43" i="24"/>
  <c r="AS29" i="24"/>
  <c r="AR35" i="24"/>
  <c r="AS36" i="24"/>
  <c r="AW36" i="24"/>
  <c r="BP62" i="24"/>
  <c r="AS27" i="24"/>
  <c r="AW27" i="24"/>
  <c r="AN34" i="24"/>
  <c r="AS35" i="24"/>
  <c r="AW35" i="24"/>
  <c r="BM56" i="24"/>
  <c r="AD579" i="24"/>
  <c r="AE579" i="24" s="1"/>
  <c r="AW157" i="24"/>
  <c r="AW447" i="24"/>
  <c r="AP99" i="24"/>
  <c r="AW156" i="24"/>
  <c r="AW472" i="24"/>
  <c r="AW538" i="24"/>
  <c r="AA574" i="24"/>
  <c r="AA581" i="24" s="1"/>
  <c r="AL1" i="24"/>
  <c r="AD82" i="24"/>
  <c r="AE82" i="24" s="1"/>
  <c r="AD135" i="24"/>
  <c r="AE135" i="24" s="1"/>
  <c r="AI135" i="24" s="1"/>
  <c r="AD231" i="24"/>
  <c r="AF231" i="24" s="1"/>
  <c r="AD370" i="24"/>
  <c r="AF370" i="24" s="1"/>
  <c r="AD473" i="24"/>
  <c r="AE473" i="24" s="1"/>
  <c r="AI473" i="24" s="1"/>
  <c r="AD573" i="24"/>
  <c r="AD114" i="24"/>
  <c r="AE114" i="24" s="1"/>
  <c r="AD195" i="24"/>
  <c r="AF195" i="24" s="1"/>
  <c r="AD336" i="24"/>
  <c r="AF336" i="24" s="1"/>
  <c r="AD449" i="24"/>
  <c r="AE449" i="24" s="1"/>
  <c r="AD550" i="24"/>
  <c r="AE550" i="24" s="1"/>
  <c r="AW131" i="24"/>
  <c r="AW471" i="24"/>
  <c r="AK575" i="24"/>
  <c r="AD90" i="24"/>
  <c r="AE90" i="24" s="1"/>
  <c r="AD141" i="24"/>
  <c r="AF141" i="24" s="1"/>
  <c r="AD275" i="24"/>
  <c r="AF275" i="24" s="1"/>
  <c r="AD403" i="24"/>
  <c r="AF403" i="24" s="1"/>
  <c r="AD494" i="24"/>
  <c r="AE494" i="24" s="1"/>
  <c r="AD58" i="24"/>
  <c r="AE58" i="24" s="1"/>
  <c r="AP100" i="24"/>
  <c r="AW248" i="24"/>
  <c r="AW288" i="24"/>
  <c r="AW368" i="24"/>
  <c r="AW420" i="24"/>
  <c r="AW422" i="24"/>
  <c r="AW470" i="24"/>
  <c r="AC575" i="24"/>
  <c r="AD106" i="24"/>
  <c r="AE106" i="24" s="1"/>
  <c r="AI106" i="24" s="1"/>
  <c r="AD155" i="24"/>
  <c r="AE155" i="24" s="1"/>
  <c r="AD300" i="24"/>
  <c r="AF300" i="24" s="1"/>
  <c r="AD427" i="24"/>
  <c r="AF427" i="24" s="1"/>
  <c r="AD523" i="24"/>
  <c r="AF523" i="24" s="1"/>
  <c r="AF82" i="24"/>
  <c r="AD165" i="24"/>
  <c r="AE165" i="24" s="1"/>
  <c r="AD202" i="24"/>
  <c r="AF202" i="24" s="1"/>
  <c r="AD239" i="24"/>
  <c r="AF239" i="24" s="1"/>
  <c r="AD280" i="24"/>
  <c r="AF280" i="24" s="1"/>
  <c r="AD309" i="24"/>
  <c r="AF309" i="24" s="1"/>
  <c r="AD346" i="24"/>
  <c r="AF346" i="24" s="1"/>
  <c r="AD379" i="24"/>
  <c r="AE379" i="24" s="1"/>
  <c r="AD409" i="24"/>
  <c r="AD431" i="24"/>
  <c r="AE431" i="24" s="1"/>
  <c r="AD455" i="24"/>
  <c r="AF455" i="24" s="1"/>
  <c r="AD478" i="24"/>
  <c r="AE478" i="24" s="1"/>
  <c r="AD505" i="24"/>
  <c r="AE505" i="24" s="1"/>
  <c r="AD529" i="24"/>
  <c r="AF529" i="24" s="1"/>
  <c r="AD554" i="24"/>
  <c r="AF554" i="24" s="1"/>
  <c r="AD577" i="24"/>
  <c r="AW421" i="24"/>
  <c r="AK573" i="24"/>
  <c r="AC573" i="24"/>
  <c r="AK577" i="24"/>
  <c r="AC577" i="24"/>
  <c r="AD69" i="24"/>
  <c r="AE69" i="24" s="1"/>
  <c r="AD95" i="24"/>
  <c r="AF95" i="24" s="1"/>
  <c r="AD123" i="24"/>
  <c r="AE123" i="24" s="1"/>
  <c r="AD146" i="24"/>
  <c r="AF146" i="24" s="1"/>
  <c r="AD176" i="24"/>
  <c r="AF176" i="24" s="1"/>
  <c r="AD210" i="24"/>
  <c r="AF210" i="24" s="1"/>
  <c r="AD247" i="24"/>
  <c r="AE247" i="24" s="1"/>
  <c r="AD285" i="24"/>
  <c r="AF285" i="24" s="1"/>
  <c r="AD318" i="24"/>
  <c r="AF318" i="24" s="1"/>
  <c r="AD355" i="24"/>
  <c r="AF355" i="24" s="1"/>
  <c r="AD388" i="24"/>
  <c r="AF388" i="24" s="1"/>
  <c r="AD414" i="24"/>
  <c r="AE414" i="24" s="1"/>
  <c r="AD436" i="24"/>
  <c r="AF436" i="24" s="1"/>
  <c r="AD460" i="24"/>
  <c r="AF460" i="24" s="1"/>
  <c r="AD483" i="24"/>
  <c r="AF483" i="24" s="1"/>
  <c r="AD509" i="24"/>
  <c r="AF509" i="24" s="1"/>
  <c r="AD537" i="24"/>
  <c r="AE537" i="24" s="1"/>
  <c r="AD558" i="24"/>
  <c r="AF558" i="24" s="1"/>
  <c r="AW116" i="24"/>
  <c r="AW144" i="24"/>
  <c r="AD76" i="24"/>
  <c r="AF76" i="24" s="1"/>
  <c r="AN76" i="24" s="1"/>
  <c r="AD101" i="24"/>
  <c r="AF101" i="24" s="1"/>
  <c r="AD129" i="24"/>
  <c r="AE129" i="24" s="1"/>
  <c r="AD150" i="24"/>
  <c r="AF150" i="24" s="1"/>
  <c r="AD182" i="24"/>
  <c r="AF182" i="24" s="1"/>
  <c r="AD219" i="24"/>
  <c r="AF219" i="24" s="1"/>
  <c r="AD259" i="24"/>
  <c r="AF259" i="24" s="1"/>
  <c r="AD293" i="24"/>
  <c r="AE293" i="24" s="1"/>
  <c r="AD327" i="24"/>
  <c r="AE327" i="24" s="1"/>
  <c r="AD362" i="24"/>
  <c r="AF362" i="24" s="1"/>
  <c r="AD398" i="24"/>
  <c r="AE398" i="24" s="1"/>
  <c r="AD421" i="24"/>
  <c r="AF421" i="24" s="1"/>
  <c r="AD442" i="24"/>
  <c r="AE442" i="24" s="1"/>
  <c r="AD465" i="24"/>
  <c r="AF465" i="24" s="1"/>
  <c r="AD489" i="24"/>
  <c r="AF489" i="24" s="1"/>
  <c r="AD517" i="24"/>
  <c r="AF517" i="24" s="1"/>
  <c r="AD543" i="24"/>
  <c r="AF543" i="24" s="1"/>
  <c r="AD566" i="24"/>
  <c r="AD61" i="24"/>
  <c r="AE61" i="24" s="1"/>
  <c r="AD70" i="24"/>
  <c r="AF70" i="24" s="1"/>
  <c r="AD78" i="24"/>
  <c r="AF78" i="24" s="1"/>
  <c r="AD85" i="24"/>
  <c r="AF85" i="24" s="1"/>
  <c r="AD91" i="24"/>
  <c r="AE91" i="24" s="1"/>
  <c r="AD96" i="24"/>
  <c r="AF96" i="24" s="1"/>
  <c r="AD102" i="24"/>
  <c r="AF102" i="24" s="1"/>
  <c r="AD110" i="24"/>
  <c r="AE110" i="24" s="1"/>
  <c r="AD118" i="24"/>
  <c r="AF118" i="24" s="1"/>
  <c r="AD124" i="24"/>
  <c r="AF124" i="24" s="1"/>
  <c r="AD131" i="24"/>
  <c r="AF131" i="24" s="1"/>
  <c r="AV143" i="24" s="1"/>
  <c r="AD136" i="24"/>
  <c r="AF136" i="24" s="1"/>
  <c r="AD142" i="24"/>
  <c r="AF142" i="24" s="1"/>
  <c r="AD147" i="24"/>
  <c r="AF147" i="24" s="1"/>
  <c r="AD151" i="24"/>
  <c r="AE151" i="24" s="1"/>
  <c r="AD158" i="24"/>
  <c r="AF158" i="24" s="1"/>
  <c r="AD167" i="24"/>
  <c r="AE167" i="24" s="1"/>
  <c r="AD177" i="24"/>
  <c r="AF177" i="24" s="1"/>
  <c r="AD185" i="24"/>
  <c r="AE185" i="24" s="1"/>
  <c r="AD198" i="24"/>
  <c r="AF198" i="24" s="1"/>
  <c r="AD204" i="24"/>
  <c r="AF204" i="24" s="1"/>
  <c r="AD213" i="24"/>
  <c r="AF213" i="24" s="1"/>
  <c r="AD222" i="24"/>
  <c r="AF222" i="24" s="1"/>
  <c r="AD235" i="24"/>
  <c r="AF235" i="24" s="1"/>
  <c r="AD241" i="24"/>
  <c r="AE241" i="24" s="1"/>
  <c r="AD250" i="24"/>
  <c r="AF250" i="24" s="1"/>
  <c r="AD260" i="24"/>
  <c r="AF260" i="24" s="1"/>
  <c r="AD276" i="24"/>
  <c r="AF276" i="24" s="1"/>
  <c r="AD281" i="24"/>
  <c r="AF281" i="24" s="1"/>
  <c r="AD287" i="24"/>
  <c r="AF287" i="24" s="1"/>
  <c r="AD294" i="24"/>
  <c r="AE294" i="24" s="1"/>
  <c r="AD302" i="24"/>
  <c r="AE302" i="24" s="1"/>
  <c r="AD312" i="24"/>
  <c r="AF312" i="24" s="1"/>
  <c r="AD319" i="24"/>
  <c r="AF319" i="24" s="1"/>
  <c r="AD328" i="24"/>
  <c r="AF328" i="24" s="1"/>
  <c r="AD337" i="24"/>
  <c r="AE337" i="24" s="1"/>
  <c r="AD348" i="24"/>
  <c r="AF348" i="24" s="1"/>
  <c r="AD358" i="24"/>
  <c r="AF358" i="24" s="1"/>
  <c r="AD364" i="24"/>
  <c r="AF364" i="24" s="1"/>
  <c r="AD371" i="24"/>
  <c r="AF371" i="24" s="1"/>
  <c r="AD380" i="24"/>
  <c r="AF380" i="24" s="1"/>
  <c r="AD391" i="24"/>
  <c r="AF391" i="24" s="1"/>
  <c r="AD399" i="24"/>
  <c r="AE399" i="24" s="1"/>
  <c r="AD404" i="24"/>
  <c r="AF404" i="24" s="1"/>
  <c r="AD410" i="24"/>
  <c r="AE410" i="24" s="1"/>
  <c r="AD415" i="24"/>
  <c r="AE415" i="24" s="1"/>
  <c r="AD422" i="24"/>
  <c r="AF422" i="24" s="1"/>
  <c r="AD428" i="24"/>
  <c r="AE428" i="24" s="1"/>
  <c r="AD433" i="24"/>
  <c r="AF433" i="24" s="1"/>
  <c r="AD439" i="24"/>
  <c r="AD446" i="24"/>
  <c r="AE446" i="24" s="1"/>
  <c r="AD452" i="24"/>
  <c r="AE452" i="24" s="1"/>
  <c r="AD456" i="24"/>
  <c r="AE456" i="24" s="1"/>
  <c r="AD461" i="24"/>
  <c r="AF461" i="24" s="1"/>
  <c r="AD466" i="24"/>
  <c r="AF466" i="24" s="1"/>
  <c r="AD474" i="24"/>
  <c r="AD479" i="24"/>
  <c r="AF479" i="24" s="1"/>
  <c r="AD484" i="24"/>
  <c r="AE484" i="24" s="1"/>
  <c r="AD491" i="24"/>
  <c r="AD497" i="24"/>
  <c r="AD506" i="24"/>
  <c r="AE506" i="24" s="1"/>
  <c r="AD512" i="24"/>
  <c r="AF512" i="24" s="1"/>
  <c r="AD518" i="24"/>
  <c r="AE518" i="24" s="1"/>
  <c r="AD524" i="24"/>
  <c r="AE524" i="24" s="1"/>
  <c r="AD532" i="24"/>
  <c r="AF532" i="24" s="1"/>
  <c r="AD538" i="24"/>
  <c r="AF538" i="24" s="1"/>
  <c r="AD546" i="24"/>
  <c r="AF546" i="24" s="1"/>
  <c r="AD551" i="24"/>
  <c r="AE551" i="24" s="1"/>
  <c r="AD555" i="24"/>
  <c r="AE555" i="24" s="1"/>
  <c r="AD559" i="24"/>
  <c r="AE559" i="24" s="1"/>
  <c r="AD567" i="24"/>
  <c r="AF567" i="24" s="1"/>
  <c r="AD574" i="24"/>
  <c r="AF574" i="24" s="1"/>
  <c r="AD578" i="24"/>
  <c r="AF578" i="24" s="1"/>
  <c r="AW446" i="24"/>
  <c r="AW497" i="24"/>
  <c r="AW539" i="24"/>
  <c r="AD62" i="24"/>
  <c r="AF62" i="24" s="1"/>
  <c r="AD72" i="24"/>
  <c r="AF72" i="24" s="1"/>
  <c r="AD79" i="24"/>
  <c r="AE79" i="24" s="1"/>
  <c r="AD86" i="24"/>
  <c r="AF86" i="24" s="1"/>
  <c r="AD92" i="24"/>
  <c r="AE92" i="24" s="1"/>
  <c r="AD97" i="24"/>
  <c r="AF97" i="24" s="1"/>
  <c r="AD103" i="24"/>
  <c r="AF103" i="24" s="1"/>
  <c r="AD111" i="24"/>
  <c r="AF111" i="24" s="1"/>
  <c r="AD119" i="24"/>
  <c r="AF119" i="24" s="1"/>
  <c r="AD125" i="24"/>
  <c r="AF125" i="24" s="1"/>
  <c r="AD132" i="24"/>
  <c r="AF132" i="24" s="1"/>
  <c r="AD138" i="24"/>
  <c r="AF138" i="24" s="1"/>
  <c r="AD144" i="24"/>
  <c r="AF144" i="24" s="1"/>
  <c r="AD148" i="24"/>
  <c r="AE148" i="24" s="1"/>
  <c r="AD153" i="24"/>
  <c r="AE153" i="24" s="1"/>
  <c r="AD161" i="24"/>
  <c r="AF161" i="24" s="1"/>
  <c r="AD170" i="24"/>
  <c r="AE170" i="24" s="1"/>
  <c r="AD179" i="24"/>
  <c r="AE179" i="24" s="1"/>
  <c r="AD188" i="24"/>
  <c r="AF188" i="24" s="1"/>
  <c r="AD199" i="24"/>
  <c r="AE199" i="24" s="1"/>
  <c r="AD207" i="24"/>
  <c r="AF207" i="24" s="1"/>
  <c r="AD216" i="24"/>
  <c r="AF216" i="24" s="1"/>
  <c r="AD225" i="24"/>
  <c r="AF225" i="24" s="1"/>
  <c r="AD236" i="24"/>
  <c r="AE236" i="24" s="1"/>
  <c r="AD242" i="24"/>
  <c r="AE242" i="24" s="1"/>
  <c r="AD253" i="24"/>
  <c r="AF253" i="24" s="1"/>
  <c r="AD272" i="24"/>
  <c r="AE272" i="24" s="1"/>
  <c r="AD278" i="24"/>
  <c r="AF278" i="24" s="1"/>
  <c r="AD282" i="24"/>
  <c r="AE282" i="24" s="1"/>
  <c r="AD290" i="24"/>
  <c r="AE290" i="24" s="1"/>
  <c r="AD296" i="24"/>
  <c r="AF296" i="24" s="1"/>
  <c r="AD303" i="24"/>
  <c r="AF303" i="24" s="1"/>
  <c r="AD313" i="24"/>
  <c r="AF313" i="24" s="1"/>
  <c r="AD321" i="24"/>
  <c r="AF321" i="24" s="1"/>
  <c r="AD330" i="24"/>
  <c r="AF330" i="24" s="1"/>
  <c r="AD339" i="24"/>
  <c r="AF339" i="24" s="1"/>
  <c r="AD352" i="24"/>
  <c r="AE352" i="24" s="1"/>
  <c r="AD359" i="24"/>
  <c r="AE359" i="24" s="1"/>
  <c r="AD367" i="24"/>
  <c r="AF367" i="24" s="1"/>
  <c r="AD373" i="24"/>
  <c r="AE373" i="24" s="1"/>
  <c r="AD382" i="24"/>
  <c r="AF382" i="24" s="1"/>
  <c r="AD396" i="24"/>
  <c r="AF396" i="24" s="1"/>
  <c r="AD400" i="24"/>
  <c r="AE400" i="24" s="1"/>
  <c r="AD405" i="24"/>
  <c r="AF405" i="24" s="1"/>
  <c r="AD411" i="24"/>
  <c r="AF411" i="24" s="1"/>
  <c r="AD416" i="24"/>
  <c r="AF416" i="24" s="1"/>
  <c r="AD423" i="24"/>
  <c r="AF423" i="24" s="1"/>
  <c r="AD429" i="24"/>
  <c r="AF429" i="24" s="1"/>
  <c r="AD434" i="24"/>
  <c r="AF434" i="24" s="1"/>
  <c r="AD440" i="24"/>
  <c r="AF440" i="24" s="1"/>
  <c r="AD447" i="24"/>
  <c r="AD453" i="24"/>
  <c r="AD458" i="24"/>
  <c r="AE458" i="24" s="1"/>
  <c r="AD462" i="24"/>
  <c r="AE462" i="24" s="1"/>
  <c r="AD467" i="24"/>
  <c r="AE467" i="24" s="1"/>
  <c r="AD476" i="24"/>
  <c r="AF476" i="24" s="1"/>
  <c r="AD481" i="24"/>
  <c r="AF481" i="24" s="1"/>
  <c r="AD486" i="24"/>
  <c r="AE486" i="24" s="1"/>
  <c r="AD492" i="24"/>
  <c r="AF492" i="24" s="1"/>
  <c r="AD498" i="24"/>
  <c r="AE498" i="24" s="1"/>
  <c r="AD507" i="24"/>
  <c r="AF507" i="24" s="1"/>
  <c r="AD513" i="24"/>
  <c r="AE513" i="24" s="1"/>
  <c r="AD519" i="24"/>
  <c r="AF519" i="24" s="1"/>
  <c r="AD527" i="24"/>
  <c r="AF527" i="24" s="1"/>
  <c r="AD533" i="24"/>
  <c r="AF533" i="24" s="1"/>
  <c r="AD539" i="24"/>
  <c r="AF539" i="24" s="1"/>
  <c r="AD547" i="24"/>
  <c r="AE547" i="24" s="1"/>
  <c r="AD552" i="24"/>
  <c r="AE552" i="24" s="1"/>
  <c r="AD556" i="24"/>
  <c r="AF556" i="24" s="1"/>
  <c r="AD564" i="24"/>
  <c r="AD568" i="24"/>
  <c r="AD575" i="24"/>
  <c r="AE575" i="24" s="1"/>
  <c r="AI575" i="24" s="1"/>
  <c r="AW445" i="24"/>
  <c r="AW499" i="24"/>
  <c r="AO50" i="24"/>
  <c r="AM55" i="24"/>
  <c r="AN55" i="24" s="1"/>
  <c r="AM51" i="24"/>
  <c r="AD66" i="24"/>
  <c r="AF66" i="24" s="1"/>
  <c r="AD73" i="24"/>
  <c r="AF73" i="24" s="1"/>
  <c r="AD81" i="24"/>
  <c r="AF81" i="24" s="1"/>
  <c r="AD87" i="24"/>
  <c r="AF87" i="24" s="1"/>
  <c r="AD94" i="24"/>
  <c r="AE94" i="24" s="1"/>
  <c r="AD98" i="24"/>
  <c r="AE98" i="24" s="1"/>
  <c r="AD105" i="24"/>
  <c r="AF105" i="24" s="1"/>
  <c r="AD113" i="24"/>
  <c r="AE113" i="24" s="1"/>
  <c r="AD122" i="24"/>
  <c r="AE122" i="24" s="1"/>
  <c r="AD128" i="24"/>
  <c r="AF128" i="24" s="1"/>
  <c r="AD133" i="24"/>
  <c r="AE133" i="24" s="1"/>
  <c r="AD139" i="24"/>
  <c r="AE139" i="24" s="1"/>
  <c r="AD145" i="24"/>
  <c r="AF145" i="24" s="1"/>
  <c r="AD149" i="24"/>
  <c r="AF149" i="24" s="1"/>
  <c r="AD154" i="24"/>
  <c r="AE154" i="24" s="1"/>
  <c r="AD164" i="24"/>
  <c r="AF164" i="24" s="1"/>
  <c r="AD173" i="24"/>
  <c r="AE173" i="24" s="1"/>
  <c r="AD180" i="24"/>
  <c r="AE180" i="24" s="1"/>
  <c r="AD191" i="24"/>
  <c r="AF191" i="24" s="1"/>
  <c r="AD201" i="24"/>
  <c r="AE201" i="24" s="1"/>
  <c r="AD208" i="24"/>
  <c r="AE208" i="24" s="1"/>
  <c r="AD217" i="24"/>
  <c r="AF217" i="24" s="1"/>
  <c r="AD228" i="24"/>
  <c r="AF228" i="24" s="1"/>
  <c r="AD238" i="24"/>
  <c r="AD244" i="24"/>
  <c r="AF244" i="24" s="1"/>
  <c r="AD256" i="24"/>
  <c r="AF256" i="24" s="1"/>
  <c r="AD273" i="24"/>
  <c r="AF273" i="24" s="1"/>
  <c r="AD279" i="24"/>
  <c r="AF279" i="24" s="1"/>
  <c r="AD284" i="24"/>
  <c r="AF284" i="24" s="1"/>
  <c r="AD291" i="24"/>
  <c r="AF291" i="24" s="1"/>
  <c r="AD299" i="24"/>
  <c r="AF299" i="24" s="1"/>
  <c r="AD305" i="24"/>
  <c r="AF305" i="24" s="1"/>
  <c r="AD315" i="24"/>
  <c r="AF315" i="24" s="1"/>
  <c r="AD324" i="24"/>
  <c r="AE324" i="24" s="1"/>
  <c r="AD333" i="24"/>
  <c r="AE333" i="24" s="1"/>
  <c r="AD342" i="24"/>
  <c r="AF342" i="24" s="1"/>
  <c r="AD353" i="24"/>
  <c r="AE353" i="24" s="1"/>
  <c r="AD361" i="24"/>
  <c r="AF361" i="24" s="1"/>
  <c r="AD368" i="24"/>
  <c r="AE368" i="24" s="1"/>
  <c r="AD376" i="24"/>
  <c r="AF376" i="24" s="1"/>
  <c r="AD385" i="24"/>
  <c r="AF385" i="24" s="1"/>
  <c r="AD397" i="24"/>
  <c r="AF397" i="24" s="1"/>
  <c r="AD402" i="24"/>
  <c r="AE402" i="24" s="1"/>
  <c r="AD408" i="24"/>
  <c r="AE408" i="24" s="1"/>
  <c r="AD412" i="24"/>
  <c r="AF412" i="24" s="1"/>
  <c r="AD417" i="24"/>
  <c r="AF417" i="24" s="1"/>
  <c r="AD424" i="24"/>
  <c r="AF424" i="24" s="1"/>
  <c r="AD430" i="24"/>
  <c r="AF430" i="24" s="1"/>
  <c r="AD435" i="24"/>
  <c r="AE435" i="24" s="1"/>
  <c r="AD441" i="24"/>
  <c r="AF441" i="24" s="1"/>
  <c r="AD448" i="24"/>
  <c r="AF448" i="24" s="1"/>
  <c r="AD454" i="24"/>
  <c r="AF454" i="24" s="1"/>
  <c r="AD459" i="24"/>
  <c r="AD464" i="24"/>
  <c r="AF464" i="24" s="1"/>
  <c r="AD472" i="24"/>
  <c r="AF472" i="24" s="1"/>
  <c r="AD477" i="24"/>
  <c r="AE477" i="24" s="1"/>
  <c r="AD482" i="24"/>
  <c r="AF482" i="24" s="1"/>
  <c r="AD487" i="24"/>
  <c r="AD493" i="24"/>
  <c r="AF493" i="24" s="1"/>
  <c r="AD501" i="24"/>
  <c r="AF501" i="24" s="1"/>
  <c r="AD508" i="24"/>
  <c r="AE508" i="24" s="1"/>
  <c r="AD514" i="24"/>
  <c r="AE514" i="24" s="1"/>
  <c r="AD522" i="24"/>
  <c r="AF522" i="24" s="1"/>
  <c r="AD528" i="24"/>
  <c r="AE528" i="24" s="1"/>
  <c r="AD534" i="24"/>
  <c r="AF534" i="24" s="1"/>
  <c r="AD542" i="24"/>
  <c r="AF542" i="24" s="1"/>
  <c r="AD549" i="24"/>
  <c r="AE549" i="24" s="1"/>
  <c r="AD553" i="24"/>
  <c r="AF553" i="24" s="1"/>
  <c r="AD557" i="24"/>
  <c r="AF557" i="24" s="1"/>
  <c r="AD565" i="24"/>
  <c r="AE565" i="24" s="1"/>
  <c r="AD569" i="24"/>
  <c r="AF569" i="24" s="1"/>
  <c r="AD576" i="24"/>
  <c r="AE576" i="24" s="1"/>
  <c r="AI576" i="24" s="1"/>
  <c r="AD580" i="24"/>
  <c r="AF580" i="24" s="1"/>
  <c r="AN50" i="24"/>
  <c r="AO55" i="24"/>
  <c r="AE336" i="24"/>
  <c r="AF58" i="24"/>
  <c r="AB11" i="23"/>
  <c r="AB7" i="23"/>
  <c r="AB19" i="23"/>
  <c r="AB37" i="23"/>
  <c r="X8" i="23"/>
  <c r="X12" i="23"/>
  <c r="X16" i="23"/>
  <c r="AB15" i="23"/>
  <c r="H24" i="23"/>
  <c r="J24" i="23" s="1"/>
  <c r="AB5" i="23"/>
  <c r="Z5" i="23"/>
  <c r="AB34" i="23"/>
  <c r="H25" i="23"/>
  <c r="H31" i="23"/>
  <c r="L24" i="23"/>
  <c r="AB14" i="23"/>
  <c r="AB10" i="23"/>
  <c r="AB6" i="23"/>
  <c r="AB35" i="23"/>
  <c r="H26" i="23"/>
  <c r="H32" i="23"/>
  <c r="H28" i="23"/>
  <c r="AE275" i="24"/>
  <c r="AE141" i="24"/>
  <c r="AW325" i="24"/>
  <c r="AE346" i="24"/>
  <c r="AA567" i="24"/>
  <c r="AK566" i="24"/>
  <c r="AC566" i="24"/>
  <c r="AW498" i="24"/>
  <c r="AA565" i="24"/>
  <c r="AK564" i="24"/>
  <c r="BL99" i="24" s="1"/>
  <c r="AC564" i="24"/>
  <c r="AA569" i="24"/>
  <c r="AK568" i="24"/>
  <c r="AC568" i="24"/>
  <c r="H30" i="23"/>
  <c r="G24" i="23"/>
  <c r="G25" i="23"/>
  <c r="G26" i="23"/>
  <c r="G28" i="23"/>
  <c r="G30" i="23"/>
  <c r="G31" i="23"/>
  <c r="G32" i="23"/>
  <c r="X9" i="23"/>
  <c r="X13" i="23"/>
  <c r="X17" i="23"/>
  <c r="X21" i="23"/>
  <c r="X38" i="23"/>
  <c r="X20" i="23"/>
  <c r="X18" i="23"/>
  <c r="W5" i="23"/>
  <c r="W6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34" i="23"/>
  <c r="W35" i="23"/>
  <c r="W37" i="23"/>
  <c r="W38" i="23"/>
  <c r="R7" i="22"/>
  <c r="S7" i="22" s="1"/>
  <c r="O15" i="22"/>
  <c r="P15" i="22" s="1"/>
  <c r="AR20" i="21"/>
  <c r="E26" i="21"/>
  <c r="H22" i="21"/>
  <c r="AJ20" i="21"/>
  <c r="AZ20" i="21"/>
  <c r="AP20" i="21"/>
  <c r="AX20" i="21"/>
  <c r="AH20" i="21"/>
  <c r="AT20" i="21"/>
  <c r="AF19" i="21"/>
  <c r="AN19" i="21"/>
  <c r="AV19" i="21"/>
  <c r="AE20" i="21"/>
  <c r="AM20" i="21"/>
  <c r="AU20" i="21"/>
  <c r="AD20" i="21"/>
  <c r="AC18" i="21"/>
  <c r="AC22" i="21" s="1"/>
  <c r="AC17" i="21"/>
  <c r="AC21" i="21" s="1"/>
  <c r="BA21" i="21" s="1"/>
  <c r="AG18" i="21"/>
  <c r="AG22" i="21" s="1"/>
  <c r="AG17" i="21"/>
  <c r="AG21" i="21" s="1"/>
  <c r="AK18" i="21"/>
  <c r="AK22" i="21" s="1"/>
  <c r="AK17" i="21"/>
  <c r="AK21" i="21" s="1"/>
  <c r="AO18" i="21"/>
  <c r="AO22" i="21" s="1"/>
  <c r="AO17" i="21"/>
  <c r="AO21" i="21" s="1"/>
  <c r="AS18" i="21"/>
  <c r="AS22" i="21" s="1"/>
  <c r="AS17" i="21"/>
  <c r="AS21" i="21" s="1"/>
  <c r="AW18" i="21"/>
  <c r="AW22" i="21" s="1"/>
  <c r="AW17" i="21"/>
  <c r="AW21" i="21" s="1"/>
  <c r="AF20" i="21"/>
  <c r="AN20" i="21"/>
  <c r="AV20" i="21"/>
  <c r="AL20" i="21"/>
  <c r="AD17" i="21"/>
  <c r="AD21" i="21" s="1"/>
  <c r="AH17" i="21"/>
  <c r="AH21" i="21" s="1"/>
  <c r="AL17" i="21"/>
  <c r="AL21" i="21" s="1"/>
  <c r="AP17" i="21"/>
  <c r="AP21" i="21" s="1"/>
  <c r="AT17" i="21"/>
  <c r="AT21" i="21" s="1"/>
  <c r="AT26" i="21"/>
  <c r="AX17" i="21"/>
  <c r="AX21" i="21" s="1"/>
  <c r="AJ19" i="21"/>
  <c r="AR19" i="21"/>
  <c r="AZ19" i="21"/>
  <c r="AI20" i="21"/>
  <c r="AQ20" i="21"/>
  <c r="AY20" i="21"/>
  <c r="BA25" i="21"/>
  <c r="AB18" i="21"/>
  <c r="AB22" i="21" s="1"/>
  <c r="O82" i="20"/>
  <c r="O84" i="20" s="1"/>
  <c r="F50" i="20"/>
  <c r="V53" i="20"/>
  <c r="F60" i="20"/>
  <c r="V60" i="20"/>
  <c r="W61" i="20"/>
  <c r="AA63" i="20" s="1"/>
  <c r="AC63" i="20" s="1"/>
  <c r="W70" i="20"/>
  <c r="T50" i="20"/>
  <c r="W52" i="20"/>
  <c r="T60" i="20"/>
  <c r="U61" i="20"/>
  <c r="U70" i="20"/>
  <c r="F53" i="20"/>
  <c r="F61" i="20"/>
  <c r="K6" i="19"/>
  <c r="E16" i="17"/>
  <c r="K5" i="19"/>
  <c r="P16" i="17"/>
  <c r="K4" i="19"/>
  <c r="N14" i="18"/>
  <c r="V14" i="18"/>
  <c r="X14" i="18"/>
  <c r="M15" i="18"/>
  <c r="M14" i="18" s="1"/>
  <c r="O14" i="18" s="1"/>
  <c r="W14" i="18"/>
  <c r="V12" i="18"/>
  <c r="O16" i="18"/>
  <c r="N15" i="18"/>
  <c r="R14" i="18" s="1"/>
  <c r="X12" i="18"/>
  <c r="X9" i="18"/>
  <c r="Z9" i="18" s="1"/>
  <c r="Y13" i="18" s="1"/>
  <c r="M6" i="16"/>
  <c r="I16" i="17"/>
  <c r="I15" i="17"/>
  <c r="J16" i="17"/>
  <c r="J15" i="17"/>
  <c r="O16" i="17"/>
  <c r="D16" i="17"/>
  <c r="AA9" i="18"/>
  <c r="Y18" i="19"/>
  <c r="AB14" i="18" l="1"/>
  <c r="AA13" i="18"/>
  <c r="AD14" i="18"/>
  <c r="AB13" i="18"/>
  <c r="AA12" i="18"/>
  <c r="AD12" i="18"/>
  <c r="AA14" i="18"/>
  <c r="AD13" i="18"/>
  <c r="AB12" i="18"/>
  <c r="AC18" i="19"/>
  <c r="W19" i="19"/>
  <c r="AD18" i="19"/>
  <c r="AD19" i="19" s="1"/>
  <c r="W14" i="19"/>
  <c r="Y14" i="19" s="1"/>
  <c r="AC14" i="19" s="1"/>
  <c r="Y13" i="19"/>
  <c r="AC13" i="19" s="1"/>
  <c r="AD13" i="19"/>
  <c r="AD14" i="19" s="1"/>
  <c r="AP42" i="24"/>
  <c r="AR42" i="24"/>
  <c r="AP43" i="24"/>
  <c r="AR43" i="24"/>
  <c r="AU30" i="24"/>
  <c r="AY30" i="24" s="1"/>
  <c r="AP30" i="24"/>
  <c r="BO57" i="24"/>
  <c r="AR30" i="24"/>
  <c r="AX30" i="24"/>
  <c r="AU29" i="24"/>
  <c r="AY29" i="24" s="1"/>
  <c r="AW29" i="24"/>
  <c r="AP39" i="24"/>
  <c r="AR39" i="24"/>
  <c r="AX34" i="24"/>
  <c r="AP34" i="24"/>
  <c r="AU34" i="24"/>
  <c r="AY34" i="24" s="1"/>
  <c r="AR34" i="24"/>
  <c r="BO60" i="24"/>
  <c r="AP37" i="24"/>
  <c r="AR37" i="24"/>
  <c r="BP60" i="24"/>
  <c r="AQ34" i="24"/>
  <c r="AW34" i="24"/>
  <c r="AS34" i="24"/>
  <c r="AV34" i="24"/>
  <c r="AZ34" i="24" s="1"/>
  <c r="AF579" i="24"/>
  <c r="AH579" i="24" s="1"/>
  <c r="AE427" i="24"/>
  <c r="AE195" i="24"/>
  <c r="AG195" i="24" s="1"/>
  <c r="AF431" i="24"/>
  <c r="AV449" i="24" s="1"/>
  <c r="AE370" i="24"/>
  <c r="AE554" i="24"/>
  <c r="AI554" i="24" s="1"/>
  <c r="AI579" i="24"/>
  <c r="AG579" i="24"/>
  <c r="AF337" i="24"/>
  <c r="AH337" i="24" s="1"/>
  <c r="AO579" i="24"/>
  <c r="AE309" i="24"/>
  <c r="AI309" i="24" s="1"/>
  <c r="AE529" i="24"/>
  <c r="AI529" i="24" s="1"/>
  <c r="AF148" i="24"/>
  <c r="AJ148" i="24" s="1"/>
  <c r="AE150" i="24"/>
  <c r="AG150" i="24" s="1"/>
  <c r="AF473" i="24"/>
  <c r="AM472" i="24" s="1"/>
  <c r="AQ472" i="24" s="1"/>
  <c r="AF446" i="24"/>
  <c r="AH446" i="24" s="1"/>
  <c r="AE523" i="24"/>
  <c r="AN522" i="24" s="1"/>
  <c r="AF165" i="24"/>
  <c r="AJ165" i="24" s="1"/>
  <c r="AE202" i="24"/>
  <c r="AI202" i="24" s="1"/>
  <c r="AN554" i="24"/>
  <c r="AN455" i="24"/>
  <c r="AG473" i="24"/>
  <c r="AE440" i="24"/>
  <c r="AG440" i="24" s="1"/>
  <c r="AM396" i="24"/>
  <c r="AQ396" i="24" s="1"/>
  <c r="AE204" i="24"/>
  <c r="AI204" i="24" s="1"/>
  <c r="AE539" i="24"/>
  <c r="AN538" i="24" s="1"/>
  <c r="AE216" i="24"/>
  <c r="AO216" i="24" s="1"/>
  <c r="AF123" i="24"/>
  <c r="AH123" i="24" s="1"/>
  <c r="AE145" i="24"/>
  <c r="AF506" i="24"/>
  <c r="AJ506" i="24" s="1"/>
  <c r="AE144" i="24"/>
  <c r="AG144" i="24" s="1"/>
  <c r="AE198" i="24"/>
  <c r="AL198" i="24" s="1"/>
  <c r="AP198" i="24" s="1"/>
  <c r="AF524" i="24"/>
  <c r="AH524" i="24" s="1"/>
  <c r="AE460" i="24"/>
  <c r="AO460" i="24" s="1"/>
  <c r="AG576" i="24"/>
  <c r="AE210" i="24"/>
  <c r="AI210" i="24" s="1"/>
  <c r="AE362" i="24"/>
  <c r="AN361" i="24" s="1"/>
  <c r="AG106" i="24"/>
  <c r="AE580" i="24"/>
  <c r="AN579" i="24" s="1"/>
  <c r="AE546" i="24"/>
  <c r="AG546" i="24" s="1"/>
  <c r="AE422" i="24"/>
  <c r="AO422" i="24" s="1"/>
  <c r="AF242" i="24"/>
  <c r="AO241" i="24" s="1"/>
  <c r="AF408" i="24"/>
  <c r="AJ408" i="24" s="1"/>
  <c r="AF352" i="24"/>
  <c r="AV368" i="24" s="1"/>
  <c r="AE136" i="24"/>
  <c r="AG136" i="24" s="1"/>
  <c r="AE434" i="24"/>
  <c r="AG434" i="24" s="1"/>
  <c r="AE276" i="24"/>
  <c r="AI276" i="24" s="1"/>
  <c r="AE235" i="24"/>
  <c r="AI235" i="24" s="1"/>
  <c r="AF551" i="24"/>
  <c r="AJ551" i="24" s="1"/>
  <c r="AE158" i="24"/>
  <c r="AI158" i="24" s="1"/>
  <c r="AF428" i="24"/>
  <c r="AH428" i="24" s="1"/>
  <c r="AE371" i="24"/>
  <c r="AG371" i="24" s="1"/>
  <c r="AE411" i="24"/>
  <c r="AG411" i="24" s="1"/>
  <c r="AE95" i="24"/>
  <c r="AG95" i="24" s="1"/>
  <c r="AE574" i="24"/>
  <c r="AI574" i="24" s="1"/>
  <c r="AE182" i="24"/>
  <c r="AG182" i="24" s="1"/>
  <c r="AF293" i="24"/>
  <c r="AJ293" i="24" s="1"/>
  <c r="AE412" i="24"/>
  <c r="AI412" i="24" s="1"/>
  <c r="AE482" i="24"/>
  <c r="AN481" i="24" s="1"/>
  <c r="AE455" i="24"/>
  <c r="AL455" i="24" s="1"/>
  <c r="AP455" i="24" s="1"/>
  <c r="AE315" i="24"/>
  <c r="AI315" i="24" s="1"/>
  <c r="AF513" i="24"/>
  <c r="AM512" i="24" s="1"/>
  <c r="AQ512" i="24" s="1"/>
  <c r="AE391" i="24"/>
  <c r="AI391" i="24" s="1"/>
  <c r="AF106" i="24"/>
  <c r="AJ106" i="24" s="1"/>
  <c r="AE489" i="24"/>
  <c r="AI489" i="24" s="1"/>
  <c r="AF565" i="24"/>
  <c r="AH565" i="24" s="1"/>
  <c r="AE191" i="24"/>
  <c r="AI191" i="24" s="1"/>
  <c r="AF368" i="24"/>
  <c r="AM367" i="24" s="1"/>
  <c r="AQ367" i="24" s="1"/>
  <c r="AE273" i="24"/>
  <c r="AG273" i="24" s="1"/>
  <c r="AF327" i="24"/>
  <c r="AM327" i="24" s="1"/>
  <c r="AQ327" i="24" s="1"/>
  <c r="AF294" i="24"/>
  <c r="AO293" i="24" s="1"/>
  <c r="AF549" i="24"/>
  <c r="AJ549" i="24" s="1"/>
  <c r="AE102" i="24"/>
  <c r="AI102" i="24" s="1"/>
  <c r="AF449" i="24"/>
  <c r="AH449" i="24" s="1"/>
  <c r="AE403" i="24"/>
  <c r="AL402" i="24" s="1"/>
  <c r="AP402" i="24" s="1"/>
  <c r="AO327" i="24"/>
  <c r="AE493" i="24"/>
  <c r="AI493" i="24" s="1"/>
  <c r="AE228" i="24"/>
  <c r="AI228" i="24" s="1"/>
  <c r="AE569" i="24"/>
  <c r="AG569" i="24" s="1"/>
  <c r="AF467" i="24"/>
  <c r="AJ467" i="24" s="1"/>
  <c r="AF399" i="24"/>
  <c r="AJ399" i="24" s="1"/>
  <c r="AE299" i="24"/>
  <c r="AI299" i="24" s="1"/>
  <c r="AE225" i="24"/>
  <c r="AI225" i="24" s="1"/>
  <c r="AF151" i="24"/>
  <c r="AJ151" i="24" s="1"/>
  <c r="AE105" i="24"/>
  <c r="AI105" i="24" s="1"/>
  <c r="AF379" i="24"/>
  <c r="AH379" i="24" s="1"/>
  <c r="AF478" i="24"/>
  <c r="AJ478" i="24" s="1"/>
  <c r="AE146" i="24"/>
  <c r="AN145" i="24" s="1"/>
  <c r="AF573" i="24"/>
  <c r="AM573" i="24" s="1"/>
  <c r="AE472" i="24"/>
  <c r="AG472" i="24" s="1"/>
  <c r="AE543" i="24"/>
  <c r="AN542" i="24" s="1"/>
  <c r="AE222" i="24"/>
  <c r="AI222" i="24" s="1"/>
  <c r="AE78" i="24"/>
  <c r="AL78" i="24" s="1"/>
  <c r="AP78" i="24" s="1"/>
  <c r="AF518" i="24"/>
  <c r="AM518" i="24" s="1"/>
  <c r="AQ518" i="24" s="1"/>
  <c r="AE436" i="24"/>
  <c r="AL435" i="24" s="1"/>
  <c r="AP435" i="24" s="1"/>
  <c r="AE527" i="24"/>
  <c r="AL527" i="24" s="1"/>
  <c r="AP527" i="24" s="1"/>
  <c r="AE448" i="24"/>
  <c r="AE318" i="24"/>
  <c r="AI318" i="24" s="1"/>
  <c r="AF185" i="24"/>
  <c r="AJ185" i="24" s="1"/>
  <c r="AE76" i="24"/>
  <c r="AI76" i="24" s="1"/>
  <c r="AE328" i="24"/>
  <c r="AL327" i="24" s="1"/>
  <c r="AP327" i="24" s="1"/>
  <c r="AE176" i="24"/>
  <c r="AO176" i="24" s="1"/>
  <c r="AE567" i="24"/>
  <c r="AI567" i="24" s="1"/>
  <c r="AE131" i="24"/>
  <c r="AU143" i="24" s="1"/>
  <c r="AF537" i="24"/>
  <c r="AJ537" i="24" s="1"/>
  <c r="AF514" i="24"/>
  <c r="AE291" i="24"/>
  <c r="AL290" i="24" s="1"/>
  <c r="AP290" i="24" s="1"/>
  <c r="AE128" i="24"/>
  <c r="AL128" i="24" s="1"/>
  <c r="AP128" i="24" s="1"/>
  <c r="AE492" i="24"/>
  <c r="AI492" i="24" s="1"/>
  <c r="AE417" i="24"/>
  <c r="AN416" i="24" s="1"/>
  <c r="AF180" i="24"/>
  <c r="AO179" i="24" s="1"/>
  <c r="AE188" i="24"/>
  <c r="AG188" i="24" s="1"/>
  <c r="AE149" i="24"/>
  <c r="AL148" i="24" s="1"/>
  <c r="AP148" i="24" s="1"/>
  <c r="AE300" i="24"/>
  <c r="AG300" i="24" s="1"/>
  <c r="AE441" i="24"/>
  <c r="AI441" i="24" s="1"/>
  <c r="AE296" i="24"/>
  <c r="AG296" i="24" s="1"/>
  <c r="AE217" i="24"/>
  <c r="AN216" i="24" s="1"/>
  <c r="AE287" i="24"/>
  <c r="AI287" i="24" s="1"/>
  <c r="BK100" i="24"/>
  <c r="AF324" i="24"/>
  <c r="AJ324" i="24" s="1"/>
  <c r="AE348" i="24"/>
  <c r="AI348" i="24" s="1"/>
  <c r="AE125" i="24"/>
  <c r="AN124" i="24" s="1"/>
  <c r="AE380" i="24"/>
  <c r="AL379" i="24" s="1"/>
  <c r="AP379" i="24" s="1"/>
  <c r="AF61" i="24"/>
  <c r="AH61" i="24" s="1"/>
  <c r="AE466" i="24"/>
  <c r="AG466" i="24" s="1"/>
  <c r="AE364" i="24"/>
  <c r="AI364" i="24" s="1"/>
  <c r="AE239" i="24"/>
  <c r="AI239" i="24" s="1"/>
  <c r="AF129" i="24"/>
  <c r="AH129" i="24" s="1"/>
  <c r="AF69" i="24"/>
  <c r="AM69" i="24" s="1"/>
  <c r="AQ69" i="24" s="1"/>
  <c r="AM423" i="24"/>
  <c r="AQ423" i="24" s="1"/>
  <c r="AF290" i="24"/>
  <c r="AJ290" i="24" s="1"/>
  <c r="AF575" i="24"/>
  <c r="AJ575" i="24" s="1"/>
  <c r="AE542" i="24"/>
  <c r="AI542" i="24" s="1"/>
  <c r="AF462" i="24"/>
  <c r="AJ462" i="24" s="1"/>
  <c r="AF247" i="24"/>
  <c r="AJ247" i="24" s="1"/>
  <c r="AE73" i="24"/>
  <c r="AN72" i="24" s="1"/>
  <c r="AE97" i="24"/>
  <c r="AI97" i="24" s="1"/>
  <c r="AF442" i="24"/>
  <c r="AV448" i="24" s="1"/>
  <c r="AF494" i="24"/>
  <c r="AM493" i="24" s="1"/>
  <c r="AQ493" i="24" s="1"/>
  <c r="AF90" i="24"/>
  <c r="AH90" i="24" s="1"/>
  <c r="AE557" i="24"/>
  <c r="AI557" i="24" s="1"/>
  <c r="AE483" i="24"/>
  <c r="AO435" i="24"/>
  <c r="AF400" i="24"/>
  <c r="AJ400" i="24" s="1"/>
  <c r="AE421" i="24"/>
  <c r="AG421" i="24" s="1"/>
  <c r="AE132" i="24"/>
  <c r="AG132" i="24" s="1"/>
  <c r="AE103" i="24"/>
  <c r="AN102" i="24" s="1"/>
  <c r="AE244" i="24"/>
  <c r="AI244" i="24" s="1"/>
  <c r="AE512" i="24"/>
  <c r="AL512" i="24" s="1"/>
  <c r="AP512" i="24" s="1"/>
  <c r="AF559" i="24"/>
  <c r="AJ559" i="24" s="1"/>
  <c r="AE388" i="24"/>
  <c r="AI388" i="24" s="1"/>
  <c r="AF114" i="24"/>
  <c r="AJ114" i="24" s="1"/>
  <c r="AO201" i="24"/>
  <c r="AU474" i="24"/>
  <c r="AN281" i="24"/>
  <c r="AM102" i="24"/>
  <c r="AQ102" i="24" s="1"/>
  <c r="AE72" i="24"/>
  <c r="AG72" i="24" s="1"/>
  <c r="AF208" i="24"/>
  <c r="AJ208" i="24" s="1"/>
  <c r="AE534" i="24"/>
  <c r="AI534" i="24" s="1"/>
  <c r="AJ579" i="24"/>
  <c r="AE517" i="24"/>
  <c r="AE461" i="24"/>
  <c r="AG461" i="24" s="1"/>
  <c r="AE231" i="24"/>
  <c r="AI231" i="24" s="1"/>
  <c r="AF550" i="24"/>
  <c r="AN550" i="24" s="1"/>
  <c r="AN546" i="24"/>
  <c r="AE573" i="24"/>
  <c r="AO573" i="24" s="1"/>
  <c r="AE533" i="24"/>
  <c r="AI533" i="24" s="1"/>
  <c r="AE433" i="24"/>
  <c r="AO433" i="24" s="1"/>
  <c r="AE313" i="24"/>
  <c r="AI313" i="24" s="1"/>
  <c r="AE219" i="24"/>
  <c r="AG219" i="24" s="1"/>
  <c r="AF167" i="24"/>
  <c r="AJ167" i="24" s="1"/>
  <c r="AE479" i="24"/>
  <c r="AL478" i="24" s="1"/>
  <c r="AP478" i="24" s="1"/>
  <c r="AE101" i="24"/>
  <c r="AO101" i="24" s="1"/>
  <c r="AF135" i="24"/>
  <c r="AV144" i="24" s="1"/>
  <c r="AE556" i="24"/>
  <c r="AG556" i="24" s="1"/>
  <c r="AE464" i="24"/>
  <c r="AU470" i="24" s="1"/>
  <c r="AE396" i="24"/>
  <c r="AU420" i="24" s="1"/>
  <c r="AE284" i="24"/>
  <c r="AO284" i="24" s="1"/>
  <c r="AE404" i="24"/>
  <c r="AN403" i="24" s="1"/>
  <c r="AF153" i="24"/>
  <c r="AJ153" i="24" s="1"/>
  <c r="AF155" i="24"/>
  <c r="AH155" i="24" s="1"/>
  <c r="AE558" i="24"/>
  <c r="AI558" i="24" s="1"/>
  <c r="AE507" i="24"/>
  <c r="AI507" i="24" s="1"/>
  <c r="AE142" i="24"/>
  <c r="AI142" i="24" s="1"/>
  <c r="AM72" i="24"/>
  <c r="AQ72" i="24" s="1"/>
  <c r="AE578" i="24"/>
  <c r="AE532" i="24"/>
  <c r="AF91" i="24"/>
  <c r="AO90" i="24" s="1"/>
  <c r="AE465" i="24"/>
  <c r="AN464" i="24" s="1"/>
  <c r="AF458" i="24"/>
  <c r="AF402" i="24"/>
  <c r="AE416" i="24"/>
  <c r="AL415" i="24" s="1"/>
  <c r="AP415" i="24" s="1"/>
  <c r="AG135" i="24"/>
  <c r="AF577" i="24"/>
  <c r="AM577" i="24" s="1"/>
  <c r="AQ577" i="24" s="1"/>
  <c r="AF505" i="24"/>
  <c r="AH505" i="24" s="1"/>
  <c r="AE118" i="24"/>
  <c r="AI118" i="24" s="1"/>
  <c r="AL575" i="24"/>
  <c r="AP575" i="24" s="1"/>
  <c r="AF477" i="24"/>
  <c r="AJ477" i="24" s="1"/>
  <c r="AF170" i="24"/>
  <c r="AJ170" i="24" s="1"/>
  <c r="AF555" i="24"/>
  <c r="AM554" i="24" s="1"/>
  <c r="AQ554" i="24" s="1"/>
  <c r="AF456" i="24"/>
  <c r="AH456" i="24" s="1"/>
  <c r="AE355" i="24"/>
  <c r="AI355" i="24" s="1"/>
  <c r="AE382" i="24"/>
  <c r="AI382" i="24" s="1"/>
  <c r="AE424" i="24"/>
  <c r="AI424" i="24" s="1"/>
  <c r="AF359" i="24"/>
  <c r="AM358" i="24" s="1"/>
  <c r="AQ358" i="24" s="1"/>
  <c r="AN358" i="24"/>
  <c r="AE367" i="24"/>
  <c r="AI367" i="24" s="1"/>
  <c r="AM259" i="24"/>
  <c r="AQ259" i="24" s="1"/>
  <c r="AF98" i="24"/>
  <c r="AM97" i="24" s="1"/>
  <c r="AQ97" i="24" s="1"/>
  <c r="AF122" i="24"/>
  <c r="AV131" i="24" s="1"/>
  <c r="AE312" i="24"/>
  <c r="AI312" i="24" s="1"/>
  <c r="AF410" i="24"/>
  <c r="AJ410" i="24" s="1"/>
  <c r="AF241" i="24"/>
  <c r="AN241" i="24" s="1"/>
  <c r="AJ543" i="24"/>
  <c r="AH543" i="24"/>
  <c r="AI333" i="24"/>
  <c r="AG333" i="24"/>
  <c r="AH81" i="24"/>
  <c r="AJ81" i="24"/>
  <c r="AM81" i="24"/>
  <c r="AQ81" i="24" s="1"/>
  <c r="AN81" i="24"/>
  <c r="AH476" i="24"/>
  <c r="AJ476" i="24"/>
  <c r="AJ405" i="24"/>
  <c r="AH405" i="24"/>
  <c r="AJ339" i="24"/>
  <c r="AH339" i="24"/>
  <c r="AJ161" i="24"/>
  <c r="AH161" i="24"/>
  <c r="AJ86" i="24"/>
  <c r="AH86" i="24"/>
  <c r="AM85" i="24"/>
  <c r="AQ85" i="24" s="1"/>
  <c r="AM86" i="24"/>
  <c r="AQ86" i="24" s="1"/>
  <c r="AJ404" i="24"/>
  <c r="AH404" i="24"/>
  <c r="AM403" i="24"/>
  <c r="AQ403" i="24" s="1"/>
  <c r="AJ371" i="24"/>
  <c r="AH371" i="24"/>
  <c r="AJ136" i="24"/>
  <c r="AH136" i="24"/>
  <c r="AO135" i="24"/>
  <c r="AI110" i="24"/>
  <c r="AG110" i="24"/>
  <c r="AO110" i="24"/>
  <c r="AJ523" i="24"/>
  <c r="AH523" i="24"/>
  <c r="AI506" i="24"/>
  <c r="AG506" i="24"/>
  <c r="AJ542" i="24"/>
  <c r="AH542" i="24"/>
  <c r="AM542" i="24"/>
  <c r="AQ542" i="24" s="1"/>
  <c r="AH464" i="24"/>
  <c r="AJ464" i="24"/>
  <c r="AM464" i="24"/>
  <c r="AQ464" i="24" s="1"/>
  <c r="AJ441" i="24"/>
  <c r="AH441" i="24"/>
  <c r="AN441" i="24"/>
  <c r="AJ361" i="24"/>
  <c r="AH361" i="24"/>
  <c r="AM361" i="24"/>
  <c r="AQ361" i="24" s="1"/>
  <c r="AJ256" i="24"/>
  <c r="AH256" i="24"/>
  <c r="AJ128" i="24"/>
  <c r="AH128" i="24"/>
  <c r="AN128" i="24"/>
  <c r="AI547" i="24"/>
  <c r="AG547" i="24"/>
  <c r="AJ519" i="24"/>
  <c r="AH519" i="24"/>
  <c r="AO518" i="24"/>
  <c r="AJ367" i="24"/>
  <c r="AH367" i="24"/>
  <c r="AJ330" i="24"/>
  <c r="AH330" i="24"/>
  <c r="AJ296" i="24"/>
  <c r="AH296" i="24"/>
  <c r="AI272" i="24"/>
  <c r="AG272" i="24"/>
  <c r="AL153" i="24"/>
  <c r="AP153" i="24" s="1"/>
  <c r="AI153" i="24"/>
  <c r="AG153" i="24"/>
  <c r="AJ132" i="24"/>
  <c r="AH132" i="24"/>
  <c r="AN132" i="24"/>
  <c r="AM131" i="24"/>
  <c r="AQ131" i="24" s="1"/>
  <c r="AJ422" i="24"/>
  <c r="AH422" i="24"/>
  <c r="AM422" i="24"/>
  <c r="AQ422" i="24" s="1"/>
  <c r="AH78" i="24"/>
  <c r="AJ78" i="24"/>
  <c r="AN78" i="24"/>
  <c r="AG414" i="24"/>
  <c r="AI414" i="24"/>
  <c r="AJ146" i="24"/>
  <c r="AH146" i="24"/>
  <c r="AJ533" i="24"/>
  <c r="AH533" i="24"/>
  <c r="AJ493" i="24"/>
  <c r="AH493" i="24"/>
  <c r="AI133" i="24"/>
  <c r="AG133" i="24"/>
  <c r="AI552" i="24"/>
  <c r="AG552" i="24"/>
  <c r="AO552" i="24"/>
  <c r="AI199" i="24"/>
  <c r="AG199" i="24"/>
  <c r="AI467" i="24"/>
  <c r="AG467" i="24"/>
  <c r="AJ557" i="24"/>
  <c r="AH557" i="24"/>
  <c r="AJ534" i="24"/>
  <c r="AH534" i="24"/>
  <c r="AI353" i="24"/>
  <c r="AG353" i="24"/>
  <c r="AI122" i="24"/>
  <c r="AG122" i="24"/>
  <c r="AI94" i="24"/>
  <c r="AG94" i="24"/>
  <c r="AH66" i="24"/>
  <c r="AJ66" i="24"/>
  <c r="AJ416" i="24"/>
  <c r="AH416" i="24"/>
  <c r="AI290" i="24"/>
  <c r="AG290" i="24"/>
  <c r="AO290" i="24"/>
  <c r="AI179" i="24"/>
  <c r="AG179" i="24"/>
  <c r="AJ97" i="24"/>
  <c r="AH97" i="24"/>
  <c r="AN97" i="24"/>
  <c r="AH461" i="24"/>
  <c r="AJ461" i="24"/>
  <c r="AN461" i="24"/>
  <c r="AG415" i="24"/>
  <c r="AI415" i="24"/>
  <c r="AO415" i="24"/>
  <c r="AJ391" i="24"/>
  <c r="AH391" i="24"/>
  <c r="AJ287" i="24"/>
  <c r="AH287" i="24"/>
  <c r="AJ213" i="24"/>
  <c r="AH213" i="24"/>
  <c r="AJ124" i="24"/>
  <c r="AH124" i="24"/>
  <c r="AM124" i="24"/>
  <c r="AQ124" i="24" s="1"/>
  <c r="AH70" i="24"/>
  <c r="AJ70" i="24"/>
  <c r="AO69" i="24"/>
  <c r="AJ489" i="24"/>
  <c r="AH489" i="24"/>
  <c r="AI398" i="24"/>
  <c r="AG398" i="24"/>
  <c r="AN397" i="24"/>
  <c r="AI154" i="24"/>
  <c r="AG154" i="24"/>
  <c r="AL154" i="24"/>
  <c r="AP154" i="24" s="1"/>
  <c r="AJ105" i="24"/>
  <c r="AH105" i="24"/>
  <c r="AN105" i="24"/>
  <c r="AJ527" i="24"/>
  <c r="AH527" i="24"/>
  <c r="AI236" i="24"/>
  <c r="AG236" i="24"/>
  <c r="AI524" i="24"/>
  <c r="AG524" i="24"/>
  <c r="AI477" i="24"/>
  <c r="AG477" i="24"/>
  <c r="AJ454" i="24"/>
  <c r="AH454" i="24"/>
  <c r="AG408" i="24"/>
  <c r="AI408" i="24"/>
  <c r="AJ376" i="24"/>
  <c r="AH376" i="24"/>
  <c r="AJ342" i="24"/>
  <c r="AH342" i="24"/>
  <c r="AJ305" i="24"/>
  <c r="AH305" i="24"/>
  <c r="AM278" i="24"/>
  <c r="AQ278" i="24" s="1"/>
  <c r="AJ279" i="24"/>
  <c r="AH279" i="24"/>
  <c r="AJ164" i="24"/>
  <c r="AH164" i="24"/>
  <c r="AN138" i="24"/>
  <c r="AI139" i="24"/>
  <c r="AG139" i="24"/>
  <c r="AI113" i="24"/>
  <c r="AG113" i="24"/>
  <c r="AJ87" i="24"/>
  <c r="AH87" i="24"/>
  <c r="AJ556" i="24"/>
  <c r="AH556" i="24"/>
  <c r="AJ481" i="24"/>
  <c r="AH481" i="24"/>
  <c r="AJ434" i="24"/>
  <c r="AH434" i="24"/>
  <c r="AN434" i="24"/>
  <c r="AJ207" i="24"/>
  <c r="AH207" i="24"/>
  <c r="AN207" i="24"/>
  <c r="AI170" i="24"/>
  <c r="AG170" i="24"/>
  <c r="AJ144" i="24"/>
  <c r="AH144" i="24"/>
  <c r="AI92" i="24"/>
  <c r="AG92" i="24"/>
  <c r="AH578" i="24"/>
  <c r="AJ578" i="24"/>
  <c r="AJ380" i="24"/>
  <c r="AH380" i="24"/>
  <c r="AO379" i="24"/>
  <c r="AI241" i="24"/>
  <c r="AG241" i="24"/>
  <c r="AJ118" i="24"/>
  <c r="AH118" i="24"/>
  <c r="AV130" i="24"/>
  <c r="AM118" i="24"/>
  <c r="AQ118" i="24" s="1"/>
  <c r="AL91" i="24"/>
  <c r="AP91" i="24" s="1"/>
  <c r="AI91" i="24"/>
  <c r="AG91" i="24"/>
  <c r="AJ101" i="24"/>
  <c r="AH101" i="24"/>
  <c r="AM101" i="24"/>
  <c r="AQ101" i="24" s="1"/>
  <c r="AJ280" i="24"/>
  <c r="AH280" i="24"/>
  <c r="AM416" i="24"/>
  <c r="AQ416" i="24" s="1"/>
  <c r="AJ417" i="24"/>
  <c r="AH417" i="24"/>
  <c r="AL336" i="24"/>
  <c r="AP336" i="24" s="1"/>
  <c r="AI337" i="24"/>
  <c r="AG337" i="24"/>
  <c r="AJ188" i="24"/>
  <c r="AH188" i="24"/>
  <c r="AI513" i="24"/>
  <c r="AG513" i="24"/>
  <c r="AJ501" i="24"/>
  <c r="AH501" i="24"/>
  <c r="AF238" i="24"/>
  <c r="AE238" i="24"/>
  <c r="AI498" i="24"/>
  <c r="AG498" i="24"/>
  <c r="AJ429" i="24"/>
  <c r="AH429" i="24"/>
  <c r="AM429" i="24"/>
  <c r="AQ429" i="24" s="1"/>
  <c r="AJ303" i="24"/>
  <c r="AH303" i="24"/>
  <c r="AJ111" i="24"/>
  <c r="AH111" i="24"/>
  <c r="AJ512" i="24"/>
  <c r="AH512" i="24"/>
  <c r="AF439" i="24"/>
  <c r="AM439" i="24" s="1"/>
  <c r="AQ439" i="24" s="1"/>
  <c r="AE439" i="24"/>
  <c r="AO439" i="24" s="1"/>
  <c r="AJ250" i="24"/>
  <c r="AH250" i="24"/>
  <c r="AJ177" i="24"/>
  <c r="AH177" i="24"/>
  <c r="AI129" i="24"/>
  <c r="AG129" i="24"/>
  <c r="AO508" i="24"/>
  <c r="AJ509" i="24"/>
  <c r="AH509" i="24"/>
  <c r="AJ142" i="24"/>
  <c r="AH142" i="24"/>
  <c r="AE577" i="24"/>
  <c r="AG577" i="24" s="1"/>
  <c r="AJ558" i="24"/>
  <c r="AH558" i="24"/>
  <c r="AJ539" i="24"/>
  <c r="AH539" i="24"/>
  <c r="AV538" i="24"/>
  <c r="AG449" i="24"/>
  <c r="AI449" i="24"/>
  <c r="AG428" i="24"/>
  <c r="AI428" i="24"/>
  <c r="AE405" i="24"/>
  <c r="AJ433" i="24"/>
  <c r="AH433" i="24"/>
  <c r="AJ412" i="24"/>
  <c r="AH412" i="24"/>
  <c r="AO410" i="24"/>
  <c r="AJ411" i="24"/>
  <c r="AH411" i="24"/>
  <c r="AE358" i="24"/>
  <c r="AL358" i="24" s="1"/>
  <c r="AP358" i="24" s="1"/>
  <c r="AI346" i="24"/>
  <c r="AG346" i="24"/>
  <c r="AJ291" i="24"/>
  <c r="AH291" i="24"/>
  <c r="AJ337" i="24"/>
  <c r="AE279" i="24"/>
  <c r="AE339" i="24"/>
  <c r="AJ217" i="24"/>
  <c r="AH217" i="24"/>
  <c r="AJ195" i="24"/>
  <c r="AH195" i="24"/>
  <c r="AJ145" i="24"/>
  <c r="AH145" i="24"/>
  <c r="AJ191" i="24"/>
  <c r="AH191" i="24"/>
  <c r="AJ276" i="24"/>
  <c r="AH276" i="24"/>
  <c r="AJ219" i="24"/>
  <c r="AH219" i="24"/>
  <c r="AI141" i="24"/>
  <c r="AG141" i="24"/>
  <c r="AE124" i="24"/>
  <c r="AO124" i="24" s="1"/>
  <c r="AI114" i="24"/>
  <c r="AG114" i="24"/>
  <c r="AE164" i="24"/>
  <c r="AL164" i="24" s="1"/>
  <c r="AP164" i="24" s="1"/>
  <c r="AL241" i="24"/>
  <c r="AP241" i="24" s="1"/>
  <c r="AI242" i="24"/>
  <c r="AG242" i="24"/>
  <c r="AI150" i="24"/>
  <c r="AE87" i="24"/>
  <c r="AN86" i="24" s="1"/>
  <c r="AJ244" i="24"/>
  <c r="AH244" i="24"/>
  <c r="AM141" i="24"/>
  <c r="AQ141" i="24" s="1"/>
  <c r="AN483" i="24"/>
  <c r="AJ483" i="24"/>
  <c r="AH483" i="24"/>
  <c r="AJ102" i="24"/>
  <c r="AH102" i="24"/>
  <c r="AE70" i="24"/>
  <c r="AL550" i="24"/>
  <c r="AP550" i="24" s="1"/>
  <c r="AI550" i="24"/>
  <c r="AG550" i="24"/>
  <c r="AI478" i="24"/>
  <c r="AG478" i="24"/>
  <c r="AI336" i="24"/>
  <c r="AG336" i="24"/>
  <c r="AE285" i="24"/>
  <c r="AN284" i="24" s="1"/>
  <c r="AJ403" i="24"/>
  <c r="AH403" i="24"/>
  <c r="AQ55" i="24"/>
  <c r="AS55" i="24"/>
  <c r="AJ522" i="24"/>
  <c r="AH522" i="24"/>
  <c r="AJ424" i="24"/>
  <c r="AH424" i="24"/>
  <c r="AG402" i="24"/>
  <c r="AI402" i="24"/>
  <c r="AP55" i="24"/>
  <c r="AR55" i="24"/>
  <c r="AE447" i="24"/>
  <c r="AF447" i="24"/>
  <c r="AJ423" i="24"/>
  <c r="AH423" i="24"/>
  <c r="AI79" i="24"/>
  <c r="AG79" i="24"/>
  <c r="AF547" i="24"/>
  <c r="AM546" i="24" s="1"/>
  <c r="AQ546" i="24" s="1"/>
  <c r="AF508" i="24"/>
  <c r="AE376" i="24"/>
  <c r="AI555" i="24"/>
  <c r="AG555" i="24"/>
  <c r="AJ532" i="24"/>
  <c r="AH532" i="24"/>
  <c r="AH479" i="24"/>
  <c r="AJ479" i="24"/>
  <c r="AG456" i="24"/>
  <c r="AI456" i="24"/>
  <c r="AG410" i="24"/>
  <c r="AI410" i="24"/>
  <c r="AJ312" i="24"/>
  <c r="AH312" i="24"/>
  <c r="AJ281" i="24"/>
  <c r="AH281" i="24"/>
  <c r="AJ204" i="24"/>
  <c r="AH204" i="24"/>
  <c r="AI167" i="24"/>
  <c r="AG167" i="24"/>
  <c r="AE519" i="24"/>
  <c r="AE385" i="24"/>
  <c r="AJ362" i="24"/>
  <c r="AH362" i="24"/>
  <c r="AF333" i="24"/>
  <c r="AF282" i="24"/>
  <c r="AV289" i="24" s="1"/>
  <c r="AF179" i="24"/>
  <c r="AE119" i="24"/>
  <c r="AN118" i="24" s="1"/>
  <c r="AF94" i="24"/>
  <c r="AM94" i="24" s="1"/>
  <c r="AQ94" i="24" s="1"/>
  <c r="AE66" i="24"/>
  <c r="AE330" i="24"/>
  <c r="AJ388" i="24"/>
  <c r="AH388" i="24"/>
  <c r="AE481" i="24"/>
  <c r="AO481" i="24" s="1"/>
  <c r="AE319" i="24"/>
  <c r="AN318" i="24" s="1"/>
  <c r="AE256" i="24"/>
  <c r="AF139" i="24"/>
  <c r="AF113" i="24"/>
  <c r="AF552" i="24"/>
  <c r="AI379" i="24"/>
  <c r="AG379" i="24"/>
  <c r="AJ239" i="24"/>
  <c r="AH239" i="24"/>
  <c r="AE397" i="24"/>
  <c r="AE305" i="24"/>
  <c r="AE281" i="24"/>
  <c r="AN280" i="24" s="1"/>
  <c r="AE207" i="24"/>
  <c r="AF133" i="24"/>
  <c r="AJ336" i="24"/>
  <c r="AH336" i="24"/>
  <c r="AE361" i="24"/>
  <c r="AE259" i="24"/>
  <c r="AF236" i="24"/>
  <c r="AM235" i="24" s="1"/>
  <c r="AQ235" i="24" s="1"/>
  <c r="AV325" i="24"/>
  <c r="AJ318" i="24"/>
  <c r="AH318" i="24"/>
  <c r="AQ66" i="24"/>
  <c r="BJ64" i="24" s="1"/>
  <c r="AI58" i="24"/>
  <c r="AG58" i="24"/>
  <c r="AI180" i="24"/>
  <c r="AG180" i="24"/>
  <c r="AJ222" i="24"/>
  <c r="AH222" i="24"/>
  <c r="AJ149" i="24"/>
  <c r="AH149" i="24"/>
  <c r="AI90" i="24"/>
  <c r="AG90" i="24"/>
  <c r="AH58" i="24"/>
  <c r="AJ58" i="24"/>
  <c r="AI528" i="24"/>
  <c r="AG528" i="24"/>
  <c r="AN51" i="24"/>
  <c r="AW50" i="24" s="1"/>
  <c r="AO51" i="24"/>
  <c r="AE453" i="24"/>
  <c r="AO453" i="24" s="1"/>
  <c r="AF453" i="24"/>
  <c r="AJ278" i="24"/>
  <c r="AH278" i="24"/>
  <c r="AJ538" i="24"/>
  <c r="AH538" i="24"/>
  <c r="AJ358" i="24"/>
  <c r="AH358" i="24"/>
  <c r="AJ147" i="24"/>
  <c r="AH147" i="24"/>
  <c r="AJ546" i="24"/>
  <c r="AH546" i="24"/>
  <c r="AH574" i="24"/>
  <c r="AJ285" i="24"/>
  <c r="AH285" i="24"/>
  <c r="AJ103" i="24"/>
  <c r="AH103" i="24"/>
  <c r="AG575" i="24"/>
  <c r="AO528" i="24"/>
  <c r="AI549" i="24"/>
  <c r="AG549" i="24"/>
  <c r="AJ492" i="24"/>
  <c r="AH492" i="24"/>
  <c r="AE476" i="24"/>
  <c r="AL476" i="24" s="1"/>
  <c r="AP476" i="24" s="1"/>
  <c r="BL100" i="24"/>
  <c r="AF398" i="24"/>
  <c r="AG431" i="24"/>
  <c r="AI431" i="24"/>
  <c r="AG427" i="24"/>
  <c r="AI427" i="24"/>
  <c r="AE342" i="24"/>
  <c r="AM312" i="24"/>
  <c r="AQ312" i="24" s="1"/>
  <c r="AJ313" i="24"/>
  <c r="AH313" i="24"/>
  <c r="AJ421" i="24"/>
  <c r="AH421" i="24"/>
  <c r="AJ346" i="24"/>
  <c r="AH346" i="24"/>
  <c r="AJ315" i="24"/>
  <c r="AH315" i="24"/>
  <c r="AI370" i="24"/>
  <c r="AG370" i="24"/>
  <c r="AM336" i="24"/>
  <c r="AQ336" i="24" s="1"/>
  <c r="AM147" i="24"/>
  <c r="AQ147" i="24" s="1"/>
  <c r="AE213" i="24"/>
  <c r="AJ198" i="24"/>
  <c r="AH198" i="24"/>
  <c r="AL122" i="24"/>
  <c r="AP122" i="24" s="1"/>
  <c r="AI123" i="24"/>
  <c r="AG123" i="24"/>
  <c r="AE86" i="24"/>
  <c r="AE280" i="24"/>
  <c r="AM176" i="24"/>
  <c r="AQ176" i="24" s="1"/>
  <c r="AE454" i="24"/>
  <c r="AO454" i="24" s="1"/>
  <c r="AO302" i="24"/>
  <c r="AJ273" i="24"/>
  <c r="AH273" i="24"/>
  <c r="AJ235" i="24"/>
  <c r="AH235" i="24"/>
  <c r="AJ216" i="24"/>
  <c r="AH216" i="24"/>
  <c r="AE161" i="24"/>
  <c r="AJ150" i="24"/>
  <c r="AH150" i="24"/>
  <c r="AI275" i="24"/>
  <c r="AG275" i="24"/>
  <c r="AV117" i="24"/>
  <c r="AJ95" i="24"/>
  <c r="AH95" i="24"/>
  <c r="AF414" i="24"/>
  <c r="AN414" i="24" s="1"/>
  <c r="AE250" i="24"/>
  <c r="AI155" i="24"/>
  <c r="AG155" i="24"/>
  <c r="AP50" i="24"/>
  <c r="AR50" i="24"/>
  <c r="AE487" i="24"/>
  <c r="AF487" i="24"/>
  <c r="AJ397" i="24"/>
  <c r="AH397" i="24"/>
  <c r="AI98" i="24"/>
  <c r="AG98" i="24"/>
  <c r="AQ50" i="24"/>
  <c r="AS50" i="24"/>
  <c r="AF528" i="24"/>
  <c r="AF373" i="24"/>
  <c r="AI486" i="24"/>
  <c r="AG486" i="24"/>
  <c r="AI462" i="24"/>
  <c r="AG462" i="24"/>
  <c r="AJ396" i="24"/>
  <c r="AH396" i="24"/>
  <c r="AI359" i="24"/>
  <c r="AG359" i="24"/>
  <c r="AJ321" i="24"/>
  <c r="AH321" i="24"/>
  <c r="AJ253" i="24"/>
  <c r="AH253" i="24"/>
  <c r="AJ125" i="24"/>
  <c r="AH125" i="24"/>
  <c r="AF498" i="24"/>
  <c r="AF435" i="24"/>
  <c r="AI551" i="24"/>
  <c r="AG551" i="24"/>
  <c r="AE497" i="24"/>
  <c r="AF497" i="24"/>
  <c r="AF474" i="24"/>
  <c r="AE474" i="24"/>
  <c r="AG452" i="24"/>
  <c r="AI452" i="24"/>
  <c r="AI302" i="24"/>
  <c r="AG302" i="24"/>
  <c r="AJ158" i="24"/>
  <c r="AH158" i="24"/>
  <c r="AH85" i="24"/>
  <c r="AJ85" i="24"/>
  <c r="AG442" i="24"/>
  <c r="AI442" i="24"/>
  <c r="AI327" i="24"/>
  <c r="AG327" i="24"/>
  <c r="AE423" i="24"/>
  <c r="AN422" i="24" s="1"/>
  <c r="AE321" i="24"/>
  <c r="AE278" i="24"/>
  <c r="AO278" i="24" s="1"/>
  <c r="AF173" i="24"/>
  <c r="AE111" i="24"/>
  <c r="AE62" i="24"/>
  <c r="AF576" i="24"/>
  <c r="BK102" i="24" s="1"/>
  <c r="AJ355" i="24"/>
  <c r="AH355" i="24"/>
  <c r="AJ210" i="24"/>
  <c r="AH210" i="24"/>
  <c r="AF353" i="24"/>
  <c r="AF110" i="24"/>
  <c r="AJ554" i="24"/>
  <c r="AH554" i="24"/>
  <c r="AJ455" i="24"/>
  <c r="AH455" i="24"/>
  <c r="AF486" i="24"/>
  <c r="AF302" i="24"/>
  <c r="AF272" i="24"/>
  <c r="AE177" i="24"/>
  <c r="AE85" i="24"/>
  <c r="AE253" i="24"/>
  <c r="AF154" i="24"/>
  <c r="AF92" i="24"/>
  <c r="AI294" i="24"/>
  <c r="AG294" i="24"/>
  <c r="AI368" i="24"/>
  <c r="AG368" i="24"/>
  <c r="AJ460" i="24"/>
  <c r="AH460" i="24"/>
  <c r="AI293" i="24"/>
  <c r="AG293" i="24"/>
  <c r="AI352" i="24"/>
  <c r="AG352" i="24"/>
  <c r="AI82" i="24"/>
  <c r="AG82" i="24"/>
  <c r="AJ553" i="24"/>
  <c r="AH553" i="24"/>
  <c r="AJ430" i="24"/>
  <c r="AH430" i="24"/>
  <c r="AI201" i="24"/>
  <c r="AG201" i="24"/>
  <c r="AE501" i="24"/>
  <c r="AI373" i="24"/>
  <c r="AG373" i="24"/>
  <c r="AJ138" i="24"/>
  <c r="AH138" i="24"/>
  <c r="AG559" i="24"/>
  <c r="AI559" i="24"/>
  <c r="AI484" i="24"/>
  <c r="AG484" i="24"/>
  <c r="AJ319" i="24"/>
  <c r="AH319" i="24"/>
  <c r="AJ96" i="24"/>
  <c r="AH96" i="24"/>
  <c r="AJ259" i="24"/>
  <c r="AH259" i="24"/>
  <c r="AI400" i="24"/>
  <c r="AG400" i="24"/>
  <c r="AF201" i="24"/>
  <c r="AH72" i="24"/>
  <c r="AJ72" i="24"/>
  <c r="AE429" i="24"/>
  <c r="AI148" i="24"/>
  <c r="AG148" i="24"/>
  <c r="AI505" i="24"/>
  <c r="AG505" i="24"/>
  <c r="AF409" i="24"/>
  <c r="AO408" i="24" s="1"/>
  <c r="AE409" i="24"/>
  <c r="AI324" i="24"/>
  <c r="AG324" i="24"/>
  <c r="AJ284" i="24"/>
  <c r="AH284" i="24"/>
  <c r="AH73" i="24"/>
  <c r="AJ73" i="24"/>
  <c r="AI208" i="24"/>
  <c r="AG208" i="24"/>
  <c r="AJ131" i="24"/>
  <c r="AH131" i="24"/>
  <c r="AJ574" i="24"/>
  <c r="AE553" i="24"/>
  <c r="AL552" i="24" s="1"/>
  <c r="AP552" i="24" s="1"/>
  <c r="AE538" i="24"/>
  <c r="AI514" i="24"/>
  <c r="AG514" i="24"/>
  <c r="AJ517" i="24"/>
  <c r="AH517" i="24"/>
  <c r="AH472" i="24"/>
  <c r="AJ472" i="24"/>
  <c r="AJ482" i="24"/>
  <c r="AH482" i="24"/>
  <c r="AJ448" i="24"/>
  <c r="AH448" i="24"/>
  <c r="AJ507" i="24"/>
  <c r="AH507" i="24"/>
  <c r="AJ440" i="24"/>
  <c r="AH440" i="24"/>
  <c r="AJ427" i="24"/>
  <c r="AH427" i="24"/>
  <c r="AI399" i="24"/>
  <c r="AG399" i="24"/>
  <c r="AJ370" i="24"/>
  <c r="AH370" i="24"/>
  <c r="AJ348" i="24"/>
  <c r="AH348" i="24"/>
  <c r="AJ299" i="24"/>
  <c r="AH299" i="24"/>
  <c r="AI247" i="24"/>
  <c r="AG247" i="24"/>
  <c r="AJ228" i="24"/>
  <c r="AH228" i="24"/>
  <c r="AF199" i="24"/>
  <c r="AM198" i="24" s="1"/>
  <c r="AQ198" i="24" s="1"/>
  <c r="AJ182" i="24"/>
  <c r="AH182" i="24"/>
  <c r="AN147" i="24"/>
  <c r="AJ225" i="24"/>
  <c r="AH225" i="24"/>
  <c r="AM284" i="24"/>
  <c r="AQ284" i="24" s="1"/>
  <c r="AJ231" i="24"/>
  <c r="AH231" i="24"/>
  <c r="AI185" i="24"/>
  <c r="AG185" i="24"/>
  <c r="AI61" i="24"/>
  <c r="AG61" i="24"/>
  <c r="AE96" i="24"/>
  <c r="AN95" i="24" s="1"/>
  <c r="AO537" i="24"/>
  <c r="AJ275" i="24"/>
  <c r="AH275" i="24"/>
  <c r="AJ300" i="24"/>
  <c r="AH300" i="24"/>
  <c r="AE509" i="24"/>
  <c r="AF484" i="24"/>
  <c r="AM483" i="24" s="1"/>
  <c r="AQ483" i="24" s="1"/>
  <c r="AE147" i="24"/>
  <c r="AJ141" i="24"/>
  <c r="AH141" i="24"/>
  <c r="AI494" i="24"/>
  <c r="AG494" i="24"/>
  <c r="AJ202" i="24"/>
  <c r="AH202" i="24"/>
  <c r="AH76" i="24"/>
  <c r="AJ76" i="24"/>
  <c r="AH465" i="24"/>
  <c r="AJ465" i="24"/>
  <c r="AJ176" i="24"/>
  <c r="AH176" i="24"/>
  <c r="AI508" i="24"/>
  <c r="AG508" i="24"/>
  <c r="AE459" i="24"/>
  <c r="AF459" i="24"/>
  <c r="AG435" i="24"/>
  <c r="AI435" i="24"/>
  <c r="AJ385" i="24"/>
  <c r="AH385" i="24"/>
  <c r="AI173" i="24"/>
  <c r="AG173" i="24"/>
  <c r="AE522" i="24"/>
  <c r="AO522" i="24" s="1"/>
  <c r="AG458" i="24"/>
  <c r="AI458" i="24"/>
  <c r="AJ382" i="24"/>
  <c r="AH382" i="24"/>
  <c r="AI282" i="24"/>
  <c r="AG282" i="24"/>
  <c r="AJ119" i="24"/>
  <c r="AH119" i="24"/>
  <c r="AH62" i="24"/>
  <c r="AJ62" i="24"/>
  <c r="AE430" i="24"/>
  <c r="AF415" i="24"/>
  <c r="AI518" i="24"/>
  <c r="AG518" i="24"/>
  <c r="AF491" i="24"/>
  <c r="AE491" i="24"/>
  <c r="AH466" i="24"/>
  <c r="AJ466" i="24"/>
  <c r="AG446" i="24"/>
  <c r="AI446" i="24"/>
  <c r="AJ364" i="24"/>
  <c r="AH364" i="24"/>
  <c r="AJ328" i="24"/>
  <c r="AH328" i="24"/>
  <c r="AJ260" i="24"/>
  <c r="AH260" i="24"/>
  <c r="AI151" i="24"/>
  <c r="AG151" i="24"/>
  <c r="AE303" i="24"/>
  <c r="AE260" i="24"/>
  <c r="AE138" i="24"/>
  <c r="AL138" i="24" s="1"/>
  <c r="AP138" i="24" s="1"/>
  <c r="AF79" i="24"/>
  <c r="AM78" i="24" s="1"/>
  <c r="AQ78" i="24" s="1"/>
  <c r="AI537" i="24"/>
  <c r="AG537" i="24"/>
  <c r="AJ436" i="24"/>
  <c r="AH436" i="24"/>
  <c r="AI69" i="24"/>
  <c r="AG69" i="24"/>
  <c r="BL102" i="24"/>
  <c r="AE81" i="24"/>
  <c r="AL81" i="24" s="1"/>
  <c r="AP81" i="24" s="1"/>
  <c r="AF452" i="24"/>
  <c r="AJ529" i="24"/>
  <c r="AH529" i="24"/>
  <c r="AJ309" i="24"/>
  <c r="AH309" i="24"/>
  <c r="AU174" i="24"/>
  <c r="AI165" i="24"/>
  <c r="AG165" i="24"/>
  <c r="AH82" i="24"/>
  <c r="AJ82" i="24"/>
  <c r="AN493" i="24"/>
  <c r="AO94" i="24"/>
  <c r="AO272" i="24"/>
  <c r="AM76" i="24"/>
  <c r="AQ76" i="24" s="1"/>
  <c r="AM95" i="24"/>
  <c r="AQ95" i="24" s="1"/>
  <c r="AL179" i="24"/>
  <c r="AP179" i="24" s="1"/>
  <c r="AO478" i="24"/>
  <c r="AM465" i="24"/>
  <c r="AQ465" i="24" s="1"/>
  <c r="AO402" i="24"/>
  <c r="AB16" i="23"/>
  <c r="Z16" i="23"/>
  <c r="AB12" i="23"/>
  <c r="Z12" i="23"/>
  <c r="AB8" i="23"/>
  <c r="Z8" i="23"/>
  <c r="AA38" i="23"/>
  <c r="Y38" i="23"/>
  <c r="Y21" i="23"/>
  <c r="AA21" i="23"/>
  <c r="Y17" i="23"/>
  <c r="AA17" i="23"/>
  <c r="Y13" i="23"/>
  <c r="AA13" i="23"/>
  <c r="Y9" i="23"/>
  <c r="AA9" i="23"/>
  <c r="AA5" i="23"/>
  <c r="Z21" i="23"/>
  <c r="AB21" i="23"/>
  <c r="I32" i="23"/>
  <c r="K32" i="23"/>
  <c r="K26" i="23"/>
  <c r="I26" i="23"/>
  <c r="L32" i="23"/>
  <c r="J32" i="23"/>
  <c r="L25" i="23"/>
  <c r="J25" i="23"/>
  <c r="Y37" i="23"/>
  <c r="AA37" i="23"/>
  <c r="AA20" i="23"/>
  <c r="Y20" i="23"/>
  <c r="AA16" i="23"/>
  <c r="Y16" i="23"/>
  <c r="AA12" i="23"/>
  <c r="Y12" i="23"/>
  <c r="AA8" i="23"/>
  <c r="Y8" i="23"/>
  <c r="AB18" i="23"/>
  <c r="Z18" i="23"/>
  <c r="AB17" i="23"/>
  <c r="Z17" i="23"/>
  <c r="I31" i="23"/>
  <c r="K31" i="23"/>
  <c r="I25" i="23"/>
  <c r="K25" i="23"/>
  <c r="L26" i="23"/>
  <c r="J26" i="23"/>
  <c r="AA35" i="23"/>
  <c r="Y35" i="23"/>
  <c r="Y19" i="23"/>
  <c r="AA19" i="23"/>
  <c r="Y15" i="23"/>
  <c r="AA15" i="23"/>
  <c r="Y11" i="23"/>
  <c r="AA11" i="23"/>
  <c r="Y7" i="23"/>
  <c r="AA7" i="23"/>
  <c r="Z20" i="23"/>
  <c r="AB20" i="23"/>
  <c r="AB13" i="23"/>
  <c r="Z13" i="23"/>
  <c r="I30" i="23"/>
  <c r="K30" i="23"/>
  <c r="I24" i="23"/>
  <c r="K24" i="23"/>
  <c r="AA34" i="23"/>
  <c r="Y34" i="23"/>
  <c r="AA18" i="23"/>
  <c r="Y18" i="23"/>
  <c r="AA14" i="23"/>
  <c r="Y14" i="23"/>
  <c r="AA10" i="23"/>
  <c r="Y10" i="23"/>
  <c r="AA6" i="23"/>
  <c r="Y6" i="23"/>
  <c r="Z38" i="23"/>
  <c r="AB38" i="23"/>
  <c r="Z9" i="23"/>
  <c r="AB9" i="23"/>
  <c r="I28" i="23"/>
  <c r="K28" i="23"/>
  <c r="L30" i="23"/>
  <c r="J30" i="23"/>
  <c r="L28" i="23"/>
  <c r="J28" i="23"/>
  <c r="L31" i="23"/>
  <c r="J31" i="23"/>
  <c r="AJ580" i="24"/>
  <c r="AH580" i="24"/>
  <c r="AM579" i="24"/>
  <c r="AQ579" i="24" s="1"/>
  <c r="AO506" i="24"/>
  <c r="AM482" i="24"/>
  <c r="AQ482" i="24" s="1"/>
  <c r="AM280" i="24"/>
  <c r="AQ280" i="24" s="1"/>
  <c r="AN164" i="24"/>
  <c r="AZ173" i="24" s="1"/>
  <c r="AL90" i="24"/>
  <c r="AP90" i="24" s="1"/>
  <c r="AA570" i="24"/>
  <c r="AN523" i="24"/>
  <c r="AH569" i="24"/>
  <c r="AJ569" i="24"/>
  <c r="AM533" i="24"/>
  <c r="AQ533" i="24" s="1"/>
  <c r="AN472" i="24"/>
  <c r="AO428" i="24"/>
  <c r="AU449" i="24"/>
  <c r="AL399" i="24"/>
  <c r="AP399" i="24" s="1"/>
  <c r="AN367" i="24"/>
  <c r="AO370" i="24"/>
  <c r="AN336" i="24"/>
  <c r="AM299" i="24"/>
  <c r="AQ299" i="24" s="1"/>
  <c r="AM145" i="24"/>
  <c r="AQ145" i="24" s="1"/>
  <c r="AN235" i="24"/>
  <c r="AM216" i="24"/>
  <c r="AQ216" i="24" s="1"/>
  <c r="AL150" i="24"/>
  <c r="AP150" i="24" s="1"/>
  <c r="AM275" i="24"/>
  <c r="AQ275" i="24" s="1"/>
  <c r="AE568" i="24"/>
  <c r="AF568" i="24"/>
  <c r="AL477" i="24"/>
  <c r="AP477" i="24" s="1"/>
  <c r="AN476" i="24"/>
  <c r="AE566" i="24"/>
  <c r="AF566" i="24"/>
  <c r="AM318" i="24"/>
  <c r="AQ318" i="24" s="1"/>
  <c r="AN198" i="24"/>
  <c r="AO61" i="24"/>
  <c r="AO148" i="24"/>
  <c r="AL513" i="24"/>
  <c r="AP513" i="24" s="1"/>
  <c r="AI565" i="24"/>
  <c r="AG565" i="24"/>
  <c r="AM440" i="24"/>
  <c r="AQ440" i="24" s="1"/>
  <c r="AM433" i="24"/>
  <c r="AQ433" i="24" s="1"/>
  <c r="AM481" i="24"/>
  <c r="AQ481" i="24" s="1"/>
  <c r="AO411" i="24"/>
  <c r="AM404" i="24"/>
  <c r="AQ404" i="24" s="1"/>
  <c r="AN430" i="24"/>
  <c r="AZ448" i="24" s="1"/>
  <c r="AM370" i="24"/>
  <c r="AQ370" i="24" s="1"/>
  <c r="AL293" i="24"/>
  <c r="AP293" i="24" s="1"/>
  <c r="AV247" i="24"/>
  <c r="AO141" i="24"/>
  <c r="AM454" i="24"/>
  <c r="AQ454" i="24" s="1"/>
  <c r="AN150" i="24"/>
  <c r="AL414" i="24"/>
  <c r="AP414" i="24" s="1"/>
  <c r="AN427" i="24"/>
  <c r="AV326" i="24"/>
  <c r="AO275" i="24"/>
  <c r="AE564" i="24"/>
  <c r="BJ98" i="24" s="1"/>
  <c r="AF564" i="24"/>
  <c r="BK98" i="24" s="1"/>
  <c r="AJ567" i="24"/>
  <c r="AH567" i="24"/>
  <c r="AM522" i="24"/>
  <c r="AQ522" i="24" s="1"/>
  <c r="AM532" i="24"/>
  <c r="AQ532" i="24" s="1"/>
  <c r="AN517" i="24"/>
  <c r="AM538" i="24"/>
  <c r="AQ538" i="24" s="1"/>
  <c r="AN527" i="24"/>
  <c r="AM492" i="24"/>
  <c r="AQ492" i="24" s="1"/>
  <c r="AN512" i="24"/>
  <c r="AN448" i="24"/>
  <c r="AV472" i="24"/>
  <c r="AL427" i="24"/>
  <c r="AP427" i="24" s="1"/>
  <c r="AL398" i="24"/>
  <c r="AP398" i="24" s="1"/>
  <c r="AN466" i="24"/>
  <c r="AM411" i="24"/>
  <c r="AQ411" i="24" s="1"/>
  <c r="AM421" i="24"/>
  <c r="AQ421" i="24" s="1"/>
  <c r="AM460" i="24"/>
  <c r="AQ460" i="24" s="1"/>
  <c r="AL352" i="24"/>
  <c r="AP352" i="24" s="1"/>
  <c r="AU132" i="24"/>
  <c r="AL113" i="24"/>
  <c r="AP113" i="24" s="1"/>
  <c r="AM144" i="24"/>
  <c r="AQ144" i="24" s="1"/>
  <c r="AY12" i="21"/>
  <c r="AU12" i="21"/>
  <c r="AQ12" i="21"/>
  <c r="AM12" i="21"/>
  <c r="AI12" i="21"/>
  <c r="AE12" i="21"/>
  <c r="AY11" i="21"/>
  <c r="AU11" i="21"/>
  <c r="AQ11" i="21"/>
  <c r="AM11" i="21"/>
  <c r="AI11" i="21"/>
  <c r="AE11" i="21"/>
  <c r="BA24" i="21"/>
  <c r="AX12" i="21"/>
  <c r="AX16" i="21" s="1"/>
  <c r="AT12" i="21"/>
  <c r="AP12" i="21"/>
  <c r="AP16" i="21" s="1"/>
  <c r="AL12" i="21"/>
  <c r="AH12" i="21"/>
  <c r="AH16" i="21" s="1"/>
  <c r="AD12" i="21"/>
  <c r="AX11" i="21"/>
  <c r="AX15" i="21" s="1"/>
  <c r="AT11" i="21"/>
  <c r="AT15" i="21" s="1"/>
  <c r="AP11" i="21"/>
  <c r="AP15" i="21" s="1"/>
  <c r="AL11" i="21"/>
  <c r="AL15" i="21" s="1"/>
  <c r="AH11" i="21"/>
  <c r="AH15" i="21" s="1"/>
  <c r="AD11" i="21"/>
  <c r="AD15" i="21" s="1"/>
  <c r="AW12" i="21"/>
  <c r="AW16" i="21" s="1"/>
  <c r="AS12" i="21"/>
  <c r="AS16" i="21" s="1"/>
  <c r="AO12" i="21"/>
  <c r="AO16" i="21" s="1"/>
  <c r="AK12" i="21"/>
  <c r="AK16" i="21" s="1"/>
  <c r="AG12" i="21"/>
  <c r="AG16" i="21" s="1"/>
  <c r="AC12" i="21"/>
  <c r="AC16" i="21" s="1"/>
  <c r="AW11" i="21"/>
  <c r="AW15" i="21" s="1"/>
  <c r="AS11" i="21"/>
  <c r="AS15" i="21" s="1"/>
  <c r="AO11" i="21"/>
  <c r="AO15" i="21" s="1"/>
  <c r="AK11" i="21"/>
  <c r="AK15" i="21" s="1"/>
  <c r="AG11" i="21"/>
  <c r="AG15" i="21" s="1"/>
  <c r="AC11" i="21"/>
  <c r="AC15" i="21" s="1"/>
  <c r="AB11" i="21"/>
  <c r="AV12" i="21"/>
  <c r="AV16" i="21" s="1"/>
  <c r="AF12" i="21"/>
  <c r="AF16" i="21" s="1"/>
  <c r="AN11" i="21"/>
  <c r="AR12" i="21"/>
  <c r="AR16" i="21" s="1"/>
  <c r="AZ11" i="21"/>
  <c r="AJ11" i="21"/>
  <c r="AN12" i="21"/>
  <c r="AN16" i="21" s="1"/>
  <c r="AV11" i="21"/>
  <c r="AF11" i="21"/>
  <c r="AZ12" i="21"/>
  <c r="AZ16" i="21" s="1"/>
  <c r="AJ12" i="21"/>
  <c r="AJ16" i="21" s="1"/>
  <c r="AR11" i="21"/>
  <c r="AB12" i="21"/>
  <c r="AZ14" i="21"/>
  <c r="AH19" i="21"/>
  <c r="AO13" i="21"/>
  <c r="AG13" i="21"/>
  <c r="AV14" i="21"/>
  <c r="AF14" i="21"/>
  <c r="AT13" i="21"/>
  <c r="AD13" i="21"/>
  <c r="AX14" i="21"/>
  <c r="AW19" i="21"/>
  <c r="AS19" i="21"/>
  <c r="AO19" i="21"/>
  <c r="AK19" i="21"/>
  <c r="AG19" i="21"/>
  <c r="AC19" i="21"/>
  <c r="AK13" i="21"/>
  <c r="AR14" i="21"/>
  <c r="AX13" i="21"/>
  <c r="AT19" i="21"/>
  <c r="AL19" i="21"/>
  <c r="AD19" i="21"/>
  <c r="AP14" i="21"/>
  <c r="AW14" i="21"/>
  <c r="AS14" i="21"/>
  <c r="AO14" i="21"/>
  <c r="AK14" i="21"/>
  <c r="AG14" i="21"/>
  <c r="AC14" i="21"/>
  <c r="AP19" i="21"/>
  <c r="AW13" i="21"/>
  <c r="BA22" i="21"/>
  <c r="AB20" i="21"/>
  <c r="AN14" i="21"/>
  <c r="AX19" i="21"/>
  <c r="AP13" i="21"/>
  <c r="AH13" i="21"/>
  <c r="AH14" i="21"/>
  <c r="AW20" i="21"/>
  <c r="AS20" i="21"/>
  <c r="AO20" i="21"/>
  <c r="AK20" i="21"/>
  <c r="AG20" i="21"/>
  <c r="AC20" i="21"/>
  <c r="Q82" i="20"/>
  <c r="R82" i="20" s="1"/>
  <c r="T82" i="20" s="1"/>
  <c r="F70" i="20"/>
  <c r="AB55" i="20"/>
  <c r="AA62" i="20"/>
  <c r="Y12" i="18"/>
  <c r="O15" i="18"/>
  <c r="T14" i="18" s="1"/>
  <c r="Y14" i="18"/>
  <c r="Z13" i="18"/>
  <c r="R8" i="18"/>
  <c r="R9" i="18"/>
  <c r="S14" i="18"/>
  <c r="R10" i="18"/>
  <c r="Y19" i="19"/>
  <c r="AC19" i="19" l="1"/>
  <c r="AL275" i="24"/>
  <c r="AP275" i="24" s="1"/>
  <c r="AI195" i="24"/>
  <c r="AG529" i="24"/>
  <c r="AN454" i="24"/>
  <c r="AJ123" i="24"/>
  <c r="AG198" i="24"/>
  <c r="AL528" i="24"/>
  <c r="AP528" i="24" s="1"/>
  <c r="AH431" i="24"/>
  <c r="AM430" i="24"/>
  <c r="AQ430" i="24" s="1"/>
  <c r="AM446" i="24"/>
  <c r="AQ446" i="24" s="1"/>
  <c r="AJ431" i="24"/>
  <c r="AI546" i="24"/>
  <c r="AO430" i="24"/>
  <c r="BA448" i="24" s="1"/>
  <c r="AN201" i="24"/>
  <c r="AJ473" i="24"/>
  <c r="AJ446" i="24"/>
  <c r="AH473" i="24"/>
  <c r="AG309" i="24"/>
  <c r="AG216" i="24"/>
  <c r="AO440" i="24"/>
  <c r="BA446" i="24" s="1"/>
  <c r="AI216" i="24"/>
  <c r="AL554" i="24"/>
  <c r="AP554" i="24" s="1"/>
  <c r="AG554" i="24"/>
  <c r="AO448" i="24"/>
  <c r="AG574" i="24"/>
  <c r="AI440" i="24"/>
  <c r="AI144" i="24"/>
  <c r="AG202" i="24"/>
  <c r="AL201" i="24"/>
  <c r="AP201" i="24" s="1"/>
  <c r="AU211" i="24"/>
  <c r="AN473" i="24"/>
  <c r="AJ428" i="24"/>
  <c r="AG176" i="24"/>
  <c r="AG362" i="24"/>
  <c r="AH148" i="24"/>
  <c r="AO336" i="24"/>
  <c r="AV174" i="24"/>
  <c r="AM148" i="24"/>
  <c r="AQ148" i="24" s="1"/>
  <c r="AN352" i="24"/>
  <c r="AN370" i="24"/>
  <c r="AM466" i="24"/>
  <c r="AQ466" i="24" s="1"/>
  <c r="AI371" i="24"/>
  <c r="AI182" i="24"/>
  <c r="AI455" i="24"/>
  <c r="AN446" i="24"/>
  <c r="AZ470" i="24" s="1"/>
  <c r="AI146" i="24"/>
  <c r="AM105" i="24"/>
  <c r="AQ105" i="24" s="1"/>
  <c r="AO122" i="24"/>
  <c r="AG222" i="24"/>
  <c r="AH106" i="24"/>
  <c r="AM352" i="24"/>
  <c r="AQ352" i="24" s="1"/>
  <c r="AG210" i="24"/>
  <c r="AH352" i="24"/>
  <c r="AL145" i="24"/>
  <c r="AP145" i="24" s="1"/>
  <c r="AU157" i="24"/>
  <c r="AL523" i="24"/>
  <c r="AP523" i="24" s="1"/>
  <c r="AL370" i="24"/>
  <c r="AP370" i="24" s="1"/>
  <c r="AL235" i="24"/>
  <c r="AP235" i="24" s="1"/>
  <c r="AG388" i="24"/>
  <c r="AI523" i="24"/>
  <c r="AG145" i="24"/>
  <c r="AG455" i="24"/>
  <c r="AG235" i="24"/>
  <c r="AI198" i="24"/>
  <c r="AJ352" i="24"/>
  <c r="AH368" i="24"/>
  <c r="AL546" i="24"/>
  <c r="AP546" i="24" s="1"/>
  <c r="AG523" i="24"/>
  <c r="AN421" i="24"/>
  <c r="AO150" i="24"/>
  <c r="AI145" i="24"/>
  <c r="AI422" i="24"/>
  <c r="AG315" i="24"/>
  <c r="AJ524" i="24"/>
  <c r="AG146" i="24"/>
  <c r="AN513" i="24"/>
  <c r="AU446" i="24"/>
  <c r="AM448" i="24"/>
  <c r="AQ448" i="24" s="1"/>
  <c r="AL421" i="24"/>
  <c r="AP421" i="24" s="1"/>
  <c r="AG460" i="24"/>
  <c r="AH165" i="24"/>
  <c r="AM164" i="24"/>
  <c r="AQ164" i="24" s="1"/>
  <c r="AZ473" i="24"/>
  <c r="AG539" i="24"/>
  <c r="AJ565" i="24"/>
  <c r="AL97" i="24"/>
  <c r="AP97" i="24" s="1"/>
  <c r="AN99" i="24"/>
  <c r="AG228" i="24"/>
  <c r="AG158" i="24"/>
  <c r="AI539" i="24"/>
  <c r="AM506" i="24"/>
  <c r="AQ506" i="24" s="1"/>
  <c r="AO95" i="24"/>
  <c r="AO145" i="24"/>
  <c r="AM523" i="24"/>
  <c r="AQ523" i="24" s="1"/>
  <c r="AI362" i="24"/>
  <c r="AJ449" i="24"/>
  <c r="AI136" i="24"/>
  <c r="AH506" i="24"/>
  <c r="AJ505" i="24"/>
  <c r="AG204" i="24"/>
  <c r="AN144" i="24"/>
  <c r="AH242" i="24"/>
  <c r="AG422" i="24"/>
  <c r="AM379" i="24"/>
  <c r="AQ379" i="24" s="1"/>
  <c r="AH513" i="24"/>
  <c r="AU369" i="24"/>
  <c r="AN141" i="24"/>
  <c r="AJ91" i="24"/>
  <c r="AH518" i="24"/>
  <c r="AN411" i="24"/>
  <c r="AJ573" i="24"/>
  <c r="AO421" i="24"/>
  <c r="BA445" i="24" s="1"/>
  <c r="AO523" i="24"/>
  <c r="AI460" i="24"/>
  <c r="AI434" i="24"/>
  <c r="AM153" i="24"/>
  <c r="AQ153" i="24" s="1"/>
  <c r="AO434" i="24"/>
  <c r="AG348" i="24"/>
  <c r="AU210" i="24"/>
  <c r="AJ513" i="24"/>
  <c r="AG217" i="24"/>
  <c r="AI472" i="24"/>
  <c r="AV540" i="24"/>
  <c r="AU156" i="24"/>
  <c r="AL144" i="24"/>
  <c r="AP144" i="24" s="1"/>
  <c r="AJ555" i="24"/>
  <c r="AI95" i="24"/>
  <c r="AL461" i="24"/>
  <c r="AP461" i="24" s="1"/>
  <c r="AO144" i="24"/>
  <c r="AM293" i="24"/>
  <c r="AQ293" i="24" s="1"/>
  <c r="AO427" i="24"/>
  <c r="AN275" i="24"/>
  <c r="AG287" i="24"/>
  <c r="AL94" i="24"/>
  <c r="AP94" i="24" s="1"/>
  <c r="AM461" i="24"/>
  <c r="AQ461" i="24" s="1"/>
  <c r="AH153" i="24"/>
  <c r="AH408" i="24"/>
  <c r="AG580" i="24"/>
  <c r="AM427" i="24"/>
  <c r="AQ427" i="24" s="1"/>
  <c r="AN433" i="24"/>
  <c r="AL434" i="24"/>
  <c r="AP434" i="24" s="1"/>
  <c r="AV446" i="24"/>
  <c r="AN465" i="24"/>
  <c r="AM428" i="24"/>
  <c r="AQ428" i="24" s="1"/>
  <c r="AG364" i="24"/>
  <c r="AJ242" i="24"/>
  <c r="AO132" i="24"/>
  <c r="AG276" i="24"/>
  <c r="AG412" i="24"/>
  <c r="AI580" i="24"/>
  <c r="AO464" i="24"/>
  <c r="AG464" i="24"/>
  <c r="AM517" i="24"/>
  <c r="AQ517" i="24" s="1"/>
  <c r="AJ69" i="24"/>
  <c r="AG557" i="24"/>
  <c r="AG482" i="24"/>
  <c r="AH559" i="24"/>
  <c r="AH170" i="24"/>
  <c r="AJ379" i="24"/>
  <c r="AU424" i="24"/>
  <c r="AL579" i="24"/>
  <c r="AP579" i="24" s="1"/>
  <c r="AN272" i="24"/>
  <c r="AJ61" i="24"/>
  <c r="AI273" i="24"/>
  <c r="AU423" i="24"/>
  <c r="AU499" i="24"/>
  <c r="AL410" i="24"/>
  <c r="AP410" i="24" s="1"/>
  <c r="AN293" i="24"/>
  <c r="AO550" i="24"/>
  <c r="AO102" i="24"/>
  <c r="AL135" i="24"/>
  <c r="AP135" i="24" s="1"/>
  <c r="AG105" i="24"/>
  <c r="AI411" i="24"/>
  <c r="AG489" i="24"/>
  <c r="AH551" i="24"/>
  <c r="AH293" i="24"/>
  <c r="AN460" i="24"/>
  <c r="AN399" i="24"/>
  <c r="AZ423" i="24" s="1"/>
  <c r="AI188" i="24"/>
  <c r="AN101" i="24"/>
  <c r="AG76" i="24"/>
  <c r="AH575" i="24"/>
  <c r="AI461" i="24"/>
  <c r="AG527" i="24"/>
  <c r="AJ577" i="24"/>
  <c r="AV116" i="24"/>
  <c r="AI482" i="24"/>
  <c r="AL299" i="24"/>
  <c r="AP299" i="24" s="1"/>
  <c r="AJ90" i="24"/>
  <c r="AI176" i="24"/>
  <c r="AH514" i="24"/>
  <c r="AO318" i="24"/>
  <c r="AO461" i="24"/>
  <c r="AO482" i="24"/>
  <c r="AO299" i="24"/>
  <c r="AL460" i="24"/>
  <c r="AP460" i="24" s="1"/>
  <c r="AU473" i="24"/>
  <c r="AO513" i="24"/>
  <c r="AN299" i="24"/>
  <c r="AI300" i="24"/>
  <c r="AJ518" i="24"/>
  <c r="AI125" i="24"/>
  <c r="AG149" i="24"/>
  <c r="AG318" i="24"/>
  <c r="AG417" i="24"/>
  <c r="AG391" i="24"/>
  <c r="AI219" i="24"/>
  <c r="AJ494" i="24"/>
  <c r="AJ456" i="24"/>
  <c r="AL280" i="24"/>
  <c r="AP280" i="24" s="1"/>
  <c r="AG225" i="24"/>
  <c r="AG299" i="24"/>
  <c r="AG191" i="24"/>
  <c r="AI436" i="24"/>
  <c r="AN90" i="24"/>
  <c r="AJ514" i="24"/>
  <c r="AM90" i="24"/>
  <c r="AQ90" i="24" s="1"/>
  <c r="AN478" i="24"/>
  <c r="AO517" i="24"/>
  <c r="AU158" i="24"/>
  <c r="AG125" i="24"/>
  <c r="AI417" i="24"/>
  <c r="AI403" i="24"/>
  <c r="AI73" i="24"/>
  <c r="AO113" i="24"/>
  <c r="AI569" i="24"/>
  <c r="AL411" i="24"/>
  <c r="AP411" i="24" s="1"/>
  <c r="AL448" i="24"/>
  <c r="AP448" i="24" s="1"/>
  <c r="AO472" i="24"/>
  <c r="AM513" i="24"/>
  <c r="AQ513" i="24" s="1"/>
  <c r="AU247" i="24"/>
  <c r="AH135" i="24"/>
  <c r="AG543" i="24"/>
  <c r="AJ327" i="24"/>
  <c r="AI448" i="24"/>
  <c r="AG103" i="24"/>
  <c r="AN575" i="24"/>
  <c r="AH478" i="24"/>
  <c r="AN153" i="24"/>
  <c r="AN402" i="24"/>
  <c r="AO466" i="24"/>
  <c r="AV423" i="24"/>
  <c r="AL493" i="24"/>
  <c r="AP493" i="24" s="1"/>
  <c r="AN573" i="24"/>
  <c r="AO118" i="24"/>
  <c r="AO527" i="24"/>
  <c r="AV156" i="24"/>
  <c r="AL272" i="24"/>
  <c r="AP272" i="24" s="1"/>
  <c r="AM207" i="24"/>
  <c r="AQ207" i="24" s="1"/>
  <c r="AI527" i="24"/>
  <c r="AO198" i="24"/>
  <c r="AM290" i="24"/>
  <c r="AQ290" i="24" s="1"/>
  <c r="AM408" i="24"/>
  <c r="AQ408" i="24" s="1"/>
  <c r="AN492" i="24"/>
  <c r="AH573" i="24"/>
  <c r="AO128" i="24"/>
  <c r="BA131" i="24" s="1"/>
  <c r="AM150" i="24"/>
  <c r="AQ150" i="24" s="1"/>
  <c r="AL439" i="24"/>
  <c r="AP439" i="24" s="1"/>
  <c r="AO416" i="24"/>
  <c r="AO105" i="24"/>
  <c r="AL454" i="24"/>
  <c r="AP454" i="24" s="1"/>
  <c r="AN482" i="24"/>
  <c r="AV132" i="24"/>
  <c r="AU145" i="24"/>
  <c r="AG102" i="24"/>
  <c r="AG118" i="24"/>
  <c r="AI416" i="24"/>
  <c r="AJ129" i="24"/>
  <c r="AI479" i="24"/>
  <c r="AH151" i="24"/>
  <c r="AN61" i="24"/>
  <c r="AG128" i="24"/>
  <c r="AJ122" i="24"/>
  <c r="AH290" i="24"/>
  <c r="AG355" i="24"/>
  <c r="AG512" i="24"/>
  <c r="AG142" i="24"/>
  <c r="AJ368" i="24"/>
  <c r="AH467" i="24"/>
  <c r="AG493" i="24"/>
  <c r="AH549" i="24"/>
  <c r="AH399" i="24"/>
  <c r="AM441" i="24"/>
  <c r="AQ441" i="24" s="1"/>
  <c r="AL416" i="24"/>
  <c r="AP416" i="24" s="1"/>
  <c r="AL492" i="24"/>
  <c r="AP492" i="24" s="1"/>
  <c r="AL105" i="24"/>
  <c r="AP105" i="24" s="1"/>
  <c r="AU500" i="24"/>
  <c r="AN91" i="24"/>
  <c r="AS100" i="24" s="1"/>
  <c r="AI464" i="24"/>
  <c r="AI132" i="24"/>
  <c r="AG78" i="24"/>
  <c r="AH122" i="24"/>
  <c r="AO131" i="24"/>
  <c r="BA143" i="24" s="1"/>
  <c r="AR66" i="24"/>
  <c r="BK64" i="24" s="1"/>
  <c r="AL141" i="24"/>
  <c r="AP141" i="24" s="1"/>
  <c r="AO398" i="24"/>
  <c r="AO76" i="24"/>
  <c r="AN154" i="24"/>
  <c r="AH91" i="24"/>
  <c r="AI296" i="24"/>
  <c r="AG416" i="24"/>
  <c r="AJ550" i="24"/>
  <c r="AG479" i="24"/>
  <c r="AI128" i="24"/>
  <c r="AM398" i="24"/>
  <c r="AQ398" i="24" s="1"/>
  <c r="AH324" i="24"/>
  <c r="AH462" i="24"/>
  <c r="AM128" i="24"/>
  <c r="AQ128" i="24" s="1"/>
  <c r="AL464" i="24"/>
  <c r="AP464" i="24" s="1"/>
  <c r="AV473" i="24"/>
  <c r="AL483" i="24"/>
  <c r="AP483" i="24" s="1"/>
  <c r="AL216" i="24"/>
  <c r="AP216" i="24" s="1"/>
  <c r="AO447" i="24"/>
  <c r="AV499" i="24"/>
  <c r="AI149" i="24"/>
  <c r="AI543" i="24"/>
  <c r="AG403" i="24"/>
  <c r="AG448" i="24"/>
  <c r="AJ359" i="24"/>
  <c r="AM478" i="24"/>
  <c r="AQ478" i="24" s="1"/>
  <c r="AL132" i="24"/>
  <c r="AP132" i="24" s="1"/>
  <c r="AO477" i="24"/>
  <c r="AH69" i="24"/>
  <c r="AG328" i="24"/>
  <c r="AG483" i="24"/>
  <c r="AH294" i="24"/>
  <c r="AG436" i="24"/>
  <c r="AI217" i="24"/>
  <c r="AN131" i="24"/>
  <c r="AZ143" i="24" s="1"/>
  <c r="AO352" i="24"/>
  <c r="AL482" i="24"/>
  <c r="AP482" i="24" s="1"/>
  <c r="AM477" i="24"/>
  <c r="AQ477" i="24" s="1"/>
  <c r="AN532" i="24"/>
  <c r="AZ538" i="24" s="1"/>
  <c r="AN398" i="24"/>
  <c r="AL466" i="24"/>
  <c r="AP466" i="24" s="1"/>
  <c r="AL472" i="24"/>
  <c r="AP472" i="24" s="1"/>
  <c r="BJ99" i="24"/>
  <c r="AL76" i="24"/>
  <c r="AP76" i="24" s="1"/>
  <c r="AO455" i="24"/>
  <c r="AO147" i="24"/>
  <c r="AR64" i="24"/>
  <c r="AM61" i="24"/>
  <c r="AQ61" i="24" s="1"/>
  <c r="AV421" i="24"/>
  <c r="AI328" i="24"/>
  <c r="AO403" i="24"/>
  <c r="AM537" i="24"/>
  <c r="AQ537" i="24" s="1"/>
  <c r="AH537" i="24"/>
  <c r="AH327" i="24"/>
  <c r="AG97" i="24"/>
  <c r="AI483" i="24"/>
  <c r="AG131" i="24"/>
  <c r="AI512" i="24"/>
  <c r="AJ294" i="24"/>
  <c r="AI466" i="24"/>
  <c r="AO512" i="24"/>
  <c r="AI421" i="24"/>
  <c r="AG492" i="24"/>
  <c r="AG424" i="24"/>
  <c r="AH442" i="24"/>
  <c r="AO404" i="24"/>
  <c r="AN327" i="24"/>
  <c r="AO441" i="24"/>
  <c r="BJ100" i="24"/>
  <c r="AL131" i="24"/>
  <c r="AP131" i="24" s="1"/>
  <c r="AN148" i="24"/>
  <c r="AN506" i="24"/>
  <c r="AO492" i="24"/>
  <c r="AN491" i="24"/>
  <c r="AG517" i="24"/>
  <c r="AI131" i="24"/>
  <c r="AI72" i="24"/>
  <c r="AI556" i="24"/>
  <c r="AH477" i="24"/>
  <c r="AU325" i="24"/>
  <c r="AN440" i="24"/>
  <c r="AO577" i="24"/>
  <c r="AL61" i="24"/>
  <c r="AP61" i="24" s="1"/>
  <c r="AN379" i="24"/>
  <c r="AG291" i="24"/>
  <c r="AI78" i="24"/>
  <c r="AG441" i="24"/>
  <c r="AG542" i="24"/>
  <c r="AG380" i="24"/>
  <c r="AH180" i="24"/>
  <c r="AL542" i="24"/>
  <c r="AP542" i="24" s="1"/>
  <c r="AY143" i="24"/>
  <c r="AO312" i="24"/>
  <c r="AU326" i="24"/>
  <c r="AO542" i="24"/>
  <c r="AO367" i="24"/>
  <c r="AN290" i="24"/>
  <c r="AL441" i="24"/>
  <c r="AP441" i="24" s="1"/>
  <c r="AU248" i="24"/>
  <c r="AG239" i="24"/>
  <c r="AI291" i="24"/>
  <c r="AH185" i="24"/>
  <c r="AJ180" i="24"/>
  <c r="AG313" i="24"/>
  <c r="AG534" i="24"/>
  <c r="AN312" i="24"/>
  <c r="AZ325" i="24" s="1"/>
  <c r="AO358" i="24"/>
  <c r="AG567" i="24"/>
  <c r="AL440" i="24"/>
  <c r="AP440" i="24" s="1"/>
  <c r="AN533" i="24"/>
  <c r="AJ155" i="24"/>
  <c r="AI396" i="24"/>
  <c r="AG73" i="24"/>
  <c r="AV497" i="24"/>
  <c r="AU144" i="24"/>
  <c r="AO397" i="24"/>
  <c r="AL430" i="24"/>
  <c r="AP430" i="24" s="1"/>
  <c r="AV500" i="24"/>
  <c r="AS66" i="24"/>
  <c r="AU368" i="24"/>
  <c r="BJ101" i="24"/>
  <c r="AL367" i="24"/>
  <c r="AP367" i="24" s="1"/>
  <c r="AL573" i="24"/>
  <c r="AP573" i="24" s="1"/>
  <c r="AU249" i="24"/>
  <c r="AG465" i="24"/>
  <c r="AG231" i="24"/>
  <c r="AO554" i="24"/>
  <c r="AH247" i="24"/>
  <c r="AI380" i="24"/>
  <c r="AI103" i="24"/>
  <c r="AO154" i="24"/>
  <c r="BA157" i="24" s="1"/>
  <c r="AI577" i="24"/>
  <c r="AU117" i="24"/>
  <c r="AO72" i="24"/>
  <c r="AM527" i="24"/>
  <c r="AQ527" i="24" s="1"/>
  <c r="AO493" i="24"/>
  <c r="AI573" i="24"/>
  <c r="AN447" i="24"/>
  <c r="AL101" i="24"/>
  <c r="AP101" i="24" s="1"/>
  <c r="AL102" i="24"/>
  <c r="AP102" i="24" s="1"/>
  <c r="AO396" i="24"/>
  <c r="AM447" i="24"/>
  <c r="AQ447" i="24" s="1"/>
  <c r="AG312" i="24"/>
  <c r="AI465" i="24"/>
  <c r="AU131" i="24"/>
  <c r="AG382" i="24"/>
  <c r="AG101" i="24"/>
  <c r="AL312" i="24"/>
  <c r="AP312" i="24" s="1"/>
  <c r="AG367" i="24"/>
  <c r="AJ442" i="24"/>
  <c r="AV158" i="24"/>
  <c r="AL72" i="24"/>
  <c r="AP72" i="24" s="1"/>
  <c r="AO280" i="24"/>
  <c r="AG573" i="24"/>
  <c r="AV539" i="24"/>
  <c r="AV157" i="24"/>
  <c r="AU471" i="24"/>
  <c r="AH555" i="24"/>
  <c r="AH494" i="24"/>
  <c r="AG396" i="24"/>
  <c r="AI101" i="24"/>
  <c r="AZ368" i="24"/>
  <c r="AM458" i="24"/>
  <c r="AQ458" i="24" s="1"/>
  <c r="AL577" i="24"/>
  <c r="AP577" i="24" s="1"/>
  <c r="AU115" i="24"/>
  <c r="AL318" i="24"/>
  <c r="AP318" i="24" s="1"/>
  <c r="AN477" i="24"/>
  <c r="AN577" i="24"/>
  <c r="AL533" i="24"/>
  <c r="AP533" i="24" s="1"/>
  <c r="AM399" i="24"/>
  <c r="AQ399" i="24" s="1"/>
  <c r="AV422" i="24"/>
  <c r="AL517" i="24"/>
  <c r="AP517" i="24" s="1"/>
  <c r="BK99" i="24"/>
  <c r="AM410" i="24"/>
  <c r="AQ410" i="24" s="1"/>
  <c r="AH458" i="24"/>
  <c r="AJ135" i="24"/>
  <c r="BJ102" i="24"/>
  <c r="AN135" i="24"/>
  <c r="AH410" i="24"/>
  <c r="AH208" i="24"/>
  <c r="AG284" i="24"/>
  <c r="AG244" i="24"/>
  <c r="AI517" i="24"/>
  <c r="AV471" i="24"/>
  <c r="AQ67" i="24"/>
  <c r="BJ65" i="24" s="1"/>
  <c r="AM575" i="24"/>
  <c r="AQ575" i="24" s="1"/>
  <c r="AV474" i="24"/>
  <c r="AH577" i="24"/>
  <c r="AV424" i="24"/>
  <c r="AO533" i="24"/>
  <c r="AN410" i="24"/>
  <c r="AU472" i="24"/>
  <c r="AU539" i="24"/>
  <c r="AM476" i="24"/>
  <c r="AQ476" i="24" s="1"/>
  <c r="AV211" i="24"/>
  <c r="AM550" i="24"/>
  <c r="AQ550" i="24" s="1"/>
  <c r="AJ458" i="24"/>
  <c r="AG533" i="24"/>
  <c r="AI284" i="24"/>
  <c r="AH114" i="24"/>
  <c r="AH400" i="24"/>
  <c r="AN423" i="24"/>
  <c r="BK101" i="24"/>
  <c r="AM135" i="24"/>
  <c r="AQ135" i="24" s="1"/>
  <c r="AG558" i="24"/>
  <c r="AO476" i="24"/>
  <c r="AO483" i="24"/>
  <c r="AL522" i="24"/>
  <c r="AP522" i="24" s="1"/>
  <c r="AO399" i="24"/>
  <c r="BA423" i="24" s="1"/>
  <c r="AV498" i="24"/>
  <c r="AM473" i="24"/>
  <c r="AQ473" i="24" s="1"/>
  <c r="AM455" i="24"/>
  <c r="AL284" i="24"/>
  <c r="AP284" i="24" s="1"/>
  <c r="AO575" i="24"/>
  <c r="AH550" i="24"/>
  <c r="AL532" i="24"/>
  <c r="AP532" i="24" s="1"/>
  <c r="AV173" i="24"/>
  <c r="AU445" i="24"/>
  <c r="AV210" i="24"/>
  <c r="AZ210" i="24"/>
  <c r="AN100" i="24"/>
  <c r="AV248" i="24"/>
  <c r="AL433" i="24"/>
  <c r="AP433" i="24" s="1"/>
  <c r="AM402" i="24"/>
  <c r="AQ402" i="24" s="1"/>
  <c r="AU497" i="24"/>
  <c r="AH241" i="24"/>
  <c r="AI404" i="24"/>
  <c r="AH402" i="24"/>
  <c r="AI433" i="24"/>
  <c r="AV420" i="24"/>
  <c r="AG532" i="24"/>
  <c r="AI578" i="24"/>
  <c r="AG578" i="24"/>
  <c r="AL403" i="24"/>
  <c r="AP403" i="24" s="1"/>
  <c r="AL95" i="24"/>
  <c r="AP95" i="24" s="1"/>
  <c r="AN404" i="24"/>
  <c r="AO97" i="24"/>
  <c r="AL86" i="24"/>
  <c r="AP86" i="24" s="1"/>
  <c r="AL506" i="24"/>
  <c r="AP506" i="24" s="1"/>
  <c r="AJ241" i="24"/>
  <c r="AG404" i="24"/>
  <c r="AJ402" i="24"/>
  <c r="AG433" i="24"/>
  <c r="AI532" i="24"/>
  <c r="AM241" i="24"/>
  <c r="AQ241" i="24" s="1"/>
  <c r="AG507" i="24"/>
  <c r="AH98" i="24"/>
  <c r="AU289" i="24"/>
  <c r="AU422" i="24"/>
  <c r="AO99" i="24"/>
  <c r="AO465" i="24"/>
  <c r="AL465" i="24"/>
  <c r="AP465" i="24" s="1"/>
  <c r="AO532" i="24"/>
  <c r="AY368" i="24"/>
  <c r="AQ64" i="24"/>
  <c r="AH167" i="24"/>
  <c r="AJ98" i="24"/>
  <c r="AH359" i="24"/>
  <c r="AM122" i="24"/>
  <c r="AN122" i="24"/>
  <c r="AZ131" i="24" s="1"/>
  <c r="AI538" i="24"/>
  <c r="AG538" i="24"/>
  <c r="AG409" i="24"/>
  <c r="AI409" i="24"/>
  <c r="AL409" i="24"/>
  <c r="AP409" i="24" s="1"/>
  <c r="AO409" i="24"/>
  <c r="AI253" i="24"/>
  <c r="AG253" i="24"/>
  <c r="AJ373" i="24"/>
  <c r="AH373" i="24"/>
  <c r="AI487" i="24"/>
  <c r="AG487" i="24"/>
  <c r="AL486" i="24"/>
  <c r="AP486" i="24" s="1"/>
  <c r="AJ94" i="24"/>
  <c r="AH94" i="24"/>
  <c r="AI164" i="24"/>
  <c r="AG164" i="24"/>
  <c r="AL491" i="24"/>
  <c r="AP491" i="24" s="1"/>
  <c r="AJ439" i="24"/>
  <c r="AH439" i="24"/>
  <c r="AL537" i="24"/>
  <c r="AP537" i="24" s="1"/>
  <c r="AN278" i="24"/>
  <c r="AL408" i="24"/>
  <c r="AP408" i="24" s="1"/>
  <c r="AU498" i="24"/>
  <c r="AL538" i="24"/>
  <c r="AP538" i="24" s="1"/>
  <c r="AN94" i="24"/>
  <c r="AU173" i="24"/>
  <c r="AJ452" i="24"/>
  <c r="AH452" i="24"/>
  <c r="AM452" i="24"/>
  <c r="AQ452" i="24" s="1"/>
  <c r="AN452" i="24"/>
  <c r="AI138" i="24"/>
  <c r="AG138" i="24"/>
  <c r="AO138" i="24"/>
  <c r="AJ491" i="24"/>
  <c r="AH491" i="24"/>
  <c r="AG430" i="24"/>
  <c r="AI430" i="24"/>
  <c r="AN429" i="24"/>
  <c r="AJ459" i="24"/>
  <c r="AH459" i="24"/>
  <c r="AM459" i="24"/>
  <c r="AQ459" i="24" s="1"/>
  <c r="AO458" i="24"/>
  <c r="AI509" i="24"/>
  <c r="AG509" i="24"/>
  <c r="AL508" i="24"/>
  <c r="AP508" i="24" s="1"/>
  <c r="AJ199" i="24"/>
  <c r="AH199" i="24"/>
  <c r="AN459" i="24"/>
  <c r="AN552" i="24"/>
  <c r="AI553" i="24"/>
  <c r="AG553" i="24"/>
  <c r="AJ409" i="24"/>
  <c r="AH409" i="24"/>
  <c r="AM409" i="24"/>
  <c r="AQ409" i="24" s="1"/>
  <c r="AN409" i="24"/>
  <c r="AJ272" i="24"/>
  <c r="AH272" i="24"/>
  <c r="AV288" i="24"/>
  <c r="AJ353" i="24"/>
  <c r="AH353" i="24"/>
  <c r="AV369" i="24"/>
  <c r="AJ173" i="24"/>
  <c r="AH173" i="24"/>
  <c r="AG474" i="24"/>
  <c r="AI474" i="24"/>
  <c r="AL473" i="24"/>
  <c r="AJ435" i="24"/>
  <c r="AH435" i="24"/>
  <c r="AN435" i="24"/>
  <c r="AM435" i="24"/>
  <c r="AQ435" i="24" s="1"/>
  <c r="AV447" i="24"/>
  <c r="AI161" i="24"/>
  <c r="AG161" i="24"/>
  <c r="AN453" i="24"/>
  <c r="AG454" i="24"/>
  <c r="AI454" i="24"/>
  <c r="AI476" i="24"/>
  <c r="AG476" i="24"/>
  <c r="AM491" i="24"/>
  <c r="AQ491" i="24" s="1"/>
  <c r="AU50" i="24"/>
  <c r="AY50" i="24" s="1"/>
  <c r="AP51" i="24"/>
  <c r="AR51" i="24"/>
  <c r="AI259" i="24"/>
  <c r="AG259" i="24"/>
  <c r="AO259" i="24"/>
  <c r="AL259" i="24"/>
  <c r="AP259" i="24" s="1"/>
  <c r="AJ133" i="24"/>
  <c r="AH133" i="24"/>
  <c r="AV145" i="24"/>
  <c r="AI397" i="24"/>
  <c r="AG397" i="24"/>
  <c r="AN396" i="24"/>
  <c r="AL397" i="24"/>
  <c r="AU421" i="24"/>
  <c r="AL396" i="24"/>
  <c r="AI256" i="24"/>
  <c r="AG256" i="24"/>
  <c r="AI119" i="24"/>
  <c r="AG119" i="24"/>
  <c r="AJ447" i="24"/>
  <c r="AH447" i="24"/>
  <c r="AO446" i="24"/>
  <c r="AI285" i="24"/>
  <c r="AG285" i="24"/>
  <c r="AI87" i="24"/>
  <c r="AG87" i="24"/>
  <c r="AU448" i="24"/>
  <c r="AI238" i="24"/>
  <c r="AG238" i="24"/>
  <c r="AO238" i="24"/>
  <c r="BA248" i="24" s="1"/>
  <c r="AL238" i="24"/>
  <c r="AH79" i="24"/>
  <c r="AJ79" i="24"/>
  <c r="AJ415" i="24"/>
  <c r="AH415" i="24"/>
  <c r="AN415" i="24"/>
  <c r="AZ421" i="24" s="1"/>
  <c r="AM415" i="24"/>
  <c r="AQ415" i="24" s="1"/>
  <c r="AI177" i="24"/>
  <c r="AG177" i="24"/>
  <c r="AN176" i="24"/>
  <c r="AL176" i="24"/>
  <c r="AP176" i="24" s="1"/>
  <c r="AI111" i="24"/>
  <c r="AG111" i="24"/>
  <c r="AI86" i="24"/>
  <c r="AG86" i="24"/>
  <c r="AU447" i="24"/>
  <c r="AX50" i="24"/>
  <c r="AS51" i="24"/>
  <c r="AQ51" i="24"/>
  <c r="AV50" i="24"/>
  <c r="AZ50" i="24" s="1"/>
  <c r="AR67" i="24"/>
  <c r="BK65" i="24" s="1"/>
  <c r="AI305" i="24"/>
  <c r="AG305" i="24"/>
  <c r="AI519" i="24"/>
  <c r="AG519" i="24"/>
  <c r="AN518" i="24"/>
  <c r="AL518" i="24"/>
  <c r="AP518" i="24" s="1"/>
  <c r="AJ547" i="24"/>
  <c r="AH547" i="24"/>
  <c r="AI70" i="24"/>
  <c r="AG70" i="24"/>
  <c r="AN69" i="24"/>
  <c r="AL69" i="24"/>
  <c r="AP69" i="24" s="1"/>
  <c r="AV445" i="24"/>
  <c r="AN408" i="24"/>
  <c r="AN537" i="24"/>
  <c r="AQ573" i="24"/>
  <c r="AO414" i="24"/>
  <c r="AO78" i="24"/>
  <c r="AO538" i="24"/>
  <c r="AU116" i="24"/>
  <c r="AN439" i="24"/>
  <c r="AU540" i="24"/>
  <c r="AI81" i="24"/>
  <c r="AG81" i="24"/>
  <c r="AO81" i="24"/>
  <c r="AI260" i="24"/>
  <c r="AG260" i="24"/>
  <c r="AI522" i="24"/>
  <c r="AG522" i="24"/>
  <c r="AG459" i="24"/>
  <c r="AI459" i="24"/>
  <c r="AN458" i="24"/>
  <c r="AL458" i="24"/>
  <c r="AP458" i="24" s="1"/>
  <c r="AL459" i="24"/>
  <c r="AP459" i="24" s="1"/>
  <c r="AO459" i="24"/>
  <c r="AJ484" i="24"/>
  <c r="AH484" i="24"/>
  <c r="AN259" i="24"/>
  <c r="AI501" i="24"/>
  <c r="AG501" i="24"/>
  <c r="AJ92" i="24"/>
  <c r="AH92" i="24"/>
  <c r="AM91" i="24"/>
  <c r="AQ91" i="24" s="1"/>
  <c r="AJ302" i="24"/>
  <c r="AH302" i="24"/>
  <c r="AN302" i="24"/>
  <c r="AM302" i="24"/>
  <c r="AQ302" i="24" s="1"/>
  <c r="AJ576" i="24"/>
  <c r="AH576" i="24"/>
  <c r="AI278" i="24"/>
  <c r="AG278" i="24"/>
  <c r="AL278" i="24"/>
  <c r="AP278" i="24" s="1"/>
  <c r="AH474" i="24"/>
  <c r="AJ474" i="24"/>
  <c r="AO473" i="24"/>
  <c r="AJ498" i="24"/>
  <c r="AH498" i="24"/>
  <c r="AM414" i="24"/>
  <c r="AJ414" i="24"/>
  <c r="AH414" i="24"/>
  <c r="AI213" i="24"/>
  <c r="AG213" i="24"/>
  <c r="AI342" i="24"/>
  <c r="AG342" i="24"/>
  <c r="AM397" i="24"/>
  <c r="AJ398" i="24"/>
  <c r="AH398" i="24"/>
  <c r="AJ453" i="24"/>
  <c r="AH453" i="24"/>
  <c r="AM453" i="24"/>
  <c r="AO452" i="24"/>
  <c r="AI361" i="24"/>
  <c r="AG361" i="24"/>
  <c r="AO361" i="24"/>
  <c r="AL361" i="24"/>
  <c r="AP361" i="24" s="1"/>
  <c r="AI207" i="24"/>
  <c r="AG207" i="24"/>
  <c r="AO207" i="24"/>
  <c r="AL207" i="24"/>
  <c r="AP207" i="24" s="1"/>
  <c r="AJ552" i="24"/>
  <c r="AH552" i="24"/>
  <c r="AM552" i="24"/>
  <c r="AQ552" i="24" s="1"/>
  <c r="AI319" i="24"/>
  <c r="AG319" i="24"/>
  <c r="AI330" i="24"/>
  <c r="AG330" i="24"/>
  <c r="AJ179" i="24"/>
  <c r="AH179" i="24"/>
  <c r="AM179" i="24"/>
  <c r="AQ179" i="24" s="1"/>
  <c r="AL422" i="24"/>
  <c r="AP422" i="24" s="1"/>
  <c r="AG447" i="24"/>
  <c r="AI447" i="24"/>
  <c r="AL447" i="24"/>
  <c r="AL446" i="24"/>
  <c r="AJ238" i="24"/>
  <c r="AH238" i="24"/>
  <c r="AM238" i="24"/>
  <c r="AN238" i="24"/>
  <c r="AZ248" i="24" s="1"/>
  <c r="AM434" i="24"/>
  <c r="AQ434" i="24" s="1"/>
  <c r="AO100" i="24"/>
  <c r="AL110" i="24"/>
  <c r="AP110" i="24" s="1"/>
  <c r="AI491" i="24"/>
  <c r="AG491" i="24"/>
  <c r="AG429" i="24"/>
  <c r="AI429" i="24"/>
  <c r="AL429" i="24"/>
  <c r="AP429" i="24" s="1"/>
  <c r="AO429" i="24"/>
  <c r="AN428" i="24"/>
  <c r="AJ110" i="24"/>
  <c r="AH110" i="24"/>
  <c r="AM110" i="24"/>
  <c r="AQ110" i="24" s="1"/>
  <c r="AN110" i="24"/>
  <c r="AG423" i="24"/>
  <c r="AI423" i="24"/>
  <c r="AL423" i="24"/>
  <c r="AP423" i="24" s="1"/>
  <c r="AO423" i="24"/>
  <c r="AI497" i="24"/>
  <c r="AG497" i="24"/>
  <c r="AL497" i="24"/>
  <c r="AP497" i="24" s="1"/>
  <c r="AO497" i="24"/>
  <c r="AJ236" i="24"/>
  <c r="AH236" i="24"/>
  <c r="AV249" i="24"/>
  <c r="AJ139" i="24"/>
  <c r="AH139" i="24"/>
  <c r="AM138" i="24"/>
  <c r="AQ138" i="24" s="1"/>
  <c r="AJ333" i="24"/>
  <c r="AH333" i="24"/>
  <c r="AI124" i="24"/>
  <c r="AG124" i="24"/>
  <c r="AU130" i="24"/>
  <c r="AI279" i="24"/>
  <c r="AG279" i="24"/>
  <c r="AO164" i="24"/>
  <c r="BA173" i="24" s="1"/>
  <c r="AL85" i="24"/>
  <c r="AP85" i="24" s="1"/>
  <c r="AL124" i="24"/>
  <c r="AP124" i="24" s="1"/>
  <c r="AN85" i="24"/>
  <c r="AO86" i="24"/>
  <c r="AL428" i="24"/>
  <c r="AP428" i="24" s="1"/>
  <c r="AO235" i="24"/>
  <c r="AY325" i="24"/>
  <c r="AO491" i="24"/>
  <c r="AI303" i="24"/>
  <c r="AG303" i="24"/>
  <c r="AL302" i="24"/>
  <c r="AP302" i="24" s="1"/>
  <c r="AL147" i="24"/>
  <c r="AP147" i="24" s="1"/>
  <c r="AI147" i="24"/>
  <c r="AG147" i="24"/>
  <c r="AI96" i="24"/>
  <c r="AG96" i="24"/>
  <c r="AV470" i="24"/>
  <c r="AJ201" i="24"/>
  <c r="AH201" i="24"/>
  <c r="AM201" i="24"/>
  <c r="AQ201" i="24" s="1"/>
  <c r="AJ154" i="24"/>
  <c r="AH154" i="24"/>
  <c r="AM154" i="24"/>
  <c r="AQ154" i="24" s="1"/>
  <c r="AI85" i="24"/>
  <c r="AG85" i="24"/>
  <c r="AO85" i="24"/>
  <c r="AJ486" i="24"/>
  <c r="AH486" i="24"/>
  <c r="AM486" i="24"/>
  <c r="AQ486" i="24" s="1"/>
  <c r="AN486" i="24"/>
  <c r="AI62" i="24"/>
  <c r="AG62" i="24"/>
  <c r="AI321" i="24"/>
  <c r="AG321" i="24"/>
  <c r="AJ497" i="24"/>
  <c r="AH497" i="24"/>
  <c r="AM497" i="24"/>
  <c r="AQ497" i="24" s="1"/>
  <c r="AN497" i="24"/>
  <c r="AO546" i="24"/>
  <c r="AJ528" i="24"/>
  <c r="AH528" i="24"/>
  <c r="AN528" i="24"/>
  <c r="AM528" i="24"/>
  <c r="AQ528" i="24" s="1"/>
  <c r="AJ487" i="24"/>
  <c r="AH487" i="24"/>
  <c r="AO486" i="24"/>
  <c r="AI250" i="24"/>
  <c r="AG250" i="24"/>
  <c r="AN98" i="24"/>
  <c r="AM272" i="24"/>
  <c r="AQ272" i="24" s="1"/>
  <c r="AI280" i="24"/>
  <c r="AG280" i="24"/>
  <c r="AU538" i="24"/>
  <c r="AG453" i="24"/>
  <c r="AI453" i="24"/>
  <c r="AL452" i="24"/>
  <c r="AP452" i="24" s="1"/>
  <c r="AL453" i="24"/>
  <c r="AP453" i="24" s="1"/>
  <c r="AN179" i="24"/>
  <c r="AI281" i="24"/>
  <c r="AG281" i="24"/>
  <c r="AL281" i="24"/>
  <c r="AP281" i="24" s="1"/>
  <c r="AO281" i="24"/>
  <c r="BA288" i="24" s="1"/>
  <c r="AJ113" i="24"/>
  <c r="AH113" i="24"/>
  <c r="AM113" i="24"/>
  <c r="AQ113" i="24" s="1"/>
  <c r="AI481" i="24"/>
  <c r="AG481" i="24"/>
  <c r="AL481" i="24"/>
  <c r="AP481" i="24" s="1"/>
  <c r="AI66" i="24"/>
  <c r="AG66" i="24"/>
  <c r="AJ282" i="24"/>
  <c r="AH282" i="24"/>
  <c r="AM281" i="24"/>
  <c r="AQ281" i="24" s="1"/>
  <c r="AI385" i="24"/>
  <c r="AG385" i="24"/>
  <c r="AI376" i="24"/>
  <c r="AG376" i="24"/>
  <c r="AJ508" i="24"/>
  <c r="AH508" i="24"/>
  <c r="AM508" i="24"/>
  <c r="AQ508" i="24" s="1"/>
  <c r="AN508" i="24"/>
  <c r="AO98" i="24"/>
  <c r="AN113" i="24"/>
  <c r="AI339" i="24"/>
  <c r="AG339" i="24"/>
  <c r="AI358" i="24"/>
  <c r="AG358" i="24"/>
  <c r="AL404" i="24"/>
  <c r="AP404" i="24" s="1"/>
  <c r="AG405" i="24"/>
  <c r="AI405" i="24"/>
  <c r="AG439" i="24"/>
  <c r="AI439" i="24"/>
  <c r="AV115" i="24"/>
  <c r="AO91" i="24"/>
  <c r="AL118" i="24"/>
  <c r="AP118" i="24" s="1"/>
  <c r="AM132" i="24"/>
  <c r="AO153" i="24"/>
  <c r="AU288" i="24"/>
  <c r="AX131" i="24"/>
  <c r="AO566" i="24"/>
  <c r="AG566" i="24"/>
  <c r="AI566" i="24"/>
  <c r="AL566" i="24"/>
  <c r="AI564" i="24"/>
  <c r="AO564" i="24"/>
  <c r="BP99" i="24" s="1"/>
  <c r="AG564" i="24"/>
  <c r="AL564" i="24"/>
  <c r="AX423" i="24"/>
  <c r="AX173" i="24"/>
  <c r="AM568" i="24"/>
  <c r="AQ568" i="24" s="1"/>
  <c r="AJ568" i="24"/>
  <c r="AH568" i="24"/>
  <c r="AN568" i="24"/>
  <c r="AY445" i="24"/>
  <c r="AM564" i="24"/>
  <c r="AJ564" i="24"/>
  <c r="AH564" i="24"/>
  <c r="AN564" i="24"/>
  <c r="BO99" i="24" s="1"/>
  <c r="AM566" i="24"/>
  <c r="AH566" i="24"/>
  <c r="AN566" i="24"/>
  <c r="AJ566" i="24"/>
  <c r="AI568" i="24"/>
  <c r="AO568" i="24"/>
  <c r="AG568" i="24"/>
  <c r="AL568" i="24"/>
  <c r="AP568" i="24" s="1"/>
  <c r="AD14" i="21"/>
  <c r="AD16" i="21"/>
  <c r="AT14" i="21"/>
  <c r="AT16" i="21"/>
  <c r="AM16" i="21"/>
  <c r="AM14" i="21"/>
  <c r="AJ14" i="21"/>
  <c r="AS13" i="21"/>
  <c r="AJ15" i="21"/>
  <c r="AJ13" i="21"/>
  <c r="AI13" i="21"/>
  <c r="AI15" i="21"/>
  <c r="AY13" i="21"/>
  <c r="AY15" i="21"/>
  <c r="AQ16" i="21"/>
  <c r="AQ14" i="21"/>
  <c r="AN15" i="21"/>
  <c r="AN13" i="21"/>
  <c r="AU13" i="21"/>
  <c r="AU15" i="21"/>
  <c r="AL13" i="21"/>
  <c r="AB16" i="21"/>
  <c r="BA16" i="21" s="1"/>
  <c r="AB14" i="21"/>
  <c r="AF15" i="21"/>
  <c r="AF13" i="21"/>
  <c r="AZ15" i="21"/>
  <c r="AZ13" i="21"/>
  <c r="AL16" i="21"/>
  <c r="AL14" i="21"/>
  <c r="AM13" i="21"/>
  <c r="AM15" i="21"/>
  <c r="AE16" i="21"/>
  <c r="AE14" i="21"/>
  <c r="AU16" i="21"/>
  <c r="AU14" i="21"/>
  <c r="AE13" i="21"/>
  <c r="AE15" i="21"/>
  <c r="AC13" i="21"/>
  <c r="AR15" i="21"/>
  <c r="AR13" i="21"/>
  <c r="AV15" i="21"/>
  <c r="AV13" i="21"/>
  <c r="AB13" i="21"/>
  <c r="AB15" i="21"/>
  <c r="BA15" i="21" s="1"/>
  <c r="AZ26" i="21"/>
  <c r="BA26" i="21"/>
  <c r="AQ15" i="21"/>
  <c r="AQ13" i="21"/>
  <c r="AI16" i="21"/>
  <c r="AI14" i="21"/>
  <c r="AY16" i="21"/>
  <c r="AY14" i="21"/>
  <c r="AC55" i="20"/>
  <c r="AA64" i="20"/>
  <c r="AC62" i="20"/>
  <c r="AD62" i="20" s="1"/>
  <c r="AF62" i="20" s="1"/>
  <c r="AA56" i="20"/>
  <c r="AC54" i="20"/>
  <c r="AD54" i="20" s="1"/>
  <c r="AF54" i="20" s="1"/>
  <c r="Z12" i="18"/>
  <c r="P14" i="18"/>
  <c r="Q14" i="18" s="1"/>
  <c r="Z14" i="18"/>
  <c r="S8" i="18"/>
  <c r="T8" i="18"/>
  <c r="S10" i="18"/>
  <c r="T10" i="18"/>
  <c r="S9" i="18"/>
  <c r="T9" i="18"/>
  <c r="AZ472" i="24" l="1"/>
  <c r="AX157" i="24"/>
  <c r="AY470" i="24"/>
  <c r="AY448" i="24"/>
  <c r="AZ499" i="24"/>
  <c r="BA472" i="24"/>
  <c r="AY538" i="24"/>
  <c r="AY446" i="24"/>
  <c r="AZ445" i="24"/>
  <c r="AY472" i="24"/>
  <c r="AY173" i="24"/>
  <c r="AZ156" i="24"/>
  <c r="AZ422" i="24"/>
  <c r="BA539" i="24"/>
  <c r="AX473" i="24"/>
  <c r="AY156" i="24"/>
  <c r="BA470" i="24"/>
  <c r="AZ288" i="24"/>
  <c r="AZ144" i="24"/>
  <c r="BA210" i="24"/>
  <c r="BA144" i="24"/>
  <c r="AY447" i="24"/>
  <c r="AY473" i="24"/>
  <c r="AZ157" i="24"/>
  <c r="AX445" i="24"/>
  <c r="BA116" i="24"/>
  <c r="AZ498" i="24"/>
  <c r="BA325" i="24"/>
  <c r="BA422" i="24"/>
  <c r="AR99" i="24"/>
  <c r="BA473" i="24"/>
  <c r="AY288" i="24"/>
  <c r="AQ99" i="24"/>
  <c r="AX144" i="24"/>
  <c r="AZ497" i="24"/>
  <c r="AZ447" i="24"/>
  <c r="AX368" i="24"/>
  <c r="AY498" i="24"/>
  <c r="AX143" i="24"/>
  <c r="BA156" i="24"/>
  <c r="BA420" i="24"/>
  <c r="AZ420" i="24"/>
  <c r="BA538" i="24"/>
  <c r="BO102" i="24"/>
  <c r="AY422" i="24"/>
  <c r="AX472" i="24"/>
  <c r="AX498" i="24"/>
  <c r="BP102" i="24"/>
  <c r="BA421" i="24"/>
  <c r="BA498" i="24"/>
  <c r="AX448" i="24"/>
  <c r="AY423" i="24"/>
  <c r="AY499" i="24"/>
  <c r="AZ446" i="24"/>
  <c r="BA499" i="24"/>
  <c r="BA368" i="24"/>
  <c r="AS99" i="24"/>
  <c r="AX116" i="24"/>
  <c r="BM102" i="24"/>
  <c r="AX538" i="24"/>
  <c r="AX539" i="24"/>
  <c r="AX325" i="24"/>
  <c r="AQ100" i="24"/>
  <c r="AX497" i="24"/>
  <c r="AX210" i="24"/>
  <c r="AT99" i="24"/>
  <c r="AQ455" i="24"/>
  <c r="AX447" i="24"/>
  <c r="BA471" i="24"/>
  <c r="BN102" i="24"/>
  <c r="AY210" i="24"/>
  <c r="AQ122" i="24"/>
  <c r="AY131" i="24"/>
  <c r="BO100" i="24"/>
  <c r="AX288" i="24"/>
  <c r="AX156" i="24"/>
  <c r="BA497" i="24"/>
  <c r="AZ539" i="24"/>
  <c r="AX422" i="24"/>
  <c r="BA447" i="24"/>
  <c r="AZ116" i="24"/>
  <c r="AZ471" i="24"/>
  <c r="AQ414" i="24"/>
  <c r="AY420" i="24"/>
  <c r="AY157" i="24"/>
  <c r="AP564" i="24"/>
  <c r="BM99" i="24"/>
  <c r="AQ238" i="24"/>
  <c r="AY248" i="24"/>
  <c r="AP447" i="24"/>
  <c r="AX471" i="24"/>
  <c r="AQ397" i="24"/>
  <c r="AY421" i="24"/>
  <c r="AP566" i="24"/>
  <c r="BM100" i="24"/>
  <c r="AP446" i="24"/>
  <c r="AX470" i="24"/>
  <c r="AQ453" i="24"/>
  <c r="AY471" i="24"/>
  <c r="AQ566" i="24"/>
  <c r="BN100" i="24"/>
  <c r="AT100" i="24"/>
  <c r="AP397" i="24"/>
  <c r="AX421" i="24"/>
  <c r="AS67" i="24"/>
  <c r="AP473" i="24"/>
  <c r="AX499" i="24"/>
  <c r="AR100" i="24"/>
  <c r="AP238" i="24"/>
  <c r="AX248" i="24"/>
  <c r="AP396" i="24"/>
  <c r="AX420" i="24"/>
  <c r="AQ564" i="24"/>
  <c r="BN99" i="24"/>
  <c r="AY497" i="24"/>
  <c r="AY539" i="24"/>
  <c r="BP100" i="24"/>
  <c r="AX446" i="24"/>
  <c r="AQ132" i="24"/>
  <c r="AY144" i="24"/>
  <c r="AY116" i="24"/>
  <c r="BC23" i="13" l="1"/>
  <c r="AY55" i="13"/>
  <c r="AY54" i="13"/>
  <c r="AY53" i="13"/>
  <c r="AY52" i="13"/>
  <c r="AY51" i="13"/>
  <c r="AY50" i="13"/>
  <c r="AY49" i="13"/>
  <c r="AY48" i="13"/>
  <c r="AY47" i="13"/>
  <c r="AY46" i="13"/>
  <c r="AY45" i="13"/>
  <c r="AY44" i="13"/>
  <c r="AY43" i="13"/>
  <c r="AY42" i="13"/>
  <c r="AY41" i="13"/>
  <c r="AY40" i="13"/>
  <c r="AY39" i="13"/>
  <c r="AY38" i="13"/>
  <c r="AY37" i="13"/>
  <c r="AY3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Y28" i="13"/>
  <c r="AY27" i="13"/>
  <c r="AY26" i="13"/>
  <c r="AY25" i="13"/>
  <c r="AY24" i="13"/>
  <c r="AY23" i="13"/>
  <c r="AY22" i="13"/>
  <c r="AY21" i="13"/>
  <c r="AY20" i="13"/>
  <c r="AY19" i="13"/>
  <c r="AY18" i="13"/>
  <c r="AY17" i="13"/>
  <c r="AY16" i="13"/>
  <c r="AW30" i="13"/>
  <c r="AW189" i="13" s="1"/>
  <c r="BY184" i="13" s="1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Y10" i="13"/>
  <c r="AY9" i="13"/>
  <c r="AY8" i="13"/>
  <c r="AY7" i="13"/>
  <c r="AY6" i="13"/>
  <c r="AW10" i="13"/>
  <c r="AW9" i="13"/>
  <c r="AW8" i="13"/>
  <c r="AW7" i="13"/>
  <c r="AW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S10" i="13"/>
  <c r="AS9" i="13"/>
  <c r="AS8" i="13"/>
  <c r="AS7" i="13"/>
  <c r="AS6" i="13"/>
  <c r="AQ10" i="13"/>
  <c r="AQ9" i="13"/>
  <c r="AQ8" i="13"/>
  <c r="AQ7" i="13"/>
  <c r="AQ6" i="13"/>
  <c r="AK45" i="13"/>
  <c r="AK40" i="13"/>
  <c r="AI45" i="13"/>
  <c r="AI40" i="13"/>
  <c r="AK17" i="13"/>
  <c r="AI17" i="13"/>
  <c r="AE52" i="13"/>
  <c r="AE51" i="13"/>
  <c r="AE49" i="13"/>
  <c r="AE48" i="13"/>
  <c r="AE46" i="13"/>
  <c r="AE45" i="13"/>
  <c r="AE44" i="13"/>
  <c r="AE43" i="13"/>
  <c r="AE42" i="13"/>
  <c r="AE41" i="13"/>
  <c r="AE40" i="13"/>
  <c r="AE38" i="13"/>
  <c r="AC52" i="13"/>
  <c r="AC51" i="13"/>
  <c r="AC49" i="13"/>
  <c r="AC48" i="13"/>
  <c r="AC46" i="13"/>
  <c r="AC45" i="13"/>
  <c r="AC44" i="13"/>
  <c r="AC43" i="13"/>
  <c r="AC42" i="13"/>
  <c r="AC41" i="13"/>
  <c r="AC40" i="13"/>
  <c r="AC38" i="13"/>
  <c r="AE29" i="13"/>
  <c r="AE28" i="13"/>
  <c r="AE27" i="13"/>
  <c r="AE26" i="13"/>
  <c r="AE24" i="13"/>
  <c r="AE23" i="13"/>
  <c r="AE22" i="13"/>
  <c r="AE17" i="13"/>
  <c r="AE10" i="13"/>
  <c r="AE8" i="13"/>
  <c r="AE7" i="13"/>
  <c r="Y10" i="13"/>
  <c r="Y8" i="13"/>
  <c r="Y7" i="13"/>
  <c r="Y6" i="13"/>
  <c r="X10" i="13"/>
  <c r="X8" i="13"/>
  <c r="AL78" i="13" s="1"/>
  <c r="AM78" i="13" s="1"/>
  <c r="AN78" i="13" s="1"/>
  <c r="X7" i="13"/>
  <c r="X6" i="13"/>
  <c r="AL77" i="13" s="1"/>
  <c r="AM77" i="13" s="1"/>
  <c r="AN77" i="13" s="1"/>
  <c r="BA30" i="13" l="1"/>
  <c r="AQ77" i="13"/>
  <c r="AO77" i="13" s="1"/>
  <c r="AC29" i="13"/>
  <c r="AC28" i="13"/>
  <c r="AC27" i="13"/>
  <c r="AC26" i="13"/>
  <c r="AC24" i="13"/>
  <c r="AC23" i="13"/>
  <c r="AC22" i="13"/>
  <c r="AC17" i="13"/>
  <c r="AD17" i="13"/>
  <c r="AJ17" i="13"/>
  <c r="AC10" i="13"/>
  <c r="AC8" i="13"/>
  <c r="AC7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8" i="13"/>
  <c r="W52" i="13"/>
  <c r="W51" i="13"/>
  <c r="W50" i="13"/>
  <c r="W49" i="13"/>
  <c r="W48" i="13"/>
  <c r="W47" i="13"/>
  <c r="W46" i="13"/>
  <c r="W45" i="13"/>
  <c r="W44" i="13"/>
  <c r="W43" i="13"/>
  <c r="W42" i="13"/>
  <c r="W41" i="13"/>
  <c r="W40" i="13"/>
  <c r="W38" i="13"/>
  <c r="Y31" i="13"/>
  <c r="Y30" i="13"/>
  <c r="Y29" i="13"/>
  <c r="Y28" i="13"/>
  <c r="Y27" i="13"/>
  <c r="Y26" i="13"/>
  <c r="Y24" i="13"/>
  <c r="Y23" i="13"/>
  <c r="Y22" i="13"/>
  <c r="Y21" i="13"/>
  <c r="Y20" i="13"/>
  <c r="Y19" i="13"/>
  <c r="Y18" i="13"/>
  <c r="Y17" i="13"/>
  <c r="W31" i="13"/>
  <c r="W30" i="13"/>
  <c r="W29" i="13"/>
  <c r="W28" i="13"/>
  <c r="W27" i="13"/>
  <c r="W26" i="13"/>
  <c r="W24" i="13"/>
  <c r="W23" i="13"/>
  <c r="W22" i="13"/>
  <c r="W21" i="13"/>
  <c r="W20" i="13"/>
  <c r="W19" i="13"/>
  <c r="W18" i="13"/>
  <c r="W17" i="13"/>
  <c r="W10" i="13"/>
  <c r="W8" i="13"/>
  <c r="W7" i="13"/>
  <c r="W6" i="13"/>
  <c r="P39" i="13"/>
  <c r="O39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I56" i="13"/>
  <c r="I55" i="13"/>
  <c r="K94" i="13" s="1"/>
  <c r="I54" i="13"/>
  <c r="I53" i="13"/>
  <c r="I52" i="13"/>
  <c r="I51" i="13"/>
  <c r="I50" i="13"/>
  <c r="I49" i="13"/>
  <c r="I48" i="13"/>
  <c r="I47" i="13"/>
  <c r="K90" i="13" s="1"/>
  <c r="I46" i="13"/>
  <c r="I45" i="13"/>
  <c r="I44" i="13"/>
  <c r="I43" i="13"/>
  <c r="I42" i="13"/>
  <c r="I41" i="13"/>
  <c r="I40" i="13"/>
  <c r="I39" i="13"/>
  <c r="I38" i="13"/>
  <c r="K87" i="13" s="1"/>
  <c r="I37" i="13"/>
  <c r="D56" i="13"/>
  <c r="C56" i="13"/>
  <c r="D55" i="13"/>
  <c r="C55" i="13"/>
  <c r="D54" i="13"/>
  <c r="C54" i="13"/>
  <c r="D53" i="13"/>
  <c r="C53" i="13"/>
  <c r="D52" i="13"/>
  <c r="C52" i="13"/>
  <c r="D51" i="13"/>
  <c r="C51" i="13"/>
  <c r="D50" i="13"/>
  <c r="C50" i="13"/>
  <c r="D49" i="13"/>
  <c r="C49" i="13"/>
  <c r="D48" i="13"/>
  <c r="C48" i="13"/>
  <c r="D47" i="13"/>
  <c r="C47" i="13"/>
  <c r="D46" i="13"/>
  <c r="C46" i="13"/>
  <c r="D45" i="13"/>
  <c r="C45" i="13"/>
  <c r="D44" i="13"/>
  <c r="C44" i="13"/>
  <c r="D43" i="13"/>
  <c r="C43" i="13"/>
  <c r="D42" i="13"/>
  <c r="C42" i="13"/>
  <c r="D41" i="13"/>
  <c r="C41" i="13"/>
  <c r="D40" i="13"/>
  <c r="C40" i="13"/>
  <c r="D39" i="13"/>
  <c r="C39" i="13"/>
  <c r="D38" i="13"/>
  <c r="C38" i="13"/>
  <c r="D37" i="13"/>
  <c r="C37" i="13"/>
  <c r="P22" i="13"/>
  <c r="O22" i="13"/>
  <c r="P18" i="13"/>
  <c r="O18" i="13"/>
  <c r="I31" i="13"/>
  <c r="I30" i="13"/>
  <c r="I29" i="13"/>
  <c r="I28" i="13"/>
  <c r="I27" i="13"/>
  <c r="I26" i="13"/>
  <c r="I25" i="13"/>
  <c r="I24" i="13"/>
  <c r="I23" i="13"/>
  <c r="I22" i="13"/>
  <c r="K81" i="13" s="1"/>
  <c r="I21" i="13"/>
  <c r="I20" i="13"/>
  <c r="I19" i="13"/>
  <c r="I18" i="13"/>
  <c r="I17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D31" i="13"/>
  <c r="C31" i="13"/>
  <c r="D30" i="13"/>
  <c r="C30" i="13"/>
  <c r="D29" i="13"/>
  <c r="C29" i="13"/>
  <c r="D28" i="13"/>
  <c r="C28" i="13"/>
  <c r="D27" i="13"/>
  <c r="C27" i="13"/>
  <c r="D26" i="13"/>
  <c r="C26" i="13"/>
  <c r="D25" i="13"/>
  <c r="C25" i="13"/>
  <c r="D24" i="13"/>
  <c r="C24" i="13"/>
  <c r="D23" i="13"/>
  <c r="C23" i="13"/>
  <c r="D22" i="13"/>
  <c r="C22" i="13"/>
  <c r="D21" i="13"/>
  <c r="C21" i="13"/>
  <c r="D20" i="13"/>
  <c r="C20" i="13"/>
  <c r="D19" i="13"/>
  <c r="C19" i="13"/>
  <c r="D18" i="13"/>
  <c r="C18" i="13"/>
  <c r="D17" i="13"/>
  <c r="C17" i="13"/>
  <c r="P10" i="13"/>
  <c r="O10" i="13"/>
  <c r="I10" i="13"/>
  <c r="I9" i="13"/>
  <c r="I8" i="13"/>
  <c r="K79" i="13" s="1"/>
  <c r="I7" i="13"/>
  <c r="I6" i="13"/>
  <c r="J6" i="13"/>
  <c r="J10" i="13"/>
  <c r="J9" i="13"/>
  <c r="J8" i="13"/>
  <c r="J7" i="13"/>
  <c r="D10" i="13"/>
  <c r="C10" i="13"/>
  <c r="D9" i="13"/>
  <c r="C9" i="13"/>
  <c r="D8" i="13"/>
  <c r="C8" i="13"/>
  <c r="D7" i="13"/>
  <c r="C7" i="13"/>
  <c r="D6" i="13"/>
  <c r="C6" i="13"/>
  <c r="C57" i="13" l="1"/>
  <c r="M6" i="13"/>
  <c r="AG17" i="13"/>
  <c r="AM17" i="13"/>
  <c r="CR90" i="11"/>
  <c r="CQ89" i="11"/>
  <c r="CS88" i="11"/>
  <c r="CQ88" i="11"/>
  <c r="CN88" i="11"/>
  <c r="CP80" i="11"/>
  <c r="NK248" i="13" l="1"/>
  <c r="T20" i="11" l="1"/>
  <c r="FF110" i="11" l="1"/>
  <c r="FC110" i="11"/>
  <c r="GK107" i="11" l="1"/>
  <c r="NJ248" i="13" l="1"/>
  <c r="NM248" i="13"/>
  <c r="NQ248" i="13" s="1"/>
  <c r="NN248" i="13"/>
  <c r="NI247" i="13"/>
  <c r="NI249" i="13"/>
  <c r="NJ247" i="13"/>
  <c r="NJ249" i="13"/>
  <c r="NI248" i="13"/>
  <c r="NL248" i="13"/>
  <c r="NP248" i="13" s="1"/>
  <c r="NO248" i="13"/>
  <c r="CA92" i="13" l="1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AW93" i="13" l="1"/>
  <c r="AW92" i="13"/>
  <c r="AW91" i="13"/>
  <c r="AW90" i="13"/>
  <c r="AW89" i="13"/>
  <c r="AW88" i="13"/>
  <c r="AW87" i="13"/>
  <c r="AW86" i="13"/>
  <c r="AW85" i="13"/>
  <c r="AW84" i="13" l="1"/>
  <c r="AW83" i="13"/>
  <c r="AW82" i="13"/>
  <c r="AW81" i="13"/>
  <c r="AW80" i="13"/>
  <c r="AW79" i="13"/>
  <c r="AW78" i="13"/>
  <c r="AW77" i="13"/>
  <c r="R93" i="13" l="1"/>
  <c r="R92" i="13"/>
  <c r="R91" i="13"/>
  <c r="R89" i="13"/>
  <c r="R85" i="13"/>
  <c r="R83" i="13"/>
  <c r="BP61" i="11" l="1"/>
  <c r="CG61" i="11" s="1"/>
  <c r="BW60" i="11"/>
  <c r="BP60" i="11"/>
  <c r="CG59" i="11"/>
  <c r="CD58" i="11"/>
  <c r="CG58" i="11" s="1"/>
  <c r="CG57" i="11"/>
  <c r="CI57" i="11" s="1"/>
  <c r="CG56" i="11"/>
  <c r="CI56" i="11" s="1"/>
  <c r="BF61" i="11"/>
  <c r="AW60" i="11"/>
  <c r="AL60" i="11"/>
  <c r="BF59" i="11"/>
  <c r="BH59" i="11" s="1"/>
  <c r="BB58" i="11"/>
  <c r="BF58" i="11" s="1"/>
  <c r="BF57" i="11"/>
  <c r="AN56" i="11"/>
  <c r="BF56" i="11" s="1"/>
  <c r="BH56" i="11" s="1"/>
  <c r="CG60" i="11" l="1"/>
  <c r="CI60" i="11" s="1"/>
  <c r="BF60" i="11"/>
  <c r="CH57" i="11"/>
  <c r="CH58" i="11"/>
  <c r="CI58" i="11"/>
  <c r="CI61" i="11"/>
  <c r="CH61" i="11"/>
  <c r="CH56" i="11"/>
  <c r="BH58" i="11"/>
  <c r="BG58" i="11"/>
  <c r="BG59" i="11"/>
  <c r="BG56" i="11"/>
  <c r="CH60" i="11" l="1"/>
  <c r="BG60" i="11"/>
  <c r="BH60" i="11"/>
  <c r="AF38" i="11"/>
  <c r="AF37" i="11"/>
  <c r="AF35" i="11"/>
  <c r="AF36" i="11"/>
  <c r="AF34" i="11"/>
  <c r="AF32" i="11"/>
  <c r="AF33" i="11"/>
  <c r="AF39" i="11"/>
  <c r="L20" i="11"/>
  <c r="W28" i="11"/>
  <c r="T28" i="11"/>
  <c r="W27" i="11"/>
  <c r="W26" i="11"/>
  <c r="T27" i="11"/>
  <c r="T26" i="11"/>
  <c r="L19" i="11"/>
  <c r="L21" i="11"/>
  <c r="G21" i="11"/>
  <c r="G20" i="11"/>
  <c r="G19" i="11"/>
  <c r="M19" i="11" s="1"/>
  <c r="X26" i="11" l="1"/>
  <c r="X27" i="11"/>
  <c r="X28" i="11"/>
  <c r="M21" i="11"/>
  <c r="M20" i="11"/>
  <c r="L459" i="13" l="1"/>
  <c r="M459" i="13" s="1"/>
  <c r="N459" i="13" s="1"/>
  <c r="L377" i="13"/>
  <c r="M377" i="13" s="1"/>
  <c r="N377" i="13" s="1"/>
  <c r="L378" i="13"/>
  <c r="M378" i="13" s="1"/>
  <c r="N378" i="13" s="1"/>
  <c r="L376" i="13"/>
  <c r="M376" i="13" s="1"/>
  <c r="N376" i="13" s="1"/>
  <c r="L320" i="13"/>
  <c r="M320" i="13" s="1"/>
  <c r="N320" i="13" s="1"/>
  <c r="L319" i="13"/>
  <c r="M319" i="13" s="1"/>
  <c r="N319" i="13" s="1"/>
  <c r="L318" i="13"/>
  <c r="M318" i="13" s="1"/>
  <c r="N318" i="13" s="1"/>
  <c r="L317" i="13"/>
  <c r="M317" i="13" s="1"/>
  <c r="N317" i="13" s="1"/>
  <c r="L316" i="13"/>
  <c r="M316" i="13" s="1"/>
  <c r="N316" i="13" s="1"/>
  <c r="L299" i="13"/>
  <c r="M299" i="13" s="1"/>
  <c r="N299" i="13" s="1"/>
  <c r="L298" i="13"/>
  <c r="M298" i="13" s="1"/>
  <c r="N298" i="13" s="1"/>
  <c r="L297" i="13"/>
  <c r="M297" i="13" s="1"/>
  <c r="N297" i="13" s="1"/>
  <c r="L295" i="13"/>
  <c r="M295" i="13" s="1"/>
  <c r="N295" i="13" s="1"/>
  <c r="L294" i="13"/>
  <c r="M294" i="13" s="1"/>
  <c r="N294" i="13" s="1"/>
  <c r="L296" i="13"/>
  <c r="M296" i="13" s="1"/>
  <c r="N296" i="13" s="1"/>
  <c r="L326" i="13"/>
  <c r="L327" i="13"/>
  <c r="L359" i="13"/>
  <c r="M359" i="13" s="1"/>
  <c r="N359" i="13" s="1"/>
  <c r="L358" i="13"/>
  <c r="M358" i="13" s="1"/>
  <c r="N358" i="13" s="1"/>
  <c r="M326" i="13" l="1"/>
  <c r="N326" i="13" s="1"/>
  <c r="S326" i="13"/>
  <c r="M327" i="13"/>
  <c r="N327" i="13" s="1"/>
  <c r="S327" i="13"/>
  <c r="L420" i="13"/>
  <c r="M420" i="13" s="1"/>
  <c r="N420" i="13" s="1"/>
  <c r="L421" i="13"/>
  <c r="M421" i="13" s="1"/>
  <c r="N421" i="13" s="1"/>
  <c r="L422" i="13"/>
  <c r="M422" i="13" s="1"/>
  <c r="N422" i="13" s="1"/>
  <c r="L423" i="13"/>
  <c r="M423" i="13" s="1"/>
  <c r="N423" i="13" s="1"/>
  <c r="L424" i="13"/>
  <c r="M424" i="13" s="1"/>
  <c r="N424" i="13" s="1"/>
  <c r="L425" i="13"/>
  <c r="M425" i="13" s="1"/>
  <c r="N425" i="13" s="1"/>
  <c r="L426" i="13"/>
  <c r="M426" i="13" s="1"/>
  <c r="N426" i="13" s="1"/>
  <c r="L427" i="13"/>
  <c r="M427" i="13" s="1"/>
  <c r="N427" i="13" s="1"/>
  <c r="L428" i="13"/>
  <c r="M428" i="13" s="1"/>
  <c r="N428" i="13" s="1"/>
  <c r="L429" i="13"/>
  <c r="M429" i="13" s="1"/>
  <c r="N429" i="13" s="1"/>
  <c r="L430" i="13"/>
  <c r="M430" i="13" s="1"/>
  <c r="N430" i="13" s="1"/>
  <c r="L431" i="13"/>
  <c r="M431" i="13" s="1"/>
  <c r="N431" i="13" s="1"/>
  <c r="L432" i="13"/>
  <c r="M432" i="13" s="1"/>
  <c r="N432" i="13" s="1"/>
  <c r="L433" i="13"/>
  <c r="M433" i="13" s="1"/>
  <c r="N433" i="13" s="1"/>
  <c r="L434" i="13"/>
  <c r="M434" i="13" s="1"/>
  <c r="N434" i="13" s="1"/>
  <c r="L435" i="13"/>
  <c r="M435" i="13" s="1"/>
  <c r="N435" i="13" s="1"/>
  <c r="L436" i="13"/>
  <c r="M436" i="13" s="1"/>
  <c r="N436" i="13" s="1"/>
  <c r="L437" i="13"/>
  <c r="M437" i="13" s="1"/>
  <c r="N437" i="13" s="1"/>
  <c r="L438" i="13"/>
  <c r="M438" i="13" s="1"/>
  <c r="N438" i="13" s="1"/>
  <c r="L439" i="13"/>
  <c r="M439" i="13" s="1"/>
  <c r="N439" i="13" s="1"/>
  <c r="L440" i="13"/>
  <c r="M440" i="13" s="1"/>
  <c r="N440" i="13" s="1"/>
  <c r="L441" i="13"/>
  <c r="M441" i="13" s="1"/>
  <c r="N441" i="13" s="1"/>
  <c r="L442" i="13"/>
  <c r="M442" i="13" s="1"/>
  <c r="N442" i="13" s="1"/>
  <c r="L443" i="13"/>
  <c r="M443" i="13" s="1"/>
  <c r="N443" i="13" s="1"/>
  <c r="L444" i="13"/>
  <c r="M444" i="13" s="1"/>
  <c r="N444" i="13" s="1"/>
  <c r="L445" i="13"/>
  <c r="M445" i="13" s="1"/>
  <c r="N445" i="13" s="1"/>
  <c r="L446" i="13"/>
  <c r="M446" i="13" s="1"/>
  <c r="N446" i="13" s="1"/>
  <c r="L447" i="13"/>
  <c r="M447" i="13" s="1"/>
  <c r="N447" i="13" s="1"/>
  <c r="L448" i="13"/>
  <c r="M448" i="13" s="1"/>
  <c r="N448" i="13" s="1"/>
  <c r="L449" i="13"/>
  <c r="M449" i="13" s="1"/>
  <c r="N449" i="13" s="1"/>
  <c r="L450" i="13"/>
  <c r="M450" i="13" s="1"/>
  <c r="N450" i="13" s="1"/>
  <c r="L451" i="13"/>
  <c r="M451" i="13" s="1"/>
  <c r="N451" i="13" s="1"/>
  <c r="L452" i="13"/>
  <c r="M452" i="13" s="1"/>
  <c r="N452" i="13" s="1"/>
  <c r="L453" i="13"/>
  <c r="M453" i="13" s="1"/>
  <c r="N453" i="13" s="1"/>
  <c r="L454" i="13"/>
  <c r="M454" i="13" s="1"/>
  <c r="N454" i="13" s="1"/>
  <c r="L455" i="13"/>
  <c r="M455" i="13" s="1"/>
  <c r="N455" i="13" s="1"/>
  <c r="L456" i="13"/>
  <c r="M456" i="13" s="1"/>
  <c r="N456" i="13" s="1"/>
  <c r="L457" i="13"/>
  <c r="M457" i="13" s="1"/>
  <c r="N457" i="13" s="1"/>
  <c r="L458" i="13"/>
  <c r="M458" i="13" s="1"/>
  <c r="N458" i="13" s="1"/>
  <c r="L379" i="13"/>
  <c r="M379" i="13" s="1"/>
  <c r="N379" i="13" s="1"/>
  <c r="L419" i="13"/>
  <c r="M419" i="13" s="1"/>
  <c r="N419" i="13" s="1"/>
  <c r="L418" i="13"/>
  <c r="M418" i="13" s="1"/>
  <c r="N418" i="13" s="1"/>
  <c r="L417" i="13"/>
  <c r="M417" i="13" s="1"/>
  <c r="N417" i="13" s="1"/>
  <c r="L416" i="13"/>
  <c r="M416" i="13" s="1"/>
  <c r="N416" i="13" s="1"/>
  <c r="L415" i="13"/>
  <c r="M415" i="13" s="1"/>
  <c r="N415" i="13" s="1"/>
  <c r="L414" i="13"/>
  <c r="M414" i="13" s="1"/>
  <c r="N414" i="13" s="1"/>
  <c r="L413" i="13"/>
  <c r="M413" i="13" s="1"/>
  <c r="N413" i="13" s="1"/>
  <c r="L412" i="13"/>
  <c r="M412" i="13" s="1"/>
  <c r="N412" i="13" s="1"/>
  <c r="L411" i="13"/>
  <c r="M411" i="13" s="1"/>
  <c r="N411" i="13" s="1"/>
  <c r="L410" i="13"/>
  <c r="M410" i="13" s="1"/>
  <c r="N410" i="13" s="1"/>
  <c r="L409" i="13"/>
  <c r="M409" i="13" s="1"/>
  <c r="N409" i="13" s="1"/>
  <c r="L408" i="13"/>
  <c r="M408" i="13" s="1"/>
  <c r="N408" i="13" s="1"/>
  <c r="L407" i="13"/>
  <c r="M407" i="13" s="1"/>
  <c r="N407" i="13" s="1"/>
  <c r="L406" i="13"/>
  <c r="M406" i="13" s="1"/>
  <c r="N406" i="13" s="1"/>
  <c r="L405" i="13"/>
  <c r="M405" i="13" s="1"/>
  <c r="N405" i="13" s="1"/>
  <c r="L404" i="13"/>
  <c r="M404" i="13" s="1"/>
  <c r="N404" i="13" s="1"/>
  <c r="L403" i="13"/>
  <c r="M403" i="13" s="1"/>
  <c r="N403" i="13" s="1"/>
  <c r="L402" i="13"/>
  <c r="M402" i="13" s="1"/>
  <c r="N402" i="13" s="1"/>
  <c r="L401" i="13"/>
  <c r="M401" i="13" s="1"/>
  <c r="N401" i="13" s="1"/>
  <c r="L400" i="13"/>
  <c r="M400" i="13" s="1"/>
  <c r="N400" i="13" s="1"/>
  <c r="L399" i="13"/>
  <c r="M399" i="13" s="1"/>
  <c r="N399" i="13" s="1"/>
  <c r="L398" i="13"/>
  <c r="M398" i="13" s="1"/>
  <c r="N398" i="13" s="1"/>
  <c r="L397" i="13"/>
  <c r="M397" i="13" s="1"/>
  <c r="N397" i="13" s="1"/>
  <c r="L396" i="13"/>
  <c r="M396" i="13" s="1"/>
  <c r="N396" i="13" s="1"/>
  <c r="L395" i="13"/>
  <c r="M395" i="13" s="1"/>
  <c r="N395" i="13" s="1"/>
  <c r="L394" i="13"/>
  <c r="M394" i="13" s="1"/>
  <c r="N394" i="13" s="1"/>
  <c r="L393" i="13"/>
  <c r="M393" i="13" s="1"/>
  <c r="N393" i="13" s="1"/>
  <c r="L392" i="13"/>
  <c r="M392" i="13" s="1"/>
  <c r="N392" i="13" s="1"/>
  <c r="L391" i="13"/>
  <c r="M391" i="13" s="1"/>
  <c r="N391" i="13" s="1"/>
  <c r="L390" i="13"/>
  <c r="M390" i="13" s="1"/>
  <c r="N390" i="13" s="1"/>
  <c r="L389" i="13"/>
  <c r="M389" i="13" s="1"/>
  <c r="N389" i="13" s="1"/>
  <c r="L388" i="13"/>
  <c r="M388" i="13" s="1"/>
  <c r="N388" i="13" s="1"/>
  <c r="L387" i="13"/>
  <c r="M387" i="13" s="1"/>
  <c r="N387" i="13" s="1"/>
  <c r="L386" i="13"/>
  <c r="M386" i="13" s="1"/>
  <c r="N386" i="13" s="1"/>
  <c r="L385" i="13"/>
  <c r="M385" i="13" s="1"/>
  <c r="N385" i="13" s="1"/>
  <c r="L384" i="13"/>
  <c r="M384" i="13" s="1"/>
  <c r="N384" i="13" s="1"/>
  <c r="L383" i="13"/>
  <c r="M383" i="13" s="1"/>
  <c r="N383" i="13" s="1"/>
  <c r="L382" i="13"/>
  <c r="M382" i="13" s="1"/>
  <c r="N382" i="13" s="1"/>
  <c r="L381" i="13"/>
  <c r="M381" i="13" s="1"/>
  <c r="N381" i="13" s="1"/>
  <c r="L380" i="13"/>
  <c r="M380" i="13" s="1"/>
  <c r="N380" i="13" s="1"/>
  <c r="L372" i="13"/>
  <c r="M372" i="13" s="1"/>
  <c r="N372" i="13" s="1"/>
  <c r="L373" i="13"/>
  <c r="M373" i="13" s="1"/>
  <c r="N373" i="13" s="1"/>
  <c r="L374" i="13"/>
  <c r="M374" i="13" s="1"/>
  <c r="N374" i="13" s="1"/>
  <c r="L353" i="13"/>
  <c r="M353" i="13" s="1"/>
  <c r="N353" i="13" s="1"/>
  <c r="L354" i="13"/>
  <c r="M354" i="13" s="1"/>
  <c r="N354" i="13" s="1"/>
  <c r="L355" i="13"/>
  <c r="M355" i="13" s="1"/>
  <c r="N355" i="13" s="1"/>
  <c r="L356" i="13"/>
  <c r="M356" i="13" s="1"/>
  <c r="N356" i="13" s="1"/>
  <c r="L357" i="13"/>
  <c r="M357" i="13" s="1"/>
  <c r="N357" i="13" s="1"/>
  <c r="L360" i="13"/>
  <c r="M360" i="13" s="1"/>
  <c r="N360" i="13" s="1"/>
  <c r="L361" i="13"/>
  <c r="M361" i="13" s="1"/>
  <c r="N361" i="13" s="1"/>
  <c r="L362" i="13"/>
  <c r="M362" i="13" s="1"/>
  <c r="N362" i="13" s="1"/>
  <c r="L363" i="13"/>
  <c r="M363" i="13" s="1"/>
  <c r="N363" i="13" s="1"/>
  <c r="L364" i="13"/>
  <c r="M364" i="13" s="1"/>
  <c r="N364" i="13" s="1"/>
  <c r="L365" i="13"/>
  <c r="M365" i="13" s="1"/>
  <c r="N365" i="13" s="1"/>
  <c r="L366" i="13"/>
  <c r="M366" i="13" s="1"/>
  <c r="N366" i="13" s="1"/>
  <c r="L367" i="13"/>
  <c r="M367" i="13" s="1"/>
  <c r="N367" i="13" s="1"/>
  <c r="L368" i="13"/>
  <c r="M368" i="13" s="1"/>
  <c r="N368" i="13" s="1"/>
  <c r="L369" i="13"/>
  <c r="M369" i="13" s="1"/>
  <c r="N369" i="13" s="1"/>
  <c r="L370" i="13"/>
  <c r="M370" i="13" s="1"/>
  <c r="N370" i="13" s="1"/>
  <c r="L371" i="13"/>
  <c r="M371" i="13" s="1"/>
  <c r="N371" i="13" s="1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5" i="13"/>
  <c r="L324" i="13"/>
  <c r="L323" i="13"/>
  <c r="L322" i="13"/>
  <c r="L321" i="13"/>
  <c r="L278" i="13"/>
  <c r="M278" i="13" s="1"/>
  <c r="N278" i="13" s="1"/>
  <c r="L279" i="13"/>
  <c r="M279" i="13" s="1"/>
  <c r="N279" i="13" s="1"/>
  <c r="L280" i="13"/>
  <c r="M280" i="13" s="1"/>
  <c r="N280" i="13" s="1"/>
  <c r="L281" i="13"/>
  <c r="M281" i="13" s="1"/>
  <c r="N281" i="13" s="1"/>
  <c r="L282" i="13"/>
  <c r="M282" i="13" s="1"/>
  <c r="N282" i="13" s="1"/>
  <c r="L283" i="13"/>
  <c r="M283" i="13" s="1"/>
  <c r="N283" i="13" s="1"/>
  <c r="L284" i="13"/>
  <c r="M284" i="13" s="1"/>
  <c r="N284" i="13" s="1"/>
  <c r="L285" i="13"/>
  <c r="M285" i="13" s="1"/>
  <c r="N285" i="13" s="1"/>
  <c r="L286" i="13"/>
  <c r="M286" i="13" s="1"/>
  <c r="N286" i="13" s="1"/>
  <c r="L287" i="13"/>
  <c r="M287" i="13" s="1"/>
  <c r="N287" i="13" s="1"/>
  <c r="L288" i="13"/>
  <c r="M288" i="13" s="1"/>
  <c r="N288" i="13" s="1"/>
  <c r="L289" i="13"/>
  <c r="M289" i="13" s="1"/>
  <c r="N289" i="13" s="1"/>
  <c r="L290" i="13"/>
  <c r="M290" i="13" s="1"/>
  <c r="N290" i="13" s="1"/>
  <c r="L291" i="13"/>
  <c r="M291" i="13" s="1"/>
  <c r="N291" i="13" s="1"/>
  <c r="L292" i="13"/>
  <c r="M292" i="13" s="1"/>
  <c r="N292" i="13" s="1"/>
  <c r="L293" i="13"/>
  <c r="M293" i="13" s="1"/>
  <c r="N293" i="13" s="1"/>
  <c r="L300" i="13"/>
  <c r="M300" i="13" s="1"/>
  <c r="N300" i="13" s="1"/>
  <c r="L301" i="13"/>
  <c r="M301" i="13" s="1"/>
  <c r="N301" i="13" s="1"/>
  <c r="L302" i="13"/>
  <c r="M302" i="13" s="1"/>
  <c r="N302" i="13" s="1"/>
  <c r="L303" i="13"/>
  <c r="M303" i="13" s="1"/>
  <c r="N303" i="13" s="1"/>
  <c r="L304" i="13"/>
  <c r="M304" i="13" s="1"/>
  <c r="N304" i="13" s="1"/>
  <c r="L305" i="13"/>
  <c r="M305" i="13" s="1"/>
  <c r="N305" i="13" s="1"/>
  <c r="L306" i="13"/>
  <c r="M306" i="13" s="1"/>
  <c r="N306" i="13" s="1"/>
  <c r="L307" i="13"/>
  <c r="M307" i="13" s="1"/>
  <c r="N307" i="13" s="1"/>
  <c r="L308" i="13"/>
  <c r="M308" i="13" s="1"/>
  <c r="N308" i="13" s="1"/>
  <c r="L309" i="13"/>
  <c r="M309" i="13" s="1"/>
  <c r="N309" i="13" s="1"/>
  <c r="L310" i="13"/>
  <c r="M310" i="13" s="1"/>
  <c r="N310" i="13" s="1"/>
  <c r="L311" i="13"/>
  <c r="M311" i="13" s="1"/>
  <c r="N311" i="13" s="1"/>
  <c r="L312" i="13"/>
  <c r="M312" i="13" s="1"/>
  <c r="N312" i="13" s="1"/>
  <c r="L313" i="13"/>
  <c r="M313" i="13" s="1"/>
  <c r="N313" i="13" s="1"/>
  <c r="L314" i="13"/>
  <c r="M314" i="13" s="1"/>
  <c r="N314" i="13" s="1"/>
  <c r="L315" i="13"/>
  <c r="M315" i="13" s="1"/>
  <c r="N315" i="13" s="1"/>
  <c r="L277" i="13"/>
  <c r="M277" i="13" s="1"/>
  <c r="N277" i="13" s="1"/>
  <c r="L276" i="13"/>
  <c r="M276" i="13" s="1"/>
  <c r="N276" i="13" s="1"/>
  <c r="L275" i="13"/>
  <c r="M275" i="13" s="1"/>
  <c r="N275" i="13" s="1"/>
  <c r="L274" i="13"/>
  <c r="M274" i="13" s="1"/>
  <c r="N274" i="13" s="1"/>
  <c r="L273" i="13"/>
  <c r="M273" i="13" s="1"/>
  <c r="N273" i="13" s="1"/>
  <c r="L272" i="13"/>
  <c r="M272" i="13" s="1"/>
  <c r="N272" i="13" s="1"/>
  <c r="L271" i="13"/>
  <c r="M271" i="13" s="1"/>
  <c r="N271" i="13" s="1"/>
  <c r="L270" i="13"/>
  <c r="M270" i="13" s="1"/>
  <c r="N270" i="13" s="1"/>
  <c r="L269" i="13"/>
  <c r="M269" i="13" s="1"/>
  <c r="N269" i="13" s="1"/>
  <c r="L268" i="13"/>
  <c r="M268" i="13" s="1"/>
  <c r="N268" i="13" s="1"/>
  <c r="L267" i="13"/>
  <c r="M267" i="13" s="1"/>
  <c r="N267" i="13" s="1"/>
  <c r="L266" i="13"/>
  <c r="M266" i="13" s="1"/>
  <c r="N266" i="13" s="1"/>
  <c r="L265" i="13"/>
  <c r="M265" i="13" s="1"/>
  <c r="N265" i="13" s="1"/>
  <c r="L264" i="13"/>
  <c r="M264" i="13" s="1"/>
  <c r="N264" i="13" s="1"/>
  <c r="L263" i="13"/>
  <c r="M263" i="13" s="1"/>
  <c r="N263" i="13" s="1"/>
  <c r="L262" i="13"/>
  <c r="M262" i="13" s="1"/>
  <c r="N262" i="13" s="1"/>
  <c r="L261" i="13"/>
  <c r="M261" i="13" s="1"/>
  <c r="N261" i="13" s="1"/>
  <c r="L260" i="13"/>
  <c r="M260" i="13" s="1"/>
  <c r="N260" i="13" s="1"/>
  <c r="L259" i="13"/>
  <c r="M259" i="13" s="1"/>
  <c r="N259" i="13" s="1"/>
  <c r="L258" i="13"/>
  <c r="M258" i="13" s="1"/>
  <c r="N258" i="13" s="1"/>
  <c r="L257" i="13"/>
  <c r="M257" i="13" s="1"/>
  <c r="N257" i="13" s="1"/>
  <c r="L256" i="13"/>
  <c r="M256" i="13" s="1"/>
  <c r="N256" i="13" s="1"/>
  <c r="L255" i="13"/>
  <c r="M255" i="13" s="1"/>
  <c r="N255" i="13" s="1"/>
  <c r="L254" i="13"/>
  <c r="M254" i="13" s="1"/>
  <c r="N254" i="13" s="1"/>
  <c r="L253" i="13"/>
  <c r="M253" i="13" s="1"/>
  <c r="N253" i="13" s="1"/>
  <c r="L252" i="13"/>
  <c r="M252" i="13" s="1"/>
  <c r="N252" i="13" s="1"/>
  <c r="L251" i="13"/>
  <c r="M251" i="13" s="1"/>
  <c r="N251" i="13" s="1"/>
  <c r="L250" i="13"/>
  <c r="M250" i="13" s="1"/>
  <c r="N250" i="13" s="1"/>
  <c r="L249" i="13"/>
  <c r="M249" i="13" s="1"/>
  <c r="N249" i="13" s="1"/>
  <c r="L248" i="13"/>
  <c r="M248" i="13" s="1"/>
  <c r="N248" i="13" s="1"/>
  <c r="L247" i="13"/>
  <c r="M247" i="13" s="1"/>
  <c r="N247" i="13" s="1"/>
  <c r="L246" i="13"/>
  <c r="M246" i="13" s="1"/>
  <c r="N246" i="13" s="1"/>
  <c r="L245" i="13"/>
  <c r="M245" i="13" s="1"/>
  <c r="N245" i="13" s="1"/>
  <c r="L244" i="13"/>
  <c r="M244" i="13" s="1"/>
  <c r="N244" i="13" s="1"/>
  <c r="L243" i="13"/>
  <c r="M243" i="13" s="1"/>
  <c r="N243" i="13" s="1"/>
  <c r="L242" i="13"/>
  <c r="M242" i="13" s="1"/>
  <c r="N242" i="13" s="1"/>
  <c r="L241" i="13"/>
  <c r="M241" i="13" s="1"/>
  <c r="N241" i="13" s="1"/>
  <c r="L240" i="13"/>
  <c r="M240" i="13" s="1"/>
  <c r="N240" i="13" s="1"/>
  <c r="L239" i="13"/>
  <c r="M239" i="13" s="1"/>
  <c r="N239" i="13" s="1"/>
  <c r="L238" i="13"/>
  <c r="M238" i="13" s="1"/>
  <c r="N238" i="13" s="1"/>
  <c r="L237" i="13"/>
  <c r="M237" i="13" s="1"/>
  <c r="N237" i="13" s="1"/>
  <c r="M329" i="13" l="1"/>
  <c r="N329" i="13" s="1"/>
  <c r="S329" i="13"/>
  <c r="M337" i="13"/>
  <c r="N337" i="13" s="1"/>
  <c r="S337" i="13"/>
  <c r="M341" i="13"/>
  <c r="N341" i="13" s="1"/>
  <c r="S341" i="13"/>
  <c r="M324" i="13"/>
  <c r="N324" i="13" s="1"/>
  <c r="S324" i="13"/>
  <c r="M334" i="13"/>
  <c r="N334" i="13" s="1"/>
  <c r="S334" i="13"/>
  <c r="M342" i="13"/>
  <c r="N342" i="13" s="1"/>
  <c r="S342" i="13"/>
  <c r="M350" i="13"/>
  <c r="N350" i="13" s="1"/>
  <c r="S350" i="13"/>
  <c r="M321" i="13"/>
  <c r="N321" i="13" s="1"/>
  <c r="S321" i="13"/>
  <c r="M325" i="13"/>
  <c r="N325" i="13" s="1"/>
  <c r="S325" i="13"/>
  <c r="M331" i="13"/>
  <c r="N331" i="13" s="1"/>
  <c r="S331" i="13"/>
  <c r="M335" i="13"/>
  <c r="N335" i="13" s="1"/>
  <c r="S335" i="13"/>
  <c r="M339" i="13"/>
  <c r="N339" i="13" s="1"/>
  <c r="S339" i="13"/>
  <c r="M343" i="13"/>
  <c r="N343" i="13" s="1"/>
  <c r="S343" i="13"/>
  <c r="M347" i="13"/>
  <c r="N347" i="13" s="1"/>
  <c r="S347" i="13"/>
  <c r="M351" i="13"/>
  <c r="N351" i="13" s="1"/>
  <c r="S351" i="13"/>
  <c r="M323" i="13"/>
  <c r="N323" i="13" s="1"/>
  <c r="S323" i="13"/>
  <c r="M333" i="13"/>
  <c r="N333" i="13" s="1"/>
  <c r="S333" i="13"/>
  <c r="M345" i="13"/>
  <c r="N345" i="13" s="1"/>
  <c r="S345" i="13"/>
  <c r="M330" i="13"/>
  <c r="N330" i="13" s="1"/>
  <c r="S330" i="13"/>
  <c r="M338" i="13"/>
  <c r="N338" i="13" s="1"/>
  <c r="S338" i="13"/>
  <c r="M346" i="13"/>
  <c r="N346" i="13" s="1"/>
  <c r="S346" i="13"/>
  <c r="M322" i="13"/>
  <c r="N322" i="13" s="1"/>
  <c r="S322" i="13"/>
  <c r="M328" i="13"/>
  <c r="N328" i="13" s="1"/>
  <c r="S328" i="13"/>
  <c r="M332" i="13"/>
  <c r="N332" i="13" s="1"/>
  <c r="S332" i="13"/>
  <c r="M336" i="13"/>
  <c r="N336" i="13" s="1"/>
  <c r="S336" i="13"/>
  <c r="M340" i="13"/>
  <c r="N340" i="13" s="1"/>
  <c r="S340" i="13"/>
  <c r="M344" i="13"/>
  <c r="N344" i="13" s="1"/>
  <c r="S344" i="13"/>
  <c r="M348" i="13"/>
  <c r="N348" i="13" s="1"/>
  <c r="S348" i="13"/>
  <c r="M352" i="13"/>
  <c r="N352" i="13" s="1"/>
  <c r="S352" i="13"/>
  <c r="M349" i="13"/>
  <c r="S349" i="13"/>
  <c r="V116" i="2"/>
  <c r="H116" i="2" s="1"/>
  <c r="V117" i="2"/>
  <c r="H117" i="2" s="1"/>
  <c r="V87" i="2"/>
  <c r="H87" i="2" s="1"/>
  <c r="V88" i="2"/>
  <c r="H88" i="2" s="1"/>
  <c r="V89" i="2"/>
  <c r="H89" i="2" s="1"/>
  <c r="V90" i="2"/>
  <c r="H90" i="2" s="1"/>
  <c r="V91" i="2"/>
  <c r="H91" i="2" s="1"/>
  <c r="V92" i="2"/>
  <c r="H92" i="2" s="1"/>
  <c r="V93" i="2"/>
  <c r="H93" i="2" s="1"/>
  <c r="V94" i="2"/>
  <c r="H94" i="2" s="1"/>
  <c r="V95" i="2"/>
  <c r="H95" i="2" s="1"/>
  <c r="V96" i="2"/>
  <c r="H96" i="2" s="1"/>
  <c r="V97" i="2"/>
  <c r="H97" i="2" s="1"/>
  <c r="V98" i="2"/>
  <c r="H98" i="2" s="1"/>
  <c r="V99" i="2"/>
  <c r="H99" i="2" s="1"/>
  <c r="V100" i="2"/>
  <c r="H100" i="2" s="1"/>
  <c r="V101" i="2"/>
  <c r="H101" i="2" s="1"/>
  <c r="V102" i="2"/>
  <c r="H102" i="2" s="1"/>
  <c r="V103" i="2"/>
  <c r="H103" i="2" s="1"/>
  <c r="V104" i="2"/>
  <c r="H104" i="2" s="1"/>
  <c r="V105" i="2"/>
  <c r="H105" i="2" s="1"/>
  <c r="V106" i="2"/>
  <c r="H106" i="2" s="1"/>
  <c r="V107" i="2"/>
  <c r="H107" i="2" s="1"/>
  <c r="V108" i="2"/>
  <c r="H108" i="2" s="1"/>
  <c r="V109" i="2"/>
  <c r="H109" i="2" s="1"/>
  <c r="V110" i="2"/>
  <c r="H110" i="2" s="1"/>
  <c r="V111" i="2"/>
  <c r="H111" i="2" s="1"/>
  <c r="V112" i="2"/>
  <c r="H112" i="2" s="1"/>
  <c r="V113" i="2"/>
  <c r="H113" i="2" s="1"/>
  <c r="V114" i="2"/>
  <c r="H114" i="2" s="1"/>
  <c r="V115" i="2"/>
  <c r="H115" i="2" s="1"/>
  <c r="V118" i="2"/>
  <c r="H118" i="2" s="1"/>
  <c r="V119" i="2"/>
  <c r="H119" i="2" s="1"/>
  <c r="V120" i="2"/>
  <c r="H120" i="2" s="1"/>
  <c r="V121" i="2"/>
  <c r="H121" i="2" s="1"/>
  <c r="V122" i="2"/>
  <c r="H122" i="2" s="1"/>
  <c r="V123" i="2"/>
  <c r="H123" i="2" s="1"/>
  <c r="V124" i="2"/>
  <c r="H124" i="2" s="1"/>
  <c r="V125" i="2"/>
  <c r="H125" i="2" s="1"/>
  <c r="V126" i="2"/>
  <c r="H126" i="2" s="1"/>
  <c r="V127" i="2"/>
  <c r="H127" i="2" s="1"/>
  <c r="V128" i="2"/>
  <c r="H128" i="2" s="1"/>
  <c r="V129" i="2"/>
  <c r="H129" i="2" s="1"/>
  <c r="V130" i="2"/>
  <c r="H130" i="2" s="1"/>
  <c r="V131" i="2"/>
  <c r="H131" i="2" s="1"/>
  <c r="V132" i="2"/>
  <c r="H132" i="2" s="1"/>
  <c r="V133" i="2"/>
  <c r="H133" i="2" s="1"/>
  <c r="V134" i="2"/>
  <c r="H134" i="2" s="1"/>
  <c r="V135" i="2"/>
  <c r="H135" i="2" s="1"/>
  <c r="V136" i="2"/>
  <c r="H136" i="2" s="1"/>
  <c r="V137" i="2"/>
  <c r="H137" i="2" s="1"/>
  <c r="V138" i="2"/>
  <c r="H138" i="2" s="1"/>
  <c r="V139" i="2"/>
  <c r="H139" i="2" s="1"/>
  <c r="V140" i="2"/>
  <c r="H140" i="2" s="1"/>
  <c r="V141" i="2"/>
  <c r="H141" i="2" s="1"/>
  <c r="V142" i="2"/>
  <c r="H142" i="2" s="1"/>
  <c r="V143" i="2"/>
  <c r="H143" i="2" s="1"/>
  <c r="V144" i="2"/>
  <c r="H144" i="2" s="1"/>
  <c r="V145" i="2"/>
  <c r="H145" i="2" s="1"/>
  <c r="V146" i="2"/>
  <c r="H146" i="2" s="1"/>
  <c r="V147" i="2"/>
  <c r="H147" i="2" s="1"/>
  <c r="V148" i="2"/>
  <c r="H148" i="2" s="1"/>
  <c r="V149" i="2"/>
  <c r="H149" i="2" s="1"/>
  <c r="V150" i="2"/>
  <c r="H150" i="2" s="1"/>
  <c r="V151" i="2"/>
  <c r="H151" i="2" s="1"/>
  <c r="V152" i="2"/>
  <c r="H152" i="2" s="1"/>
  <c r="V153" i="2"/>
  <c r="H153" i="2" s="1"/>
  <c r="V154" i="2"/>
  <c r="H154" i="2" s="1"/>
  <c r="V155" i="2"/>
  <c r="H155" i="2" s="1"/>
  <c r="V156" i="2"/>
  <c r="H156" i="2" s="1"/>
  <c r="V157" i="2"/>
  <c r="H157" i="2" s="1"/>
  <c r="V158" i="2"/>
  <c r="H158" i="2" s="1"/>
  <c r="V159" i="2"/>
  <c r="H159" i="2" s="1"/>
  <c r="V160" i="2"/>
  <c r="H160" i="2" s="1"/>
  <c r="V161" i="2"/>
  <c r="H161" i="2" s="1"/>
  <c r="V162" i="2"/>
  <c r="H162" i="2" s="1"/>
  <c r="V163" i="2"/>
  <c r="H163" i="2" s="1"/>
  <c r="V164" i="2"/>
  <c r="H164" i="2" s="1"/>
  <c r="V165" i="2"/>
  <c r="H165" i="2" s="1"/>
  <c r="V166" i="2"/>
  <c r="H166" i="2" s="1"/>
  <c r="V167" i="2"/>
  <c r="H167" i="2" s="1"/>
  <c r="N349" i="13" l="1"/>
  <c r="V4" i="2"/>
  <c r="H4" i="2" s="1"/>
  <c r="V5" i="2"/>
  <c r="H5" i="2" s="1"/>
  <c r="V6" i="2"/>
  <c r="H6" i="2" s="1"/>
  <c r="V7" i="2"/>
  <c r="H7" i="2" s="1"/>
  <c r="V8" i="2"/>
  <c r="H8" i="2" s="1"/>
  <c r="V9" i="2"/>
  <c r="H9" i="2" s="1"/>
  <c r="V10" i="2"/>
  <c r="H10" i="2" s="1"/>
  <c r="V11" i="2"/>
  <c r="H11" i="2" s="1"/>
  <c r="V12" i="2"/>
  <c r="H12" i="2" s="1"/>
  <c r="V13" i="2"/>
  <c r="H13" i="2" s="1"/>
  <c r="V14" i="2"/>
  <c r="H14" i="2" s="1"/>
  <c r="V15" i="2"/>
  <c r="H15" i="2" s="1"/>
  <c r="V16" i="2"/>
  <c r="H16" i="2" s="1"/>
  <c r="V17" i="2"/>
  <c r="H17" i="2" s="1"/>
  <c r="V18" i="2"/>
  <c r="H18" i="2" s="1"/>
  <c r="V19" i="2"/>
  <c r="H19" i="2" s="1"/>
  <c r="V20" i="2"/>
  <c r="H20" i="2" s="1"/>
  <c r="V21" i="2"/>
  <c r="H21" i="2" s="1"/>
  <c r="V22" i="2"/>
  <c r="H22" i="2" s="1"/>
  <c r="V23" i="2"/>
  <c r="H23" i="2" s="1"/>
  <c r="V24" i="2"/>
  <c r="H24" i="2" s="1"/>
  <c r="V25" i="2"/>
  <c r="H25" i="2" s="1"/>
  <c r="V26" i="2"/>
  <c r="H26" i="2" s="1"/>
  <c r="V27" i="2"/>
  <c r="H27" i="2" s="1"/>
  <c r="V28" i="2"/>
  <c r="H28" i="2" s="1"/>
  <c r="V29" i="2"/>
  <c r="H29" i="2" s="1"/>
  <c r="V30" i="2"/>
  <c r="H30" i="2" s="1"/>
  <c r="V31" i="2"/>
  <c r="H31" i="2" s="1"/>
  <c r="V32" i="2"/>
  <c r="H32" i="2" s="1"/>
  <c r="V33" i="2"/>
  <c r="H33" i="2" s="1"/>
  <c r="V34" i="2"/>
  <c r="H34" i="2" s="1"/>
  <c r="V35" i="2"/>
  <c r="H35" i="2" s="1"/>
  <c r="V36" i="2"/>
  <c r="H36" i="2" s="1"/>
  <c r="V37" i="2"/>
  <c r="H37" i="2" s="1"/>
  <c r="V38" i="2"/>
  <c r="H38" i="2" s="1"/>
  <c r="V39" i="2"/>
  <c r="H39" i="2" s="1"/>
  <c r="V40" i="2"/>
  <c r="H40" i="2" s="1"/>
  <c r="V41" i="2"/>
  <c r="H41" i="2" s="1"/>
  <c r="V42" i="2"/>
  <c r="H42" i="2" s="1"/>
  <c r="V43" i="2"/>
  <c r="H43" i="2" s="1"/>
  <c r="V44" i="2"/>
  <c r="H44" i="2" s="1"/>
  <c r="V45" i="2"/>
  <c r="H45" i="2" s="1"/>
  <c r="V46" i="2"/>
  <c r="H46" i="2" s="1"/>
  <c r="V47" i="2"/>
  <c r="H47" i="2" s="1"/>
  <c r="V48" i="2"/>
  <c r="H48" i="2" s="1"/>
  <c r="V49" i="2"/>
  <c r="H49" i="2" s="1"/>
  <c r="V50" i="2"/>
  <c r="H50" i="2" s="1"/>
  <c r="V51" i="2"/>
  <c r="H51" i="2" s="1"/>
  <c r="V52" i="2"/>
  <c r="H52" i="2" s="1"/>
  <c r="V53" i="2"/>
  <c r="H53" i="2" s="1"/>
  <c r="V54" i="2"/>
  <c r="H54" i="2" s="1"/>
  <c r="V55" i="2"/>
  <c r="H55" i="2" s="1"/>
  <c r="V56" i="2"/>
  <c r="H56" i="2" s="1"/>
  <c r="V57" i="2"/>
  <c r="H57" i="2" s="1"/>
  <c r="V58" i="2"/>
  <c r="H58" i="2" s="1"/>
  <c r="V59" i="2"/>
  <c r="H59" i="2" s="1"/>
  <c r="V60" i="2"/>
  <c r="H60" i="2" s="1"/>
  <c r="V61" i="2"/>
  <c r="H61" i="2" s="1"/>
  <c r="V62" i="2"/>
  <c r="H62" i="2" s="1"/>
  <c r="V63" i="2"/>
  <c r="H63" i="2" s="1"/>
  <c r="V64" i="2"/>
  <c r="H64" i="2" s="1"/>
  <c r="V65" i="2"/>
  <c r="H65" i="2" s="1"/>
  <c r="V66" i="2"/>
  <c r="H66" i="2" s="1"/>
  <c r="V67" i="2"/>
  <c r="H67" i="2" s="1"/>
  <c r="V68" i="2"/>
  <c r="H68" i="2" s="1"/>
  <c r="V69" i="2"/>
  <c r="H69" i="2" s="1"/>
  <c r="V70" i="2"/>
  <c r="H70" i="2" s="1"/>
  <c r="V71" i="2"/>
  <c r="H71" i="2" s="1"/>
  <c r="V72" i="2"/>
  <c r="H72" i="2" s="1"/>
  <c r="V73" i="2"/>
  <c r="H73" i="2" s="1"/>
  <c r="V74" i="2"/>
  <c r="H74" i="2" s="1"/>
  <c r="V75" i="2"/>
  <c r="H75" i="2" s="1"/>
  <c r="V76" i="2"/>
  <c r="H76" i="2" s="1"/>
  <c r="V77" i="2"/>
  <c r="H77" i="2" s="1"/>
  <c r="V78" i="2"/>
  <c r="H78" i="2" s="1"/>
  <c r="V79" i="2"/>
  <c r="H79" i="2" s="1"/>
  <c r="V80" i="2"/>
  <c r="H80" i="2" s="1"/>
  <c r="V81" i="2"/>
  <c r="H81" i="2" s="1"/>
  <c r="V82" i="2"/>
  <c r="H82" i="2" s="1"/>
  <c r="V83" i="2"/>
  <c r="H83" i="2" s="1"/>
  <c r="V84" i="2"/>
  <c r="H84" i="2" s="1"/>
  <c r="V85" i="2"/>
  <c r="H85" i="2" s="1"/>
  <c r="V86" i="2"/>
  <c r="H86" i="2" s="1"/>
  <c r="V3" i="2"/>
  <c r="H3" i="2" s="1"/>
  <c r="V169" i="2"/>
  <c r="V135" i="13" l="1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AY30" i="13"/>
  <c r="BE23" i="13"/>
  <c r="K53" i="2"/>
  <c r="G169" i="2"/>
  <c r="G170" i="2"/>
  <c r="G171" i="2"/>
  <c r="G172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90" i="2"/>
  <c r="G191" i="2"/>
  <c r="G192" i="2"/>
  <c r="G193" i="2"/>
  <c r="G194" i="2"/>
  <c r="G195" i="2"/>
  <c r="G196" i="2"/>
  <c r="G197" i="2"/>
  <c r="G198" i="2"/>
  <c r="G199" i="2"/>
  <c r="G201" i="2"/>
  <c r="G202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168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87" i="2"/>
  <c r="G4" i="2"/>
  <c r="G5" i="2"/>
  <c r="G6" i="2"/>
  <c r="S7" i="13" s="1"/>
  <c r="G7" i="2"/>
  <c r="G8" i="2"/>
  <c r="G9" i="2"/>
  <c r="G10" i="2"/>
  <c r="G11" i="2"/>
  <c r="G12" i="2"/>
  <c r="G13" i="2"/>
  <c r="G14" i="2"/>
  <c r="G15" i="2"/>
  <c r="G16" i="2"/>
  <c r="C243" i="13" s="1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C252" i="13" s="1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C259" i="13" s="1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C271" i="13" s="1"/>
  <c r="G76" i="2"/>
  <c r="G77" i="2"/>
  <c r="G78" i="2"/>
  <c r="G79" i="2"/>
  <c r="G80" i="2"/>
  <c r="G81" i="2"/>
  <c r="G82" i="2"/>
  <c r="G83" i="2"/>
  <c r="G84" i="2"/>
  <c r="G85" i="2"/>
  <c r="G86" i="2"/>
  <c r="G3" i="2"/>
  <c r="K169" i="2"/>
  <c r="K170" i="2"/>
  <c r="AD7" i="13" s="1"/>
  <c r="K171" i="2"/>
  <c r="K172" i="2"/>
  <c r="AD8" i="13" s="1"/>
  <c r="K174" i="2"/>
  <c r="K175" i="2"/>
  <c r="AD10" i="13" s="1"/>
  <c r="K176" i="2"/>
  <c r="X17" i="13" s="1"/>
  <c r="K177" i="2"/>
  <c r="K178" i="2"/>
  <c r="K179" i="2"/>
  <c r="X18" i="13" s="1"/>
  <c r="K180" i="2"/>
  <c r="X19" i="13" s="1"/>
  <c r="K181" i="2"/>
  <c r="X20" i="13" s="1"/>
  <c r="K182" i="2"/>
  <c r="X21" i="13" s="1"/>
  <c r="K183" i="2"/>
  <c r="X22" i="13" s="1"/>
  <c r="AL79" i="13" s="1"/>
  <c r="AM79" i="13" s="1"/>
  <c r="AN79" i="13" s="1"/>
  <c r="K184" i="2"/>
  <c r="AD22" i="13" s="1"/>
  <c r="AL80" i="13" s="1"/>
  <c r="AM80" i="13" s="1"/>
  <c r="AN80" i="13" s="1"/>
  <c r="K185" i="2"/>
  <c r="X23" i="13" s="1"/>
  <c r="AL81" i="13" s="1"/>
  <c r="AM81" i="13" s="1"/>
  <c r="AN81" i="13" s="1"/>
  <c r="K186" i="2"/>
  <c r="AD23" i="13" s="1"/>
  <c r="AL82" i="13" s="1"/>
  <c r="AM82" i="13" s="1"/>
  <c r="AN82" i="13" s="1"/>
  <c r="K187" i="2"/>
  <c r="X24" i="13" s="1"/>
  <c r="K188" i="2"/>
  <c r="AD24" i="13" s="1"/>
  <c r="K190" i="2"/>
  <c r="X26" i="13" s="1"/>
  <c r="K191" i="2"/>
  <c r="AD26" i="13" s="1"/>
  <c r="K192" i="2"/>
  <c r="X27" i="13" s="1"/>
  <c r="K193" i="2"/>
  <c r="AD27" i="13" s="1"/>
  <c r="K194" i="2"/>
  <c r="X28" i="13" s="1"/>
  <c r="AL83" i="13" s="1"/>
  <c r="AM83" i="13" s="1"/>
  <c r="AN83" i="13" s="1"/>
  <c r="K195" i="2"/>
  <c r="AD28" i="13" s="1"/>
  <c r="K196" i="2"/>
  <c r="X29" i="13" s="1"/>
  <c r="K197" i="2"/>
  <c r="AD29" i="13" s="1"/>
  <c r="K198" i="2"/>
  <c r="X30" i="13" s="1"/>
  <c r="K199" i="2"/>
  <c r="X31" i="13" s="1"/>
  <c r="K201" i="2"/>
  <c r="X38" i="13" s="1"/>
  <c r="K202" i="2"/>
  <c r="AD38" i="13" s="1"/>
  <c r="K204" i="2"/>
  <c r="X40" i="13" s="1"/>
  <c r="K205" i="2"/>
  <c r="AD40" i="13" s="1"/>
  <c r="K206" i="2"/>
  <c r="K207" i="2"/>
  <c r="AJ40" i="13" s="1"/>
  <c r="K208" i="2"/>
  <c r="X41" i="13" s="1"/>
  <c r="K209" i="2"/>
  <c r="AD41" i="13" s="1"/>
  <c r="K210" i="2"/>
  <c r="K211" i="2"/>
  <c r="X42" i="13" s="1"/>
  <c r="K212" i="2"/>
  <c r="AD42" i="13" s="1"/>
  <c r="K213" i="2"/>
  <c r="X43" i="13" s="1"/>
  <c r="K214" i="2"/>
  <c r="AD43" i="13" s="1"/>
  <c r="K215" i="2"/>
  <c r="X44" i="13" s="1"/>
  <c r="K216" i="2"/>
  <c r="AD44" i="13" s="1"/>
  <c r="K217" i="2"/>
  <c r="X45" i="13" s="1"/>
  <c r="K218" i="2"/>
  <c r="AD45" i="13" s="1"/>
  <c r="K219" i="2"/>
  <c r="AJ45" i="13" s="1"/>
  <c r="K220" i="2"/>
  <c r="X46" i="13" s="1"/>
  <c r="K221" i="2"/>
  <c r="AD46" i="13" s="1"/>
  <c r="K222" i="2"/>
  <c r="X47" i="13" s="1"/>
  <c r="K223" i="2"/>
  <c r="X48" i="13" s="1"/>
  <c r="K224" i="2"/>
  <c r="AD48" i="13" s="1"/>
  <c r="K225" i="2"/>
  <c r="X49" i="13" s="1"/>
  <c r="K226" i="2"/>
  <c r="AD49" i="13" s="1"/>
  <c r="K227" i="2"/>
  <c r="X50" i="13" s="1"/>
  <c r="K228" i="2"/>
  <c r="X51" i="13" s="1"/>
  <c r="K229" i="2"/>
  <c r="AD51" i="13" s="1"/>
  <c r="K230" i="2"/>
  <c r="X52" i="13" s="1"/>
  <c r="K231" i="2"/>
  <c r="AD52" i="13" s="1"/>
  <c r="K168" i="2"/>
  <c r="K88" i="2"/>
  <c r="AX6" i="13" s="1"/>
  <c r="K89" i="2"/>
  <c r="AR7" i="13" s="1"/>
  <c r="K90" i="2"/>
  <c r="AX7" i="13" s="1"/>
  <c r="K91" i="2"/>
  <c r="AR8" i="13" s="1"/>
  <c r="K92" i="2"/>
  <c r="AX8" i="13" s="1"/>
  <c r="K93" i="2"/>
  <c r="AR9" i="13" s="1"/>
  <c r="K94" i="2"/>
  <c r="AX9" i="13" s="1"/>
  <c r="K95" i="2"/>
  <c r="AR10" i="13" s="1"/>
  <c r="K96" i="2"/>
  <c r="AX10" i="13" s="1"/>
  <c r="K97" i="2"/>
  <c r="AR16" i="13" s="1"/>
  <c r="K98" i="2"/>
  <c r="AX16" i="13" s="1"/>
  <c r="K99" i="2"/>
  <c r="AR17" i="13" s="1"/>
  <c r="K100" i="2"/>
  <c r="AX17" i="13" s="1"/>
  <c r="K101" i="2"/>
  <c r="AR18" i="13" s="1"/>
  <c r="K102" i="2"/>
  <c r="AX18" i="13" s="1"/>
  <c r="K103" i="2"/>
  <c r="AR19" i="13" s="1"/>
  <c r="K104" i="2"/>
  <c r="AX19" i="13" s="1"/>
  <c r="K105" i="2"/>
  <c r="AR20" i="13" s="1"/>
  <c r="K106" i="2"/>
  <c r="AX20" i="13" s="1"/>
  <c r="K107" i="2"/>
  <c r="AR21" i="13" s="1"/>
  <c r="K108" i="2"/>
  <c r="AX21" i="13" s="1"/>
  <c r="K109" i="2"/>
  <c r="AR22" i="13" s="1"/>
  <c r="K110" i="2"/>
  <c r="AX22" i="13" s="1"/>
  <c r="K111" i="2"/>
  <c r="AR23" i="13" s="1"/>
  <c r="K112" i="2"/>
  <c r="AX23" i="13" s="1"/>
  <c r="K113" i="2"/>
  <c r="BD23" i="13" s="1"/>
  <c r="K114" i="2"/>
  <c r="AR24" i="13" s="1"/>
  <c r="K115" i="2"/>
  <c r="AX24" i="13" s="1"/>
  <c r="K116" i="2"/>
  <c r="AR25" i="13" s="1"/>
  <c r="K117" i="2"/>
  <c r="AX25" i="13" s="1"/>
  <c r="K118" i="2"/>
  <c r="AR26" i="13" s="1"/>
  <c r="K119" i="2"/>
  <c r="AX26" i="13" s="1"/>
  <c r="K120" i="2"/>
  <c r="AR27" i="13" s="1"/>
  <c r="K121" i="2"/>
  <c r="AX27" i="13" s="1"/>
  <c r="K122" i="2"/>
  <c r="AR28" i="13" s="1"/>
  <c r="K123" i="2"/>
  <c r="AX28" i="13" s="1"/>
  <c r="K124" i="2"/>
  <c r="AR29" i="13" s="1"/>
  <c r="K125" i="2"/>
  <c r="AR30" i="13" s="1"/>
  <c r="K126" i="2"/>
  <c r="AX30" i="13" s="1"/>
  <c r="K127" i="2"/>
  <c r="AR31" i="13" s="1"/>
  <c r="K128" i="2"/>
  <c r="AR36" i="13" s="1"/>
  <c r="K129" i="2"/>
  <c r="AX36" i="13" s="1"/>
  <c r="K130" i="2"/>
  <c r="AR37" i="13" s="1"/>
  <c r="K131" i="2"/>
  <c r="AX37" i="13" s="1"/>
  <c r="K132" i="2"/>
  <c r="AR38" i="13" s="1"/>
  <c r="K133" i="2"/>
  <c r="AX38" i="13" s="1"/>
  <c r="K134" i="2"/>
  <c r="AR39" i="13" s="1"/>
  <c r="K135" i="2"/>
  <c r="AX39" i="13" s="1"/>
  <c r="K136" i="2"/>
  <c r="AR40" i="13" s="1"/>
  <c r="K137" i="2"/>
  <c r="AX40" i="13" s="1"/>
  <c r="K138" i="2"/>
  <c r="AR41" i="13" s="1"/>
  <c r="K139" i="2"/>
  <c r="AX41" i="13" s="1"/>
  <c r="K140" i="2"/>
  <c r="AR42" i="13" s="1"/>
  <c r="K141" i="2"/>
  <c r="AX42" i="13" s="1"/>
  <c r="K142" i="2"/>
  <c r="AR43" i="13" s="1"/>
  <c r="K143" i="2"/>
  <c r="AX43" i="13" s="1"/>
  <c r="K144" i="2"/>
  <c r="AR44" i="13" s="1"/>
  <c r="K145" i="2"/>
  <c r="AX44" i="13" s="1"/>
  <c r="K146" i="2"/>
  <c r="AR45" i="13" s="1"/>
  <c r="K147" i="2"/>
  <c r="AX45" i="13" s="1"/>
  <c r="K148" i="2"/>
  <c r="AR46" i="13" s="1"/>
  <c r="K149" i="2"/>
  <c r="AX46" i="13" s="1"/>
  <c r="K150" i="2"/>
  <c r="AR47" i="13" s="1"/>
  <c r="K151" i="2"/>
  <c r="AX47" i="13" s="1"/>
  <c r="K152" i="2"/>
  <c r="AR48" i="13" s="1"/>
  <c r="K153" i="2"/>
  <c r="AX48" i="13" s="1"/>
  <c r="K154" i="2"/>
  <c r="AR49" i="13" s="1"/>
  <c r="K155" i="2"/>
  <c r="AX49" i="13" s="1"/>
  <c r="K156" i="2"/>
  <c r="AR50" i="13" s="1"/>
  <c r="K157" i="2"/>
  <c r="AX50" i="13" s="1"/>
  <c r="K158" i="2"/>
  <c r="AR51" i="13" s="1"/>
  <c r="K159" i="2"/>
  <c r="AX51" i="13" s="1"/>
  <c r="K160" i="2"/>
  <c r="AR52" i="13" s="1"/>
  <c r="K161" i="2"/>
  <c r="AX52" i="13" s="1"/>
  <c r="K162" i="2"/>
  <c r="AR53" i="13" s="1"/>
  <c r="K163" i="2"/>
  <c r="AX53" i="13" s="1"/>
  <c r="K164" i="2"/>
  <c r="AR54" i="13" s="1"/>
  <c r="K165" i="2"/>
  <c r="AX54" i="13" s="1"/>
  <c r="K166" i="2"/>
  <c r="AR55" i="13" s="1"/>
  <c r="K167" i="2"/>
  <c r="AX55" i="13" s="1"/>
  <c r="K87" i="2"/>
  <c r="AR6" i="13" s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8" i="2"/>
  <c r="K49" i="2"/>
  <c r="K50" i="2"/>
  <c r="K51" i="2"/>
  <c r="K52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3" i="2"/>
  <c r="K137" i="13" l="1"/>
  <c r="O137" i="13"/>
  <c r="S137" i="13"/>
  <c r="H137" i="13"/>
  <c r="L137" i="13"/>
  <c r="P137" i="13"/>
  <c r="T137" i="13"/>
  <c r="I137" i="13"/>
  <c r="M137" i="13"/>
  <c r="Q137" i="13"/>
  <c r="U137" i="13"/>
  <c r="J137" i="13"/>
  <c r="N137" i="13"/>
  <c r="R137" i="13"/>
  <c r="V137" i="13"/>
  <c r="AR79" i="13"/>
  <c r="D457" i="13"/>
  <c r="BZ98" i="13"/>
  <c r="AN147" i="13"/>
  <c r="BV146" i="13"/>
  <c r="BV130" i="13"/>
  <c r="AV98" i="13"/>
  <c r="O149" i="13"/>
  <c r="I149" i="13"/>
  <c r="K100" i="13"/>
  <c r="AO147" i="13"/>
  <c r="AP97" i="13"/>
  <c r="BU130" i="13"/>
  <c r="CE98" i="13"/>
  <c r="AQ78" i="13"/>
  <c r="AO78" i="13" s="1"/>
  <c r="BR97" i="13"/>
  <c r="BP97" i="13"/>
  <c r="BO114" i="13"/>
  <c r="BL97" i="13"/>
  <c r="AN97" i="13"/>
  <c r="AN114" i="13"/>
  <c r="AD32" i="13"/>
  <c r="M27" i="13"/>
  <c r="AR57" i="13"/>
  <c r="C148" i="13"/>
  <c r="G118" i="13"/>
  <c r="E85" i="13"/>
  <c r="M39" i="13"/>
  <c r="M149" i="13"/>
  <c r="O116" i="13"/>
  <c r="D117" i="13"/>
  <c r="E117" i="13"/>
  <c r="J79" i="13" s="1"/>
  <c r="C266" i="13"/>
  <c r="T148" i="13"/>
  <c r="G86" i="13"/>
  <c r="M86" i="13" s="1"/>
  <c r="O117" i="13"/>
  <c r="L99" i="13"/>
  <c r="G99" i="13"/>
  <c r="M51" i="13"/>
  <c r="S8" i="13"/>
  <c r="F133" i="13"/>
  <c r="X57" i="13"/>
  <c r="M18" i="13"/>
  <c r="C250" i="13"/>
  <c r="S116" i="13"/>
  <c r="BL114" i="13"/>
  <c r="N148" i="13"/>
  <c r="E150" i="13"/>
  <c r="G78" i="13"/>
  <c r="M78" i="13" s="1"/>
  <c r="C320" i="13"/>
  <c r="C256" i="13"/>
  <c r="D149" i="13"/>
  <c r="G117" i="13"/>
  <c r="S9" i="13"/>
  <c r="E149" i="13"/>
  <c r="U149" i="13"/>
  <c r="U116" i="13"/>
  <c r="I118" i="13"/>
  <c r="AR77" i="13"/>
  <c r="X32" i="13"/>
  <c r="C263" i="13"/>
  <c r="C244" i="13"/>
  <c r="E78" i="13"/>
  <c r="C239" i="13"/>
  <c r="C246" i="13"/>
  <c r="V116" i="13"/>
  <c r="J100" i="13"/>
  <c r="G77" i="13"/>
  <c r="M77" i="13" s="1"/>
  <c r="G88" i="13"/>
  <c r="M88" i="13" s="1"/>
  <c r="M117" i="13"/>
  <c r="E148" i="13"/>
  <c r="V100" i="13"/>
  <c r="G85" i="13"/>
  <c r="M85" i="13" s="1"/>
  <c r="R100" i="13"/>
  <c r="N100" i="13"/>
  <c r="M116" i="13"/>
  <c r="AD57" i="13"/>
  <c r="C241" i="13"/>
  <c r="E57" i="13"/>
  <c r="K57" i="13"/>
  <c r="AI115" i="13"/>
  <c r="AI98" i="13"/>
  <c r="BM114" i="13"/>
  <c r="BM97" i="13"/>
  <c r="BR114" i="13"/>
  <c r="BS114" i="13"/>
  <c r="BS97" i="13"/>
  <c r="AO114" i="13"/>
  <c r="AO97" i="13"/>
  <c r="BV115" i="13"/>
  <c r="BV98" i="13"/>
  <c r="BY115" i="13"/>
  <c r="BY98" i="13"/>
  <c r="P99" i="13"/>
  <c r="BZ115" i="13"/>
  <c r="AV115" i="13"/>
  <c r="CA114" i="13"/>
  <c r="CA97" i="13"/>
  <c r="AW114" i="13"/>
  <c r="AW97" i="13"/>
  <c r="U117" i="13"/>
  <c r="U100" i="13"/>
  <c r="CE115" i="13"/>
  <c r="CF114" i="13"/>
  <c r="CF117" i="13" s="1"/>
  <c r="CF97" i="13"/>
  <c r="BM147" i="13"/>
  <c r="BM131" i="13"/>
  <c r="AL85" i="13"/>
  <c r="AQ85" i="13"/>
  <c r="BU88" i="13"/>
  <c r="BQ88" i="13"/>
  <c r="BP88" i="13"/>
  <c r="AL87" i="13"/>
  <c r="AQ87" i="13"/>
  <c r="BQ147" i="13"/>
  <c r="BQ131" i="13"/>
  <c r="AM146" i="13"/>
  <c r="AM130" i="13"/>
  <c r="BS147" i="13"/>
  <c r="BS131" i="13"/>
  <c r="AO146" i="13"/>
  <c r="AO130" i="13"/>
  <c r="BU147" i="13"/>
  <c r="BU131" i="13"/>
  <c r="AQ146" i="13"/>
  <c r="AQ130" i="13"/>
  <c r="BU90" i="13"/>
  <c r="BQ90" i="13"/>
  <c r="BP90" i="13"/>
  <c r="AQ90" i="13"/>
  <c r="AL90" i="13"/>
  <c r="BY147" i="13"/>
  <c r="BY131" i="13"/>
  <c r="AU146" i="13"/>
  <c r="AU130" i="13"/>
  <c r="CA147" i="13"/>
  <c r="CA131" i="13"/>
  <c r="AL93" i="13"/>
  <c r="AQ93" i="13"/>
  <c r="CD147" i="13"/>
  <c r="CD131" i="13"/>
  <c r="CE146" i="13"/>
  <c r="CE130" i="13"/>
  <c r="BL115" i="13"/>
  <c r="BL117" i="13" s="1"/>
  <c r="BL119" i="13" s="1"/>
  <c r="BL98" i="13"/>
  <c r="AI114" i="13"/>
  <c r="AI97" i="13"/>
  <c r="BO115" i="13"/>
  <c r="BO98" i="13"/>
  <c r="BP115" i="13"/>
  <c r="BP98" i="13"/>
  <c r="BR115" i="13"/>
  <c r="BR98" i="13"/>
  <c r="BU115" i="13"/>
  <c r="BU98" i="13"/>
  <c r="L116" i="13"/>
  <c r="BP81" i="13"/>
  <c r="BU81" i="13"/>
  <c r="BQ81" i="13"/>
  <c r="BX115" i="13"/>
  <c r="BX98" i="13"/>
  <c r="BX116" i="13"/>
  <c r="BX99" i="13"/>
  <c r="AT115" i="13"/>
  <c r="AT98" i="13"/>
  <c r="BY114" i="13"/>
  <c r="BY97" i="13"/>
  <c r="BZ114" i="13"/>
  <c r="BZ97" i="13"/>
  <c r="AV114" i="13"/>
  <c r="AV97" i="13"/>
  <c r="CC115" i="13"/>
  <c r="CC98" i="13"/>
  <c r="AY115" i="13"/>
  <c r="AY98" i="13"/>
  <c r="CD114" i="13"/>
  <c r="CD97" i="13"/>
  <c r="BA114" i="13"/>
  <c r="BA97" i="13"/>
  <c r="BU86" i="13"/>
  <c r="BQ86" i="13"/>
  <c r="BP86" i="13"/>
  <c r="BP87" i="13"/>
  <c r="BU87" i="13"/>
  <c r="BQ87" i="13"/>
  <c r="F149" i="13"/>
  <c r="AL147" i="13"/>
  <c r="AL131" i="13"/>
  <c r="BQ146" i="13"/>
  <c r="BQ130" i="13"/>
  <c r="BS146" i="13"/>
  <c r="BS130" i="13"/>
  <c r="AP147" i="13"/>
  <c r="AP131" i="13"/>
  <c r="AP148" i="13"/>
  <c r="AP132" i="13"/>
  <c r="BU146" i="13"/>
  <c r="BU89" i="13"/>
  <c r="BQ89" i="13"/>
  <c r="BP89" i="13"/>
  <c r="AT147" i="13"/>
  <c r="AT131" i="13"/>
  <c r="BY146" i="13"/>
  <c r="BY130" i="13"/>
  <c r="AQ92" i="13"/>
  <c r="AL92" i="13"/>
  <c r="CA146" i="13"/>
  <c r="CA130" i="13"/>
  <c r="CC147" i="13"/>
  <c r="CC131" i="13"/>
  <c r="BU92" i="13"/>
  <c r="BQ92" i="13"/>
  <c r="BP92" i="13"/>
  <c r="BN115" i="13"/>
  <c r="BN98" i="13"/>
  <c r="BP114" i="13"/>
  <c r="BO97" i="13"/>
  <c r="AL115" i="13"/>
  <c r="AL118" i="13" s="1"/>
  <c r="AL98" i="13"/>
  <c r="BQ115" i="13"/>
  <c r="BQ98" i="13"/>
  <c r="H99" i="13"/>
  <c r="AM115" i="13"/>
  <c r="AM98" i="13"/>
  <c r="AM116" i="13"/>
  <c r="AM99" i="13"/>
  <c r="BT115" i="13"/>
  <c r="BT98" i="13"/>
  <c r="BU114" i="13"/>
  <c r="BU97" i="13"/>
  <c r="AQ114" i="13"/>
  <c r="AQ97" i="13"/>
  <c r="M81" i="13"/>
  <c r="S22" i="13"/>
  <c r="BW115" i="13"/>
  <c r="BW98" i="13"/>
  <c r="N116" i="13"/>
  <c r="G82" i="13"/>
  <c r="M82" i="13" s="1"/>
  <c r="AQ82" i="13"/>
  <c r="AO82" i="13" s="1"/>
  <c r="BX114" i="13"/>
  <c r="BX97" i="13"/>
  <c r="AT114" i="13"/>
  <c r="AT97" i="13"/>
  <c r="P117" i="13"/>
  <c r="P100" i="13"/>
  <c r="Q117" i="13"/>
  <c r="Q100" i="13"/>
  <c r="BU84" i="13"/>
  <c r="BQ84" i="13"/>
  <c r="BP84" i="13"/>
  <c r="AX115" i="13"/>
  <c r="AX98" i="13"/>
  <c r="BP85" i="13"/>
  <c r="BU85" i="13"/>
  <c r="BQ85" i="13"/>
  <c r="AQ84" i="13"/>
  <c r="AL84" i="13"/>
  <c r="CE114" i="13"/>
  <c r="CE97" i="13"/>
  <c r="BL147" i="13"/>
  <c r="BL131" i="13"/>
  <c r="BN147" i="13"/>
  <c r="BN131" i="13"/>
  <c r="E134" i="13"/>
  <c r="BP147" i="13"/>
  <c r="BP131" i="13"/>
  <c r="AL146" i="13"/>
  <c r="AL130" i="13"/>
  <c r="BR147" i="13"/>
  <c r="BR131" i="13"/>
  <c r="AN146" i="13"/>
  <c r="AN130" i="13"/>
  <c r="BT147" i="13"/>
  <c r="BT131" i="13"/>
  <c r="AP146" i="13"/>
  <c r="AP130" i="13"/>
  <c r="BV147" i="13"/>
  <c r="BV131" i="13"/>
  <c r="AQ89" i="13"/>
  <c r="AL89" i="13"/>
  <c r="AM89" i="13" s="1"/>
  <c r="BX147" i="13"/>
  <c r="BX131" i="13"/>
  <c r="AT146" i="13"/>
  <c r="AT130" i="13"/>
  <c r="BZ147" i="13"/>
  <c r="BZ131" i="13"/>
  <c r="AQ91" i="13"/>
  <c r="AL91" i="13"/>
  <c r="CB147" i="13"/>
  <c r="CB131" i="13"/>
  <c r="BU91" i="13"/>
  <c r="BQ91" i="13"/>
  <c r="BP91" i="13"/>
  <c r="AQ79" i="13"/>
  <c r="AO79" i="13" s="1"/>
  <c r="BM115" i="13"/>
  <c r="BM98" i="13"/>
  <c r="M79" i="13"/>
  <c r="AJ115" i="13"/>
  <c r="AJ98" i="13"/>
  <c r="BU80" i="13"/>
  <c r="BQ80" i="13"/>
  <c r="BP80" i="13"/>
  <c r="AL114" i="13"/>
  <c r="AL97" i="13"/>
  <c r="BQ114" i="13"/>
  <c r="BQ97" i="13"/>
  <c r="AM114" i="13"/>
  <c r="AM97" i="13"/>
  <c r="BS115" i="13"/>
  <c r="BS98" i="13"/>
  <c r="J116" i="13"/>
  <c r="I116" i="13"/>
  <c r="J99" i="13"/>
  <c r="BT114" i="13"/>
  <c r="BT97" i="13"/>
  <c r="AP114" i="13"/>
  <c r="L117" i="13"/>
  <c r="L100" i="13"/>
  <c r="AQ80" i="13"/>
  <c r="AO80" i="13" s="1"/>
  <c r="BU82" i="13"/>
  <c r="BQ82" i="13"/>
  <c r="BP82" i="13"/>
  <c r="AQ81" i="13"/>
  <c r="AO81" i="13" s="1"/>
  <c r="CA115" i="13"/>
  <c r="CA98" i="13"/>
  <c r="AW115" i="13"/>
  <c r="AW98" i="13"/>
  <c r="BU83" i="13"/>
  <c r="BQ83" i="13"/>
  <c r="BP83" i="13"/>
  <c r="AQ83" i="13"/>
  <c r="AO83" i="13" s="1"/>
  <c r="AZ114" i="13"/>
  <c r="AZ97" i="13"/>
  <c r="BL146" i="13"/>
  <c r="BL130" i="13"/>
  <c r="D148" i="13"/>
  <c r="AQ86" i="13"/>
  <c r="AL86" i="13"/>
  <c r="BN146" i="13"/>
  <c r="BN130" i="13"/>
  <c r="AQ88" i="13"/>
  <c r="AL88" i="13"/>
  <c r="AK148" i="13"/>
  <c r="AK132" i="13"/>
  <c r="BP146" i="13"/>
  <c r="BP130" i="13"/>
  <c r="AM147" i="13"/>
  <c r="AM131" i="13"/>
  <c r="BR146" i="13"/>
  <c r="BR130" i="13"/>
  <c r="BT146" i="13"/>
  <c r="BT130" i="13"/>
  <c r="AQ147" i="13"/>
  <c r="AQ131" i="13"/>
  <c r="M90" i="13"/>
  <c r="AS147" i="13"/>
  <c r="AS131" i="13"/>
  <c r="BX146" i="13"/>
  <c r="BX130" i="13"/>
  <c r="BZ146" i="13"/>
  <c r="BZ130" i="13"/>
  <c r="AW147" i="13"/>
  <c r="AW131" i="13"/>
  <c r="CB146" i="13"/>
  <c r="CB130" i="13"/>
  <c r="CE147" i="13"/>
  <c r="CE131" i="13"/>
  <c r="AO149" i="13" l="1"/>
  <c r="AO151" i="13" s="1"/>
  <c r="K78" i="13"/>
  <c r="K85" i="13"/>
  <c r="BP100" i="13"/>
  <c r="BP102" i="13" s="1"/>
  <c r="H79" i="13"/>
  <c r="BX101" i="13"/>
  <c r="AN149" i="13"/>
  <c r="AN151" i="13" s="1"/>
  <c r="CA149" i="13"/>
  <c r="CA151" i="13" s="1"/>
  <c r="M80" i="13"/>
  <c r="H80" i="13" s="1"/>
  <c r="E133" i="13"/>
  <c r="G80" i="13"/>
  <c r="V99" i="13"/>
  <c r="I101" i="13"/>
  <c r="AR114" i="13"/>
  <c r="E132" i="13"/>
  <c r="AH114" i="13"/>
  <c r="R117" i="13"/>
  <c r="BV149" i="13"/>
  <c r="BV151" i="13" s="1"/>
  <c r="G83" i="13"/>
  <c r="M83" i="13" s="1"/>
  <c r="C132" i="13"/>
  <c r="G91" i="13"/>
  <c r="M91" i="13" s="1"/>
  <c r="H91" i="13" s="1"/>
  <c r="I91" i="13" s="1"/>
  <c r="O100" i="13"/>
  <c r="U99" i="13"/>
  <c r="BU117" i="13"/>
  <c r="BU119" i="13" s="1"/>
  <c r="K117" i="13"/>
  <c r="G116" i="13"/>
  <c r="M29" i="13"/>
  <c r="G101" i="13"/>
  <c r="BT117" i="13"/>
  <c r="BT119" i="13" s="1"/>
  <c r="M47" i="13"/>
  <c r="M55" i="13"/>
  <c r="V117" i="13"/>
  <c r="V119" i="13" s="1"/>
  <c r="V121" i="13" s="1"/>
  <c r="J117" i="13"/>
  <c r="AT117" i="13"/>
  <c r="AT119" i="13" s="1"/>
  <c r="M94" i="13"/>
  <c r="H94" i="13" s="1"/>
  <c r="I94" i="13" s="1"/>
  <c r="BR149" i="13"/>
  <c r="BR151" i="13" s="1"/>
  <c r="G92" i="13"/>
  <c r="M92" i="13" s="1"/>
  <c r="H92" i="13" s="1"/>
  <c r="I92" i="13" s="1"/>
  <c r="D100" i="13"/>
  <c r="M28" i="13"/>
  <c r="BZ149" i="13"/>
  <c r="BZ151" i="13" s="1"/>
  <c r="BN149" i="13"/>
  <c r="BN151" i="13" s="1"/>
  <c r="BU133" i="13"/>
  <c r="M87" i="13"/>
  <c r="BQ133" i="13"/>
  <c r="N117" i="13"/>
  <c r="I148" i="13"/>
  <c r="F148" i="13"/>
  <c r="F151" i="13" s="1"/>
  <c r="F153" i="13" s="1"/>
  <c r="T149" i="13"/>
  <c r="R116" i="13"/>
  <c r="J149" i="13"/>
  <c r="L148" i="13"/>
  <c r="P116" i="13"/>
  <c r="P119" i="13" s="1"/>
  <c r="P121" i="13" s="1"/>
  <c r="I117" i="13"/>
  <c r="O99" i="13"/>
  <c r="O102" i="13" s="1"/>
  <c r="K148" i="13"/>
  <c r="H116" i="13"/>
  <c r="BV133" i="13"/>
  <c r="BS133" i="13"/>
  <c r="F135" i="13"/>
  <c r="AV100" i="13"/>
  <c r="O148" i="13"/>
  <c r="L149" i="13"/>
  <c r="E116" i="13"/>
  <c r="E119" i="13" s="1"/>
  <c r="E121" i="13" s="1"/>
  <c r="Q149" i="13"/>
  <c r="H148" i="13"/>
  <c r="AO133" i="13"/>
  <c r="Q148" i="13"/>
  <c r="N149" i="13"/>
  <c r="G100" i="13"/>
  <c r="J148" i="13"/>
  <c r="R148" i="13"/>
  <c r="V148" i="13"/>
  <c r="P149" i="13"/>
  <c r="R149" i="13"/>
  <c r="C100" i="13"/>
  <c r="K149" i="13"/>
  <c r="S148" i="13"/>
  <c r="CB133" i="13"/>
  <c r="BX133" i="13"/>
  <c r="AT133" i="13"/>
  <c r="AP133" i="13"/>
  <c r="AN133" i="13"/>
  <c r="AL133" i="13"/>
  <c r="AT100" i="13"/>
  <c r="F116" i="13"/>
  <c r="G89" i="13"/>
  <c r="M89" i="13" s="1"/>
  <c r="U148" i="13"/>
  <c r="H149" i="13"/>
  <c r="F117" i="13"/>
  <c r="Q116" i="13"/>
  <c r="S149" i="13"/>
  <c r="K99" i="13"/>
  <c r="M23" i="13"/>
  <c r="G148" i="13"/>
  <c r="I99" i="13"/>
  <c r="H117" i="13"/>
  <c r="M118" i="13"/>
  <c r="M120" i="13" s="1"/>
  <c r="S100" i="13"/>
  <c r="P148" i="13"/>
  <c r="T116" i="13"/>
  <c r="G133" i="13"/>
  <c r="V149" i="13"/>
  <c r="D116" i="13"/>
  <c r="AL100" i="13"/>
  <c r="CA133" i="13"/>
  <c r="R99" i="13"/>
  <c r="I100" i="13"/>
  <c r="U102" i="13"/>
  <c r="M148" i="13"/>
  <c r="M151" i="13" s="1"/>
  <c r="M153" i="13" s="1"/>
  <c r="BS149" i="13"/>
  <c r="BS151" i="13" s="1"/>
  <c r="G84" i="13"/>
  <c r="M84" i="13" s="1"/>
  <c r="H84" i="13" s="1"/>
  <c r="I84" i="13" s="1"/>
  <c r="G120" i="13"/>
  <c r="J102" i="13"/>
  <c r="M46" i="13"/>
  <c r="BZ100" i="13"/>
  <c r="AM100" i="13"/>
  <c r="K116" i="13"/>
  <c r="AM118" i="13"/>
  <c r="BO100" i="13"/>
  <c r="BL100" i="13"/>
  <c r="BZ117" i="13"/>
  <c r="BZ119" i="13" s="1"/>
  <c r="BR100" i="13"/>
  <c r="BR102" i="13" s="1"/>
  <c r="BT100" i="13"/>
  <c r="AL117" i="13"/>
  <c r="AL119" i="13" s="1"/>
  <c r="BX100" i="13"/>
  <c r="BY100" i="13"/>
  <c r="S117" i="13"/>
  <c r="G149" i="13"/>
  <c r="BQ100" i="13"/>
  <c r="U119" i="13"/>
  <c r="U121" i="13" s="1"/>
  <c r="BY117" i="13"/>
  <c r="BY119" i="13" s="1"/>
  <c r="BP133" i="13"/>
  <c r="BQ117" i="13"/>
  <c r="BQ119" i="13" s="1"/>
  <c r="BX117" i="13"/>
  <c r="BP117" i="13"/>
  <c r="BP119" i="13" s="1"/>
  <c r="F100" i="13"/>
  <c r="D99" i="13"/>
  <c r="AD33" i="13"/>
  <c r="G93" i="13"/>
  <c r="M93" i="13" s="1"/>
  <c r="BZ133" i="13"/>
  <c r="F99" i="13"/>
  <c r="M101" i="13"/>
  <c r="M8" i="13"/>
  <c r="H100" i="13"/>
  <c r="BT133" i="13"/>
  <c r="BR133" i="13"/>
  <c r="BN133" i="13"/>
  <c r="AM117" i="13"/>
  <c r="E151" i="13"/>
  <c r="Q99" i="13"/>
  <c r="BL133" i="13"/>
  <c r="BY133" i="13"/>
  <c r="M31" i="13"/>
  <c r="BU100" i="13"/>
  <c r="AV117" i="13"/>
  <c r="AV119" i="13" s="1"/>
  <c r="AI100" i="13"/>
  <c r="H90" i="13"/>
  <c r="I90" i="13" s="1"/>
  <c r="C273" i="13"/>
  <c r="C251" i="13"/>
  <c r="H85" i="13"/>
  <c r="S10" i="13"/>
  <c r="S11" i="13" s="1"/>
  <c r="C264" i="13"/>
  <c r="C272" i="13"/>
  <c r="E89" i="13"/>
  <c r="C267" i="13"/>
  <c r="E93" i="13"/>
  <c r="C275" i="13"/>
  <c r="AD58" i="13"/>
  <c r="M43" i="13"/>
  <c r="H82" i="13"/>
  <c r="N99" i="13" s="1"/>
  <c r="AM101" i="13"/>
  <c r="H87" i="13"/>
  <c r="I87" i="13" s="1"/>
  <c r="C116" i="13"/>
  <c r="J77" i="13" s="1"/>
  <c r="D32" i="13"/>
  <c r="E84" i="13"/>
  <c r="C254" i="13"/>
  <c r="X58" i="13"/>
  <c r="C261" i="13"/>
  <c r="M54" i="13"/>
  <c r="E83" i="13"/>
  <c r="C253" i="13"/>
  <c r="H78" i="13"/>
  <c r="H88" i="13"/>
  <c r="I88" i="13" s="1"/>
  <c r="H86" i="13"/>
  <c r="D132" i="13" s="1"/>
  <c r="H81" i="13"/>
  <c r="C257" i="13"/>
  <c r="S18" i="13"/>
  <c r="S32" i="13" s="1"/>
  <c r="M19" i="13"/>
  <c r="M40" i="13"/>
  <c r="M48" i="13"/>
  <c r="S6" i="13"/>
  <c r="I57" i="13"/>
  <c r="S39" i="13"/>
  <c r="M25" i="13"/>
  <c r="C117" i="13"/>
  <c r="M99" i="13"/>
  <c r="H77" i="13"/>
  <c r="I77" i="13" s="1"/>
  <c r="C249" i="13"/>
  <c r="M17" i="13"/>
  <c r="C242" i="13"/>
  <c r="C262" i="13"/>
  <c r="E86" i="13"/>
  <c r="C258" i="13"/>
  <c r="C240" i="13"/>
  <c r="E82" i="13"/>
  <c r="C248" i="13"/>
  <c r="M10" i="13"/>
  <c r="C276" i="13"/>
  <c r="M21" i="13"/>
  <c r="M38" i="13"/>
  <c r="CE117" i="13"/>
  <c r="CE119" i="13" s="1"/>
  <c r="CE100" i="13"/>
  <c r="BT149" i="13"/>
  <c r="BT151" i="13" s="1"/>
  <c r="J88" i="13"/>
  <c r="D151" i="13"/>
  <c r="D153" i="13" s="1"/>
  <c r="J86" i="13"/>
  <c r="CB114" i="13"/>
  <c r="CB97" i="13"/>
  <c r="BN114" i="13"/>
  <c r="BN97" i="13"/>
  <c r="E100" i="13"/>
  <c r="I79" i="13"/>
  <c r="CC146" i="13"/>
  <c r="CC130" i="13"/>
  <c r="AR89" i="13"/>
  <c r="AR84" i="13"/>
  <c r="AM84" i="13"/>
  <c r="CC114" i="13"/>
  <c r="CC97" i="13"/>
  <c r="CB115" i="13"/>
  <c r="CB98" i="13"/>
  <c r="J94" i="13"/>
  <c r="BY149" i="13"/>
  <c r="BY151" i="13" s="1"/>
  <c r="BQ149" i="13"/>
  <c r="BQ151" i="13" s="1"/>
  <c r="BO146" i="13"/>
  <c r="BO130" i="13"/>
  <c r="BV114" i="13"/>
  <c r="BV97" i="13"/>
  <c r="L119" i="13"/>
  <c r="L121" i="13" s="1"/>
  <c r="CE149" i="13"/>
  <c r="CE151" i="13" s="1"/>
  <c r="J92" i="13"/>
  <c r="BW147" i="13"/>
  <c r="BW131" i="13"/>
  <c r="CA117" i="13"/>
  <c r="CA119" i="13" s="1"/>
  <c r="BS117" i="13"/>
  <c r="BS119" i="13" s="1"/>
  <c r="BM117" i="13"/>
  <c r="BM119" i="13" s="1"/>
  <c r="AM88" i="13"/>
  <c r="AR88" i="13"/>
  <c r="AM86" i="13"/>
  <c r="AR86" i="13"/>
  <c r="AR83" i="13"/>
  <c r="AR81" i="13"/>
  <c r="AR80" i="13"/>
  <c r="AP149" i="13"/>
  <c r="AP151" i="13" s="1"/>
  <c r="AL149" i="13"/>
  <c r="AL151" i="13" s="1"/>
  <c r="J82" i="13"/>
  <c r="BW146" i="13"/>
  <c r="BW130" i="13"/>
  <c r="AP134" i="13"/>
  <c r="J87" i="13"/>
  <c r="O119" i="13"/>
  <c r="O121" i="13" s="1"/>
  <c r="BX118" i="13"/>
  <c r="AM90" i="13"/>
  <c r="AR90" i="13"/>
  <c r="AR87" i="13"/>
  <c r="AM87" i="13"/>
  <c r="AR85" i="13"/>
  <c r="AM85" i="13"/>
  <c r="AW100" i="13"/>
  <c r="M119" i="13"/>
  <c r="J80" i="13"/>
  <c r="BR117" i="13"/>
  <c r="BR119" i="13" s="1"/>
  <c r="AH97" i="13"/>
  <c r="BX149" i="13"/>
  <c r="BX151" i="13" s="1"/>
  <c r="J91" i="13"/>
  <c r="J90" i="13"/>
  <c r="BP149" i="13"/>
  <c r="BP151" i="13" s="1"/>
  <c r="E152" i="13"/>
  <c r="BL149" i="13"/>
  <c r="BL151" i="13" s="1"/>
  <c r="BO117" i="13"/>
  <c r="BO119" i="13" s="1"/>
  <c r="AR78" i="13"/>
  <c r="AR91" i="13"/>
  <c r="AM91" i="13"/>
  <c r="J83" i="13"/>
  <c r="AS98" i="13"/>
  <c r="AR82" i="13"/>
  <c r="J81" i="13"/>
  <c r="CD146" i="13"/>
  <c r="CD130" i="13"/>
  <c r="BU149" i="13"/>
  <c r="BU151" i="13" s="1"/>
  <c r="AI117" i="13"/>
  <c r="AI119" i="13" s="1"/>
  <c r="AR93" i="13"/>
  <c r="AM93" i="13"/>
  <c r="AQ133" i="13"/>
  <c r="AM133" i="13"/>
  <c r="AW117" i="13"/>
  <c r="AW119" i="13" s="1"/>
  <c r="CB149" i="13"/>
  <c r="CB151" i="13" s="1"/>
  <c r="BW114" i="13"/>
  <c r="BW97" i="13"/>
  <c r="AT149" i="13"/>
  <c r="AT151" i="13" s="1"/>
  <c r="AR92" i="13"/>
  <c r="AM92" i="13"/>
  <c r="BM146" i="13"/>
  <c r="BM130" i="13"/>
  <c r="L102" i="13"/>
  <c r="CE133" i="13"/>
  <c r="AQ149" i="13"/>
  <c r="AQ151" i="13" s="1"/>
  <c r="AM149" i="13"/>
  <c r="AM151" i="13" s="1"/>
  <c r="BO147" i="13"/>
  <c r="BO131" i="13"/>
  <c r="CA100" i="13"/>
  <c r="P102" i="13"/>
  <c r="BS100" i="13"/>
  <c r="BM100" i="13"/>
  <c r="V151" i="13" l="1"/>
  <c r="V153" i="13" s="1"/>
  <c r="K82" i="13"/>
  <c r="K84" i="13"/>
  <c r="K89" i="13"/>
  <c r="D57" i="13"/>
  <c r="K93" i="13"/>
  <c r="K86" i="13"/>
  <c r="K83" i="13"/>
  <c r="BX119" i="13"/>
  <c r="AP135" i="13"/>
  <c r="N151" i="13"/>
  <c r="N153" i="13" s="1"/>
  <c r="K151" i="13"/>
  <c r="K153" i="13" s="1"/>
  <c r="I86" i="13"/>
  <c r="M53" i="13"/>
  <c r="I80" i="13"/>
  <c r="D119" i="13"/>
  <c r="D121" i="13" s="1"/>
  <c r="J93" i="13"/>
  <c r="G135" i="13"/>
  <c r="G137" i="13" s="1"/>
  <c r="U151" i="13"/>
  <c r="U153" i="13" s="1"/>
  <c r="N119" i="13"/>
  <c r="N121" i="13" s="1"/>
  <c r="M44" i="13"/>
  <c r="I102" i="13"/>
  <c r="M42" i="13"/>
  <c r="J119" i="13"/>
  <c r="J121" i="13" s="1"/>
  <c r="H83" i="13"/>
  <c r="I83" i="13" s="1"/>
  <c r="E136" i="13"/>
  <c r="G119" i="13"/>
  <c r="G121" i="13" s="1"/>
  <c r="I103" i="13"/>
  <c r="K119" i="13"/>
  <c r="K121" i="13" s="1"/>
  <c r="E135" i="13"/>
  <c r="J84" i="13"/>
  <c r="R119" i="13"/>
  <c r="R121" i="13" s="1"/>
  <c r="AR97" i="13"/>
  <c r="T151" i="13"/>
  <c r="T153" i="13" s="1"/>
  <c r="J151" i="13"/>
  <c r="J153" i="13" s="1"/>
  <c r="V102" i="13"/>
  <c r="V104" i="13" s="1"/>
  <c r="F119" i="13"/>
  <c r="F121" i="13" s="1"/>
  <c r="S151" i="13"/>
  <c r="S153" i="13" s="1"/>
  <c r="P151" i="13"/>
  <c r="P153" i="13" s="1"/>
  <c r="G102" i="13"/>
  <c r="H93" i="13"/>
  <c r="I93" i="13" s="1"/>
  <c r="AM119" i="13"/>
  <c r="H89" i="13"/>
  <c r="I89" i="13" s="1"/>
  <c r="H119" i="13"/>
  <c r="H121" i="13" s="1"/>
  <c r="Q119" i="13"/>
  <c r="Q121" i="13" s="1"/>
  <c r="I120" i="13"/>
  <c r="I119" i="13"/>
  <c r="I121" i="13" s="1"/>
  <c r="CA102" i="13"/>
  <c r="BM102" i="13"/>
  <c r="AI102" i="13"/>
  <c r="BL135" i="13"/>
  <c r="BN135" i="13"/>
  <c r="BY102" i="13"/>
  <c r="BX102" i="13"/>
  <c r="BT102" i="13"/>
  <c r="BL102" i="13"/>
  <c r="J104" i="13"/>
  <c r="AT102" i="13"/>
  <c r="AN135" i="13"/>
  <c r="AT135" i="13"/>
  <c r="BX135" i="13"/>
  <c r="AV102" i="13"/>
  <c r="F137" i="13"/>
  <c r="BV135" i="13"/>
  <c r="AQ135" i="13"/>
  <c r="BS102" i="13"/>
  <c r="L104" i="13"/>
  <c r="BR135" i="13"/>
  <c r="AL102" i="13"/>
  <c r="AO135" i="13"/>
  <c r="P104" i="13"/>
  <c r="AM135" i="13"/>
  <c r="BU102" i="13"/>
  <c r="BY135" i="13"/>
  <c r="BT135" i="13"/>
  <c r="BZ135" i="13"/>
  <c r="BP135" i="13"/>
  <c r="BQ102" i="13"/>
  <c r="BO102" i="13"/>
  <c r="U104" i="13"/>
  <c r="AL135" i="13"/>
  <c r="CB135" i="13"/>
  <c r="BS135" i="13"/>
  <c r="BQ135" i="13"/>
  <c r="CE135" i="13"/>
  <c r="AW102" i="13"/>
  <c r="O104" i="13"/>
  <c r="CE102" i="13"/>
  <c r="BZ102" i="13"/>
  <c r="CA135" i="13"/>
  <c r="BU135" i="13"/>
  <c r="D133" i="13"/>
  <c r="D135" i="13" s="1"/>
  <c r="L151" i="13"/>
  <c r="L153" i="13" s="1"/>
  <c r="H151" i="13"/>
  <c r="H153" i="13" s="1"/>
  <c r="G103" i="13"/>
  <c r="K102" i="13"/>
  <c r="T117" i="13"/>
  <c r="T119" i="13" s="1"/>
  <c r="T121" i="13" s="1"/>
  <c r="R102" i="13"/>
  <c r="R151" i="13"/>
  <c r="R153" i="13" s="1"/>
  <c r="I151" i="13"/>
  <c r="I153" i="13" s="1"/>
  <c r="N102" i="13"/>
  <c r="J78" i="13"/>
  <c r="Q151" i="13"/>
  <c r="Q153" i="13" s="1"/>
  <c r="I81" i="13"/>
  <c r="M100" i="13"/>
  <c r="D102" i="13"/>
  <c r="O151" i="13"/>
  <c r="O153" i="13" s="1"/>
  <c r="Q102" i="13"/>
  <c r="S119" i="13"/>
  <c r="S121" i="13" s="1"/>
  <c r="M52" i="13"/>
  <c r="AM102" i="13"/>
  <c r="J89" i="13"/>
  <c r="M41" i="13"/>
  <c r="F102" i="13"/>
  <c r="CB117" i="13"/>
  <c r="CB119" i="13" s="1"/>
  <c r="G151" i="13"/>
  <c r="G153" i="13" s="1"/>
  <c r="T99" i="13"/>
  <c r="H102" i="13"/>
  <c r="I82" i="13"/>
  <c r="M26" i="13"/>
  <c r="M24" i="13"/>
  <c r="M50" i="13"/>
  <c r="C270" i="13"/>
  <c r="E91" i="13"/>
  <c r="C268" i="13"/>
  <c r="E88" i="13"/>
  <c r="C260" i="13"/>
  <c r="M30" i="13"/>
  <c r="C255" i="13"/>
  <c r="M56" i="13"/>
  <c r="J32" i="13"/>
  <c r="J33" i="13" s="1"/>
  <c r="E99" i="13"/>
  <c r="I78" i="13"/>
  <c r="E92" i="13"/>
  <c r="C274" i="13"/>
  <c r="T100" i="13"/>
  <c r="I85" i="13"/>
  <c r="E77" i="13"/>
  <c r="C237" i="13"/>
  <c r="C99" i="13"/>
  <c r="C119" i="13"/>
  <c r="C121" i="13" s="1"/>
  <c r="M9" i="13"/>
  <c r="M20" i="13"/>
  <c r="C245" i="13"/>
  <c r="E80" i="13"/>
  <c r="C247" i="13"/>
  <c r="M22" i="13"/>
  <c r="M37" i="13"/>
  <c r="C265" i="13"/>
  <c r="M45" i="13"/>
  <c r="C269" i="13"/>
  <c r="M49" i="13"/>
  <c r="C238" i="13"/>
  <c r="M7" i="13"/>
  <c r="BM133" i="13"/>
  <c r="BW117" i="13"/>
  <c r="BW119" i="13" s="1"/>
  <c r="CD133" i="13"/>
  <c r="AS115" i="13"/>
  <c r="AS130" i="13"/>
  <c r="BW133" i="13"/>
  <c r="AS114" i="13"/>
  <c r="AS97" i="13"/>
  <c r="AS100" i="13" s="1"/>
  <c r="AK131" i="13"/>
  <c r="BV117" i="13"/>
  <c r="BV119" i="13" s="1"/>
  <c r="BO149" i="13"/>
  <c r="BO151" i="13" s="1"/>
  <c r="CC100" i="13"/>
  <c r="CC149" i="13"/>
  <c r="CC151" i="13" s="1"/>
  <c r="BN100" i="13"/>
  <c r="BM149" i="13"/>
  <c r="BM151" i="13" s="1"/>
  <c r="CD149" i="13"/>
  <c r="CD151" i="13" s="1"/>
  <c r="M121" i="13"/>
  <c r="AK130" i="13"/>
  <c r="BW149" i="13"/>
  <c r="BW151" i="13" s="1"/>
  <c r="E153" i="13"/>
  <c r="CC117" i="13"/>
  <c r="CC119" i="13" s="1"/>
  <c r="AR130" i="13"/>
  <c r="BN117" i="13"/>
  <c r="BN119" i="13" s="1"/>
  <c r="AW130" i="13"/>
  <c r="AJ114" i="13"/>
  <c r="AJ97" i="13"/>
  <c r="AX114" i="13"/>
  <c r="AX97" i="13"/>
  <c r="AI131" i="13"/>
  <c r="AY114" i="13"/>
  <c r="AY97" i="13"/>
  <c r="CB100" i="13"/>
  <c r="AV131" i="13"/>
  <c r="BW100" i="13"/>
  <c r="AV130" i="13"/>
  <c r="AI130" i="13"/>
  <c r="AR115" i="13"/>
  <c r="AR98" i="13"/>
  <c r="BV100" i="13"/>
  <c r="BV102" i="13" s="1"/>
  <c r="BO133" i="13"/>
  <c r="CC133" i="13"/>
  <c r="K91" i="13" l="1"/>
  <c r="G104" i="13"/>
  <c r="I104" i="13"/>
  <c r="K80" i="13"/>
  <c r="K77" i="13"/>
  <c r="K92" i="13"/>
  <c r="K88" i="13"/>
  <c r="S99" i="13"/>
  <c r="M103" i="13"/>
  <c r="M102" i="13"/>
  <c r="E137" i="13"/>
  <c r="N104" i="13"/>
  <c r="J85" i="13"/>
  <c r="Y153" i="13"/>
  <c r="H104" i="13"/>
  <c r="K104" i="13"/>
  <c r="CC135" i="13"/>
  <c r="D137" i="13"/>
  <c r="F104" i="13"/>
  <c r="Q104" i="13"/>
  <c r="D104" i="13"/>
  <c r="CB102" i="13"/>
  <c r="AI133" i="13"/>
  <c r="BW102" i="13"/>
  <c r="BW135" i="13"/>
  <c r="R104" i="13"/>
  <c r="BO135" i="13"/>
  <c r="BN102" i="13"/>
  <c r="CC102" i="13"/>
  <c r="CD135" i="13"/>
  <c r="BM135" i="13"/>
  <c r="Y121" i="13"/>
  <c r="T102" i="13"/>
  <c r="CI119" i="13"/>
  <c r="M32" i="13"/>
  <c r="AR100" i="13"/>
  <c r="J57" i="13"/>
  <c r="CH151" i="13"/>
  <c r="M57" i="13"/>
  <c r="M11" i="13"/>
  <c r="E102" i="13"/>
  <c r="C102" i="13"/>
  <c r="AI146" i="13"/>
  <c r="AX117" i="13"/>
  <c r="AX119" i="13" s="1"/>
  <c r="AJ100" i="13"/>
  <c r="AS117" i="13"/>
  <c r="AS119" i="13" s="1"/>
  <c r="AS146" i="13"/>
  <c r="AS133" i="13"/>
  <c r="AR117" i="13"/>
  <c r="AR119" i="13" s="1"/>
  <c r="AI147" i="13"/>
  <c r="AJ117" i="13"/>
  <c r="AJ119" i="13" s="1"/>
  <c r="AK147" i="13"/>
  <c r="AK134" i="13"/>
  <c r="AV147" i="13"/>
  <c r="AY100" i="13"/>
  <c r="AW146" i="13"/>
  <c r="AW133" i="13"/>
  <c r="AR146" i="13"/>
  <c r="AV146" i="13"/>
  <c r="AV133" i="13"/>
  <c r="AY117" i="13"/>
  <c r="AY119" i="13" s="1"/>
  <c r="AX100" i="13"/>
  <c r="AK146" i="13"/>
  <c r="AK133" i="13"/>
  <c r="V201" i="2"/>
  <c r="H201" i="2" s="1"/>
  <c r="V202" i="2"/>
  <c r="H202" i="2" s="1"/>
  <c r="V204" i="2"/>
  <c r="H204" i="2" s="1"/>
  <c r="V205" i="2"/>
  <c r="H205" i="2" s="1"/>
  <c r="V206" i="2"/>
  <c r="H206" i="2" s="1"/>
  <c r="V207" i="2"/>
  <c r="H207" i="2" s="1"/>
  <c r="V208" i="2"/>
  <c r="H208" i="2" s="1"/>
  <c r="V209" i="2"/>
  <c r="H209" i="2" s="1"/>
  <c r="V210" i="2"/>
  <c r="H210" i="2" s="1"/>
  <c r="V211" i="2"/>
  <c r="H211" i="2" s="1"/>
  <c r="V212" i="2"/>
  <c r="H212" i="2" s="1"/>
  <c r="V213" i="2"/>
  <c r="H213" i="2" s="1"/>
  <c r="V214" i="2"/>
  <c r="H214" i="2" s="1"/>
  <c r="V215" i="2"/>
  <c r="H215" i="2" s="1"/>
  <c r="V216" i="2"/>
  <c r="H216" i="2" s="1"/>
  <c r="V217" i="2"/>
  <c r="H217" i="2" s="1"/>
  <c r="V218" i="2"/>
  <c r="H218" i="2" s="1"/>
  <c r="V219" i="2"/>
  <c r="H219" i="2" s="1"/>
  <c r="V220" i="2"/>
  <c r="H220" i="2" s="1"/>
  <c r="V221" i="2"/>
  <c r="H221" i="2" s="1"/>
  <c r="V222" i="2"/>
  <c r="H222" i="2" s="1"/>
  <c r="V223" i="2"/>
  <c r="H223" i="2" s="1"/>
  <c r="V224" i="2"/>
  <c r="H224" i="2" s="1"/>
  <c r="V225" i="2"/>
  <c r="H225" i="2" s="1"/>
  <c r="V226" i="2"/>
  <c r="H226" i="2" s="1"/>
  <c r="V227" i="2"/>
  <c r="H227" i="2" s="1"/>
  <c r="V228" i="2"/>
  <c r="H228" i="2" s="1"/>
  <c r="V229" i="2"/>
  <c r="H229" i="2" s="1"/>
  <c r="V230" i="2"/>
  <c r="H230" i="2" s="1"/>
  <c r="V231" i="2"/>
  <c r="H231" i="2" s="1"/>
  <c r="V199" i="2"/>
  <c r="H199" i="2" s="1"/>
  <c r="V168" i="2"/>
  <c r="H168" i="2" s="1"/>
  <c r="M104" i="13" l="1"/>
  <c r="Y137" i="13"/>
  <c r="S102" i="13"/>
  <c r="S104" i="13" s="1"/>
  <c r="AI135" i="13"/>
  <c r="CH135" i="13"/>
  <c r="CH102" i="13"/>
  <c r="T104" i="13"/>
  <c r="AJ102" i="13"/>
  <c r="AX102" i="13"/>
  <c r="AV135" i="13"/>
  <c r="AR102" i="13"/>
  <c r="C104" i="13"/>
  <c r="AY102" i="13"/>
  <c r="AS102" i="13"/>
  <c r="AW135" i="13"/>
  <c r="AS135" i="13"/>
  <c r="E104" i="13"/>
  <c r="AK135" i="13"/>
  <c r="BD119" i="13"/>
  <c r="AK149" i="13"/>
  <c r="AS149" i="13"/>
  <c r="AS151" i="13" s="1"/>
  <c r="AI149" i="13"/>
  <c r="AI151" i="13" s="1"/>
  <c r="AV149" i="13"/>
  <c r="AV151" i="13" s="1"/>
  <c r="AW149" i="13"/>
  <c r="AW151" i="13" s="1"/>
  <c r="AK150" i="13"/>
  <c r="BD102" i="13" l="1"/>
  <c r="Y104" i="13"/>
  <c r="BD135" i="13"/>
  <c r="AK151" i="13"/>
  <c r="BD151" i="13" s="1"/>
  <c r="AJ77" i="13" l="1"/>
  <c r="AP77" i="13" s="1"/>
  <c r="H169" i="2"/>
  <c r="V170" i="2"/>
  <c r="H170" i="2" s="1"/>
  <c r="V171" i="2"/>
  <c r="H171" i="2" s="1"/>
  <c r="V172" i="2"/>
  <c r="H172" i="2" s="1"/>
  <c r="V174" i="2"/>
  <c r="H174" i="2" s="1"/>
  <c r="V175" i="2"/>
  <c r="H175" i="2" s="1"/>
  <c r="V176" i="2"/>
  <c r="H176" i="2" s="1"/>
  <c r="V177" i="2"/>
  <c r="H177" i="2" s="1"/>
  <c r="V178" i="2"/>
  <c r="H178" i="2" s="1"/>
  <c r="V179" i="2"/>
  <c r="H179" i="2" s="1"/>
  <c r="V180" i="2"/>
  <c r="H180" i="2" s="1"/>
  <c r="V181" i="2"/>
  <c r="H181" i="2" s="1"/>
  <c r="V182" i="2"/>
  <c r="H182" i="2" s="1"/>
  <c r="V183" i="2"/>
  <c r="H183" i="2" s="1"/>
  <c r="V184" i="2"/>
  <c r="H184" i="2" s="1"/>
  <c r="V185" i="2"/>
  <c r="H185" i="2" s="1"/>
  <c r="V186" i="2"/>
  <c r="H186" i="2" s="1"/>
  <c r="V187" i="2"/>
  <c r="H187" i="2" s="1"/>
  <c r="V188" i="2"/>
  <c r="H188" i="2" s="1"/>
  <c r="V190" i="2"/>
  <c r="H190" i="2" s="1"/>
  <c r="V191" i="2"/>
  <c r="H191" i="2" s="1"/>
  <c r="V192" i="2"/>
  <c r="H192" i="2" s="1"/>
  <c r="V193" i="2"/>
  <c r="H193" i="2" s="1"/>
  <c r="V194" i="2"/>
  <c r="H194" i="2" s="1"/>
  <c r="V195" i="2"/>
  <c r="H195" i="2" s="1"/>
  <c r="V196" i="2"/>
  <c r="H196" i="2" s="1"/>
  <c r="V197" i="2"/>
  <c r="H197" i="2" s="1"/>
  <c r="V198" i="2"/>
  <c r="H198" i="2" s="1"/>
  <c r="D320" i="13" l="1"/>
  <c r="E320" i="13"/>
  <c r="D319" i="13"/>
  <c r="F319" i="13" s="1"/>
  <c r="C319" i="13"/>
  <c r="D318" i="13"/>
  <c r="F318" i="13" s="1"/>
  <c r="C318" i="13"/>
  <c r="D317" i="13"/>
  <c r="F317" i="13" s="1"/>
  <c r="C317" i="13"/>
  <c r="D316" i="13"/>
  <c r="F316" i="13" s="1"/>
  <c r="C316" i="13"/>
  <c r="D315" i="13"/>
  <c r="F315" i="13" s="1"/>
  <c r="C315" i="13"/>
  <c r="D314" i="13"/>
  <c r="F314" i="13" s="1"/>
  <c r="C314" i="13"/>
  <c r="D313" i="13"/>
  <c r="F313" i="13" s="1"/>
  <c r="C313" i="13"/>
  <c r="D312" i="13"/>
  <c r="F312" i="13" s="1"/>
  <c r="C312" i="13"/>
  <c r="D311" i="13"/>
  <c r="F311" i="13" s="1"/>
  <c r="C311" i="13"/>
  <c r="D310" i="13"/>
  <c r="F310" i="13" s="1"/>
  <c r="C310" i="13"/>
  <c r="D309" i="13"/>
  <c r="F309" i="13" s="1"/>
  <c r="C309" i="13"/>
  <c r="D308" i="13"/>
  <c r="F308" i="13" s="1"/>
  <c r="C308" i="13"/>
  <c r="D307" i="13"/>
  <c r="F307" i="13" s="1"/>
  <c r="C307" i="13"/>
  <c r="D306" i="13"/>
  <c r="F306" i="13" s="1"/>
  <c r="C306" i="13"/>
  <c r="D305" i="13"/>
  <c r="F305" i="13" s="1"/>
  <c r="C305" i="13"/>
  <c r="D304" i="13"/>
  <c r="F304" i="13" s="1"/>
  <c r="C304" i="13"/>
  <c r="D303" i="13"/>
  <c r="F303" i="13" s="1"/>
  <c r="C303" i="13"/>
  <c r="D302" i="13"/>
  <c r="F302" i="13" s="1"/>
  <c r="C302" i="13"/>
  <c r="D301" i="13"/>
  <c r="F301" i="13" s="1"/>
  <c r="C301" i="13"/>
  <c r="D300" i="13"/>
  <c r="F300" i="13" s="1"/>
  <c r="C300" i="13"/>
  <c r="D299" i="13"/>
  <c r="F299" i="13" s="1"/>
  <c r="C299" i="13"/>
  <c r="D298" i="13"/>
  <c r="F298" i="13" s="1"/>
  <c r="C298" i="13"/>
  <c r="C297" i="13"/>
  <c r="E297" i="13" s="1"/>
  <c r="D296" i="13"/>
  <c r="F296" i="13" s="1"/>
  <c r="C296" i="13"/>
  <c r="D295" i="13"/>
  <c r="F295" i="13" s="1"/>
  <c r="C295" i="13"/>
  <c r="D294" i="13"/>
  <c r="F294" i="13" s="1"/>
  <c r="C294" i="13"/>
  <c r="D293" i="13"/>
  <c r="F293" i="13" s="1"/>
  <c r="C293" i="13"/>
  <c r="D292" i="13"/>
  <c r="F292" i="13" s="1"/>
  <c r="C292" i="13"/>
  <c r="D291" i="13"/>
  <c r="F291" i="13" s="1"/>
  <c r="C291" i="13"/>
  <c r="D290" i="13"/>
  <c r="F290" i="13" s="1"/>
  <c r="C290" i="13"/>
  <c r="D289" i="13"/>
  <c r="F289" i="13" s="1"/>
  <c r="C289" i="13"/>
  <c r="D288" i="13"/>
  <c r="F288" i="13" s="1"/>
  <c r="C288" i="13"/>
  <c r="D287" i="13"/>
  <c r="F287" i="13" s="1"/>
  <c r="C287" i="13"/>
  <c r="D286" i="13"/>
  <c r="F286" i="13" s="1"/>
  <c r="C286" i="13"/>
  <c r="D285" i="13"/>
  <c r="F285" i="13" s="1"/>
  <c r="C285" i="13"/>
  <c r="D284" i="13"/>
  <c r="F284" i="13" s="1"/>
  <c r="C284" i="13"/>
  <c r="D283" i="13"/>
  <c r="F283" i="13" s="1"/>
  <c r="C283" i="13"/>
  <c r="D282" i="13"/>
  <c r="F282" i="13" s="1"/>
  <c r="C282" i="13"/>
  <c r="D281" i="13"/>
  <c r="F281" i="13" s="1"/>
  <c r="C281" i="13"/>
  <c r="D280" i="13"/>
  <c r="F280" i="13" s="1"/>
  <c r="C280" i="13"/>
  <c r="D279" i="13"/>
  <c r="F279" i="13" s="1"/>
  <c r="C279" i="13"/>
  <c r="D278" i="13"/>
  <c r="F278" i="13" s="1"/>
  <c r="C278" i="13"/>
  <c r="D277" i="13"/>
  <c r="F277" i="13" s="1"/>
  <c r="C277" i="13"/>
  <c r="E276" i="13"/>
  <c r="D276" i="13"/>
  <c r="H276" i="13" s="1"/>
  <c r="E275" i="13"/>
  <c r="D275" i="13"/>
  <c r="E274" i="13"/>
  <c r="D274" i="13"/>
  <c r="E273" i="13"/>
  <c r="D273" i="13"/>
  <c r="E272" i="13"/>
  <c r="D272" i="13"/>
  <c r="H272" i="13" s="1"/>
  <c r="E271" i="13"/>
  <c r="D271" i="13"/>
  <c r="H271" i="13" s="1"/>
  <c r="E270" i="13"/>
  <c r="D270" i="13"/>
  <c r="E269" i="13"/>
  <c r="D269" i="13"/>
  <c r="E268" i="13"/>
  <c r="D268" i="13"/>
  <c r="E267" i="13"/>
  <c r="D267" i="13"/>
  <c r="E266" i="13"/>
  <c r="D266" i="13"/>
  <c r="E265" i="13"/>
  <c r="D265" i="13"/>
  <c r="E264" i="13"/>
  <c r="D264" i="13"/>
  <c r="E263" i="13"/>
  <c r="D263" i="13"/>
  <c r="E262" i="13"/>
  <c r="D262" i="13"/>
  <c r="E261" i="13"/>
  <c r="D261" i="13"/>
  <c r="E260" i="13"/>
  <c r="D260" i="13"/>
  <c r="E259" i="13"/>
  <c r="D259" i="13"/>
  <c r="E258" i="13"/>
  <c r="D258" i="13"/>
  <c r="E257" i="13"/>
  <c r="D257" i="13"/>
  <c r="E256" i="13"/>
  <c r="D256" i="13"/>
  <c r="H256" i="13" s="1"/>
  <c r="E255" i="13"/>
  <c r="D255" i="13"/>
  <c r="H255" i="13" s="1"/>
  <c r="E254" i="13"/>
  <c r="D254" i="13"/>
  <c r="E253" i="13"/>
  <c r="D253" i="13"/>
  <c r="H253" i="13" s="1"/>
  <c r="E252" i="13"/>
  <c r="D252" i="13"/>
  <c r="H252" i="13" s="1"/>
  <c r="E251" i="13"/>
  <c r="D251" i="13"/>
  <c r="E250" i="13"/>
  <c r="D250" i="13"/>
  <c r="E249" i="13"/>
  <c r="D249" i="13"/>
  <c r="E248" i="13"/>
  <c r="D248" i="13"/>
  <c r="E247" i="13"/>
  <c r="D247" i="13"/>
  <c r="E246" i="13"/>
  <c r="D246" i="13"/>
  <c r="E245" i="13"/>
  <c r="D245" i="13"/>
  <c r="H245" i="13" s="1"/>
  <c r="E244" i="13"/>
  <c r="D244" i="13"/>
  <c r="H244" i="13" s="1"/>
  <c r="E243" i="13"/>
  <c r="D243" i="13"/>
  <c r="E242" i="13"/>
  <c r="D242" i="13"/>
  <c r="E241" i="13"/>
  <c r="D241" i="13"/>
  <c r="E240" i="13"/>
  <c r="D240" i="13"/>
  <c r="H240" i="13" s="1"/>
  <c r="E239" i="13"/>
  <c r="D239" i="13"/>
  <c r="H239" i="13" s="1"/>
  <c r="E238" i="13"/>
  <c r="D238" i="13"/>
  <c r="E237" i="13"/>
  <c r="D237" i="13"/>
  <c r="H237" i="13" s="1"/>
  <c r="K215" i="13"/>
  <c r="BO205" i="13" s="1"/>
  <c r="J215" i="13"/>
  <c r="BN205" i="13" s="1"/>
  <c r="I215" i="13"/>
  <c r="BM205" i="13" s="1"/>
  <c r="E215" i="13"/>
  <c r="BL205" i="13" s="1"/>
  <c r="D215" i="13"/>
  <c r="BK205" i="13" s="1"/>
  <c r="C215" i="13"/>
  <c r="BJ205" i="13" s="1"/>
  <c r="AY214" i="13"/>
  <c r="CA205" i="13" s="1"/>
  <c r="N214" i="13"/>
  <c r="K214" i="13"/>
  <c r="BO204" i="13" s="1"/>
  <c r="J214" i="13"/>
  <c r="BN204" i="13" s="1"/>
  <c r="I214" i="13"/>
  <c r="H214" i="13"/>
  <c r="E214" i="13"/>
  <c r="BL204" i="13" s="1"/>
  <c r="D214" i="13"/>
  <c r="BK204" i="13" s="1"/>
  <c r="C214" i="13"/>
  <c r="BJ204" i="13" s="1"/>
  <c r="AY213" i="13"/>
  <c r="CA204" i="13" s="1"/>
  <c r="AV213" i="13"/>
  <c r="K213" i="13"/>
  <c r="BO203" i="13" s="1"/>
  <c r="J213" i="13"/>
  <c r="BN203" i="13" s="1"/>
  <c r="I213" i="13"/>
  <c r="BM203" i="13" s="1"/>
  <c r="H213" i="13"/>
  <c r="E213" i="13"/>
  <c r="BL203" i="13" s="1"/>
  <c r="D213" i="13"/>
  <c r="BK203" i="13" s="1"/>
  <c r="C213" i="13"/>
  <c r="BJ203" i="13" s="1"/>
  <c r="AY212" i="13"/>
  <c r="CA203" i="13" s="1"/>
  <c r="AV212" i="13"/>
  <c r="K212" i="13"/>
  <c r="J212" i="13"/>
  <c r="BN202" i="13" s="1"/>
  <c r="I212" i="13"/>
  <c r="E212" i="13"/>
  <c r="BL202" i="13" s="1"/>
  <c r="D212" i="13"/>
  <c r="BK202" i="13" s="1"/>
  <c r="C212" i="13"/>
  <c r="BJ202" i="13" s="1"/>
  <c r="AY211" i="13"/>
  <c r="CA202" i="13" s="1"/>
  <c r="K211" i="13"/>
  <c r="BO201" i="13" s="1"/>
  <c r="J211" i="13"/>
  <c r="BN201" i="13" s="1"/>
  <c r="I211" i="13"/>
  <c r="BM201" i="13" s="1"/>
  <c r="E211" i="13"/>
  <c r="BL201" i="13" s="1"/>
  <c r="D211" i="13"/>
  <c r="BK201" i="13" s="1"/>
  <c r="C211" i="13"/>
  <c r="AY210" i="13"/>
  <c r="CA201" i="13" s="1"/>
  <c r="K210" i="13"/>
  <c r="BO200" i="13" s="1"/>
  <c r="J210" i="13"/>
  <c r="BN200" i="13" s="1"/>
  <c r="I210" i="13"/>
  <c r="BM200" i="13" s="1"/>
  <c r="E210" i="13"/>
  <c r="BL200" i="13" s="1"/>
  <c r="D210" i="13"/>
  <c r="BK200" i="13" s="1"/>
  <c r="C210" i="13"/>
  <c r="BJ200" i="13" s="1"/>
  <c r="AY209" i="13"/>
  <c r="CA200" i="13" s="1"/>
  <c r="K209" i="13"/>
  <c r="BO199" i="13" s="1"/>
  <c r="J209" i="13"/>
  <c r="BN199" i="13" s="1"/>
  <c r="I209" i="13"/>
  <c r="BM199" i="13" s="1"/>
  <c r="E209" i="13"/>
  <c r="D209" i="13"/>
  <c r="BK199" i="13" s="1"/>
  <c r="C209" i="13"/>
  <c r="BJ199" i="13" s="1"/>
  <c r="AY208" i="13"/>
  <c r="CA199" i="13" s="1"/>
  <c r="K208" i="13"/>
  <c r="J208" i="13"/>
  <c r="BN198" i="13" s="1"/>
  <c r="I208" i="13"/>
  <c r="E208" i="13"/>
  <c r="BL198" i="13" s="1"/>
  <c r="D208" i="13"/>
  <c r="BK198" i="13" s="1"/>
  <c r="C208" i="13"/>
  <c r="BJ198" i="13" s="1"/>
  <c r="AY207" i="13"/>
  <c r="CA198" i="13" s="1"/>
  <c r="K207" i="13"/>
  <c r="BO197" i="13" s="1"/>
  <c r="J207" i="13"/>
  <c r="BN197" i="13" s="1"/>
  <c r="I207" i="13"/>
  <c r="BM197" i="13" s="1"/>
  <c r="H207" i="13"/>
  <c r="E207" i="13"/>
  <c r="BL197" i="13" s="1"/>
  <c r="D207" i="13"/>
  <c r="BK197" i="13" s="1"/>
  <c r="C207" i="13"/>
  <c r="BJ197" i="13" s="1"/>
  <c r="BB206" i="13"/>
  <c r="AY206" i="13"/>
  <c r="CA197" i="13" s="1"/>
  <c r="AV206" i="13"/>
  <c r="N206" i="13"/>
  <c r="K206" i="13"/>
  <c r="BO196" i="13" s="1"/>
  <c r="J206" i="13"/>
  <c r="BN196" i="13" s="1"/>
  <c r="I206" i="13"/>
  <c r="H206" i="13"/>
  <c r="E206" i="13"/>
  <c r="BL196" i="13" s="1"/>
  <c r="D206" i="13"/>
  <c r="BK196" i="13" s="1"/>
  <c r="C206" i="13"/>
  <c r="AY205" i="13"/>
  <c r="CA196" i="13" s="1"/>
  <c r="K205" i="13"/>
  <c r="BO195" i="13" s="1"/>
  <c r="J205" i="13"/>
  <c r="BN195" i="13" s="1"/>
  <c r="I205" i="13"/>
  <c r="E205" i="13"/>
  <c r="BL195" i="13" s="1"/>
  <c r="D205" i="13"/>
  <c r="BK195" i="13" s="1"/>
  <c r="C205" i="13"/>
  <c r="BJ195" i="13" s="1"/>
  <c r="AY204" i="13"/>
  <c r="CA195" i="13" s="1"/>
  <c r="K204" i="13"/>
  <c r="BO194" i="13" s="1"/>
  <c r="J204" i="13"/>
  <c r="BN194" i="13" s="1"/>
  <c r="I204" i="13"/>
  <c r="BM194" i="13" s="1"/>
  <c r="E204" i="13"/>
  <c r="BL194" i="13" s="1"/>
  <c r="D204" i="13"/>
  <c r="BK194" i="13" s="1"/>
  <c r="C204" i="13"/>
  <c r="BJ194" i="13" s="1"/>
  <c r="AY203" i="13"/>
  <c r="CA194" i="13" s="1"/>
  <c r="K203" i="13"/>
  <c r="BO193" i="13" s="1"/>
  <c r="J203" i="13"/>
  <c r="BN193" i="13" s="1"/>
  <c r="I203" i="13"/>
  <c r="E203" i="13"/>
  <c r="BL193" i="13" s="1"/>
  <c r="D203" i="13"/>
  <c r="BK193" i="13" s="1"/>
  <c r="C203" i="13"/>
  <c r="BJ193" i="13" s="1"/>
  <c r="BO202" i="13"/>
  <c r="AY202" i="13"/>
  <c r="CA193" i="13" s="1"/>
  <c r="K202" i="13"/>
  <c r="BO192" i="13" s="1"/>
  <c r="J202" i="13"/>
  <c r="BN192" i="13" s="1"/>
  <c r="I202" i="13"/>
  <c r="E202" i="13"/>
  <c r="BL192" i="13" s="1"/>
  <c r="D202" i="13"/>
  <c r="BK192" i="13" s="1"/>
  <c r="C202" i="13"/>
  <c r="BJ192" i="13" s="1"/>
  <c r="AY201" i="13"/>
  <c r="CA192" i="13" s="1"/>
  <c r="K201" i="13"/>
  <c r="BO191" i="13" s="1"/>
  <c r="J201" i="13"/>
  <c r="BN191" i="13" s="1"/>
  <c r="I201" i="13"/>
  <c r="BM191" i="13" s="1"/>
  <c r="E201" i="13"/>
  <c r="BL191" i="13" s="1"/>
  <c r="D201" i="13"/>
  <c r="BK191" i="13" s="1"/>
  <c r="C201" i="13"/>
  <c r="BJ191" i="13" s="1"/>
  <c r="AY200" i="13"/>
  <c r="CA191" i="13" s="1"/>
  <c r="K200" i="13"/>
  <c r="BO190" i="13" s="1"/>
  <c r="J200" i="13"/>
  <c r="BN190" i="13" s="1"/>
  <c r="I200" i="13"/>
  <c r="BM190" i="13" s="1"/>
  <c r="E200" i="13"/>
  <c r="BL190" i="13" s="1"/>
  <c r="D200" i="13"/>
  <c r="BK190" i="13" s="1"/>
  <c r="C200" i="13"/>
  <c r="BL199" i="13"/>
  <c r="AY199" i="13"/>
  <c r="CA190" i="13" s="1"/>
  <c r="K199" i="13"/>
  <c r="BO189" i="13" s="1"/>
  <c r="J199" i="13"/>
  <c r="BN189" i="13" s="1"/>
  <c r="I199" i="13"/>
  <c r="BM189" i="13" s="1"/>
  <c r="H199" i="13"/>
  <c r="E199" i="13"/>
  <c r="BL189" i="13" s="1"/>
  <c r="D199" i="13"/>
  <c r="BK189" i="13" s="1"/>
  <c r="C199" i="13"/>
  <c r="BJ189" i="13" s="1"/>
  <c r="BO198" i="13"/>
  <c r="BB198" i="13"/>
  <c r="AY198" i="13"/>
  <c r="CA189" i="13" s="1"/>
  <c r="AV198" i="13"/>
  <c r="Q198" i="13"/>
  <c r="P198" i="13"/>
  <c r="O198" i="13"/>
  <c r="K198" i="13"/>
  <c r="BO188" i="13" s="1"/>
  <c r="J198" i="13"/>
  <c r="BN188" i="13" s="1"/>
  <c r="I198" i="13"/>
  <c r="BM188" i="13" s="1"/>
  <c r="E198" i="13"/>
  <c r="BL188" i="13" s="1"/>
  <c r="D198" i="13"/>
  <c r="BK188" i="13" s="1"/>
  <c r="C198" i="13"/>
  <c r="BJ188" i="13" s="1"/>
  <c r="AY197" i="13"/>
  <c r="CA188" i="13" s="1"/>
  <c r="N197" i="13"/>
  <c r="K197" i="13"/>
  <c r="BO187" i="13" s="1"/>
  <c r="J197" i="13"/>
  <c r="BN187" i="13" s="1"/>
  <c r="I197" i="13"/>
  <c r="BM187" i="13" s="1"/>
  <c r="H197" i="13"/>
  <c r="E197" i="13"/>
  <c r="BL187" i="13" s="1"/>
  <c r="D197" i="13"/>
  <c r="BK187" i="13" s="1"/>
  <c r="C197" i="13"/>
  <c r="BJ187" i="13" s="1"/>
  <c r="BM196" i="13"/>
  <c r="BJ196" i="13"/>
  <c r="AY196" i="13"/>
  <c r="CA187" i="13" s="1"/>
  <c r="AV196" i="13"/>
  <c r="K196" i="13"/>
  <c r="BO186" i="13" s="1"/>
  <c r="I196" i="13"/>
  <c r="E196" i="13"/>
  <c r="BL186" i="13" s="1"/>
  <c r="D196" i="13"/>
  <c r="BK186" i="13" s="1"/>
  <c r="C196" i="13"/>
  <c r="BJ186" i="13" s="1"/>
  <c r="BM195" i="13"/>
  <c r="AY195" i="13"/>
  <c r="CA186" i="13" s="1"/>
  <c r="AF191" i="13"/>
  <c r="AZ190" i="13"/>
  <c r="K190" i="13"/>
  <c r="BO184" i="13" s="1"/>
  <c r="J190" i="13"/>
  <c r="BN184" i="13" s="1"/>
  <c r="I190" i="13"/>
  <c r="BM184" i="13" s="1"/>
  <c r="E190" i="13"/>
  <c r="BL184" i="13" s="1"/>
  <c r="D190" i="13"/>
  <c r="BK184" i="13" s="1"/>
  <c r="C190" i="13"/>
  <c r="BJ184" i="13" s="1"/>
  <c r="K189" i="13"/>
  <c r="BO183" i="13" s="1"/>
  <c r="J189" i="13"/>
  <c r="BN183" i="13" s="1"/>
  <c r="I189" i="13"/>
  <c r="BM183" i="13" s="1"/>
  <c r="E189" i="13"/>
  <c r="BL183" i="13" s="1"/>
  <c r="D189" i="13"/>
  <c r="BK183" i="13" s="1"/>
  <c r="C189" i="13"/>
  <c r="BJ183" i="13" s="1"/>
  <c r="N188" i="13"/>
  <c r="K188" i="13"/>
  <c r="BO182" i="13" s="1"/>
  <c r="J188" i="13"/>
  <c r="BN182" i="13" s="1"/>
  <c r="I188" i="13"/>
  <c r="BM182" i="13" s="1"/>
  <c r="H188" i="13"/>
  <c r="E188" i="13"/>
  <c r="BL182" i="13" s="1"/>
  <c r="D188" i="13"/>
  <c r="BK182" i="13" s="1"/>
  <c r="C188" i="13"/>
  <c r="BJ182" i="13" s="1"/>
  <c r="AV187" i="13"/>
  <c r="K187" i="13"/>
  <c r="BO181" i="13" s="1"/>
  <c r="J187" i="13"/>
  <c r="BN181" i="13" s="1"/>
  <c r="I187" i="13"/>
  <c r="BM181" i="13" s="1"/>
  <c r="H187" i="13"/>
  <c r="E187" i="13"/>
  <c r="BL181" i="13" s="1"/>
  <c r="D187" i="13"/>
  <c r="BK181" i="13" s="1"/>
  <c r="C187" i="13"/>
  <c r="BJ181" i="13" s="1"/>
  <c r="BB186" i="13"/>
  <c r="AV186" i="13"/>
  <c r="K186" i="13"/>
  <c r="BO180" i="13" s="1"/>
  <c r="J186" i="13"/>
  <c r="BN180" i="13" s="1"/>
  <c r="I186" i="13"/>
  <c r="E186" i="13"/>
  <c r="D186" i="13"/>
  <c r="BK180" i="13" s="1"/>
  <c r="C186" i="13"/>
  <c r="BJ180" i="13" s="1"/>
  <c r="K185" i="13"/>
  <c r="BO179" i="13" s="1"/>
  <c r="J185" i="13"/>
  <c r="BN179" i="13" s="1"/>
  <c r="I185" i="13"/>
  <c r="E185" i="13"/>
  <c r="BL179" i="13" s="1"/>
  <c r="D185" i="13"/>
  <c r="BK179" i="13" s="1"/>
  <c r="C185" i="13"/>
  <c r="BJ179" i="13" s="1"/>
  <c r="K184" i="13"/>
  <c r="BO178" i="13" s="1"/>
  <c r="J184" i="13"/>
  <c r="BN178" i="13" s="1"/>
  <c r="I184" i="13"/>
  <c r="BM178" i="13" s="1"/>
  <c r="E184" i="13"/>
  <c r="BL178" i="13" s="1"/>
  <c r="D184" i="13"/>
  <c r="BK178" i="13" s="1"/>
  <c r="C184" i="13"/>
  <c r="BJ178" i="13" s="1"/>
  <c r="K183" i="13"/>
  <c r="BO177" i="13" s="1"/>
  <c r="J183" i="13"/>
  <c r="BN177" i="13" s="1"/>
  <c r="I183" i="13"/>
  <c r="BM177" i="13" s="1"/>
  <c r="E183" i="13"/>
  <c r="BL177" i="13" s="1"/>
  <c r="D183" i="13"/>
  <c r="BK177" i="13" s="1"/>
  <c r="C183" i="13"/>
  <c r="BJ177" i="13" s="1"/>
  <c r="K182" i="13"/>
  <c r="BO176" i="13" s="1"/>
  <c r="J182" i="13"/>
  <c r="BN176" i="13" s="1"/>
  <c r="I182" i="13"/>
  <c r="BM176" i="13" s="1"/>
  <c r="H182" i="13"/>
  <c r="E182" i="13"/>
  <c r="BL176" i="13" s="1"/>
  <c r="D182" i="13"/>
  <c r="BK176" i="13" s="1"/>
  <c r="C182" i="13"/>
  <c r="BJ176" i="13" s="1"/>
  <c r="AV181" i="13"/>
  <c r="Q181" i="13"/>
  <c r="P181" i="13"/>
  <c r="O181" i="13"/>
  <c r="N181" i="13"/>
  <c r="K181" i="13"/>
  <c r="BO175" i="13" s="1"/>
  <c r="J181" i="13"/>
  <c r="BN175" i="13" s="1"/>
  <c r="I181" i="13"/>
  <c r="H181" i="13"/>
  <c r="E181" i="13"/>
  <c r="BL175" i="13" s="1"/>
  <c r="D181" i="13"/>
  <c r="BK175" i="13" s="1"/>
  <c r="C181" i="13"/>
  <c r="BJ175" i="13" s="1"/>
  <c r="BL180" i="13"/>
  <c r="AV180" i="13"/>
  <c r="K180" i="13"/>
  <c r="BO174" i="13" s="1"/>
  <c r="J180" i="13"/>
  <c r="BN174" i="13" s="1"/>
  <c r="I180" i="13"/>
  <c r="E180" i="13"/>
  <c r="BL174" i="13" s="1"/>
  <c r="D180" i="13"/>
  <c r="BK174" i="13" s="1"/>
  <c r="C180" i="13"/>
  <c r="BJ174" i="13" s="1"/>
  <c r="K179" i="13"/>
  <c r="BO173" i="13" s="1"/>
  <c r="J179" i="13"/>
  <c r="BN173" i="13" s="1"/>
  <c r="I179" i="13"/>
  <c r="E179" i="13"/>
  <c r="BL173" i="13" s="1"/>
  <c r="D179" i="13"/>
  <c r="BK173" i="13" s="1"/>
  <c r="C179" i="13"/>
  <c r="BJ173" i="13" s="1"/>
  <c r="K178" i="13"/>
  <c r="BO172" i="13" s="1"/>
  <c r="J178" i="13"/>
  <c r="BN172" i="13" s="1"/>
  <c r="I178" i="13"/>
  <c r="BM172" i="13" s="1"/>
  <c r="E178" i="13"/>
  <c r="BL172" i="13" s="1"/>
  <c r="D178" i="13"/>
  <c r="BK172" i="13" s="1"/>
  <c r="C178" i="13"/>
  <c r="Q177" i="13"/>
  <c r="P177" i="13"/>
  <c r="O177" i="13"/>
  <c r="K177" i="13"/>
  <c r="BO171" i="13" s="1"/>
  <c r="J177" i="13"/>
  <c r="BN171" i="13" s="1"/>
  <c r="I177" i="13"/>
  <c r="BM171" i="13" s="1"/>
  <c r="E177" i="13"/>
  <c r="BL171" i="13" s="1"/>
  <c r="D177" i="13"/>
  <c r="BK171" i="13" s="1"/>
  <c r="C177" i="13"/>
  <c r="BJ171" i="13" s="1"/>
  <c r="K176" i="13"/>
  <c r="BO170" i="13" s="1"/>
  <c r="J176" i="13"/>
  <c r="BN170" i="13" s="1"/>
  <c r="I176" i="13"/>
  <c r="BM170" i="13" s="1"/>
  <c r="E176" i="13"/>
  <c r="BL170" i="13" s="1"/>
  <c r="D176" i="13"/>
  <c r="BK170" i="13" s="1"/>
  <c r="C176" i="13"/>
  <c r="BJ172" i="13"/>
  <c r="BF170" i="13"/>
  <c r="AZ170" i="13"/>
  <c r="AL170" i="13"/>
  <c r="AF170" i="13"/>
  <c r="Q169" i="13"/>
  <c r="P169" i="13"/>
  <c r="O169" i="13"/>
  <c r="K169" i="13"/>
  <c r="BO169" i="13" s="1"/>
  <c r="J169" i="13"/>
  <c r="BN169" i="13" s="1"/>
  <c r="I169" i="13"/>
  <c r="E169" i="13"/>
  <c r="BL169" i="13" s="1"/>
  <c r="D169" i="13"/>
  <c r="BK169" i="13" s="1"/>
  <c r="C169" i="13"/>
  <c r="BJ169" i="13" s="1"/>
  <c r="K168" i="13"/>
  <c r="BO168" i="13" s="1"/>
  <c r="J168" i="13"/>
  <c r="I168" i="13"/>
  <c r="E168" i="13"/>
  <c r="BL168" i="13" s="1"/>
  <c r="D168" i="13"/>
  <c r="BK168" i="13" s="1"/>
  <c r="C168" i="13"/>
  <c r="BJ168" i="13" s="1"/>
  <c r="AV167" i="13"/>
  <c r="N167" i="13"/>
  <c r="K167" i="13"/>
  <c r="BO167" i="13" s="1"/>
  <c r="J167" i="13"/>
  <c r="BN167" i="13" s="1"/>
  <c r="I167" i="13"/>
  <c r="BM167" i="13" s="1"/>
  <c r="H167" i="13"/>
  <c r="E167" i="13"/>
  <c r="BL167" i="13" s="1"/>
  <c r="D167" i="13"/>
  <c r="BK167" i="13" s="1"/>
  <c r="C167" i="13"/>
  <c r="BJ167" i="13" s="1"/>
  <c r="K166" i="13"/>
  <c r="BO166" i="13" s="1"/>
  <c r="J166" i="13"/>
  <c r="I166" i="13"/>
  <c r="BM166" i="13" s="1"/>
  <c r="E166" i="13"/>
  <c r="BL166" i="13" s="1"/>
  <c r="D166" i="13"/>
  <c r="BK166" i="13" s="1"/>
  <c r="C166" i="13"/>
  <c r="K165" i="13"/>
  <c r="BO165" i="13" s="1"/>
  <c r="J165" i="13"/>
  <c r="BN165" i="13" s="1"/>
  <c r="I165" i="13"/>
  <c r="BM165" i="13" s="1"/>
  <c r="H165" i="13"/>
  <c r="E165" i="13"/>
  <c r="D165" i="13"/>
  <c r="C165" i="13"/>
  <c r="BJ165" i="13" s="1"/>
  <c r="CA164" i="13"/>
  <c r="BZ164" i="13"/>
  <c r="BY164" i="13"/>
  <c r="BX164" i="13"/>
  <c r="BW164" i="13"/>
  <c r="BV164" i="13"/>
  <c r="BU164" i="13"/>
  <c r="BT164" i="13"/>
  <c r="BS164" i="13"/>
  <c r="BR164" i="13"/>
  <c r="BQ164" i="13"/>
  <c r="BP164" i="13"/>
  <c r="BO164" i="13"/>
  <c r="BN164" i="13"/>
  <c r="BM164" i="13"/>
  <c r="BL164" i="13"/>
  <c r="BK164" i="13"/>
  <c r="BJ164" i="13"/>
  <c r="BV163" i="13"/>
  <c r="BP163" i="13"/>
  <c r="BJ163" i="13"/>
  <c r="AY189" i="13"/>
  <c r="CA184" i="13" s="1"/>
  <c r="BE182" i="13"/>
  <c r="S181" i="13" l="1"/>
  <c r="M211" i="13"/>
  <c r="H279" i="13"/>
  <c r="H281" i="13"/>
  <c r="M179" i="13"/>
  <c r="S177" i="13"/>
  <c r="S191" i="13" s="1"/>
  <c r="M178" i="13"/>
  <c r="M183" i="13"/>
  <c r="F244" i="13"/>
  <c r="M199" i="13"/>
  <c r="M203" i="13"/>
  <c r="H277" i="13"/>
  <c r="F239" i="13"/>
  <c r="F271" i="13"/>
  <c r="M208" i="13"/>
  <c r="H280" i="13"/>
  <c r="M165" i="13"/>
  <c r="M198" i="13"/>
  <c r="F240" i="13"/>
  <c r="F245" i="13"/>
  <c r="F272" i="13"/>
  <c r="H278" i="13"/>
  <c r="E304" i="13"/>
  <c r="H304" i="13"/>
  <c r="E308" i="13"/>
  <c r="H308" i="13"/>
  <c r="E312" i="13"/>
  <c r="H312" i="13"/>
  <c r="E316" i="13"/>
  <c r="H316" i="13"/>
  <c r="BM193" i="13"/>
  <c r="BJ201" i="13"/>
  <c r="F238" i="13"/>
  <c r="H238" i="13"/>
  <c r="F241" i="13"/>
  <c r="H241" i="13"/>
  <c r="F243" i="13"/>
  <c r="H243" i="13"/>
  <c r="F246" i="13"/>
  <c r="H246" i="13"/>
  <c r="F248" i="13"/>
  <c r="H248" i="13"/>
  <c r="F250" i="13"/>
  <c r="H250" i="13"/>
  <c r="F258" i="13"/>
  <c r="H258" i="13"/>
  <c r="F260" i="13"/>
  <c r="H260" i="13"/>
  <c r="F262" i="13"/>
  <c r="H262" i="13"/>
  <c r="F264" i="13"/>
  <c r="H264" i="13"/>
  <c r="F266" i="13"/>
  <c r="H266" i="13"/>
  <c r="F268" i="13"/>
  <c r="H268" i="13"/>
  <c r="F270" i="13"/>
  <c r="H270" i="13"/>
  <c r="F273" i="13"/>
  <c r="H273" i="13"/>
  <c r="F275" i="13"/>
  <c r="H275" i="13"/>
  <c r="E282" i="13"/>
  <c r="H282" i="13"/>
  <c r="E290" i="13"/>
  <c r="H290" i="13"/>
  <c r="E299" i="13"/>
  <c r="H299" i="13"/>
  <c r="E301" i="13"/>
  <c r="H301" i="13"/>
  <c r="E285" i="13"/>
  <c r="H285" i="13"/>
  <c r="E288" i="13"/>
  <c r="H288" i="13"/>
  <c r="E293" i="13"/>
  <c r="H293" i="13"/>
  <c r="E296" i="13"/>
  <c r="H296" i="13"/>
  <c r="BM198" i="13"/>
  <c r="M200" i="13"/>
  <c r="M209" i="13"/>
  <c r="F253" i="13"/>
  <c r="F256" i="13"/>
  <c r="E284" i="13"/>
  <c r="H284" i="13"/>
  <c r="E287" i="13"/>
  <c r="H287" i="13"/>
  <c r="E289" i="13"/>
  <c r="H289" i="13"/>
  <c r="E292" i="13"/>
  <c r="H292" i="13"/>
  <c r="E295" i="13"/>
  <c r="H295" i="13"/>
  <c r="E303" i="13"/>
  <c r="H303" i="13"/>
  <c r="E305" i="13"/>
  <c r="H305" i="13"/>
  <c r="E307" i="13"/>
  <c r="H307" i="13"/>
  <c r="E309" i="13"/>
  <c r="H309" i="13"/>
  <c r="E311" i="13"/>
  <c r="H311" i="13"/>
  <c r="E313" i="13"/>
  <c r="H313" i="13"/>
  <c r="E315" i="13"/>
  <c r="H315" i="13"/>
  <c r="E317" i="13"/>
  <c r="H317" i="13"/>
  <c r="F320" i="13"/>
  <c r="H320" i="13"/>
  <c r="E283" i="13"/>
  <c r="H283" i="13"/>
  <c r="E291" i="13"/>
  <c r="H291" i="13"/>
  <c r="E306" i="13"/>
  <c r="H306" i="13"/>
  <c r="E310" i="13"/>
  <c r="H310" i="13"/>
  <c r="E314" i="13"/>
  <c r="H314" i="13"/>
  <c r="E318" i="13"/>
  <c r="H318" i="13"/>
  <c r="M168" i="13"/>
  <c r="BM175" i="13"/>
  <c r="M177" i="13"/>
  <c r="M189" i="13"/>
  <c r="BJ190" i="13"/>
  <c r="M204" i="13"/>
  <c r="M205" i="13"/>
  <c r="M213" i="13"/>
  <c r="F237" i="13"/>
  <c r="F242" i="13"/>
  <c r="H242" i="13"/>
  <c r="F247" i="13"/>
  <c r="H247" i="13"/>
  <c r="F249" i="13"/>
  <c r="H249" i="13"/>
  <c r="F251" i="13"/>
  <c r="H251" i="13"/>
  <c r="F252" i="13"/>
  <c r="F254" i="13"/>
  <c r="H254" i="13"/>
  <c r="F255" i="13"/>
  <c r="F257" i="13"/>
  <c r="H257" i="13"/>
  <c r="F259" i="13"/>
  <c r="H259" i="13"/>
  <c r="F261" i="13"/>
  <c r="H261" i="13"/>
  <c r="F263" i="13"/>
  <c r="H263" i="13"/>
  <c r="F265" i="13"/>
  <c r="H265" i="13"/>
  <c r="F267" i="13"/>
  <c r="H267" i="13"/>
  <c r="F269" i="13"/>
  <c r="H269" i="13"/>
  <c r="F274" i="13"/>
  <c r="H274" i="13"/>
  <c r="E277" i="13"/>
  <c r="E278" i="13"/>
  <c r="E279" i="13"/>
  <c r="E280" i="13"/>
  <c r="E281" i="13"/>
  <c r="E286" i="13"/>
  <c r="H286" i="13"/>
  <c r="E294" i="13"/>
  <c r="H294" i="13"/>
  <c r="E298" i="13"/>
  <c r="H298" i="13"/>
  <c r="E300" i="13"/>
  <c r="H300" i="13"/>
  <c r="E302" i="13"/>
  <c r="H302" i="13"/>
  <c r="E319" i="13"/>
  <c r="H319" i="13"/>
  <c r="F276" i="13"/>
  <c r="S169" i="13"/>
  <c r="S198" i="13"/>
  <c r="M201" i="13"/>
  <c r="M167" i="13"/>
  <c r="BM168" i="13"/>
  <c r="M190" i="13"/>
  <c r="M181" i="13"/>
  <c r="M187" i="13"/>
  <c r="M197" i="13"/>
  <c r="M215" i="13"/>
  <c r="M182" i="13"/>
  <c r="D379" i="13"/>
  <c r="F379" i="13" s="1"/>
  <c r="AR165" i="13"/>
  <c r="D322" i="13"/>
  <c r="F322" i="13" s="1"/>
  <c r="X166" i="13"/>
  <c r="BQ166" i="13" s="1"/>
  <c r="D421" i="13"/>
  <c r="F421" i="13" s="1"/>
  <c r="AX166" i="13"/>
  <c r="BZ166" i="13" s="1"/>
  <c r="D381" i="13"/>
  <c r="F381" i="13" s="1"/>
  <c r="AR167" i="13"/>
  <c r="BW167" i="13" s="1"/>
  <c r="D425" i="13"/>
  <c r="F425" i="13" s="1"/>
  <c r="AX175" i="13"/>
  <c r="BZ170" i="13" s="1"/>
  <c r="D356" i="13"/>
  <c r="F356" i="13" s="1"/>
  <c r="AD176" i="13"/>
  <c r="BT170" i="13" s="1"/>
  <c r="D376" i="13"/>
  <c r="F376" i="13" s="1"/>
  <c r="AJ176" i="13"/>
  <c r="D327" i="13"/>
  <c r="F327" i="13" s="1"/>
  <c r="X178" i="13"/>
  <c r="BQ172" i="13" s="1"/>
  <c r="D428" i="13"/>
  <c r="F428" i="13" s="1"/>
  <c r="AX178" i="13"/>
  <c r="BZ173" i="13" s="1"/>
  <c r="D389" i="13"/>
  <c r="F389" i="13" s="1"/>
  <c r="AR180" i="13"/>
  <c r="BW175" i="13" s="1"/>
  <c r="D330" i="13"/>
  <c r="F330" i="13" s="1"/>
  <c r="X181" i="13"/>
  <c r="BQ175" i="13" s="1"/>
  <c r="D431" i="13"/>
  <c r="F431" i="13" s="1"/>
  <c r="AX181" i="13"/>
  <c r="BZ176" i="13" s="1"/>
  <c r="D358" i="13"/>
  <c r="F358" i="13" s="1"/>
  <c r="AD182" i="13"/>
  <c r="BT176" i="13" s="1"/>
  <c r="C459" i="13"/>
  <c r="BC182" i="13"/>
  <c r="D392" i="13"/>
  <c r="F392" i="13" s="1"/>
  <c r="AR183" i="13"/>
  <c r="BW178" i="13" s="1"/>
  <c r="D434" i="13"/>
  <c r="F434" i="13" s="1"/>
  <c r="AX184" i="13"/>
  <c r="BZ179" i="13" s="1"/>
  <c r="D360" i="13"/>
  <c r="F360" i="13" s="1"/>
  <c r="AD185" i="13"/>
  <c r="BT179" i="13" s="1"/>
  <c r="D395" i="13"/>
  <c r="F395" i="13" s="1"/>
  <c r="AR186" i="13"/>
  <c r="BW181" i="13" s="1"/>
  <c r="D336" i="13"/>
  <c r="F336" i="13" s="1"/>
  <c r="X188" i="13"/>
  <c r="BQ182" i="13" s="1"/>
  <c r="D438" i="13"/>
  <c r="AX189" i="13"/>
  <c r="BZ184" i="13" s="1"/>
  <c r="D401" i="13"/>
  <c r="F401" i="13" s="1"/>
  <c r="AR196" i="13"/>
  <c r="BW187" i="13" s="1"/>
  <c r="D402" i="13"/>
  <c r="F402" i="13" s="1"/>
  <c r="AR197" i="13"/>
  <c r="BW188" i="13" s="1"/>
  <c r="D442" i="13"/>
  <c r="F442" i="13" s="1"/>
  <c r="AX198" i="13"/>
  <c r="BZ189" i="13" s="1"/>
  <c r="D340" i="13"/>
  <c r="F340" i="13" s="1"/>
  <c r="X199" i="13"/>
  <c r="BQ189" i="13" s="1"/>
  <c r="D443" i="13"/>
  <c r="F443" i="13" s="1"/>
  <c r="AX199" i="13"/>
  <c r="BZ190" i="13" s="1"/>
  <c r="D341" i="13"/>
  <c r="F341" i="13" s="1"/>
  <c r="X200" i="13"/>
  <c r="BQ190" i="13" s="1"/>
  <c r="D444" i="13"/>
  <c r="F444" i="13" s="1"/>
  <c r="AX200" i="13"/>
  <c r="BZ191" i="13" s="1"/>
  <c r="D342" i="13"/>
  <c r="F342" i="13" s="1"/>
  <c r="X201" i="13"/>
  <c r="BQ191" i="13" s="1"/>
  <c r="D445" i="13"/>
  <c r="F445" i="13" s="1"/>
  <c r="AX201" i="13"/>
  <c r="BZ192" i="13" s="1"/>
  <c r="D343" i="13"/>
  <c r="F343" i="13" s="1"/>
  <c r="X202" i="13"/>
  <c r="BQ192" i="13" s="1"/>
  <c r="D446" i="13"/>
  <c r="F446" i="13" s="1"/>
  <c r="AX202" i="13"/>
  <c r="BZ193" i="13" s="1"/>
  <c r="X203" i="13"/>
  <c r="BQ193" i="13" s="1"/>
  <c r="D344" i="13"/>
  <c r="F344" i="13" s="1"/>
  <c r="D447" i="13"/>
  <c r="F447" i="13" s="1"/>
  <c r="AX203" i="13"/>
  <c r="BZ194" i="13" s="1"/>
  <c r="D345" i="13"/>
  <c r="F345" i="13" s="1"/>
  <c r="X204" i="13"/>
  <c r="BQ194" i="13" s="1"/>
  <c r="D448" i="13"/>
  <c r="F448" i="13" s="1"/>
  <c r="AX204" i="13"/>
  <c r="BZ195" i="13" s="1"/>
  <c r="X205" i="13"/>
  <c r="BQ195" i="13" s="1"/>
  <c r="D346" i="13"/>
  <c r="F346" i="13" s="1"/>
  <c r="D449" i="13"/>
  <c r="F449" i="13" s="1"/>
  <c r="AX205" i="13"/>
  <c r="BZ196" i="13" s="1"/>
  <c r="D347" i="13"/>
  <c r="F347" i="13" s="1"/>
  <c r="X206" i="13"/>
  <c r="BQ196" i="13" s="1"/>
  <c r="D450" i="13"/>
  <c r="F450" i="13" s="1"/>
  <c r="AX206" i="13"/>
  <c r="BZ197" i="13" s="1"/>
  <c r="D348" i="13"/>
  <c r="F348" i="13" s="1"/>
  <c r="X207" i="13"/>
  <c r="BQ197" i="13" s="1"/>
  <c r="D451" i="13"/>
  <c r="F451" i="13" s="1"/>
  <c r="AX207" i="13"/>
  <c r="BZ198" i="13" s="1"/>
  <c r="X208" i="13"/>
  <c r="BQ198" i="13" s="1"/>
  <c r="D349" i="13"/>
  <c r="F349" i="13" s="1"/>
  <c r="D452" i="13"/>
  <c r="F452" i="13" s="1"/>
  <c r="AX208" i="13"/>
  <c r="BZ199" i="13" s="1"/>
  <c r="D350" i="13"/>
  <c r="F350" i="13" s="1"/>
  <c r="X209" i="13"/>
  <c r="BQ199" i="13" s="1"/>
  <c r="D453" i="13"/>
  <c r="F453" i="13" s="1"/>
  <c r="AX209" i="13"/>
  <c r="BZ200" i="13" s="1"/>
  <c r="D351" i="13"/>
  <c r="F351" i="13" s="1"/>
  <c r="X210" i="13"/>
  <c r="BQ200" i="13" s="1"/>
  <c r="D454" i="13"/>
  <c r="F454" i="13" s="1"/>
  <c r="AX210" i="13"/>
  <c r="BZ201" i="13" s="1"/>
  <c r="X211" i="13"/>
  <c r="BQ201" i="13" s="1"/>
  <c r="D352" i="13"/>
  <c r="F352" i="13" s="1"/>
  <c r="D455" i="13"/>
  <c r="F455" i="13" s="1"/>
  <c r="AX211" i="13"/>
  <c r="BZ202" i="13" s="1"/>
  <c r="D418" i="13"/>
  <c r="F418" i="13" s="1"/>
  <c r="AR213" i="13"/>
  <c r="BW204" i="13" s="1"/>
  <c r="D354" i="13"/>
  <c r="F354" i="13" s="1"/>
  <c r="AD167" i="13"/>
  <c r="BT167" i="13" s="1"/>
  <c r="D423" i="13"/>
  <c r="F423" i="13" s="1"/>
  <c r="AX168" i="13"/>
  <c r="BZ168" i="13" s="1"/>
  <c r="D383" i="13"/>
  <c r="F383" i="13" s="1"/>
  <c r="AR169" i="13"/>
  <c r="BW169" i="13" s="1"/>
  <c r="D325" i="13"/>
  <c r="F325" i="13" s="1"/>
  <c r="X176" i="13"/>
  <c r="BQ170" i="13" s="1"/>
  <c r="D426" i="13"/>
  <c r="F426" i="13" s="1"/>
  <c r="AX176" i="13"/>
  <c r="BZ171" i="13" s="1"/>
  <c r="D386" i="13"/>
  <c r="F386" i="13" s="1"/>
  <c r="AR177" i="13"/>
  <c r="BW172" i="13" s="1"/>
  <c r="D328" i="13"/>
  <c r="F328" i="13" s="1"/>
  <c r="X179" i="13"/>
  <c r="BQ173" i="13" s="1"/>
  <c r="D429" i="13"/>
  <c r="F429" i="13" s="1"/>
  <c r="AX179" i="13"/>
  <c r="BZ174" i="13" s="1"/>
  <c r="D331" i="13"/>
  <c r="F331" i="13" s="1"/>
  <c r="X182" i="13"/>
  <c r="BQ176" i="13" s="1"/>
  <c r="D432" i="13"/>
  <c r="F432" i="13" s="1"/>
  <c r="AX182" i="13"/>
  <c r="BZ177" i="13" s="1"/>
  <c r="D459" i="13"/>
  <c r="F459" i="13" s="1"/>
  <c r="BD182" i="13"/>
  <c r="D359" i="13"/>
  <c r="F359" i="13" s="1"/>
  <c r="AD183" i="13"/>
  <c r="BT177" i="13" s="1"/>
  <c r="D333" i="13"/>
  <c r="F333" i="13" s="1"/>
  <c r="X185" i="13"/>
  <c r="BQ179" i="13" s="1"/>
  <c r="D435" i="13"/>
  <c r="F435" i="13" s="1"/>
  <c r="AX185" i="13"/>
  <c r="BZ180" i="13" s="1"/>
  <c r="D361" i="13"/>
  <c r="F361" i="13" s="1"/>
  <c r="AD186" i="13"/>
  <c r="BT180" i="13" s="1"/>
  <c r="D396" i="13"/>
  <c r="F396" i="13" s="1"/>
  <c r="AR187" i="13"/>
  <c r="BW182" i="13" s="1"/>
  <c r="D398" i="13"/>
  <c r="F398" i="13" s="1"/>
  <c r="AR189" i="13"/>
  <c r="BW184" i="13" s="1"/>
  <c r="D338" i="13"/>
  <c r="F338" i="13" s="1"/>
  <c r="X190" i="13"/>
  <c r="BQ184" i="13" s="1"/>
  <c r="D439" i="13"/>
  <c r="F439" i="13" s="1"/>
  <c r="AX195" i="13"/>
  <c r="BZ186" i="13" s="1"/>
  <c r="D364" i="13"/>
  <c r="F364" i="13" s="1"/>
  <c r="AD197" i="13"/>
  <c r="BT187" i="13" s="1"/>
  <c r="AX212" i="13"/>
  <c r="BZ203" i="13" s="1"/>
  <c r="D456" i="13"/>
  <c r="F456" i="13" s="1"/>
  <c r="D419" i="13"/>
  <c r="F419" i="13" s="1"/>
  <c r="AR214" i="13"/>
  <c r="BW205" i="13" s="1"/>
  <c r="D321" i="13"/>
  <c r="F321" i="13" s="1"/>
  <c r="X165" i="13"/>
  <c r="D420" i="13"/>
  <c r="F420" i="13" s="1"/>
  <c r="AX165" i="13"/>
  <c r="BZ165" i="13" s="1"/>
  <c r="D380" i="13"/>
  <c r="F380" i="13" s="1"/>
  <c r="AR166" i="13"/>
  <c r="BW166" i="13" s="1"/>
  <c r="D323" i="13"/>
  <c r="F323" i="13" s="1"/>
  <c r="X167" i="13"/>
  <c r="BQ167" i="13" s="1"/>
  <c r="D422" i="13"/>
  <c r="F422" i="13" s="1"/>
  <c r="AX167" i="13"/>
  <c r="BZ167" i="13" s="1"/>
  <c r="D355" i="13"/>
  <c r="F355" i="13" s="1"/>
  <c r="AD169" i="13"/>
  <c r="BT169" i="13" s="1"/>
  <c r="D384" i="13"/>
  <c r="F384" i="13" s="1"/>
  <c r="AR175" i="13"/>
  <c r="BW170" i="13" s="1"/>
  <c r="D387" i="13"/>
  <c r="F387" i="13" s="1"/>
  <c r="AR178" i="13"/>
  <c r="BW173" i="13" s="1"/>
  <c r="D329" i="13"/>
  <c r="F329" i="13" s="1"/>
  <c r="X180" i="13"/>
  <c r="BQ174" i="13" s="1"/>
  <c r="D430" i="13"/>
  <c r="F430" i="13" s="1"/>
  <c r="AX180" i="13"/>
  <c r="BZ175" i="13" s="1"/>
  <c r="D390" i="13"/>
  <c r="F390" i="13" s="1"/>
  <c r="AR181" i="13"/>
  <c r="BW176" i="13" s="1"/>
  <c r="D332" i="13"/>
  <c r="F332" i="13" s="1"/>
  <c r="X183" i="13"/>
  <c r="BQ177" i="13" s="1"/>
  <c r="D433" i="13"/>
  <c r="F433" i="13" s="1"/>
  <c r="AX183" i="13"/>
  <c r="BZ178" i="13" s="1"/>
  <c r="D393" i="13"/>
  <c r="F393" i="13" s="1"/>
  <c r="AR184" i="13"/>
  <c r="BW179" i="13" s="1"/>
  <c r="D334" i="13"/>
  <c r="F334" i="13" s="1"/>
  <c r="X186" i="13"/>
  <c r="BQ180" i="13" s="1"/>
  <c r="D436" i="13"/>
  <c r="F436" i="13" s="1"/>
  <c r="AX186" i="13"/>
  <c r="BZ181" i="13" s="1"/>
  <c r="D362" i="13"/>
  <c r="F362" i="13" s="1"/>
  <c r="AD187" i="13"/>
  <c r="BT181" i="13" s="1"/>
  <c r="D397" i="13"/>
  <c r="F397" i="13" s="1"/>
  <c r="AR188" i="13"/>
  <c r="BW183" i="13" s="1"/>
  <c r="D440" i="13"/>
  <c r="F440" i="13" s="1"/>
  <c r="AX196" i="13"/>
  <c r="BZ187" i="13" s="1"/>
  <c r="D339" i="13"/>
  <c r="F339" i="13" s="1"/>
  <c r="X197" i="13"/>
  <c r="BQ187" i="13" s="1"/>
  <c r="D441" i="13"/>
  <c r="F441" i="13" s="1"/>
  <c r="AX197" i="13"/>
  <c r="BZ188" i="13" s="1"/>
  <c r="D403" i="13"/>
  <c r="F403" i="13" s="1"/>
  <c r="AR198" i="13"/>
  <c r="BW189" i="13" s="1"/>
  <c r="D404" i="13"/>
  <c r="F404" i="13" s="1"/>
  <c r="AR199" i="13"/>
  <c r="BW190" i="13" s="1"/>
  <c r="D405" i="13"/>
  <c r="F405" i="13" s="1"/>
  <c r="AR200" i="13"/>
  <c r="BW191" i="13" s="1"/>
  <c r="D406" i="13"/>
  <c r="F406" i="13" s="1"/>
  <c r="AR201" i="13"/>
  <c r="BW192" i="13" s="1"/>
  <c r="D407" i="13"/>
  <c r="F407" i="13" s="1"/>
  <c r="AR202" i="13"/>
  <c r="BW193" i="13" s="1"/>
  <c r="D408" i="13"/>
  <c r="F408" i="13" s="1"/>
  <c r="AR203" i="13"/>
  <c r="BW194" i="13" s="1"/>
  <c r="D409" i="13"/>
  <c r="F409" i="13" s="1"/>
  <c r="AR204" i="13"/>
  <c r="BW195" i="13" s="1"/>
  <c r="D410" i="13"/>
  <c r="F410" i="13" s="1"/>
  <c r="AR205" i="13"/>
  <c r="BW196" i="13" s="1"/>
  <c r="D411" i="13"/>
  <c r="F411" i="13" s="1"/>
  <c r="AR206" i="13"/>
  <c r="BW197" i="13" s="1"/>
  <c r="D412" i="13"/>
  <c r="F412" i="13" s="1"/>
  <c r="AR207" i="13"/>
  <c r="BW198" i="13" s="1"/>
  <c r="D413" i="13"/>
  <c r="F413" i="13" s="1"/>
  <c r="AR208" i="13"/>
  <c r="BW199" i="13" s="1"/>
  <c r="D414" i="13"/>
  <c r="F414" i="13" s="1"/>
  <c r="AR209" i="13"/>
  <c r="BW200" i="13" s="1"/>
  <c r="D415" i="13"/>
  <c r="F415" i="13" s="1"/>
  <c r="AR210" i="13"/>
  <c r="BW201" i="13" s="1"/>
  <c r="D416" i="13"/>
  <c r="F416" i="13" s="1"/>
  <c r="AR211" i="13"/>
  <c r="BW202" i="13" s="1"/>
  <c r="AX213" i="13"/>
  <c r="BZ204" i="13" s="1"/>
  <c r="F457" i="13"/>
  <c r="D353" i="13"/>
  <c r="F353" i="13" s="1"/>
  <c r="AD166" i="13"/>
  <c r="BT166" i="13" s="1"/>
  <c r="D382" i="13"/>
  <c r="F382" i="13" s="1"/>
  <c r="AR168" i="13"/>
  <c r="BW168" i="13" s="1"/>
  <c r="D324" i="13"/>
  <c r="F324" i="13" s="1"/>
  <c r="X169" i="13"/>
  <c r="BQ169" i="13" s="1"/>
  <c r="D424" i="13"/>
  <c r="F424" i="13" s="1"/>
  <c r="AX169" i="13"/>
  <c r="BZ169" i="13" s="1"/>
  <c r="D385" i="13"/>
  <c r="F385" i="13" s="1"/>
  <c r="AR176" i="13"/>
  <c r="BW171" i="13" s="1"/>
  <c r="D326" i="13"/>
  <c r="F326" i="13" s="1"/>
  <c r="X177" i="13"/>
  <c r="BQ171" i="13" s="1"/>
  <c r="D427" i="13"/>
  <c r="F427" i="13" s="1"/>
  <c r="AX177" i="13"/>
  <c r="BZ172" i="13" s="1"/>
  <c r="D388" i="13"/>
  <c r="F388" i="13" s="1"/>
  <c r="AR179" i="13"/>
  <c r="BW174" i="13" s="1"/>
  <c r="D357" i="13"/>
  <c r="F357" i="13" s="1"/>
  <c r="AD181" i="13"/>
  <c r="BT175" i="13" s="1"/>
  <c r="D391" i="13"/>
  <c r="F391" i="13" s="1"/>
  <c r="AR182" i="13"/>
  <c r="BW177" i="13" s="1"/>
  <c r="D394" i="13"/>
  <c r="F394" i="13" s="1"/>
  <c r="AR185" i="13"/>
  <c r="BW180" i="13" s="1"/>
  <c r="D335" i="13"/>
  <c r="F335" i="13" s="1"/>
  <c r="X187" i="13"/>
  <c r="BQ181" i="13" s="1"/>
  <c r="D437" i="13"/>
  <c r="F437" i="13" s="1"/>
  <c r="AX187" i="13"/>
  <c r="BZ182" i="13" s="1"/>
  <c r="D363" i="13"/>
  <c r="F363" i="13" s="1"/>
  <c r="AD188" i="13"/>
  <c r="BT182" i="13" s="1"/>
  <c r="D337" i="13"/>
  <c r="F337" i="13" s="1"/>
  <c r="X189" i="13"/>
  <c r="BQ183" i="13" s="1"/>
  <c r="D399" i="13"/>
  <c r="F399" i="13" s="1"/>
  <c r="AR190" i="13"/>
  <c r="BW185" i="13" s="1"/>
  <c r="D400" i="13"/>
  <c r="F400" i="13" s="1"/>
  <c r="AR195" i="13"/>
  <c r="BW186" i="13" s="1"/>
  <c r="D365" i="13"/>
  <c r="F365" i="13" s="1"/>
  <c r="AD199" i="13"/>
  <c r="BT189" i="13" s="1"/>
  <c r="D377" i="13"/>
  <c r="F377" i="13" s="1"/>
  <c r="AJ199" i="13"/>
  <c r="D366" i="13"/>
  <c r="F366" i="13" s="1"/>
  <c r="AD200" i="13"/>
  <c r="BT190" i="13" s="1"/>
  <c r="D367" i="13"/>
  <c r="F367" i="13" s="1"/>
  <c r="AD201" i="13"/>
  <c r="BT191" i="13" s="1"/>
  <c r="D368" i="13"/>
  <c r="F368" i="13" s="1"/>
  <c r="AD202" i="13"/>
  <c r="BT192" i="13" s="1"/>
  <c r="D369" i="13"/>
  <c r="F369" i="13" s="1"/>
  <c r="AD203" i="13"/>
  <c r="BT193" i="13" s="1"/>
  <c r="D370" i="13"/>
  <c r="F370" i="13" s="1"/>
  <c r="AD204" i="13"/>
  <c r="BT194" i="13" s="1"/>
  <c r="D378" i="13"/>
  <c r="F378" i="13" s="1"/>
  <c r="AJ204" i="13"/>
  <c r="D371" i="13"/>
  <c r="F371" i="13" s="1"/>
  <c r="AD205" i="13"/>
  <c r="BT195" i="13" s="1"/>
  <c r="D372" i="13"/>
  <c r="F372" i="13" s="1"/>
  <c r="AD207" i="13"/>
  <c r="BT197" i="13" s="1"/>
  <c r="D373" i="13"/>
  <c r="F373" i="13" s="1"/>
  <c r="AD208" i="13"/>
  <c r="BT198" i="13" s="1"/>
  <c r="D374" i="13"/>
  <c r="F374" i="13" s="1"/>
  <c r="AD210" i="13"/>
  <c r="BT200" i="13" s="1"/>
  <c r="D375" i="13"/>
  <c r="F375" i="13" s="1"/>
  <c r="AD211" i="13"/>
  <c r="BT201" i="13" s="1"/>
  <c r="AR212" i="13"/>
  <c r="BW203" i="13" s="1"/>
  <c r="D417" i="13"/>
  <c r="F417" i="13" s="1"/>
  <c r="D458" i="13"/>
  <c r="F458" i="13" s="1"/>
  <c r="AX214" i="13"/>
  <c r="BZ205" i="13" s="1"/>
  <c r="M196" i="13"/>
  <c r="BM186" i="13"/>
  <c r="M202" i="13"/>
  <c r="BM192" i="13"/>
  <c r="M169" i="13"/>
  <c r="BM169" i="13"/>
  <c r="D216" i="13"/>
  <c r="BK165" i="13"/>
  <c r="M220" i="13"/>
  <c r="N220" i="13" s="1"/>
  <c r="M166" i="13"/>
  <c r="BJ166" i="13"/>
  <c r="BJ170" i="13"/>
  <c r="M176" i="13"/>
  <c r="E216" i="13"/>
  <c r="M185" i="13"/>
  <c r="BM179" i="13"/>
  <c r="BM173" i="13"/>
  <c r="M184" i="13"/>
  <c r="M186" i="13"/>
  <c r="BM180" i="13"/>
  <c r="M212" i="13"/>
  <c r="BM202" i="13"/>
  <c r="C216" i="13"/>
  <c r="BL165" i="13"/>
  <c r="M180" i="13"/>
  <c r="BM174" i="13"/>
  <c r="M188" i="13"/>
  <c r="M214" i="13"/>
  <c r="BM204" i="13"/>
  <c r="M207" i="13"/>
  <c r="M206" i="13"/>
  <c r="M210" i="13"/>
  <c r="I316" i="13" l="1"/>
  <c r="I276" i="13"/>
  <c r="E459" i="13"/>
  <c r="H459" i="13"/>
  <c r="I320" i="13"/>
  <c r="B220" i="13"/>
  <c r="C220" i="13" s="1"/>
  <c r="F438" i="13"/>
  <c r="H438" i="13"/>
  <c r="J220" i="13"/>
  <c r="K220" i="13" s="1"/>
  <c r="M170" i="13"/>
  <c r="E220" i="13"/>
  <c r="F220" i="13" s="1"/>
  <c r="X217" i="13"/>
  <c r="BQ165" i="13"/>
  <c r="BW165" i="13"/>
  <c r="AR216" i="13"/>
  <c r="M191" i="13"/>
  <c r="M216" i="13"/>
  <c r="AJ91" i="13" l="1"/>
  <c r="AP91" i="13" s="1"/>
  <c r="AJ90" i="13"/>
  <c r="AP90" i="13" s="1"/>
  <c r="AJ89" i="13"/>
  <c r="AP89" i="13" s="1"/>
  <c r="C378" i="13"/>
  <c r="H378" i="13" s="1"/>
  <c r="AJ87" i="13"/>
  <c r="AP87" i="13" s="1"/>
  <c r="AJ85" i="13"/>
  <c r="AP85" i="13" s="1"/>
  <c r="C338" i="13"/>
  <c r="H338" i="13" s="1"/>
  <c r="AJ84" i="13"/>
  <c r="AP84" i="13" s="1"/>
  <c r="AJ83" i="13"/>
  <c r="AP83" i="13" s="1"/>
  <c r="AJ81" i="13"/>
  <c r="AP81" i="13" s="1"/>
  <c r="AJ79" i="13"/>
  <c r="AP79" i="13" s="1"/>
  <c r="BR80" i="13"/>
  <c r="AJ78" i="13"/>
  <c r="AP78" i="13" s="1"/>
  <c r="Y190" i="1"/>
  <c r="AD188" i="1"/>
  <c r="AC193" i="1" s="1"/>
  <c r="Z188" i="1"/>
  <c r="Z193" i="1" s="1"/>
  <c r="Y188" i="1"/>
  <c r="Y193" i="1" s="1"/>
  <c r="AJ187" i="1"/>
  <c r="AB187" i="1"/>
  <c r="AK186" i="1"/>
  <c r="AJ186" i="1"/>
  <c r="AI192" i="1" s="1"/>
  <c r="AH186" i="1"/>
  <c r="AG186" i="1"/>
  <c r="AE186" i="1"/>
  <c r="AD192" i="1" s="1"/>
  <c r="AD186" i="1"/>
  <c r="AC192" i="1" s="1"/>
  <c r="AC186" i="1"/>
  <c r="AB192" i="1" s="1"/>
  <c r="AB186" i="1"/>
  <c r="AA186" i="1"/>
  <c r="Z186" i="1"/>
  <c r="Z192" i="1" s="1"/>
  <c r="Y186" i="1"/>
  <c r="W186" i="1"/>
  <c r="W192" i="1" s="1"/>
  <c r="AN185" i="1"/>
  <c r="AM185" i="1"/>
  <c r="AL185" i="1"/>
  <c r="AK185" i="1"/>
  <c r="AI185" i="1"/>
  <c r="AH185" i="1"/>
  <c r="AG185" i="1"/>
  <c r="AB185" i="1"/>
  <c r="AA192" i="1" s="1"/>
  <c r="AA185" i="1"/>
  <c r="Y185" i="1"/>
  <c r="X185" i="1"/>
  <c r="AK184" i="1"/>
  <c r="AJ184" i="1"/>
  <c r="AI184" i="1"/>
  <c r="AH184" i="1"/>
  <c r="AG191" i="1" s="1"/>
  <c r="AG184" i="1"/>
  <c r="AF184" i="1"/>
  <c r="AE184" i="1"/>
  <c r="AD184" i="1"/>
  <c r="AC184" i="1"/>
  <c r="AB184" i="1"/>
  <c r="AA184" i="1"/>
  <c r="Z184" i="1"/>
  <c r="Z191" i="1" s="1"/>
  <c r="Y184" i="1"/>
  <c r="W184" i="1"/>
  <c r="AP183" i="1"/>
  <c r="AO183" i="1"/>
  <c r="AN183" i="1"/>
  <c r="AM183" i="1"/>
  <c r="AL183" i="1"/>
  <c r="AK183" i="1"/>
  <c r="AI183" i="1"/>
  <c r="AF191" i="1" s="1"/>
  <c r="AH183" i="1"/>
  <c r="AE191" i="1" s="1"/>
  <c r="AG183" i="1"/>
  <c r="AF183" i="1"/>
  <c r="AE183" i="1"/>
  <c r="AD183" i="1"/>
  <c r="AC183" i="1"/>
  <c r="AB183" i="1"/>
  <c r="AA183" i="1"/>
  <c r="Y183" i="1"/>
  <c r="X183" i="1"/>
  <c r="W183" i="1"/>
  <c r="AI106" i="1"/>
  <c r="AP105" i="1"/>
  <c r="AO105" i="1"/>
  <c r="AO111" i="1" s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AP104" i="1"/>
  <c r="AP111" i="1" s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Y11" i="1"/>
  <c r="Y16" i="1" s="1"/>
  <c r="AG10" i="1"/>
  <c r="AC10" i="1"/>
  <c r="AA10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AP8" i="1"/>
  <c r="AP15" i="1" s="1"/>
  <c r="AO8" i="1"/>
  <c r="AO15" i="1" s="1"/>
  <c r="AN8" i="1"/>
  <c r="AN15" i="1" s="1"/>
  <c r="AM8" i="1"/>
  <c r="AM15" i="1" s="1"/>
  <c r="AL8" i="1"/>
  <c r="AL15" i="1" s="1"/>
  <c r="AK8" i="1"/>
  <c r="AK15" i="1" s="1"/>
  <c r="AJ8" i="1"/>
  <c r="AJ15" i="1" s="1"/>
  <c r="AI8" i="1"/>
  <c r="AI15" i="1" s="1"/>
  <c r="AH8" i="1"/>
  <c r="AH15" i="1" s="1"/>
  <c r="AG8" i="1"/>
  <c r="AF8" i="1"/>
  <c r="AF15" i="1" s="1"/>
  <c r="AE8" i="1"/>
  <c r="AE15" i="1" s="1"/>
  <c r="AD8" i="1"/>
  <c r="AD15" i="1" s="1"/>
  <c r="AC8" i="1"/>
  <c r="AC15" i="1" s="1"/>
  <c r="AB8" i="1"/>
  <c r="AB15" i="1" s="1"/>
  <c r="AA8" i="1"/>
  <c r="AA15" i="1" s="1"/>
  <c r="Z8" i="1"/>
  <c r="Z15" i="1" s="1"/>
  <c r="Y8" i="1"/>
  <c r="Y15" i="1" s="1"/>
  <c r="X8" i="1"/>
  <c r="X15" i="1" s="1"/>
  <c r="W8" i="1"/>
  <c r="W15" i="1" s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AP6" i="1"/>
  <c r="AP14" i="1" s="1"/>
  <c r="AO6" i="1"/>
  <c r="AO14" i="1" s="1"/>
  <c r="AN6" i="1"/>
  <c r="AN14" i="1" s="1"/>
  <c r="AM6" i="1"/>
  <c r="AM14" i="1" s="1"/>
  <c r="AL6" i="1"/>
  <c r="AL14" i="1" s="1"/>
  <c r="AK6" i="1"/>
  <c r="AK14" i="1" s="1"/>
  <c r="AJ6" i="1"/>
  <c r="AI6" i="1"/>
  <c r="AI14" i="1" s="1"/>
  <c r="AH6" i="1"/>
  <c r="AH14" i="1" s="1"/>
  <c r="AG6" i="1"/>
  <c r="AG14" i="1" s="1"/>
  <c r="AF6" i="1"/>
  <c r="AF14" i="1" s="1"/>
  <c r="AE6" i="1"/>
  <c r="AE14" i="1" s="1"/>
  <c r="AD6" i="1"/>
  <c r="AD14" i="1" s="1"/>
  <c r="AC6" i="1"/>
  <c r="AC14" i="1" s="1"/>
  <c r="AB6" i="1"/>
  <c r="AB14" i="1" s="1"/>
  <c r="AA6" i="1"/>
  <c r="AA14" i="1" s="1"/>
  <c r="Z6" i="1"/>
  <c r="Z14" i="1" s="1"/>
  <c r="Y6" i="1"/>
  <c r="Y14" i="1" s="1"/>
  <c r="X6" i="1"/>
  <c r="X14" i="1" s="1"/>
  <c r="W6" i="1"/>
  <c r="W14" i="1" s="1"/>
  <c r="AG8" i="13" l="1"/>
  <c r="AG10" i="13"/>
  <c r="AG24" i="13"/>
  <c r="AG26" i="13"/>
  <c r="AG48" i="13"/>
  <c r="W58" i="13"/>
  <c r="AM40" i="13"/>
  <c r="AG42" i="13"/>
  <c r="AG46" i="13"/>
  <c r="AG27" i="13"/>
  <c r="AG41" i="13"/>
  <c r="AG43" i="13"/>
  <c r="AJ93" i="13"/>
  <c r="AP93" i="13" s="1"/>
  <c r="C352" i="13"/>
  <c r="H352" i="13" s="1"/>
  <c r="AN86" i="13"/>
  <c r="AO86" i="13"/>
  <c r="AO87" i="13"/>
  <c r="AN87" i="13"/>
  <c r="AM45" i="13"/>
  <c r="AG45" i="13"/>
  <c r="AO93" i="13"/>
  <c r="AN93" i="13"/>
  <c r="AG7" i="13"/>
  <c r="C353" i="13"/>
  <c r="H353" i="13" s="1"/>
  <c r="AJ80" i="13"/>
  <c r="AP80" i="13" s="1"/>
  <c r="AG22" i="13"/>
  <c r="AG28" i="13"/>
  <c r="AO84" i="13"/>
  <c r="AN84" i="13"/>
  <c r="AO85" i="13"/>
  <c r="AN85" i="13"/>
  <c r="AJ88" i="13"/>
  <c r="AP88" i="13" s="1"/>
  <c r="AG40" i="13"/>
  <c r="AG44" i="13"/>
  <c r="AO92" i="13"/>
  <c r="AN92" i="13"/>
  <c r="AG52" i="13"/>
  <c r="AK176" i="13"/>
  <c r="AK204" i="13"/>
  <c r="AO89" i="13"/>
  <c r="AN89" i="13"/>
  <c r="AN91" i="13"/>
  <c r="AO91" i="13"/>
  <c r="AJ92" i="13"/>
  <c r="AP92" i="13" s="1"/>
  <c r="AG51" i="13"/>
  <c r="AM32" i="13"/>
  <c r="AJ82" i="13"/>
  <c r="AP82" i="13" s="1"/>
  <c r="AG23" i="13"/>
  <c r="AG29" i="13"/>
  <c r="AJ86" i="13"/>
  <c r="AP86" i="13" s="1"/>
  <c r="AG38" i="13"/>
  <c r="AO88" i="13"/>
  <c r="AN88" i="13"/>
  <c r="AO90" i="13"/>
  <c r="AN90" i="13"/>
  <c r="AG49" i="13"/>
  <c r="BR81" i="13"/>
  <c r="BS81" i="13"/>
  <c r="BR83" i="13"/>
  <c r="BS83" i="13"/>
  <c r="BS92" i="13"/>
  <c r="BR92" i="13"/>
  <c r="BS85" i="13"/>
  <c r="BR85" i="13"/>
  <c r="BS80" i="13"/>
  <c r="BS86" i="13"/>
  <c r="BR86" i="13"/>
  <c r="BR82" i="13"/>
  <c r="BS82" i="13"/>
  <c r="BS84" i="13"/>
  <c r="BR84" i="13"/>
  <c r="BS87" i="13"/>
  <c r="BR87" i="13"/>
  <c r="BR89" i="13"/>
  <c r="BS89" i="13"/>
  <c r="BR91" i="13"/>
  <c r="BS91" i="13"/>
  <c r="AG15" i="1"/>
  <c r="Y186" i="13"/>
  <c r="BR180" i="13" s="1"/>
  <c r="AE188" i="13"/>
  <c r="BU182" i="13" s="1"/>
  <c r="AE201" i="13"/>
  <c r="BU191" i="13" s="1"/>
  <c r="Y203" i="13"/>
  <c r="BR193" i="13" s="1"/>
  <c r="Y205" i="13"/>
  <c r="BR195" i="13" s="1"/>
  <c r="AE211" i="13"/>
  <c r="BU201" i="13" s="1"/>
  <c r="AE167" i="13"/>
  <c r="BU167" i="13" s="1"/>
  <c r="AE169" i="13"/>
  <c r="BU169" i="13" s="1"/>
  <c r="AE185" i="13"/>
  <c r="BU179" i="13" s="1"/>
  <c r="Y200" i="13"/>
  <c r="BR190" i="13" s="1"/>
  <c r="AE202" i="13"/>
  <c r="BU192" i="13" s="1"/>
  <c r="Y204" i="13"/>
  <c r="BR194" i="13" s="1"/>
  <c r="Y208" i="13"/>
  <c r="BR198" i="13" s="1"/>
  <c r="AE176" i="13"/>
  <c r="BU170" i="13" s="1"/>
  <c r="Y201" i="13"/>
  <c r="BR191" i="13" s="1"/>
  <c r="AE203" i="13"/>
  <c r="BU193" i="13" s="1"/>
  <c r="AE205" i="13"/>
  <c r="BU195" i="13" s="1"/>
  <c r="AE207" i="13"/>
  <c r="BU197" i="13" s="1"/>
  <c r="Y209" i="13"/>
  <c r="BR199" i="13" s="1"/>
  <c r="Y169" i="13"/>
  <c r="BR169" i="13" s="1"/>
  <c r="Y178" i="13"/>
  <c r="BR172" i="13" s="1"/>
  <c r="Y189" i="13"/>
  <c r="BR183" i="13" s="1"/>
  <c r="AE200" i="13"/>
  <c r="BU190" i="13" s="1"/>
  <c r="Y202" i="13"/>
  <c r="BR192" i="13" s="1"/>
  <c r="AE204" i="13"/>
  <c r="BU194" i="13" s="1"/>
  <c r="AE208" i="13"/>
  <c r="BU198" i="13" s="1"/>
  <c r="AJ14" i="1"/>
  <c r="AQ14" i="1" s="1"/>
  <c r="AB191" i="1"/>
  <c r="AC191" i="1"/>
  <c r="X111" i="1"/>
  <c r="AB111" i="1"/>
  <c r="AF111" i="1"/>
  <c r="AJ111" i="1"/>
  <c r="AN111" i="1"/>
  <c r="Y192" i="1"/>
  <c r="Z111" i="1"/>
  <c r="AD111" i="1"/>
  <c r="AH111" i="1"/>
  <c r="AL111" i="1"/>
  <c r="Y110" i="1"/>
  <c r="AC110" i="1"/>
  <c r="AG110" i="1"/>
  <c r="AK110" i="1"/>
  <c r="AO110" i="1"/>
  <c r="Y111" i="1"/>
  <c r="AG111" i="1"/>
  <c r="AG192" i="1"/>
  <c r="AJ192" i="1"/>
  <c r="AC111" i="1"/>
  <c r="AK111" i="1"/>
  <c r="AI191" i="1"/>
  <c r="AC166" i="13"/>
  <c r="BS166" i="13" s="1"/>
  <c r="C330" i="13"/>
  <c r="W181" i="13"/>
  <c r="BP175" i="13" s="1"/>
  <c r="AE182" i="13"/>
  <c r="BU176" i="13" s="1"/>
  <c r="AY181" i="13"/>
  <c r="CA176" i="13" s="1"/>
  <c r="C359" i="13"/>
  <c r="AC183" i="13"/>
  <c r="BS177" i="13" s="1"/>
  <c r="AY187" i="13"/>
  <c r="CA182" i="13" s="1"/>
  <c r="AC197" i="13"/>
  <c r="BS187" i="13" s="1"/>
  <c r="C364" i="13"/>
  <c r="AS198" i="13"/>
  <c r="BX189" i="13" s="1"/>
  <c r="W200" i="13"/>
  <c r="BP190" i="13" s="1"/>
  <c r="C341" i="13"/>
  <c r="C345" i="13"/>
  <c r="W204" i="13"/>
  <c r="BP194" i="13" s="1"/>
  <c r="E378" i="13"/>
  <c r="AI204" i="13"/>
  <c r="W205" i="13"/>
  <c r="BP195" i="13" s="1"/>
  <c r="C346" i="13"/>
  <c r="C348" i="13"/>
  <c r="W207" i="13"/>
  <c r="BP197" i="13" s="1"/>
  <c r="AE210" i="13"/>
  <c r="BU200" i="13" s="1"/>
  <c r="Z110" i="1"/>
  <c r="AD110" i="1"/>
  <c r="AH110" i="1"/>
  <c r="AL110" i="1"/>
  <c r="AP110" i="1"/>
  <c r="Y191" i="1"/>
  <c r="AJ191" i="1"/>
  <c r="C321" i="13"/>
  <c r="W165" i="13"/>
  <c r="AS165" i="13"/>
  <c r="AS167" i="13"/>
  <c r="BX167" i="13" s="1"/>
  <c r="AS169" i="13"/>
  <c r="BX169" i="13" s="1"/>
  <c r="C325" i="13"/>
  <c r="W176" i="13"/>
  <c r="BP170" i="13" s="1"/>
  <c r="C376" i="13"/>
  <c r="AI176" i="13"/>
  <c r="AS176" i="13"/>
  <c r="BX171" i="13" s="1"/>
  <c r="C327" i="13"/>
  <c r="W178" i="13"/>
  <c r="BP172" i="13" s="1"/>
  <c r="C328" i="13"/>
  <c r="W179" i="13"/>
  <c r="BP173" i="13" s="1"/>
  <c r="Y181" i="13"/>
  <c r="BR175" i="13" s="1"/>
  <c r="AY182" i="13"/>
  <c r="CA177" i="13" s="1"/>
  <c r="AY184" i="13"/>
  <c r="CA179" i="13" s="1"/>
  <c r="Y187" i="13"/>
  <c r="BR181" i="13" s="1"/>
  <c r="AS186" i="13"/>
  <c r="BX181" i="13" s="1"/>
  <c r="C336" i="13"/>
  <c r="W188" i="13"/>
  <c r="BP182" i="13" s="1"/>
  <c r="AE197" i="13"/>
  <c r="BU187" i="13" s="1"/>
  <c r="C340" i="13"/>
  <c r="W199" i="13"/>
  <c r="BP189" i="13" s="1"/>
  <c r="C377" i="13"/>
  <c r="AI199" i="13"/>
  <c r="C342" i="13"/>
  <c r="W201" i="13"/>
  <c r="BP191" i="13" s="1"/>
  <c r="C369" i="13"/>
  <c r="AC203" i="13"/>
  <c r="BS193" i="13" s="1"/>
  <c r="W206" i="13"/>
  <c r="BP196" i="13" s="1"/>
  <c r="C347" i="13"/>
  <c r="Y207" i="13"/>
  <c r="BR197" i="13" s="1"/>
  <c r="AS206" i="13"/>
  <c r="BX197" i="13" s="1"/>
  <c r="C349" i="13"/>
  <c r="W208" i="13"/>
  <c r="BP198" i="13" s="1"/>
  <c r="C351" i="13"/>
  <c r="W210" i="13"/>
  <c r="BP200" i="13" s="1"/>
  <c r="AS212" i="13"/>
  <c r="BX203" i="13" s="1"/>
  <c r="C322" i="13"/>
  <c r="W166" i="13"/>
  <c r="BP166" i="13" s="1"/>
  <c r="C354" i="13"/>
  <c r="AC167" i="13"/>
  <c r="BS167" i="13" s="1"/>
  <c r="AC169" i="13"/>
  <c r="BS169" i="13" s="1"/>
  <c r="C355" i="13"/>
  <c r="AY175" i="13"/>
  <c r="CA170" i="13" s="1"/>
  <c r="AY178" i="13"/>
  <c r="CA173" i="13" s="1"/>
  <c r="Y182" i="13"/>
  <c r="BR176" i="13" s="1"/>
  <c r="AS181" i="13"/>
  <c r="BX176" i="13" s="1"/>
  <c r="C332" i="13"/>
  <c r="W183" i="13"/>
  <c r="BP177" i="13" s="1"/>
  <c r="C333" i="13"/>
  <c r="W185" i="13"/>
  <c r="BP179" i="13" s="1"/>
  <c r="C362" i="13"/>
  <c r="AC187" i="13"/>
  <c r="BS181" i="13" s="1"/>
  <c r="AS187" i="13"/>
  <c r="BX182" i="13" s="1"/>
  <c r="W189" i="13"/>
  <c r="BP183" i="13" s="1"/>
  <c r="C337" i="13"/>
  <c r="C339" i="13"/>
  <c r="W197" i="13"/>
  <c r="BP187" i="13" s="1"/>
  <c r="Y199" i="13"/>
  <c r="BR189" i="13" s="1"/>
  <c r="AK199" i="13"/>
  <c r="C366" i="13"/>
  <c r="AC200" i="13"/>
  <c r="BS190" i="13" s="1"/>
  <c r="W202" i="13"/>
  <c r="BP192" i="13" s="1"/>
  <c r="C343" i="13"/>
  <c r="C370" i="13"/>
  <c r="AC204" i="13"/>
  <c r="BS194" i="13" s="1"/>
  <c r="Y206" i="13"/>
  <c r="BR196" i="13" s="1"/>
  <c r="AC207" i="13"/>
  <c r="BS197" i="13" s="1"/>
  <c r="C372" i="13"/>
  <c r="W209" i="13"/>
  <c r="BP199" i="13" s="1"/>
  <c r="C350" i="13"/>
  <c r="Y210" i="13"/>
  <c r="BR200" i="13" s="1"/>
  <c r="W211" i="13"/>
  <c r="BP201" i="13" s="1"/>
  <c r="AS213" i="13"/>
  <c r="BX204" i="13" s="1"/>
  <c r="X110" i="1"/>
  <c r="AB110" i="1"/>
  <c r="AF110" i="1"/>
  <c r="AJ110" i="1"/>
  <c r="AN110" i="1"/>
  <c r="W110" i="1"/>
  <c r="AA110" i="1"/>
  <c r="AE110" i="1"/>
  <c r="AI110" i="1"/>
  <c r="AM110" i="1"/>
  <c r="W111" i="1"/>
  <c r="AA111" i="1"/>
  <c r="AE111" i="1"/>
  <c r="AI111" i="1"/>
  <c r="AM111" i="1"/>
  <c r="W191" i="1"/>
  <c r="AA191" i="1"/>
  <c r="AD191" i="1"/>
  <c r="AH191" i="1"/>
  <c r="AF192" i="1"/>
  <c r="AY165" i="13"/>
  <c r="CA165" i="13" s="1"/>
  <c r="AY167" i="13"/>
  <c r="CA167" i="13" s="1"/>
  <c r="AS168" i="13"/>
  <c r="BX168" i="13" s="1"/>
  <c r="C358" i="13"/>
  <c r="AC182" i="13"/>
  <c r="BS176" i="13" s="1"/>
  <c r="AS184" i="13"/>
  <c r="BX179" i="13" s="1"/>
  <c r="C334" i="13"/>
  <c r="W186" i="13"/>
  <c r="BP180" i="13" s="1"/>
  <c r="C363" i="13"/>
  <c r="AC188" i="13"/>
  <c r="BS182" i="13" s="1"/>
  <c r="Y197" i="13"/>
  <c r="BR187" i="13" s="1"/>
  <c r="AS196" i="13"/>
  <c r="BX187" i="13" s="1"/>
  <c r="C367" i="13"/>
  <c r="AC201" i="13"/>
  <c r="BS191" i="13" s="1"/>
  <c r="C344" i="13"/>
  <c r="W203" i="13"/>
  <c r="BP193" i="13" s="1"/>
  <c r="C373" i="13"/>
  <c r="AC208" i="13"/>
  <c r="BS198" i="13" s="1"/>
  <c r="C374" i="13"/>
  <c r="AC210" i="13"/>
  <c r="BS200" i="13" s="1"/>
  <c r="Y211" i="13"/>
  <c r="BR201" i="13" s="1"/>
  <c r="AQ15" i="1"/>
  <c r="AM57" i="13" l="1"/>
  <c r="E352" i="13"/>
  <c r="AG11" i="13"/>
  <c r="E353" i="13"/>
  <c r="AY166" i="13"/>
  <c r="CA166" i="13" s="1"/>
  <c r="AS177" i="13"/>
  <c r="BX172" i="13" s="1"/>
  <c r="E344" i="13"/>
  <c r="H344" i="13"/>
  <c r="E372" i="13"/>
  <c r="H372" i="13"/>
  <c r="E366" i="13"/>
  <c r="H366" i="13"/>
  <c r="E333" i="13"/>
  <c r="H333" i="13"/>
  <c r="E342" i="13"/>
  <c r="H342" i="13"/>
  <c r="E348" i="13"/>
  <c r="H348" i="13"/>
  <c r="C402" i="13"/>
  <c r="AQ197" i="13"/>
  <c r="BV188" i="13" s="1"/>
  <c r="BA24" i="13"/>
  <c r="BA183" i="13" s="1"/>
  <c r="AW183" i="13"/>
  <c r="BY178" i="13" s="1"/>
  <c r="C433" i="13"/>
  <c r="BA48" i="13"/>
  <c r="BA207" i="13" s="1"/>
  <c r="C451" i="13"/>
  <c r="AW207" i="13"/>
  <c r="BY198" i="13" s="1"/>
  <c r="BN88" i="13"/>
  <c r="BA39" i="13"/>
  <c r="C442" i="13"/>
  <c r="AW198" i="13"/>
  <c r="BY189" i="13" s="1"/>
  <c r="C382" i="13"/>
  <c r="AQ168" i="13"/>
  <c r="BV168" i="13" s="1"/>
  <c r="BA51" i="13"/>
  <c r="BA210" i="13" s="1"/>
  <c r="C454" i="13"/>
  <c r="AW210" i="13"/>
  <c r="BY201" i="13" s="1"/>
  <c r="BA7" i="13"/>
  <c r="BA166" i="13" s="1"/>
  <c r="AW166" i="13"/>
  <c r="BY166" i="13" s="1"/>
  <c r="C421" i="13"/>
  <c r="BN83" i="13"/>
  <c r="C395" i="13"/>
  <c r="AQ186" i="13"/>
  <c r="BV181" i="13" s="1"/>
  <c r="E374" i="13"/>
  <c r="H374" i="13"/>
  <c r="E343" i="13"/>
  <c r="H343" i="13"/>
  <c r="E337" i="13"/>
  <c r="H337" i="13"/>
  <c r="E354" i="13"/>
  <c r="H354" i="13"/>
  <c r="Y165" i="13"/>
  <c r="BR165" i="13" s="1"/>
  <c r="E351" i="13"/>
  <c r="H351" i="13"/>
  <c r="E325" i="13"/>
  <c r="H325" i="13"/>
  <c r="E321" i="13"/>
  <c r="H321" i="13"/>
  <c r="E341" i="13"/>
  <c r="H341" i="13"/>
  <c r="BA52" i="13"/>
  <c r="BA211" i="13" s="1"/>
  <c r="C455" i="13"/>
  <c r="AW211" i="13"/>
  <c r="BY202" i="13" s="1"/>
  <c r="BA44" i="13"/>
  <c r="BA203" i="13" s="1"/>
  <c r="C447" i="13"/>
  <c r="AW203" i="13"/>
  <c r="BY194" i="13" s="1"/>
  <c r="BA42" i="13"/>
  <c r="BA201" i="13" s="1"/>
  <c r="AW201" i="13"/>
  <c r="BY192" i="13" s="1"/>
  <c r="C445" i="13"/>
  <c r="BA37" i="13"/>
  <c r="BA196" i="13" s="1"/>
  <c r="C440" i="13"/>
  <c r="AW196" i="13"/>
  <c r="BY187" i="13" s="1"/>
  <c r="BA28" i="13"/>
  <c r="BA187" i="13" s="1"/>
  <c r="C437" i="13"/>
  <c r="AW187" i="13"/>
  <c r="BY182" i="13" s="1"/>
  <c r="AQ211" i="13"/>
  <c r="BV202" i="13" s="1"/>
  <c r="C416" i="13"/>
  <c r="C392" i="13"/>
  <c r="AQ183" i="13"/>
  <c r="BV178" i="13" s="1"/>
  <c r="BA6" i="13"/>
  <c r="AW165" i="13"/>
  <c r="BY165" i="13" s="1"/>
  <c r="C420" i="13"/>
  <c r="BN91" i="13"/>
  <c r="AQ212" i="13"/>
  <c r="BV203" i="13" s="1"/>
  <c r="C417" i="13"/>
  <c r="AQ204" i="13"/>
  <c r="BV195" i="13" s="1"/>
  <c r="C409" i="13"/>
  <c r="BA189" i="13"/>
  <c r="AQ189" i="13"/>
  <c r="BV184" i="13" s="1"/>
  <c r="C398" i="13"/>
  <c r="C388" i="13"/>
  <c r="AQ179" i="13"/>
  <c r="BV174" i="13" s="1"/>
  <c r="BA18" i="13"/>
  <c r="BA177" i="13" s="1"/>
  <c r="AW177" i="13"/>
  <c r="BY172" i="13" s="1"/>
  <c r="C427" i="13"/>
  <c r="BN85" i="13"/>
  <c r="C396" i="13"/>
  <c r="AQ187" i="13"/>
  <c r="BV182" i="13" s="1"/>
  <c r="BA49" i="13"/>
  <c r="BA208" i="13" s="1"/>
  <c r="AW208" i="13"/>
  <c r="BY199" i="13" s="1"/>
  <c r="C452" i="13"/>
  <c r="C380" i="13"/>
  <c r="AQ166" i="13"/>
  <c r="BV166" i="13" s="1"/>
  <c r="C405" i="13"/>
  <c r="AQ200" i="13"/>
  <c r="BV191" i="13" s="1"/>
  <c r="C399" i="13"/>
  <c r="AQ190" i="13"/>
  <c r="BV185" i="13" s="1"/>
  <c r="E362" i="13"/>
  <c r="H362" i="13"/>
  <c r="E330" i="13"/>
  <c r="H330" i="13"/>
  <c r="C414" i="13"/>
  <c r="AQ209" i="13"/>
  <c r="BV200" i="13" s="1"/>
  <c r="BA41" i="13"/>
  <c r="BA200" i="13" s="1"/>
  <c r="C444" i="13"/>
  <c r="AW200" i="13"/>
  <c r="BY191" i="13" s="1"/>
  <c r="C393" i="13"/>
  <c r="AQ184" i="13"/>
  <c r="BV179" i="13" s="1"/>
  <c r="BN80" i="13"/>
  <c r="AQ167" i="13"/>
  <c r="BV167" i="13" s="1"/>
  <c r="C381" i="13"/>
  <c r="E367" i="13"/>
  <c r="H367" i="13"/>
  <c r="E350" i="13"/>
  <c r="H350" i="13"/>
  <c r="E339" i="13"/>
  <c r="H339" i="13"/>
  <c r="E332" i="13"/>
  <c r="H332" i="13"/>
  <c r="E369" i="13"/>
  <c r="H369" i="13"/>
  <c r="E377" i="13"/>
  <c r="H377" i="13"/>
  <c r="E327" i="13"/>
  <c r="H327" i="13"/>
  <c r="E346" i="13"/>
  <c r="H346" i="13"/>
  <c r="E359" i="13"/>
  <c r="H359" i="13"/>
  <c r="AS189" i="13"/>
  <c r="BX184" i="13" s="1"/>
  <c r="AS175" i="13"/>
  <c r="BX170" i="13" s="1"/>
  <c r="BN92" i="13"/>
  <c r="C418" i="13"/>
  <c r="AQ213" i="13"/>
  <c r="BV204" i="13" s="1"/>
  <c r="AG57" i="13"/>
  <c r="AQ185" i="13"/>
  <c r="BV180" i="13" s="1"/>
  <c r="C394" i="13"/>
  <c r="C387" i="13"/>
  <c r="AQ178" i="13"/>
  <c r="BV173" i="13" s="1"/>
  <c r="BA16" i="13"/>
  <c r="AW175" i="13"/>
  <c r="BY170" i="13" s="1"/>
  <c r="C425" i="13"/>
  <c r="AQ201" i="13"/>
  <c r="BV192" i="13" s="1"/>
  <c r="C406" i="13"/>
  <c r="BA26" i="13"/>
  <c r="BA185" i="13" s="1"/>
  <c r="C435" i="13"/>
  <c r="AW185" i="13"/>
  <c r="BY180" i="13" s="1"/>
  <c r="BA55" i="13"/>
  <c r="BA214" i="13" s="1"/>
  <c r="AW214" i="13"/>
  <c r="BY205" i="13" s="1"/>
  <c r="C458" i="13"/>
  <c r="BN89" i="13"/>
  <c r="AQ206" i="13"/>
  <c r="BV197" i="13" s="1"/>
  <c r="C411" i="13"/>
  <c r="AQ182" i="13"/>
  <c r="BV177" i="13" s="1"/>
  <c r="C391" i="13"/>
  <c r="AG32" i="13"/>
  <c r="BA9" i="13"/>
  <c r="BA168" i="13" s="1"/>
  <c r="AW168" i="13"/>
  <c r="BY168" i="13" s="1"/>
  <c r="C423" i="13"/>
  <c r="AQ57" i="13"/>
  <c r="C379" i="13"/>
  <c r="AQ165" i="13"/>
  <c r="C408" i="13"/>
  <c r="AQ203" i="13"/>
  <c r="BV194" i="13" s="1"/>
  <c r="BN86" i="13"/>
  <c r="C401" i="13"/>
  <c r="AQ196" i="13"/>
  <c r="BV187" i="13" s="1"/>
  <c r="AQ210" i="13"/>
  <c r="BV201" i="13" s="1"/>
  <c r="C415" i="13"/>
  <c r="BA25" i="13"/>
  <c r="BA184" i="13" s="1"/>
  <c r="C434" i="13"/>
  <c r="AW184" i="13"/>
  <c r="BY179" i="13" s="1"/>
  <c r="BA10" i="13"/>
  <c r="BA169" i="13" s="1"/>
  <c r="C424" i="13"/>
  <c r="AW169" i="13"/>
  <c r="BY169" i="13" s="1"/>
  <c r="BA43" i="13"/>
  <c r="BA202" i="13" s="1"/>
  <c r="AW202" i="13"/>
  <c r="BY193" i="13" s="1"/>
  <c r="C446" i="13"/>
  <c r="C386" i="13"/>
  <c r="AQ177" i="13"/>
  <c r="BV172" i="13" s="1"/>
  <c r="E373" i="13"/>
  <c r="H373" i="13"/>
  <c r="E355" i="13"/>
  <c r="H355" i="13"/>
  <c r="E340" i="13"/>
  <c r="H340" i="13"/>
  <c r="E336" i="13"/>
  <c r="H336" i="13"/>
  <c r="E328" i="13"/>
  <c r="H328" i="13"/>
  <c r="AQ199" i="13"/>
  <c r="BV190" i="13" s="1"/>
  <c r="C404" i="13"/>
  <c r="AS57" i="13"/>
  <c r="BA50" i="13"/>
  <c r="BA209" i="13" s="1"/>
  <c r="C453" i="13"/>
  <c r="AW209" i="13"/>
  <c r="BY200" i="13" s="1"/>
  <c r="BA19" i="13"/>
  <c r="BA178" i="13" s="1"/>
  <c r="AW178" i="13"/>
  <c r="BY173" i="13" s="1"/>
  <c r="C428" i="13"/>
  <c r="BN84" i="13"/>
  <c r="BA27" i="13"/>
  <c r="BA186" i="13" s="1"/>
  <c r="AW186" i="13"/>
  <c r="BY181" i="13" s="1"/>
  <c r="C436" i="13"/>
  <c r="BA21" i="13"/>
  <c r="BA180" i="13" s="1"/>
  <c r="AW180" i="13"/>
  <c r="BY175" i="13" s="1"/>
  <c r="C430" i="13"/>
  <c r="AQ169" i="13"/>
  <c r="BV169" i="13" s="1"/>
  <c r="C383" i="13"/>
  <c r="BA54" i="13"/>
  <c r="BA213" i="13" s="1"/>
  <c r="AW213" i="13"/>
  <c r="BY204" i="13" s="1"/>
  <c r="C457" i="13"/>
  <c r="AQ175" i="13"/>
  <c r="BV170" i="13" s="1"/>
  <c r="C384" i="13"/>
  <c r="BN90" i="13"/>
  <c r="BA47" i="13"/>
  <c r="C450" i="13"/>
  <c r="AW206" i="13"/>
  <c r="BY197" i="13" s="1"/>
  <c r="BA36" i="13"/>
  <c r="C400" i="13"/>
  <c r="AQ195" i="13"/>
  <c r="BV186" i="13" s="1"/>
  <c r="E363" i="13"/>
  <c r="H363" i="13"/>
  <c r="E334" i="13"/>
  <c r="H334" i="13"/>
  <c r="E358" i="13"/>
  <c r="H358" i="13"/>
  <c r="E370" i="13"/>
  <c r="H370" i="13"/>
  <c r="E322" i="13"/>
  <c r="H322" i="13"/>
  <c r="E349" i="13"/>
  <c r="H349" i="13"/>
  <c r="E347" i="13"/>
  <c r="H347" i="13"/>
  <c r="E376" i="13"/>
  <c r="H376" i="13"/>
  <c r="E345" i="13"/>
  <c r="H345" i="13"/>
  <c r="E364" i="13"/>
  <c r="H364" i="13"/>
  <c r="Y58" i="13"/>
  <c r="AQ207" i="13"/>
  <c r="BV198" i="13" s="1"/>
  <c r="C412" i="13"/>
  <c r="BA46" i="13"/>
  <c r="BA205" i="13" s="1"/>
  <c r="AW205" i="13"/>
  <c r="BY196" i="13" s="1"/>
  <c r="C449" i="13"/>
  <c r="BA22" i="13"/>
  <c r="BA181" i="13" s="1"/>
  <c r="AW181" i="13"/>
  <c r="BY176" i="13" s="1"/>
  <c r="C431" i="13"/>
  <c r="BA17" i="13"/>
  <c r="BA176" i="13" s="1"/>
  <c r="AW176" i="13"/>
  <c r="BY171" i="13" s="1"/>
  <c r="C426" i="13"/>
  <c r="BA38" i="13"/>
  <c r="BA197" i="13" s="1"/>
  <c r="AW197" i="13"/>
  <c r="BY188" i="13" s="1"/>
  <c r="C441" i="13"/>
  <c r="BA53" i="13"/>
  <c r="BA212" i="13" s="1"/>
  <c r="AW212" i="13"/>
  <c r="BY203" i="13" s="1"/>
  <c r="C456" i="13"/>
  <c r="C397" i="13"/>
  <c r="AQ188" i="13"/>
  <c r="BV183" i="13" s="1"/>
  <c r="BA23" i="13"/>
  <c r="BA182" i="13" s="1"/>
  <c r="BG23" i="13"/>
  <c r="AW182" i="13"/>
  <c r="BY177" i="13" s="1"/>
  <c r="C432" i="13"/>
  <c r="BA8" i="13"/>
  <c r="BA167" i="13" s="1"/>
  <c r="C422" i="13"/>
  <c r="AW167" i="13"/>
  <c r="BY167" i="13" s="1"/>
  <c r="AQ208" i="13"/>
  <c r="BV199" i="13" s="1"/>
  <c r="C413" i="13"/>
  <c r="C407" i="13"/>
  <c r="AQ202" i="13"/>
  <c r="BV193" i="13" s="1"/>
  <c r="BN87" i="13"/>
  <c r="AQ198" i="13"/>
  <c r="BV189" i="13" s="1"/>
  <c r="C403" i="13"/>
  <c r="AW195" i="13"/>
  <c r="BY186" i="13" s="1"/>
  <c r="C439" i="13"/>
  <c r="C410" i="13"/>
  <c r="AQ205" i="13"/>
  <c r="BV196" i="13" s="1"/>
  <c r="BA40" i="13"/>
  <c r="BA199" i="13" s="1"/>
  <c r="C443" i="13"/>
  <c r="AW199" i="13"/>
  <c r="BY190" i="13" s="1"/>
  <c r="BN82" i="13"/>
  <c r="AQ181" i="13"/>
  <c r="BV176" i="13" s="1"/>
  <c r="C390" i="13"/>
  <c r="C385" i="13"/>
  <c r="AQ176" i="13"/>
  <c r="BV171" i="13" s="1"/>
  <c r="AQ214" i="13"/>
  <c r="BV205" i="13" s="1"/>
  <c r="C419" i="13"/>
  <c r="BA45" i="13"/>
  <c r="BA204" i="13" s="1"/>
  <c r="AW204" i="13"/>
  <c r="BY195" i="13" s="1"/>
  <c r="C448" i="13"/>
  <c r="BA20" i="13"/>
  <c r="BA179" i="13" s="1"/>
  <c r="C429" i="13"/>
  <c r="AW179" i="13"/>
  <c r="BY174" i="13" s="1"/>
  <c r="BN81" i="13"/>
  <c r="C389" i="13"/>
  <c r="AQ180" i="13"/>
  <c r="BV175" i="13" s="1"/>
  <c r="AS208" i="13"/>
  <c r="BX199" i="13" s="1"/>
  <c r="AS201" i="13"/>
  <c r="BX192" i="13" s="1"/>
  <c r="AS197" i="13"/>
  <c r="BX188" i="13" s="1"/>
  <c r="AS183" i="13"/>
  <c r="BX178" i="13" s="1"/>
  <c r="AS205" i="13"/>
  <c r="BX196" i="13" s="1"/>
  <c r="AS207" i="13"/>
  <c r="BX198" i="13" s="1"/>
  <c r="AS166" i="13"/>
  <c r="BX166" i="13" s="1"/>
  <c r="AS204" i="13"/>
  <c r="BX195" i="13" s="1"/>
  <c r="AS185" i="13"/>
  <c r="BX180" i="13" s="1"/>
  <c r="AS178" i="13"/>
  <c r="BX173" i="13" s="1"/>
  <c r="AS214" i="13"/>
  <c r="BX205" i="13" s="1"/>
  <c r="AS195" i="13"/>
  <c r="BX186" i="13" s="1"/>
  <c r="AY186" i="13"/>
  <c r="CA181" i="13" s="1"/>
  <c r="AY180" i="13"/>
  <c r="CA175" i="13" s="1"/>
  <c r="AY177" i="13"/>
  <c r="CA172" i="13" s="1"/>
  <c r="AS210" i="13"/>
  <c r="BX201" i="13" s="1"/>
  <c r="AS209" i="13"/>
  <c r="BX200" i="13" s="1"/>
  <c r="AS199" i="13"/>
  <c r="BX190" i="13" s="1"/>
  <c r="AS188" i="13"/>
  <c r="BX183" i="13" s="1"/>
  <c r="AY179" i="13"/>
  <c r="CA174" i="13" s="1"/>
  <c r="AY169" i="13"/>
  <c r="CA169" i="13" s="1"/>
  <c r="AS190" i="13"/>
  <c r="BX185" i="13" s="1"/>
  <c r="AS211" i="13"/>
  <c r="BX202" i="13" s="1"/>
  <c r="AS203" i="13"/>
  <c r="BX194" i="13" s="1"/>
  <c r="AS202" i="13"/>
  <c r="BX193" i="13" s="1"/>
  <c r="AY183" i="13"/>
  <c r="CA178" i="13" s="1"/>
  <c r="AY176" i="13"/>
  <c r="CA171" i="13" s="1"/>
  <c r="AS200" i="13"/>
  <c r="BX191" i="13" s="1"/>
  <c r="AY185" i="13"/>
  <c r="CA180" i="13" s="1"/>
  <c r="AS182" i="13"/>
  <c r="BX177" i="13" s="1"/>
  <c r="AS179" i="13"/>
  <c r="BX174" i="13" s="1"/>
  <c r="AY168" i="13"/>
  <c r="CA168" i="13" s="1"/>
  <c r="Y183" i="13"/>
  <c r="BR177" i="13" s="1"/>
  <c r="AG188" i="13"/>
  <c r="Y185" i="13"/>
  <c r="BR179" i="13" s="1"/>
  <c r="Y190" i="13"/>
  <c r="BR184" i="13" s="1"/>
  <c r="Y176" i="13"/>
  <c r="BR170" i="13" s="1"/>
  <c r="AE183" i="13"/>
  <c r="BU177" i="13" s="1"/>
  <c r="AG187" i="13"/>
  <c r="AG169" i="13"/>
  <c r="AG201" i="13"/>
  <c r="AG210" i="13"/>
  <c r="AG208" i="13"/>
  <c r="AG207" i="13"/>
  <c r="AE187" i="13"/>
  <c r="BU181" i="13" s="1"/>
  <c r="Y166" i="13"/>
  <c r="BR166" i="13" s="1"/>
  <c r="AG204" i="13"/>
  <c r="AE186" i="13"/>
  <c r="BU180" i="13" s="1"/>
  <c r="AG203" i="13"/>
  <c r="Y180" i="13"/>
  <c r="BR174" i="13" s="1"/>
  <c r="AG200" i="13"/>
  <c r="Y179" i="13"/>
  <c r="BR173" i="13" s="1"/>
  <c r="AM204" i="13"/>
  <c r="AG182" i="13"/>
  <c r="AE166" i="13"/>
  <c r="BU166" i="13" s="1"/>
  <c r="AG183" i="13"/>
  <c r="AG167" i="13"/>
  <c r="Y177" i="13"/>
  <c r="BR171" i="13" s="1"/>
  <c r="AR110" i="1"/>
  <c r="AM176" i="13"/>
  <c r="AM191" i="13"/>
  <c r="C365" i="13"/>
  <c r="AC199" i="13"/>
  <c r="BS189" i="13" s="1"/>
  <c r="C326" i="13"/>
  <c r="W177" i="13"/>
  <c r="BP171" i="13" s="1"/>
  <c r="Y167" i="13"/>
  <c r="BR167" i="13" s="1"/>
  <c r="BX165" i="13"/>
  <c r="AG197" i="13"/>
  <c r="C335" i="13"/>
  <c r="W187" i="13"/>
  <c r="BP181" i="13" s="1"/>
  <c r="C361" i="13"/>
  <c r="AC186" i="13"/>
  <c r="BS180" i="13" s="1"/>
  <c r="W182" i="13"/>
  <c r="BP176" i="13" s="1"/>
  <c r="C331" i="13"/>
  <c r="AE199" i="13"/>
  <c r="BU189" i="13" s="1"/>
  <c r="C324" i="13"/>
  <c r="W169" i="13"/>
  <c r="BP169" i="13" s="1"/>
  <c r="AE181" i="13"/>
  <c r="BU175" i="13" s="1"/>
  <c r="C356" i="13"/>
  <c r="AC176" i="13"/>
  <c r="BS170" i="13" s="1"/>
  <c r="AR111" i="1"/>
  <c r="C357" i="13"/>
  <c r="AC181" i="13"/>
  <c r="BS175" i="13" s="1"/>
  <c r="E338" i="13"/>
  <c r="W190" i="13"/>
  <c r="BP184" i="13" s="1"/>
  <c r="BP165" i="13"/>
  <c r="C375" i="13"/>
  <c r="AC211" i="13"/>
  <c r="BS201" i="13" s="1"/>
  <c r="C368" i="13"/>
  <c r="AC202" i="13"/>
  <c r="BS192" i="13" s="1"/>
  <c r="AC185" i="13"/>
  <c r="BS179" i="13" s="1"/>
  <c r="C360" i="13"/>
  <c r="C371" i="13"/>
  <c r="AC205" i="13"/>
  <c r="BS195" i="13" s="1"/>
  <c r="Y188" i="13"/>
  <c r="BR182" i="13" s="1"/>
  <c r="AS180" i="13"/>
  <c r="BX175" i="13" s="1"/>
  <c r="W180" i="13"/>
  <c r="BP174" i="13" s="1"/>
  <c r="C329" i="13"/>
  <c r="C323" i="13"/>
  <c r="W167" i="13"/>
  <c r="BP167" i="13" s="1"/>
  <c r="AG166" i="13"/>
  <c r="E324" i="13" l="1"/>
  <c r="H324" i="13"/>
  <c r="E443" i="13"/>
  <c r="H443" i="13"/>
  <c r="E413" i="13"/>
  <c r="H413" i="13"/>
  <c r="E422" i="13"/>
  <c r="H422" i="13"/>
  <c r="H432" i="13"/>
  <c r="E432" i="13"/>
  <c r="BA56" i="13"/>
  <c r="BA195" i="13"/>
  <c r="BT90" i="13"/>
  <c r="E457" i="13"/>
  <c r="H457" i="13"/>
  <c r="E446" i="13"/>
  <c r="H446" i="13"/>
  <c r="E434" i="13"/>
  <c r="H434" i="13"/>
  <c r="E415" i="13"/>
  <c r="H415" i="13"/>
  <c r="E391" i="13"/>
  <c r="H391" i="13"/>
  <c r="E458" i="13"/>
  <c r="H458" i="13"/>
  <c r="H425" i="13"/>
  <c r="E425" i="13"/>
  <c r="H381" i="13"/>
  <c r="E381" i="13"/>
  <c r="E396" i="13"/>
  <c r="H396" i="13"/>
  <c r="H440" i="13"/>
  <c r="E440" i="13"/>
  <c r="BT83" i="13"/>
  <c r="BR88" i="13"/>
  <c r="BS88" i="13"/>
  <c r="BA198" i="13"/>
  <c r="E326" i="13"/>
  <c r="H326" i="13"/>
  <c r="BA220" i="13"/>
  <c r="BB220" i="13" s="1"/>
  <c r="E448" i="13"/>
  <c r="H448" i="13"/>
  <c r="E419" i="13"/>
  <c r="H419" i="13"/>
  <c r="BT82" i="13"/>
  <c r="E449" i="13"/>
  <c r="H449" i="13"/>
  <c r="E404" i="13"/>
  <c r="H404" i="13"/>
  <c r="E401" i="13"/>
  <c r="H401" i="13"/>
  <c r="BT89" i="13"/>
  <c r="E406" i="13"/>
  <c r="H406" i="13"/>
  <c r="E387" i="13"/>
  <c r="H387" i="13"/>
  <c r="BT85" i="13"/>
  <c r="E417" i="13"/>
  <c r="H417" i="13"/>
  <c r="BA11" i="13"/>
  <c r="BA170" i="13" s="1"/>
  <c r="BA165" i="13"/>
  <c r="E392" i="13"/>
  <c r="H392" i="13"/>
  <c r="E416" i="13"/>
  <c r="H416" i="13"/>
  <c r="E437" i="13"/>
  <c r="H437" i="13"/>
  <c r="E455" i="13"/>
  <c r="H455" i="13"/>
  <c r="E382" i="13"/>
  <c r="H382" i="13"/>
  <c r="E368" i="13"/>
  <c r="H368" i="13"/>
  <c r="E389" i="13"/>
  <c r="H389" i="13"/>
  <c r="H429" i="13"/>
  <c r="E429" i="13"/>
  <c r="E385" i="13"/>
  <c r="H385" i="13"/>
  <c r="BG31" i="13"/>
  <c r="BG190" i="13" s="1"/>
  <c r="BG182" i="13"/>
  <c r="E456" i="13"/>
  <c r="H456" i="13"/>
  <c r="H426" i="13"/>
  <c r="E426" i="13"/>
  <c r="E450" i="13"/>
  <c r="H450" i="13"/>
  <c r="H384" i="13"/>
  <c r="E384" i="13"/>
  <c r="BT86" i="13"/>
  <c r="BV165" i="13"/>
  <c r="AQ220" i="13" s="1"/>
  <c r="AR220" i="13" s="1"/>
  <c r="AQ216" i="13"/>
  <c r="E423" i="13"/>
  <c r="H423" i="13"/>
  <c r="BA31" i="13"/>
  <c r="BA190" i="13" s="1"/>
  <c r="BA175" i="13"/>
  <c r="E394" i="13"/>
  <c r="H394" i="13"/>
  <c r="E418" i="13"/>
  <c r="H418" i="13"/>
  <c r="BT80" i="13"/>
  <c r="E444" i="13"/>
  <c r="H444" i="13"/>
  <c r="H405" i="13"/>
  <c r="E405" i="13"/>
  <c r="E427" i="13"/>
  <c r="H427" i="13"/>
  <c r="E388" i="13"/>
  <c r="H388" i="13"/>
  <c r="E454" i="13"/>
  <c r="H454" i="13"/>
  <c r="E375" i="13"/>
  <c r="H375" i="13"/>
  <c r="E356" i="13"/>
  <c r="H356" i="13"/>
  <c r="E365" i="13"/>
  <c r="H365" i="13"/>
  <c r="E441" i="13"/>
  <c r="H441" i="13"/>
  <c r="E412" i="13"/>
  <c r="H412" i="13"/>
  <c r="E436" i="13"/>
  <c r="H436" i="13"/>
  <c r="E428" i="13"/>
  <c r="H428" i="13"/>
  <c r="E453" i="13"/>
  <c r="H453" i="13"/>
  <c r="E386" i="13"/>
  <c r="H386" i="13"/>
  <c r="H424" i="13"/>
  <c r="E424" i="13"/>
  <c r="E435" i="13"/>
  <c r="H435" i="13"/>
  <c r="E393" i="13"/>
  <c r="H393" i="13"/>
  <c r="E414" i="13"/>
  <c r="H414" i="13"/>
  <c r="E399" i="13"/>
  <c r="H399" i="13"/>
  <c r="E398" i="13"/>
  <c r="H398" i="13"/>
  <c r="E445" i="13"/>
  <c r="H445" i="13"/>
  <c r="E447" i="13"/>
  <c r="H447" i="13"/>
  <c r="E357" i="13"/>
  <c r="H357" i="13"/>
  <c r="AX220" i="13"/>
  <c r="AY220" i="13" s="1"/>
  <c r="E439" i="13"/>
  <c r="H439" i="13"/>
  <c r="BT87" i="13"/>
  <c r="E397" i="13"/>
  <c r="H397" i="13"/>
  <c r="E430" i="13"/>
  <c r="H430" i="13"/>
  <c r="H421" i="13"/>
  <c r="E421" i="13"/>
  <c r="BT88" i="13"/>
  <c r="E451" i="13"/>
  <c r="H451" i="13"/>
  <c r="E323" i="13"/>
  <c r="H323" i="13"/>
  <c r="E361" i="13"/>
  <c r="H361" i="13"/>
  <c r="E329" i="13"/>
  <c r="H329" i="13"/>
  <c r="E371" i="13"/>
  <c r="H371" i="13"/>
  <c r="E360" i="13"/>
  <c r="H360" i="13"/>
  <c r="E331" i="13"/>
  <c r="H331" i="13"/>
  <c r="E335" i="13"/>
  <c r="H335" i="13"/>
  <c r="BT81" i="13"/>
  <c r="E390" i="13"/>
  <c r="H390" i="13"/>
  <c r="E410" i="13"/>
  <c r="H410" i="13"/>
  <c r="E403" i="13"/>
  <c r="H403" i="13"/>
  <c r="E407" i="13"/>
  <c r="H407" i="13"/>
  <c r="E431" i="13"/>
  <c r="H431" i="13"/>
  <c r="E400" i="13"/>
  <c r="H400" i="13"/>
  <c r="BS90" i="13"/>
  <c r="BR90" i="13"/>
  <c r="BA206" i="13"/>
  <c r="E383" i="13"/>
  <c r="H383" i="13"/>
  <c r="BT84" i="13"/>
  <c r="H408" i="13"/>
  <c r="E408" i="13"/>
  <c r="E379" i="13"/>
  <c r="H379" i="13"/>
  <c r="E411" i="13"/>
  <c r="H411" i="13"/>
  <c r="BT92" i="13"/>
  <c r="E380" i="13"/>
  <c r="H380" i="13"/>
  <c r="E452" i="13"/>
  <c r="H452" i="13"/>
  <c r="H409" i="13"/>
  <c r="E409" i="13"/>
  <c r="BT91" i="13"/>
  <c r="E420" i="13"/>
  <c r="H420" i="13"/>
  <c r="E395" i="13"/>
  <c r="H395" i="13"/>
  <c r="E442" i="13"/>
  <c r="H442" i="13"/>
  <c r="H433" i="13"/>
  <c r="E433" i="13"/>
  <c r="E402" i="13"/>
  <c r="H402" i="13"/>
  <c r="AG170" i="13"/>
  <c r="AG186" i="13"/>
  <c r="AG185" i="13"/>
  <c r="AG205" i="13"/>
  <c r="AG211" i="13"/>
  <c r="AG181" i="13"/>
  <c r="AG199" i="13"/>
  <c r="AG202" i="13"/>
  <c r="AG220" i="13"/>
  <c r="AH220" i="13" s="1"/>
  <c r="AD220" i="13"/>
  <c r="AE220" i="13" s="1"/>
  <c r="W220" i="13"/>
  <c r="X220" i="13" s="1"/>
  <c r="AM199" i="13"/>
  <c r="AM216" i="13" s="1"/>
  <c r="W217" i="13"/>
  <c r="Z220" i="13"/>
  <c r="AA220" i="13" s="1"/>
  <c r="AG176" i="13"/>
  <c r="AS216" i="13"/>
  <c r="Y217" i="13"/>
  <c r="AT220" i="13"/>
  <c r="AU220" i="13" s="1"/>
  <c r="I352" i="13" l="1"/>
  <c r="I378" i="13"/>
  <c r="I458" i="13"/>
  <c r="I419" i="13"/>
  <c r="I459" i="13"/>
  <c r="BA215" i="13"/>
  <c r="I375" i="13"/>
  <c r="AG191" i="13"/>
  <c r="AG216" i="13"/>
</calcChain>
</file>

<file path=xl/sharedStrings.xml><?xml version="1.0" encoding="utf-8"?>
<sst xmlns="http://schemas.openxmlformats.org/spreadsheetml/2006/main" count="4241" uniqueCount="879">
  <si>
    <t>[mm]</t>
  </si>
  <si>
    <t>Replacement tooth</t>
  </si>
  <si>
    <t>average size difference</t>
  </si>
  <si>
    <t>refenrence depth</t>
  </si>
  <si>
    <t>root depth</t>
  </si>
  <si>
    <t>apex depth</t>
  </si>
  <si>
    <t>tooth length</t>
  </si>
  <si>
    <t>tooth</t>
  </si>
  <si>
    <t>root depth to reference</t>
  </si>
  <si>
    <t>apex depth to reference</t>
  </si>
  <si>
    <t>[all in mm]</t>
  </si>
  <si>
    <t>Measurements of teeth</t>
  </si>
  <si>
    <t>Premaxilla</t>
  </si>
  <si>
    <t>Tooth position 1 (labial)</t>
  </si>
  <si>
    <t>Tooth position 2</t>
  </si>
  <si>
    <t>1. alveolus</t>
  </si>
  <si>
    <t>2. alveolus</t>
  </si>
  <si>
    <t>3. alveolus</t>
  </si>
  <si>
    <t>4. alveolus</t>
  </si>
  <si>
    <t>Maxilla</t>
  </si>
  <si>
    <t>5. alveolus</t>
  </si>
  <si>
    <t>6. alveolus</t>
  </si>
  <si>
    <t>7. alveolus</t>
  </si>
  <si>
    <t>8. alveolus</t>
  </si>
  <si>
    <t>9. alveolus</t>
  </si>
  <si>
    <t>10. alveolus</t>
  </si>
  <si>
    <t>11. alveolus</t>
  </si>
  <si>
    <t>12. alveolus</t>
  </si>
  <si>
    <t>Dentary</t>
  </si>
  <si>
    <t>13. alveolus</t>
  </si>
  <si>
    <t>14. alveolus</t>
  </si>
  <si>
    <t>15. alveolus</t>
  </si>
  <si>
    <t>16. alveolus</t>
  </si>
  <si>
    <t>dext</t>
  </si>
  <si>
    <t>Functional tooth</t>
  </si>
  <si>
    <t>lower teeth/upper teeth</t>
  </si>
  <si>
    <t>size compared to tooth befoe</t>
  </si>
  <si>
    <t>developmental stage</t>
  </si>
  <si>
    <t>avarage</t>
  </si>
  <si>
    <t>average</t>
  </si>
  <si>
    <t>functinal tooth</t>
  </si>
  <si>
    <t>Medium Alligator</t>
  </si>
  <si>
    <t>n.a.</t>
  </si>
  <si>
    <t>Pmx</t>
  </si>
  <si>
    <t>Mx</t>
  </si>
  <si>
    <t>Dent</t>
  </si>
  <si>
    <t>functional tooth</t>
  </si>
  <si>
    <t>3.50+1.71</t>
  </si>
  <si>
    <t>6.39+1.51</t>
  </si>
  <si>
    <t>0.39+0.07</t>
  </si>
  <si>
    <t>not reliable numbers</t>
  </si>
  <si>
    <t>6.04+1.33</t>
  </si>
  <si>
    <t>0.97+0.12</t>
  </si>
  <si>
    <t>1.55+0.17</t>
  </si>
  <si>
    <t>measured in two measurements</t>
  </si>
  <si>
    <t>2.40+0.10</t>
  </si>
  <si>
    <t>8.94+0.78</t>
  </si>
  <si>
    <t>8.55+0.60</t>
  </si>
  <si>
    <t>1.29+0.07</t>
  </si>
  <si>
    <t>9.57+0.82</t>
  </si>
  <si>
    <t>0.78+0.08</t>
  </si>
  <si>
    <t>5.82+1.70</t>
  </si>
  <si>
    <t>7.65+0.95</t>
  </si>
  <si>
    <t>3.02+2.29</t>
  </si>
  <si>
    <t>5.92+0.18</t>
  </si>
  <si>
    <t>3.86+2.04</t>
  </si>
  <si>
    <t>0.63+0.21</t>
  </si>
  <si>
    <t>5.52+3.12</t>
  </si>
  <si>
    <t>5.83+2.89</t>
  </si>
  <si>
    <t>4.60+2.73</t>
  </si>
  <si>
    <t>3.24+2.96</t>
  </si>
  <si>
    <t>5.alveolus</t>
  </si>
  <si>
    <t>17. alveolus</t>
  </si>
  <si>
    <t>18. alveolus</t>
  </si>
  <si>
    <t>19. alveolus</t>
  </si>
  <si>
    <t>20. alveolus</t>
  </si>
  <si>
    <t>size compared to tooth before</t>
  </si>
  <si>
    <t>volume</t>
  </si>
  <si>
    <t>Large Alligator</t>
  </si>
  <si>
    <t>Small Alligator</t>
  </si>
  <si>
    <t>upper jaw medium sized Alligator</t>
  </si>
  <si>
    <t>premaxilla sin</t>
  </si>
  <si>
    <t>maxilla sin</t>
  </si>
  <si>
    <t>dentary sin</t>
  </si>
  <si>
    <t>premaxilla dext</t>
  </si>
  <si>
    <t>dentary medium sized Alligator</t>
  </si>
  <si>
    <t>teeth of Alligators according to their position</t>
  </si>
  <si>
    <t>estimated age</t>
  </si>
  <si>
    <t>3 alveolus replacement</t>
  </si>
  <si>
    <t>6. alveolus replacement</t>
  </si>
  <si>
    <t>2. alveolus replacement</t>
  </si>
  <si>
    <t>11. alveolus replacement</t>
  </si>
  <si>
    <t>19. alveolus  replacement</t>
  </si>
  <si>
    <t>crown height</t>
  </si>
  <si>
    <t>?</t>
  </si>
  <si>
    <t>age by crown height</t>
  </si>
  <si>
    <t>13 alveolus replacement</t>
  </si>
  <si>
    <t>alveolus</t>
  </si>
  <si>
    <t>tooth formation time 1</t>
  </si>
  <si>
    <t>tooth formation time 2</t>
  </si>
  <si>
    <t>Medium sized Alligator, right premaxilla</t>
  </si>
  <si>
    <t>Medium sized Alligator, right maxilla</t>
  </si>
  <si>
    <t>tooth formation time 3</t>
  </si>
  <si>
    <t>Tooth formation time based on mean incremental line width of a different tooth</t>
  </si>
  <si>
    <t>Based on incremental line width of tooth</t>
  </si>
  <si>
    <t>replacement rate f-r1</t>
  </si>
  <si>
    <t>replacement rate r1-r2</t>
  </si>
  <si>
    <t>replacement rate (average)</t>
  </si>
  <si>
    <t>Medium sized Alligator, right dentary</t>
  </si>
  <si>
    <t>Version using the same incremental line width for all values</t>
  </si>
  <si>
    <t>Average of average relacement rates</t>
  </si>
  <si>
    <t>Tooth growth rate</t>
  </si>
  <si>
    <t>crown length</t>
  </si>
  <si>
    <t>2.25+0.31</t>
  </si>
  <si>
    <t>4.83+0.12</t>
  </si>
  <si>
    <t>3.93+0.23</t>
  </si>
  <si>
    <t>4.46+0.16</t>
  </si>
  <si>
    <t>4.14+0.11</t>
  </si>
  <si>
    <t>4.86+0.07</t>
  </si>
  <si>
    <t>1.40 if the thin area is just a crack</t>
  </si>
  <si>
    <t>5.73+0.17</t>
  </si>
  <si>
    <t>3.61+0.46</t>
  </si>
  <si>
    <t>3.93+0.15</t>
  </si>
  <si>
    <t>2.90+0.23</t>
  </si>
  <si>
    <t>4.11+0.65</t>
  </si>
  <si>
    <t>3.50+0.41</t>
  </si>
  <si>
    <t>3.11+0.14</t>
  </si>
  <si>
    <t>1.62+0.58</t>
  </si>
  <si>
    <t>0.31+0.08</t>
  </si>
  <si>
    <t>0.80+0.18</t>
  </si>
  <si>
    <t>2.61+0.60</t>
  </si>
  <si>
    <t>3.80+0.11</t>
  </si>
  <si>
    <t>3.32+0.27</t>
  </si>
  <si>
    <t>5.13+0.29</t>
  </si>
  <si>
    <t>3.77+0.38</t>
  </si>
  <si>
    <t>3.83+0.45</t>
  </si>
  <si>
    <t>2.30+1.44</t>
  </si>
  <si>
    <t>2.20+1.21</t>
  </si>
  <si>
    <t>2.02+0.84</t>
  </si>
  <si>
    <t>(all crown)</t>
  </si>
  <si>
    <t>(27.25-22.62)</t>
  </si>
  <si>
    <t>21.85+1.23</t>
  </si>
  <si>
    <t>37.34+1.52</t>
  </si>
  <si>
    <t>25.56+1.00; tip missing</t>
  </si>
  <si>
    <t>empty alveolus</t>
  </si>
  <si>
    <t>broken and split tip</t>
  </si>
  <si>
    <t>33.15+1.56 ; split tip, small part missing</t>
  </si>
  <si>
    <t>19.0+2.00</t>
  </si>
  <si>
    <t>2.82+0.36</t>
  </si>
  <si>
    <t>15.66+5.32</t>
  </si>
  <si>
    <t>16.72+0.49</t>
  </si>
  <si>
    <t>f</t>
  </si>
  <si>
    <t>31.65+0.77</t>
  </si>
  <si>
    <t>crack of crown base</t>
  </si>
  <si>
    <t>split apex</t>
  </si>
  <si>
    <t>might be</t>
  </si>
  <si>
    <t>one split</t>
  </si>
  <si>
    <t>4.89+0.91</t>
  </si>
  <si>
    <t>rounded tip</t>
  </si>
  <si>
    <t>apex points distally</t>
  </si>
  <si>
    <t>apex points distally and ventral</t>
  </si>
  <si>
    <t>15.01+3.35</t>
  </si>
  <si>
    <t>upside down</t>
  </si>
  <si>
    <t>crack at crown base</t>
  </si>
  <si>
    <t>split in 2</t>
  </si>
  <si>
    <t>crown base split</t>
  </si>
  <si>
    <t>22.34+5.68</t>
  </si>
  <si>
    <t>12. alveolus replacement</t>
  </si>
  <si>
    <t>4. alveolus replacement</t>
  </si>
  <si>
    <t>Small sized Alligator, right premaxilla</t>
  </si>
  <si>
    <t>Small sized Alligator, right maxilla</t>
  </si>
  <si>
    <t>Small sized Alligator, right dentary</t>
  </si>
  <si>
    <t xml:space="preserve">Pmx 3 0.0167
</t>
  </si>
  <si>
    <t xml:space="preserve">Mx 7 0.0153
</t>
  </si>
  <si>
    <t xml:space="preserve">Mx 12 0.0120 replacement 0.0115
</t>
  </si>
  <si>
    <t xml:space="preserve">Mx 13  0.0117
</t>
  </si>
  <si>
    <t>Large sized Alligator, right premaxilla</t>
  </si>
  <si>
    <t>Large sized Alligator, right dentary</t>
  </si>
  <si>
    <t>7. alveolus replacement</t>
  </si>
  <si>
    <t xml:space="preserve">Mx 6 0.01267
</t>
  </si>
  <si>
    <t xml:space="preserve">Mx 7 0.01533
</t>
  </si>
  <si>
    <t>Large sized Alligator, right maxilla</t>
  </si>
  <si>
    <t>Pmx 1 0.0138</t>
  </si>
  <si>
    <t>15 alveolus replacement</t>
  </si>
  <si>
    <t>Pmx 3 replacement 0.011</t>
  </si>
  <si>
    <t>Mx 6 0.0117</t>
  </si>
  <si>
    <t>Mx 7 0.0179  Mx 7 replacement 0.02</t>
  </si>
  <si>
    <t>Mx 13 0.0188</t>
  </si>
  <si>
    <t>Mx 12 0.034</t>
  </si>
  <si>
    <t>Taxon (total length, m)</t>
  </si>
  <si>
    <t>Sample size (n)</t>
  </si>
  <si>
    <t>Mean crown vol (cc)</t>
  </si>
  <si>
    <t>Mean tooth replacement rate est. (days)</t>
  </si>
  <si>
    <t>Alligator (0.60)</t>
  </si>
  <si>
    <t>Caiman (0.13)</t>
  </si>
  <si>
    <t>Alligator (0.85)</t>
  </si>
  <si>
    <t>Alligator (1.40)</t>
  </si>
  <si>
    <t>STD</t>
  </si>
  <si>
    <t>Alligator (0.90)</t>
  </si>
  <si>
    <t>Alligator (3.95)</t>
  </si>
  <si>
    <t>Alligator (0.37)</t>
  </si>
  <si>
    <t>Mean tooth vol (cmm)</t>
  </si>
  <si>
    <t>average incremental line width (mm)</t>
  </si>
  <si>
    <t>Erickson 1996</t>
  </si>
  <si>
    <t>Erickson 1992</t>
  </si>
  <si>
    <t>Extend of Ericksons (1996) and Erickson (1992 MSc Thesis) tables</t>
  </si>
  <si>
    <t>Alligator (1.50)</t>
  </si>
  <si>
    <t>Alligator (2.50)</t>
  </si>
  <si>
    <t>Alligator (3.20)</t>
  </si>
  <si>
    <t>min increment width</t>
  </si>
  <si>
    <t>max incement width</t>
  </si>
  <si>
    <t>Mean increment width by tooth position</t>
  </si>
  <si>
    <t>functional teeth upper dentition</t>
  </si>
  <si>
    <t>replacement teeth upper dentition</t>
  </si>
  <si>
    <t>functional teeth lower dentition</t>
  </si>
  <si>
    <t>replacement teeth lower dentition</t>
  </si>
  <si>
    <t>Body length</t>
  </si>
  <si>
    <t>small</t>
  </si>
  <si>
    <t>medium</t>
  </si>
  <si>
    <t>large</t>
  </si>
  <si>
    <t>Enamel thickness</t>
  </si>
  <si>
    <t>Dent 4</t>
  </si>
  <si>
    <t>tip of apex</t>
  </si>
  <si>
    <t>Dent 19</t>
  </si>
  <si>
    <t>Dent 18</t>
  </si>
  <si>
    <t>Mx 12</t>
  </si>
  <si>
    <t>Mx 6</t>
  </si>
  <si>
    <t>Dent 11</t>
  </si>
  <si>
    <t>Mx 7</t>
  </si>
  <si>
    <t>average of averages</t>
  </si>
  <si>
    <t>average tooth length</t>
  </si>
  <si>
    <t>average without apex tips</t>
  </si>
  <si>
    <t>average of apex tips</t>
  </si>
  <si>
    <t>&lt;--average crown height</t>
  </si>
  <si>
    <t>r squared</t>
  </si>
  <si>
    <t>p value (20 degrees of freedom)</t>
  </si>
  <si>
    <t>p value (actual degrees of freedom)</t>
  </si>
  <si>
    <t>replacement rate all alligators</t>
  </si>
  <si>
    <t>replacement rate this study</t>
  </si>
  <si>
    <t>VELW All data</t>
  </si>
  <si>
    <t>VELW Erickson 1996 &amp; this study</t>
  </si>
  <si>
    <t>VELW Erickson 1996</t>
  </si>
  <si>
    <t>VELW This study</t>
  </si>
  <si>
    <t>Measurements of teeth in log</t>
  </si>
  <si>
    <t>p-value</t>
  </si>
  <si>
    <t>R-square</t>
  </si>
  <si>
    <t>Replacement tooth 1</t>
  </si>
  <si>
    <t>crown height vs volume</t>
  </si>
  <si>
    <t>Functional teeth</t>
  </si>
  <si>
    <t>Replacement teeth 1</t>
  </si>
  <si>
    <t>log</t>
  </si>
  <si>
    <t>crown volume</t>
  </si>
  <si>
    <t>root volume</t>
  </si>
  <si>
    <t>total volume</t>
  </si>
  <si>
    <t>volume of reconstruced parts</t>
  </si>
  <si>
    <t>complete</t>
  </si>
  <si>
    <t>22.21+1.23</t>
  </si>
  <si>
    <t>37.67+1.52</t>
  </si>
  <si>
    <t>26.18+1.00; tip missing</t>
  </si>
  <si>
    <t>33.82+1.56 ; split tip, small part missing</t>
  </si>
  <si>
    <t>16.02+5.32</t>
  </si>
  <si>
    <t>16.63+0.49</t>
  </si>
  <si>
    <t>Crowns as they are</t>
  </si>
  <si>
    <t>31.98+0.77</t>
  </si>
  <si>
    <t>15.09+3.35</t>
  </si>
  <si>
    <t>22.53+5.68</t>
  </si>
  <si>
    <t>Reconstructed crowns, reduced by enamel height</t>
  </si>
  <si>
    <t>crown length with enamel</t>
  </si>
  <si>
    <t>tooth length without enamel</t>
  </si>
  <si>
    <t>age by crown height (with enamel)</t>
  </si>
  <si>
    <t>average VEL</t>
  </si>
  <si>
    <t>averages with enamel</t>
  </si>
  <si>
    <t>skull length</t>
  </si>
  <si>
    <t>skull lengths estimated for all but small and medium alligator from this study</t>
  </si>
  <si>
    <t>tooth height</t>
  </si>
  <si>
    <t>tooth height vs volume</t>
  </si>
  <si>
    <t>ratio of tooth height to crown height</t>
  </si>
  <si>
    <t>All teeth of large</t>
  </si>
  <si>
    <t>functional teeth large</t>
  </si>
  <si>
    <t>functional teeth medium</t>
  </si>
  <si>
    <t>All teeth of medium</t>
  </si>
  <si>
    <t>functional teeth small</t>
  </si>
  <si>
    <t>all teeth of small</t>
  </si>
  <si>
    <t>VEIW (average increment width)</t>
  </si>
  <si>
    <t>crown volume [ccm]</t>
  </si>
  <si>
    <t>2nd replacement</t>
  </si>
  <si>
    <t>1st replacement teeth of medium</t>
  </si>
  <si>
    <t>1st replacement teeth of large</t>
  </si>
  <si>
    <t>1st replacement teeth of small</t>
  </si>
  <si>
    <t>Skull length</t>
  </si>
  <si>
    <t>Are volumes from Erickson wrong by factor of 10? Corrected</t>
  </si>
  <si>
    <t>r squared skull</t>
  </si>
  <si>
    <t>p value skull (actual degrees of freedom)</t>
  </si>
  <si>
    <t>Tooth</t>
  </si>
  <si>
    <t>oblique</t>
  </si>
  <si>
    <t>SD</t>
  </si>
  <si>
    <t>min</t>
  </si>
  <si>
    <t>max</t>
  </si>
  <si>
    <t>TFT difference</t>
  </si>
  <si>
    <t>perpendicular</t>
  </si>
  <si>
    <t>TFT [days]</t>
  </si>
  <si>
    <r>
      <t>mean VEIW [</t>
    </r>
    <r>
      <rPr>
        <b/>
        <sz val="11"/>
        <color theme="1"/>
        <rFont val="Calibri"/>
        <family val="2"/>
      </rPr>
      <t>µ</t>
    </r>
    <r>
      <rPr>
        <b/>
        <sz val="8.8000000000000007"/>
        <color theme="1"/>
        <rFont val="Calibri"/>
        <family val="2"/>
      </rPr>
      <t>m]</t>
    </r>
  </si>
  <si>
    <t>Medium [NCSM 100804] Dent 18</t>
  </si>
  <si>
    <t>Large [NCSM 100805] Dent 11</t>
  </si>
  <si>
    <t>Transect</t>
  </si>
  <si>
    <t>mid crown</t>
  </si>
  <si>
    <t>based on # VEL</t>
  </si>
  <si>
    <t>Large [NCSM 100805] Dent 4</t>
  </si>
  <si>
    <t>root base</t>
  </si>
  <si>
    <t>CH [mm]</t>
  </si>
  <si>
    <t>apical</t>
  </si>
  <si>
    <t>Transect position along CA of tooth</t>
  </si>
  <si>
    <t>basal</t>
  </si>
  <si>
    <t>With just tooth positions of the same orientation</t>
  </si>
  <si>
    <t>specific CH to enamel</t>
  </si>
  <si>
    <t>Combining replacement and functional teeth</t>
  </si>
  <si>
    <t>median</t>
  </si>
  <si>
    <t>mean</t>
  </si>
  <si>
    <t>SD VEIW</t>
  </si>
  <si>
    <t>SD TFT</t>
  </si>
  <si>
    <t>SDs</t>
  </si>
  <si>
    <t>Anova: Single Factor</t>
  </si>
  <si>
    <t>SUMMARY</t>
  </si>
  <si>
    <t>Groups</t>
  </si>
  <si>
    <t>Count</t>
  </si>
  <si>
    <t>Sum</t>
  </si>
  <si>
    <t>Average</t>
  </si>
  <si>
    <t>Variance</t>
  </si>
  <si>
    <t>ANOVA</t>
  </si>
  <si>
    <t>Source of Variation</t>
  </si>
  <si>
    <t>SS</t>
  </si>
  <si>
    <t>df</t>
  </si>
  <si>
    <t>MS</t>
  </si>
  <si>
    <t>F</t>
  </si>
  <si>
    <t>P-value</t>
  </si>
  <si>
    <t>F crit</t>
  </si>
  <si>
    <t>Between Groups</t>
  </si>
  <si>
    <t>Within Groups</t>
  </si>
  <si>
    <t>Total</t>
  </si>
  <si>
    <t>ANOVA by hand for all</t>
  </si>
  <si>
    <t>overall mean</t>
  </si>
  <si>
    <t>total</t>
  </si>
  <si>
    <t>small mean</t>
  </si>
  <si>
    <t>medium mean</t>
  </si>
  <si>
    <t>large mean</t>
  </si>
  <si>
    <t>From F table for alpha = 0.05</t>
  </si>
  <si>
    <t>SD from averaging SDs</t>
  </si>
  <si>
    <t>SD from calculation from those present</t>
  </si>
  <si>
    <t>calculated</t>
  </si>
  <si>
    <t>Difference in TFT estimates [%]</t>
  </si>
  <si>
    <t>p</t>
  </si>
  <si>
    <t>Tooth position</t>
  </si>
  <si>
    <t>overall</t>
  </si>
  <si>
    <t>Mean</t>
  </si>
  <si>
    <t>From F table for</t>
  </si>
  <si>
    <t xml:space="preserve"> alpha = 0.05</t>
  </si>
  <si>
    <t xml:space="preserve">crown heights of the sampled positions </t>
  </si>
  <si>
    <t>TFT by sampled CA sections</t>
  </si>
  <si>
    <t>Variable 1</t>
  </si>
  <si>
    <t>Variable 2</t>
  </si>
  <si>
    <t>Observations</t>
  </si>
  <si>
    <t>Hypothesized Mean Difference</t>
  </si>
  <si>
    <t>t Stat</t>
  </si>
  <si>
    <t>P(T&lt;=t) one-tail</t>
  </si>
  <si>
    <t>t Critical one-tail</t>
  </si>
  <si>
    <t>P(T&lt;=t) two-tail</t>
  </si>
  <si>
    <t>t Critical two-tail</t>
  </si>
  <si>
    <t>t-Test: Two-Sample Assuming Unequal Variances</t>
  </si>
  <si>
    <t>TFT from  VEIW of all sampled positions</t>
  </si>
  <si>
    <t>TFT + SD</t>
  </si>
  <si>
    <t>TFT - SD</t>
  </si>
  <si>
    <t>mean of all:</t>
  </si>
  <si>
    <t>VEIW of the tooth</t>
  </si>
  <si>
    <t>SD +</t>
  </si>
  <si>
    <t>SD -</t>
  </si>
  <si>
    <t>TFT (tooth specific SD) +</t>
  </si>
  <si>
    <t>TFT (tooth specific SD) -</t>
  </si>
  <si>
    <t>SD + [%]</t>
  </si>
  <si>
    <t>SD - [%]</t>
  </si>
  <si>
    <t>Replacement rates from Erickson 1996</t>
  </si>
  <si>
    <t>8–19</t>
  </si>
  <si>
    <t>NA</t>
  </si>
  <si>
    <t>13–22</t>
  </si>
  <si>
    <t>Adult Edmontonia‡</t>
  </si>
  <si>
    <t>9–17</t>
  </si>
  <si>
    <t>Adult Triceratops§</t>
  </si>
  <si>
    <t>13–26</t>
  </si>
  <si>
    <t>Infant Lambeosaurinae¶</t>
  </si>
  <si>
    <t>Adult Prosaurolophus¶</t>
  </si>
  <si>
    <t>15–28</t>
  </si>
  <si>
    <t>Infant Maiasaura¶</t>
  </si>
  <si>
    <t>11–19</t>
  </si>
  <si>
    <t>Adult Maiasaura¶</t>
  </si>
  <si>
    <t>Juvenile Edmontosaurus¶</t>
  </si>
  <si>
    <t>12–21</t>
  </si>
  <si>
    <t>Adult Edmontosaurus¶</t>
  </si>
  <si>
    <t>11–25</t>
  </si>
  <si>
    <t>Adult Deinonychus**</t>
  </si>
  <si>
    <t>6–12</t>
  </si>
  <si>
    <t>Adult Troodon††</t>
  </si>
  <si>
    <t>7–15</t>
  </si>
  <si>
    <t>Juvenile Albertosaur‡‡</t>
  </si>
  <si>
    <t>12–17</t>
  </si>
  <si>
    <t>Adult Albertosaur‡‡</t>
  </si>
  <si>
    <t>12–24</t>
  </si>
  <si>
    <t>Juvenile Tyrannosaurus‡‡</t>
  </si>
  <si>
    <t>8–17</t>
  </si>
  <si>
    <t>Adult Tyrannosaurus‡‡</t>
  </si>
  <si>
    <t>7–22</t>
  </si>
  <si>
    <t>Sub. Ad. Tyrannosaurus‡‡</t>
  </si>
  <si>
    <t>Crocodilian†</t>
  </si>
  <si>
    <t>Leidyosuchus†</t>
  </si>
  <si>
    <t>NA, not applicable.</t>
  </si>
  <si>
    <t>*Replacement rate estimated via computed tomography (see Materials and Methods).</t>
  </si>
  <si>
    <t>†Neosuchia (13).</t>
  </si>
  <si>
    <t>‡Nodosauridae (14).</t>
  </si>
  <si>
    <t>§Ceratopsidae (15).</t>
  </si>
  <si>
    <t>¶Hadrosauridae (16).</t>
  </si>
  <si>
    <t>**Dromomaeosauridae (Theropoda) (17).</t>
  </si>
  <si>
    <t>††Troodontidae (Theropoda) (17).</t>
  </si>
  <si>
    <t>‡‡Tyrannosauridae (Theropoda) (17).</t>
  </si>
  <si>
    <t>Taxon</t>
  </si>
  <si>
    <t>Sample size, n</t>
  </si>
  <si>
    <t>Mean crown volume, ml</t>
  </si>
  <si>
    <t>Increment size range, mm</t>
  </si>
  <si>
    <t>Mean tooth formation rate, days</t>
  </si>
  <si>
    <t>Tooth replacement rate, days</t>
  </si>
  <si>
    <t>*</t>
  </si>
  <si>
    <t>SD based on Alligator</t>
  </si>
  <si>
    <t>Alligator mean</t>
  </si>
  <si>
    <t>Crown height (back calculated from mean VEIW and TFT)</t>
  </si>
  <si>
    <t>Diplodocus (YPM 4677)</t>
  </si>
  <si>
    <t>1iii</t>
  </si>
  <si>
    <t>2i</t>
  </si>
  <si>
    <t>2ii</t>
  </si>
  <si>
    <t>2iii</t>
  </si>
  <si>
    <t>3i</t>
  </si>
  <si>
    <t>3ii</t>
  </si>
  <si>
    <t>3iii</t>
  </si>
  <si>
    <t>3iv</t>
  </si>
  <si>
    <t>4i</t>
  </si>
  <si>
    <t>4ii</t>
  </si>
  <si>
    <t>4iii</t>
  </si>
  <si>
    <t>position</t>
  </si>
  <si>
    <t>Camarasaurus (UMNH 5527)</t>
  </si>
  <si>
    <t>No VEIW directly reported, assume 0.015 mm as the text says)</t>
  </si>
  <si>
    <t>4iv</t>
  </si>
  <si>
    <t>tooth formation time</t>
  </si>
  <si>
    <t>tooth length (alternative)</t>
  </si>
  <si>
    <t>tooth length (crown based on enamel?)</t>
  </si>
  <si>
    <t>TRR min-min</t>
  </si>
  <si>
    <t>TRR max-max</t>
  </si>
  <si>
    <t>TRRmin-max</t>
  </si>
  <si>
    <t>TRRmax-min</t>
  </si>
  <si>
    <t>TRR (count)</t>
  </si>
  <si>
    <t xml:space="preserve"> [%]+ TRR max-max</t>
  </si>
  <si>
    <t>[%]- TRR min-min</t>
  </si>
  <si>
    <t>D'Emic et al. 2013</t>
  </si>
  <si>
    <t>Garcia &amp; Zurriaguz 2016</t>
  </si>
  <si>
    <t>MPCA-Ph 4, 5, 9, 13, 19</t>
  </si>
  <si>
    <t>13-30</t>
  </si>
  <si>
    <t>Increment size range, micro m</t>
  </si>
  <si>
    <t>Mean increment width, micro m</t>
  </si>
  <si>
    <t>no crown heights and nosspecific association of VEIW and TFT given</t>
  </si>
  <si>
    <t>MB.R.2345 - Left Maxilla</t>
  </si>
  <si>
    <t>MB.R.2346 - Left premaxilla</t>
  </si>
  <si>
    <t>MB.R.2343 - Right Premaxilla</t>
  </si>
  <si>
    <t>Specimen</t>
  </si>
  <si>
    <t>teeth Length</t>
  </si>
  <si>
    <t>1</t>
  </si>
  <si>
    <t>2</t>
  </si>
  <si>
    <t>-</t>
  </si>
  <si>
    <t>3</t>
  </si>
  <si>
    <t>5</t>
  </si>
  <si>
    <t>10</t>
  </si>
  <si>
    <t>1I</t>
  </si>
  <si>
    <t>1II</t>
  </si>
  <si>
    <t>1III</t>
  </si>
  <si>
    <t>2I</t>
  </si>
  <si>
    <t>2II</t>
  </si>
  <si>
    <t>2III</t>
  </si>
  <si>
    <t>3I</t>
  </si>
  <si>
    <t>3II</t>
  </si>
  <si>
    <t>4I</t>
  </si>
  <si>
    <t>4II</t>
  </si>
  <si>
    <t>4III</t>
  </si>
  <si>
    <t>5I</t>
  </si>
  <si>
    <t>6I</t>
  </si>
  <si>
    <t>5II</t>
  </si>
  <si>
    <t>6II</t>
  </si>
  <si>
    <t>6III</t>
  </si>
  <si>
    <t>7I</t>
  </si>
  <si>
    <t>7II</t>
  </si>
  <si>
    <t>8I</t>
  </si>
  <si>
    <t>8II</t>
  </si>
  <si>
    <t>9I</t>
  </si>
  <si>
    <t>9II</t>
  </si>
  <si>
    <t>10I</t>
  </si>
  <si>
    <t>10II</t>
  </si>
  <si>
    <t>1IV</t>
  </si>
  <si>
    <t>3III</t>
  </si>
  <si>
    <t>2IV</t>
  </si>
  <si>
    <t>5III</t>
  </si>
  <si>
    <t>TFT</t>
  </si>
  <si>
    <t>VEIW from tooth age</t>
  </si>
  <si>
    <t>Giraffatitan brancai, Kosch 2014</t>
  </si>
  <si>
    <t>7III</t>
  </si>
  <si>
    <t>8III</t>
  </si>
  <si>
    <t>9III</t>
  </si>
  <si>
    <t>10III</t>
  </si>
  <si>
    <t>11I</t>
  </si>
  <si>
    <t>11II</t>
  </si>
  <si>
    <t>11III</t>
  </si>
  <si>
    <t>12I</t>
  </si>
  <si>
    <t>12II</t>
  </si>
  <si>
    <t>12III</t>
  </si>
  <si>
    <t>13I</t>
  </si>
  <si>
    <t>13II</t>
  </si>
  <si>
    <t>13III</t>
  </si>
  <si>
    <t>?(10)</t>
  </si>
  <si>
    <t>?(25,62)</t>
  </si>
  <si>
    <t>?(45)</t>
  </si>
  <si>
    <t>?(21,87)</t>
  </si>
  <si>
    <t>14I</t>
  </si>
  <si>
    <t>14II</t>
  </si>
  <si>
    <t>14III</t>
  </si>
  <si>
    <t>Kosch 2010, Schwarz et al. 2015</t>
  </si>
  <si>
    <t>1V</t>
  </si>
  <si>
    <t>2V</t>
  </si>
  <si>
    <t>3IV</t>
  </si>
  <si>
    <t>3V</t>
  </si>
  <si>
    <t>4IV</t>
  </si>
  <si>
    <t>4V</t>
  </si>
  <si>
    <t>5IV</t>
  </si>
  <si>
    <t>5V</t>
  </si>
  <si>
    <t>1VI</t>
  </si>
  <si>
    <t>2VI</t>
  </si>
  <si>
    <t>3VI</t>
  </si>
  <si>
    <t>4VI</t>
  </si>
  <si>
    <t>6IV</t>
  </si>
  <si>
    <t>6V</t>
  </si>
  <si>
    <t>7IV</t>
  </si>
  <si>
    <t>7V</t>
  </si>
  <si>
    <t>15I</t>
  </si>
  <si>
    <t>16I</t>
  </si>
  <si>
    <t>MB.R.2180.1 - pmx sin</t>
  </si>
  <si>
    <t>MB.R.2181.1 - pmx sin</t>
  </si>
  <si>
    <t>MB.R.2181.2 - pmx dext</t>
  </si>
  <si>
    <t>MB.R.2180.2 - mx sin</t>
  </si>
  <si>
    <t>MB.R.2180.3 mx dext</t>
  </si>
  <si>
    <t>MB.R.2181.4 mx sin</t>
  </si>
  <si>
    <t>MB.R.2181.3 mx dext</t>
  </si>
  <si>
    <t>MB.R.2180.14 - dent sin</t>
  </si>
  <si>
    <t>MB.R.2180.13 - dent dext</t>
  </si>
  <si>
    <t>MB.R.2337 - pmx dext</t>
  </si>
  <si>
    <t>MB.R.2338 - pmx sin</t>
  </si>
  <si>
    <t>MB.R.2339 - pmx sin</t>
  </si>
  <si>
    <t>MB.R.2336 - max dext</t>
  </si>
  <si>
    <t>MB.R.2371  dent sin</t>
  </si>
  <si>
    <t>Average for tooth mesial teeth</t>
  </si>
  <si>
    <t>I</t>
  </si>
  <si>
    <t>II</t>
  </si>
  <si>
    <t>III</t>
  </si>
  <si>
    <t>IV</t>
  </si>
  <si>
    <t>V</t>
  </si>
  <si>
    <t>VI</t>
  </si>
  <si>
    <t>crown height [mm]</t>
  </si>
  <si>
    <t>VEIW of the tooth [mm]</t>
  </si>
  <si>
    <t>TFT by sampled CA sections [days]</t>
  </si>
  <si>
    <t>TFT + SD  [days]</t>
  </si>
  <si>
    <t>TFT - SD  [days]</t>
  </si>
  <si>
    <t>SD +   [days]</t>
  </si>
  <si>
    <t>SD -   [days]</t>
  </si>
  <si>
    <t>TFT (tooth specific SD) + [days]</t>
  </si>
  <si>
    <t>TFT (tooth specific SD) -  [days]</t>
  </si>
  <si>
    <t>Tooth specific SD</t>
  </si>
  <si>
    <t>Tooth specific SD  [mm]</t>
  </si>
  <si>
    <t>t -statistic</t>
  </si>
  <si>
    <t>Crocodilian</t>
  </si>
  <si>
    <t>Leidyosuchus</t>
  </si>
  <si>
    <t>Adult Edmontonia</t>
  </si>
  <si>
    <t>Adult Triceratops</t>
  </si>
  <si>
    <t>Infant Lambeosaurinae</t>
  </si>
  <si>
    <t>Adult Prosaurolophus</t>
  </si>
  <si>
    <t>Infant Maiasaura</t>
  </si>
  <si>
    <t>Adult Maiasaura</t>
  </si>
  <si>
    <t>Juvenile Edmontosaurus</t>
  </si>
  <si>
    <t>Adult Edmontosaurus</t>
  </si>
  <si>
    <t>Adult Deinonychus</t>
  </si>
  <si>
    <t>Adult Troodon</t>
  </si>
  <si>
    <t>Juvenile Albertosaur</t>
  </si>
  <si>
    <t>Adult Albertosaur</t>
  </si>
  <si>
    <t>Juvenile Tyrannosaurus</t>
  </si>
  <si>
    <t>Sub. Ad. Tyrannosaurus</t>
  </si>
  <si>
    <t>Adult Tyrannosaurus</t>
  </si>
  <si>
    <t>Source</t>
  </si>
  <si>
    <t>Erickson 1996b</t>
  </si>
  <si>
    <t>Ricart et al. 2019</t>
  </si>
  <si>
    <t>Sphagesaurid FUP-Pv 000100</t>
  </si>
  <si>
    <t>Mariliasuchus FUP-Pv 000109</t>
  </si>
  <si>
    <t>Mariliasuchus FUP-Pv 000110</t>
  </si>
  <si>
    <t>Baurusuchid FUP-Pv 000104</t>
  </si>
  <si>
    <t>Baurusuchid FUP-Pv 000108</t>
  </si>
  <si>
    <t>0.039+</t>
  </si>
  <si>
    <t>tooth diameter (alternative)</t>
  </si>
  <si>
    <t>D-Emic et al. 2013</t>
  </si>
  <si>
    <t>tooth position</t>
  </si>
  <si>
    <t>pmx</t>
  </si>
  <si>
    <t xml:space="preserve"> Average for tooth postion</t>
  </si>
  <si>
    <t>Tornieria aficana MB.R.2345</t>
  </si>
  <si>
    <t>mx sin</t>
  </si>
  <si>
    <t>187 - 183</t>
  </si>
  <si>
    <t>178 - 145</t>
  </si>
  <si>
    <t>144 - 113</t>
  </si>
  <si>
    <t>130 - 113</t>
  </si>
  <si>
    <t>315 - 208</t>
  </si>
  <si>
    <t>MB.R.2346</t>
  </si>
  <si>
    <t>pmx sin</t>
  </si>
  <si>
    <t>MB.R.2343</t>
  </si>
  <si>
    <t>pmx dext</t>
  </si>
  <si>
    <t>Kosch 2014</t>
  </si>
  <si>
    <t>Sattler 2014</t>
  </si>
  <si>
    <t>Giraffatitan brancai MB.R.2180.1</t>
  </si>
  <si>
    <t>MB.R.2181.1</t>
  </si>
  <si>
    <t>MB.R.2181.2</t>
  </si>
  <si>
    <t>MB.R.2180.2</t>
  </si>
  <si>
    <t>first 5 alveoli</t>
  </si>
  <si>
    <t>MB.R.2180.3</t>
  </si>
  <si>
    <t>mx dext</t>
  </si>
  <si>
    <t>MB.R.2181.3</t>
  </si>
  <si>
    <t xml:space="preserve"> mx dext</t>
  </si>
  <si>
    <t>MB.R.2181.4</t>
  </si>
  <si>
    <t xml:space="preserve"> mx sin</t>
  </si>
  <si>
    <t>MB.R.2180.14</t>
  </si>
  <si>
    <t>dent sin</t>
  </si>
  <si>
    <t>MB.R.2180.13</t>
  </si>
  <si>
    <t>dent dext</t>
  </si>
  <si>
    <t>MB.R.2337</t>
  </si>
  <si>
    <t>Dicraeosaurus hansemanni MB.R.2337</t>
  </si>
  <si>
    <t>MB.R.2338</t>
  </si>
  <si>
    <t>MB.R.2339</t>
  </si>
  <si>
    <t>MB.R.2336</t>
  </si>
  <si>
    <t>max dext</t>
  </si>
  <si>
    <t>MB.R.2371</t>
  </si>
  <si>
    <t xml:space="preserve">  dent sin</t>
  </si>
  <si>
    <r>
      <t xml:space="preserve">Mean increment width, </t>
    </r>
    <r>
      <rPr>
        <sz val="14"/>
        <color theme="1"/>
        <rFont val="Calibri"/>
        <family val="2"/>
      </rPr>
      <t>µm</t>
    </r>
  </si>
  <si>
    <t xml:space="preserve"> &amp; Zurriaguz 2016</t>
  </si>
  <si>
    <t>Garcia</t>
  </si>
  <si>
    <t>Dicraeosaurus hansemanni</t>
  </si>
  <si>
    <t>Giraffatitan brancai</t>
  </si>
  <si>
    <t>MB.R.2180.1</t>
  </si>
  <si>
    <t>Schwarz et al. 2015</t>
  </si>
  <si>
    <t>Kosch 2010,</t>
  </si>
  <si>
    <r>
      <rPr>
        <b/>
        <i/>
        <sz val="14"/>
        <color theme="1"/>
        <rFont val="Calibri"/>
        <family val="2"/>
        <scheme val="minor"/>
      </rPr>
      <t>Tornieria aficana</t>
    </r>
    <r>
      <rPr>
        <sz val="14"/>
        <color theme="1"/>
        <rFont val="Calibri"/>
        <family val="2"/>
        <scheme val="minor"/>
      </rPr>
      <t xml:space="preserve"> MB.R.2345</t>
    </r>
  </si>
  <si>
    <t>VEIW SD based on Alligator, µm</t>
  </si>
  <si>
    <t>TRR min-max</t>
  </si>
  <si>
    <t>TRR max-min</t>
  </si>
  <si>
    <r>
      <rPr>
        <b/>
        <i/>
        <sz val="14"/>
        <color theme="1"/>
        <rFont val="Calibri"/>
        <family val="2"/>
        <scheme val="minor"/>
      </rPr>
      <t>Camarasaurus</t>
    </r>
    <r>
      <rPr>
        <sz val="14"/>
        <color theme="1"/>
        <rFont val="Calibri"/>
        <family val="2"/>
        <scheme val="minor"/>
      </rPr>
      <t xml:space="preserve"> UMNH 5527</t>
    </r>
  </si>
  <si>
    <r>
      <rPr>
        <b/>
        <i/>
        <sz val="14"/>
        <color theme="1"/>
        <rFont val="Calibri"/>
        <family val="2"/>
        <scheme val="minor"/>
      </rPr>
      <t>Diplodocus</t>
    </r>
    <r>
      <rPr>
        <sz val="14"/>
        <color theme="1"/>
        <rFont val="Calibri"/>
        <family val="2"/>
        <scheme val="minor"/>
      </rPr>
      <t xml:space="preserve"> YPM 4677</t>
    </r>
  </si>
  <si>
    <t>Mean tooth formation time, days</t>
  </si>
  <si>
    <t>Alligator</t>
  </si>
  <si>
    <t>Erickson 1992 referencing Westergard &amp; Ferguson (1990)</t>
  </si>
  <si>
    <t>Erickson 1996 referencing Westergard &amp; Ferguson (1990)</t>
  </si>
  <si>
    <t>Titaosauria indet.</t>
  </si>
  <si>
    <r>
      <t xml:space="preserve">Adult </t>
    </r>
    <r>
      <rPr>
        <i/>
        <sz val="14"/>
        <color theme="1"/>
        <rFont val="Calibri"/>
        <family val="2"/>
        <scheme val="minor"/>
      </rPr>
      <t>Edmontonia</t>
    </r>
  </si>
  <si>
    <r>
      <t xml:space="preserve">Adult </t>
    </r>
    <r>
      <rPr>
        <i/>
        <sz val="14"/>
        <color theme="1"/>
        <rFont val="Calibri"/>
        <family val="2"/>
        <scheme val="minor"/>
      </rPr>
      <t>Triceratops</t>
    </r>
  </si>
  <si>
    <r>
      <t xml:space="preserve">Adult </t>
    </r>
    <r>
      <rPr>
        <i/>
        <sz val="14"/>
        <color theme="1"/>
        <rFont val="Calibri"/>
        <family val="2"/>
        <scheme val="minor"/>
      </rPr>
      <t>Prosaurolophus</t>
    </r>
  </si>
  <si>
    <r>
      <t xml:space="preserve">Infant </t>
    </r>
    <r>
      <rPr>
        <i/>
        <sz val="14"/>
        <color theme="1"/>
        <rFont val="Calibri"/>
        <family val="2"/>
        <scheme val="minor"/>
      </rPr>
      <t>Maiasaura</t>
    </r>
  </si>
  <si>
    <r>
      <t xml:space="preserve">Adult </t>
    </r>
    <r>
      <rPr>
        <i/>
        <sz val="14"/>
        <color theme="1"/>
        <rFont val="Calibri"/>
        <family val="2"/>
        <scheme val="minor"/>
      </rPr>
      <t>Maiasaura</t>
    </r>
  </si>
  <si>
    <r>
      <t xml:space="preserve">Juvenile </t>
    </r>
    <r>
      <rPr>
        <i/>
        <sz val="14"/>
        <color theme="1"/>
        <rFont val="Calibri"/>
        <family val="2"/>
        <scheme val="minor"/>
      </rPr>
      <t>Edmontosaurus</t>
    </r>
  </si>
  <si>
    <r>
      <t xml:space="preserve">Adult </t>
    </r>
    <r>
      <rPr>
        <i/>
        <sz val="14"/>
        <color theme="1"/>
        <rFont val="Calibri"/>
        <family val="2"/>
        <scheme val="minor"/>
      </rPr>
      <t>Edmontosaurus</t>
    </r>
  </si>
  <si>
    <r>
      <t xml:space="preserve">Adult </t>
    </r>
    <r>
      <rPr>
        <i/>
        <sz val="14"/>
        <color theme="1"/>
        <rFont val="Calibri"/>
        <family val="2"/>
        <scheme val="minor"/>
      </rPr>
      <t>Deinonychus</t>
    </r>
  </si>
  <si>
    <r>
      <t xml:space="preserve">Adult </t>
    </r>
    <r>
      <rPr>
        <i/>
        <sz val="14"/>
        <color theme="1"/>
        <rFont val="Calibri"/>
        <family val="2"/>
        <scheme val="minor"/>
      </rPr>
      <t>Troodon</t>
    </r>
  </si>
  <si>
    <r>
      <t xml:space="preserve">Juvenile </t>
    </r>
    <r>
      <rPr>
        <i/>
        <sz val="14"/>
        <color theme="1"/>
        <rFont val="Calibri"/>
        <family val="2"/>
        <scheme val="minor"/>
      </rPr>
      <t>Tyrannosaurus</t>
    </r>
  </si>
  <si>
    <r>
      <t xml:space="preserve">Sub. Ad. </t>
    </r>
    <r>
      <rPr>
        <i/>
        <sz val="14"/>
        <color theme="1"/>
        <rFont val="Calibri"/>
        <family val="2"/>
        <scheme val="minor"/>
      </rPr>
      <t>Tyrannosaurus</t>
    </r>
  </si>
  <si>
    <r>
      <t xml:space="preserve">Adult </t>
    </r>
    <r>
      <rPr>
        <i/>
        <sz val="14"/>
        <color theme="1"/>
        <rFont val="Calibri"/>
        <family val="2"/>
        <scheme val="minor"/>
      </rPr>
      <t>Tyrannosaurus</t>
    </r>
  </si>
  <si>
    <t>Just the tooth positions wit 3 or more samples</t>
  </si>
  <si>
    <t>only CA</t>
  </si>
  <si>
    <t>ANOVA for all sampled alveoli in CA orientation</t>
  </si>
  <si>
    <t>ANOVA for the three specimens</t>
  </si>
  <si>
    <t>alpha = 0.05</t>
  </si>
  <si>
    <t>ANOVA for alveoli with 3 or more samples (4, 11, 12, 18)</t>
  </si>
  <si>
    <t>replacement rate all + Erickson 1992</t>
  </si>
  <si>
    <t>replacement rate all + Erickson 1996</t>
  </si>
  <si>
    <t>t-Test: Paired Two Sample for Means</t>
  </si>
  <si>
    <t>Pearson Correlation</t>
  </si>
  <si>
    <t>Column1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</si>
  <si>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</si>
  <si>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</si>
  <si>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</si>
  <si>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</si>
  <si>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</si>
  <si>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</si>
  <si>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</si>
  <si>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</si>
  <si>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</si>
  <si>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</si>
  <si>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Confidence Level(95.0%)</t>
  </si>
  <si>
    <t xml:space="preserve"> </t>
  </si>
  <si>
    <t>TFT based on       far CA VEIW</t>
  </si>
  <si>
    <t>mean VEIW    far CA [µm]</t>
  </si>
  <si>
    <t>TFT based on near CA VEIW</t>
  </si>
  <si>
    <t>mean VEIW near CA [µm]</t>
  </si>
  <si>
    <t>CA Apex</t>
  </si>
  <si>
    <t>CA Mid</t>
  </si>
  <si>
    <t>CA Base</t>
  </si>
  <si>
    <t>Column 1</t>
  </si>
  <si>
    <t>Column 2</t>
  </si>
  <si>
    <t>Column 3</t>
  </si>
  <si>
    <t>ANOVA: Single Factor</t>
  </si>
  <si>
    <t>DESCRIPTION</t>
  </si>
  <si>
    <t>Alpha</t>
  </si>
  <si>
    <t>Group</t>
  </si>
  <si>
    <t>Std Err</t>
  </si>
  <si>
    <t>Lower</t>
  </si>
  <si>
    <t>Upper</t>
  </si>
  <si>
    <t>Sources</t>
  </si>
  <si>
    <t>P value</t>
  </si>
  <si>
    <t>RMSSE</t>
  </si>
  <si>
    <t>Omega Sq</t>
  </si>
  <si>
    <t>TUKEY HSD/KRAMER</t>
  </si>
  <si>
    <t>alpha</t>
  </si>
  <si>
    <t>group</t>
  </si>
  <si>
    <t>n</t>
  </si>
  <si>
    <t>ss</t>
  </si>
  <si>
    <t>q-crit</t>
  </si>
  <si>
    <t>Q TEST</t>
  </si>
  <si>
    <t>group 1</t>
  </si>
  <si>
    <t>group 2</t>
  </si>
  <si>
    <t>std err</t>
  </si>
  <si>
    <t>q-stat</t>
  </si>
  <si>
    <t>lower</t>
  </si>
  <si>
    <t>upper</t>
  </si>
  <si>
    <t>mean-crit</t>
  </si>
  <si>
    <t>Cohen d</t>
  </si>
  <si>
    <t>Pairwise t tests</t>
  </si>
  <si>
    <t>Central axis height (back calculated from mean VEIW and TFT)</t>
  </si>
  <si>
    <t>D'Emic et al. 2019b</t>
  </si>
  <si>
    <t>Majungasaurus</t>
  </si>
  <si>
    <t>Taxo+NU650:OF711n</t>
  </si>
  <si>
    <t>Ceratosaurus</t>
  </si>
  <si>
    <t>Mx BYU 12893 Right 6</t>
  </si>
  <si>
    <t>Allosaurus</t>
  </si>
  <si>
    <t>Pmx BYU 8901 Right 2</t>
  </si>
  <si>
    <t>Mx  BYU 8901 Right 6</t>
  </si>
  <si>
    <t>Dent BYU 2028 Left 5</t>
  </si>
  <si>
    <t>Central axis height (from mean VEIW and TFT), mm</t>
  </si>
  <si>
    <t>D'Emic et al. 2019a</t>
  </si>
  <si>
    <t>replacement rate</t>
  </si>
  <si>
    <t>1.i</t>
  </si>
  <si>
    <t>1.ii</t>
  </si>
  <si>
    <t>2.ii</t>
  </si>
  <si>
    <t>2.iii</t>
  </si>
  <si>
    <t>maxilla mean:</t>
  </si>
  <si>
    <t>4.ii</t>
  </si>
  <si>
    <t>4.iii</t>
  </si>
  <si>
    <t>3.i</t>
  </si>
  <si>
    <t>3.ii</t>
  </si>
  <si>
    <t>5.i</t>
  </si>
  <si>
    <t>5.ii</t>
  </si>
  <si>
    <t>7.i</t>
  </si>
  <si>
    <t>7.ii</t>
  </si>
  <si>
    <t>10.i</t>
  </si>
  <si>
    <t>10.ii</t>
  </si>
  <si>
    <t>USNM 5730</t>
  </si>
  <si>
    <t>mx</t>
  </si>
  <si>
    <t>dentary mean</t>
  </si>
  <si>
    <t>Brachisaurus sp. USNM 5730</t>
  </si>
  <si>
    <t>260-227</t>
  </si>
  <si>
    <t>162-153</t>
  </si>
  <si>
    <t>dent</t>
  </si>
  <si>
    <t>258-242</t>
  </si>
  <si>
    <t>185-150</t>
  </si>
  <si>
    <r>
      <rPr>
        <b/>
        <i/>
        <sz val="14"/>
        <color theme="1"/>
        <rFont val="Calibri"/>
        <family val="2"/>
        <scheme val="minor"/>
      </rPr>
      <t>Brachiosaurus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sp.</t>
    </r>
    <r>
      <rPr>
        <sz val="14"/>
        <color theme="1"/>
        <rFont val="Calibri"/>
        <family val="2"/>
        <scheme val="minor"/>
      </rPr>
      <t xml:space="preserve"> USNM 5730</t>
    </r>
  </si>
  <si>
    <t>38 CA measurements</t>
  </si>
  <si>
    <t>40 CA measurements</t>
  </si>
  <si>
    <t>9 CA measurements</t>
  </si>
  <si>
    <t># measurents for CA</t>
  </si>
  <si>
    <t>ratio SD/VEIW</t>
  </si>
  <si>
    <t>SD/VEIW ratio for tooth used in Fig. 5 (VEIW variation along the CA)</t>
  </si>
  <si>
    <t>Pmx FMNH PR 2100 Right 3</t>
  </si>
  <si>
    <t>Mx UA 9944 Left 1</t>
  </si>
  <si>
    <t>Dent FMNH PR 2100 Right 2</t>
  </si>
  <si>
    <t>FMNH PR 2100 Pmx dext 3</t>
  </si>
  <si>
    <t>UA 9944 Mx sin 1</t>
  </si>
  <si>
    <t>FMNH PR 2100 Dent dext 2</t>
  </si>
  <si>
    <t>BYU 12893 Mx dext 6</t>
  </si>
  <si>
    <t>BYU 8901 Mx dext 6</t>
  </si>
  <si>
    <t>BYU 2028 Dent sin 5</t>
  </si>
  <si>
    <t>D'Emic et al.</t>
  </si>
  <si>
    <t>2019b</t>
  </si>
  <si>
    <t>BYU 8901 Pmx dext 2</t>
  </si>
  <si>
    <t>med Dent 18 1</t>
  </si>
  <si>
    <t>med Dent 18 2</t>
  </si>
  <si>
    <t>large Dent 4</t>
  </si>
  <si>
    <t>sig</t>
  </si>
  <si>
    <t>T Test: Two Independent Samples</t>
  </si>
  <si>
    <t>Hyp Mean Diff</t>
  </si>
  <si>
    <t>Pooled</t>
  </si>
  <si>
    <t>T TEST: Equal Variances</t>
  </si>
  <si>
    <t>t-stat</t>
  </si>
  <si>
    <t>t-crit</t>
  </si>
  <si>
    <t>effect r</t>
  </si>
  <si>
    <t>One Tail</t>
  </si>
  <si>
    <t>Two Tail</t>
  </si>
  <si>
    <t>T TEST: Unequal Variances</t>
  </si>
  <si>
    <t># of VEIWs</t>
  </si>
  <si>
    <t>New Design</t>
  </si>
  <si>
    <t>0.0115*</t>
  </si>
  <si>
    <t>0.0143*</t>
  </si>
  <si>
    <t>0.0128*</t>
  </si>
  <si>
    <t>0.0094*</t>
  </si>
  <si>
    <t>0.0156*</t>
  </si>
  <si>
    <r>
      <t>0.009</t>
    </r>
    <r>
      <rPr>
        <sz val="22"/>
        <color theme="1"/>
        <rFont val="Calibri"/>
        <family val="2"/>
        <scheme val="minor"/>
      </rPr>
      <t>'</t>
    </r>
  </si>
  <si>
    <r>
      <t>0.0135</t>
    </r>
    <r>
      <rPr>
        <sz val="22"/>
        <color theme="1"/>
        <rFont val="Calibri"/>
        <family val="2"/>
        <scheme val="minor"/>
      </rPr>
      <t>'</t>
    </r>
  </si>
  <si>
    <t>NCSM 100803</t>
  </si>
  <si>
    <t>NCSM 100804</t>
  </si>
  <si>
    <t>NCSM 100805</t>
  </si>
  <si>
    <t>Thinn section sampled</t>
  </si>
  <si>
    <t>All teeth in sampled positions</t>
  </si>
  <si>
    <t>TFT (based on transect length)</t>
  </si>
  <si>
    <t>TFT (based on CAH)</t>
  </si>
  <si>
    <t>Not used in this file</t>
  </si>
  <si>
    <t>Tooth growth rate (based on crown height ,mean VEIW of quadrant)</t>
  </si>
  <si>
    <t>CAH</t>
  </si>
  <si>
    <t>Not relaible VEIW</t>
  </si>
  <si>
    <t>Tooth growth rate (based on crown height , mean VEIW of quadrant)</t>
  </si>
  <si>
    <t>Picture number</t>
  </si>
  <si>
    <t>Alternate computation</t>
  </si>
  <si>
    <t>Alternate computations</t>
  </si>
  <si>
    <t>VEIW in mm</t>
  </si>
  <si>
    <t>values are not reliable because the age was calculated based on mid-crown width, not crown height</t>
  </si>
  <si>
    <t>central axis height</t>
  </si>
  <si>
    <t>tooth height / TFT</t>
  </si>
  <si>
    <t>TFT/average tooth height</t>
  </si>
  <si>
    <t>tooth height/CAH</t>
  </si>
  <si>
    <t>small central axis height - tooth height</t>
  </si>
  <si>
    <t>medium central axis height - tooth height</t>
  </si>
  <si>
    <t>large central axis height - tooth height</t>
  </si>
  <si>
    <t>average tooth height / central axis height (just functional teeth)</t>
  </si>
  <si>
    <t>average tooth height / central axis height</t>
  </si>
  <si>
    <t>average tooth height / age by central axis height</t>
  </si>
  <si>
    <t>average age by central axis height/average tooth height</t>
  </si>
  <si>
    <t>average tooth height / age by central axis heigt</t>
  </si>
  <si>
    <t>average age by central axis heigt/average tooth height</t>
  </si>
  <si>
    <t>central axis height - tooth height</t>
  </si>
  <si>
    <t>central axis height - TFT</t>
  </si>
  <si>
    <t>small central axis height - TFT</t>
  </si>
  <si>
    <t>medium central axis height - TFT</t>
  </si>
  <si>
    <t>large central axis height - TFT</t>
  </si>
  <si>
    <t>TFT - tooth height</t>
  </si>
  <si>
    <t>small TFT - tooth height</t>
  </si>
  <si>
    <t>medium TFT - tooth height</t>
  </si>
  <si>
    <t>large TFT - tooth height</t>
  </si>
  <si>
    <t>VEIW (average) preliminary correction</t>
  </si>
  <si>
    <t>Elements for reduced major axis regression calculation</t>
  </si>
  <si>
    <t>Mean x</t>
  </si>
  <si>
    <t>Mean y</t>
  </si>
  <si>
    <t>DEVSQ x</t>
  </si>
  <si>
    <t>DEVSQ y</t>
  </si>
  <si>
    <t>SUM Product - means</t>
  </si>
  <si>
    <t>lambda</t>
  </si>
  <si>
    <t>b0</t>
  </si>
  <si>
    <t>b1</t>
  </si>
  <si>
    <t>VAR.S</t>
  </si>
  <si>
    <t>uncorrected VEIW</t>
  </si>
  <si>
    <t>corrected VEIW</t>
  </si>
  <si>
    <t>x</t>
  </si>
  <si>
    <t>y</t>
  </si>
  <si>
    <t>reduced major axis corrected values</t>
  </si>
  <si>
    <t>reduced major axis uncorrected values</t>
  </si>
  <si>
    <t>reduced major axis replacement rate no hatchlings</t>
  </si>
  <si>
    <t>reduced major axis replacement rate hatchlings low</t>
  </si>
  <si>
    <t>reduced major axis replacement rate hatchlings high</t>
  </si>
  <si>
    <t>replacement rate no hatchlings</t>
  </si>
  <si>
    <t>replacement rate hatchlings low</t>
  </si>
  <si>
    <t>replacement rate hatchlings high</t>
  </si>
  <si>
    <t>OLS Regressions</t>
  </si>
  <si>
    <t>Reduced Major Axis Regressions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</si>
</sst>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"/>
    <numFmt numFmtId="165" formatCode="0.0000"/>
    <numFmt numFmtId="166" formatCode="0.00000"/>
    <numFmt numFmtId="167" formatCode="0.0000000"/>
    <numFmt numFmtId="168" formatCode="0.000000"/>
    <numFmt numFmtId="169" formatCode="0.00000000"/>
    <numFmt numFmtId="170" formatCode="0.0"/>
    <numFmt numFmtId="171" formatCode="0.00000E+00"/>
  </numFmts>
  <fonts count="30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  <charset val="1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444444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color theme="1"/>
      <name val="Calibri"/>
      <family val="2"/>
    </font>
    <font>
      <b/>
      <sz val="8.8000000000000007"/>
      <color theme="1"/>
      <name val="Calibri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i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3.5"/>
      <color theme="1"/>
      <name val="Calibri"/>
      <family val="2"/>
      <scheme val="minor"/>
    </font>
    <font>
      <sz val="16"/>
      <name val="Calibri"/>
      <family val="2"/>
      <scheme val="minor"/>
    </font>
    <font>
      <sz val="2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gradientFill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FFFF00"/>
        <bgColor rgb="FFFFFFCC"/>
      </patternFill>
    </fill>
    <fill>
      <patternFill patternType="solid">
        <fgColor theme="9" tint="0.39997558519241921"/>
        <bgColor auto="1"/>
      </patternFill>
    </fill>
    <fill>
      <gradientFill>
        <stop position="0">
          <color rgb="FFFF0000"/>
        </stop>
        <stop position="1">
          <color theme="4" tint="0.40000610370189521"/>
        </stop>
      </gradientFill>
    </fill>
    <fill>
      <patternFill patternType="solid">
        <fgColor rgb="FFFF0000"/>
        <bgColor auto="1"/>
      </patternFill>
    </fill>
    <fill>
      <gradientFill>
        <stop position="0">
          <color rgb="FF00B0F0"/>
        </stop>
        <stop position="1">
          <color rgb="FF00B050"/>
        </stop>
      </gradientFill>
    </fill>
    <fill>
      <gradientFill>
        <stop position="0">
          <color rgb="FFFF0000"/>
        </stop>
        <stop position="1">
          <color rgb="FF00B0F0"/>
        </stop>
      </gradientFill>
    </fill>
    <fill>
      <gradientFill>
        <stop position="0">
          <color rgb="FFFF0000"/>
        </stop>
        <stop position="1">
          <color theme="3" tint="0.59999389629810485"/>
        </stop>
      </gradientFill>
    </fill>
    <fill>
      <gradientFill>
        <stop position="0">
          <color rgb="FF00B050"/>
        </stop>
        <stop position="1">
          <color theme="4" tint="0.40000610370189521"/>
        </stop>
      </gradientFill>
    </fill>
    <fill>
      <gradientFill>
        <stop position="0">
          <color theme="4" tint="0.59999389629810485"/>
        </stop>
        <stop position="1">
          <color rgb="FF00B050"/>
        </stop>
      </gradientFill>
    </fill>
    <fill>
      <gradientFill>
        <stop position="0">
          <color rgb="FF00B0F0"/>
        </stop>
        <stop position="1">
          <color rgb="FFFF0000"/>
        </stop>
      </gradientFill>
    </fill>
    <fill>
      <gradientFill>
        <stop position="0">
          <color rgb="FFFF0000"/>
        </stop>
        <stop position="1">
          <color rgb="FF00B050"/>
        </stop>
      </gradientFill>
    </fill>
    <fill>
      <patternFill patternType="solid">
        <fgColor theme="4" tint="0.39997558519241921"/>
        <bgColor indexed="64"/>
      </patternFill>
    </fill>
    <fill>
      <gradientFill>
        <stop position="0">
          <color theme="4" tint="0.40000610370189521"/>
        </stop>
        <stop position="1">
          <color rgb="FF00B0F0"/>
        </stop>
      </gradientFill>
    </fill>
    <fill>
      <patternFill patternType="solid">
        <fgColor rgb="FF00B050"/>
        <bgColor indexed="64"/>
      </patternFill>
    </fill>
    <fill>
      <gradientFill>
        <stop position="0">
          <color theme="9" tint="0.59999389629810485"/>
        </stop>
        <stop position="1">
          <color theme="3" tint="0.40000610370189521"/>
        </stop>
      </gradientFill>
    </fill>
    <fill>
      <gradientFill>
        <stop position="0">
          <color theme="3" tint="0.59999389629810485"/>
        </stop>
        <stop position="1">
          <color rgb="FF00B0F0"/>
        </stop>
      </gradient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auto="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4" fillId="0" borderId="0"/>
  </cellStyleXfs>
  <cellXfs count="688">
    <xf numFmtId="0" fontId="0" fillId="0" borderId="0" xfId="0"/>
    <xf numFmtId="0" fontId="2" fillId="0" borderId="0" xfId="0" applyFont="1"/>
    <xf numFmtId="0" fontId="3" fillId="0" borderId="0" xfId="1" applyFont="1" applyBorder="1"/>
    <xf numFmtId="0" fontId="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2" fillId="0" borderId="0" xfId="0" applyFont="1" applyBorder="1"/>
    <xf numFmtId="0" fontId="3" fillId="0" borderId="0" xfId="1" applyFont="1" applyBorder="1" applyAlignment="1">
      <alignment horizontal="left"/>
    </xf>
    <xf numFmtId="0" fontId="3" fillId="0" borderId="3" xfId="1" applyFont="1" applyFill="1" applyBorder="1" applyAlignment="1">
      <alignment horizontal="center"/>
    </xf>
    <xf numFmtId="0" fontId="3" fillId="2" borderId="3" xfId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0" fontId="3" fillId="2" borderId="3" xfId="1" applyFont="1" applyFill="1" applyBorder="1"/>
    <xf numFmtId="0" fontId="2" fillId="0" borderId="2" xfId="0" applyFont="1" applyBorder="1" applyAlignment="1">
      <alignment horizontal="center"/>
    </xf>
    <xf numFmtId="0" fontId="3" fillId="0" borderId="3" xfId="1" applyFont="1" applyBorder="1"/>
    <xf numFmtId="0" fontId="3" fillId="0" borderId="2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applyFont="1" applyBorder="1"/>
    <xf numFmtId="0" fontId="2" fillId="0" borderId="0" xfId="0" applyFont="1" applyFill="1" applyBorder="1"/>
    <xf numFmtId="0" fontId="2" fillId="0" borderId="9" xfId="0" applyFont="1" applyBorder="1" applyAlignment="1">
      <alignment horizontal="left"/>
    </xf>
    <xf numFmtId="0" fontId="2" fillId="0" borderId="7" xfId="0" applyFont="1" applyBorder="1"/>
    <xf numFmtId="0" fontId="2" fillId="3" borderId="7" xfId="0" applyFont="1" applyFill="1" applyBorder="1"/>
    <xf numFmtId="0" fontId="2" fillId="3" borderId="0" xfId="0" applyFont="1" applyFill="1"/>
    <xf numFmtId="0" fontId="2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4" borderId="0" xfId="0" applyFont="1" applyFill="1"/>
    <xf numFmtId="0" fontId="2" fillId="0" borderId="1" xfId="0" applyFont="1" applyFill="1" applyBorder="1"/>
    <xf numFmtId="0" fontId="2" fillId="0" borderId="4" xfId="0" applyFont="1" applyBorder="1"/>
    <xf numFmtId="0" fontId="2" fillId="0" borderId="0" xfId="0" applyFont="1" applyBorder="1" applyAlignment="1">
      <alignment horizontal="left"/>
    </xf>
    <xf numFmtId="0" fontId="2" fillId="0" borderId="7" xfId="0" applyFont="1" applyFill="1" applyBorder="1"/>
    <xf numFmtId="0" fontId="2" fillId="0" borderId="6" xfId="0" applyFont="1" applyFill="1" applyBorder="1"/>
    <xf numFmtId="0" fontId="2" fillId="0" borderId="0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3" fillId="2" borderId="1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2" fillId="0" borderId="12" xfId="0" applyFont="1" applyBorder="1"/>
    <xf numFmtId="0" fontId="3" fillId="0" borderId="3" xfId="1" applyFont="1" applyBorder="1" applyAlignment="1">
      <alignment horizontal="center"/>
    </xf>
    <xf numFmtId="0" fontId="4" fillId="0" borderId="0" xfId="0" applyFont="1"/>
    <xf numFmtId="0" fontId="0" fillId="0" borderId="13" xfId="0" applyBorder="1"/>
    <xf numFmtId="0" fontId="0" fillId="0" borderId="1" xfId="0" applyBorder="1"/>
    <xf numFmtId="0" fontId="0" fillId="0" borderId="0" xfId="0" applyBorder="1"/>
    <xf numFmtId="0" fontId="0" fillId="5" borderId="14" xfId="0" applyFill="1" applyBorder="1" applyAlignment="1">
      <alignment horizontal="center"/>
    </xf>
    <xf numFmtId="0" fontId="0" fillId="0" borderId="0" xfId="0" applyFont="1"/>
    <xf numFmtId="0" fontId="0" fillId="0" borderId="7" xfId="0" applyFill="1" applyBorder="1"/>
    <xf numFmtId="0" fontId="0" fillId="0" borderId="0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5" fillId="0" borderId="0" xfId="0" applyFont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6" borderId="7" xfId="0" applyFont="1" applyFill="1" applyBorder="1"/>
    <xf numFmtId="0" fontId="2" fillId="6" borderId="6" xfId="0" applyFont="1" applyFill="1" applyBorder="1"/>
    <xf numFmtId="0" fontId="0" fillId="0" borderId="7" xfId="0" applyBorder="1"/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8" borderId="0" xfId="0" applyFont="1" applyFill="1"/>
    <xf numFmtId="0" fontId="0" fillId="0" borderId="3" xfId="0" applyFill="1" applyBorder="1"/>
    <xf numFmtId="0" fontId="2" fillId="8" borderId="0" xfId="0" applyFont="1" applyFill="1" applyBorder="1"/>
    <xf numFmtId="0" fontId="0" fillId="0" borderId="0" xfId="0" applyFill="1" applyBorder="1"/>
    <xf numFmtId="0" fontId="0" fillId="0" borderId="19" xfId="0" applyBorder="1"/>
    <xf numFmtId="0" fontId="2" fillId="0" borderId="0" xfId="0" applyFont="1" applyFill="1"/>
    <xf numFmtId="0" fontId="7" fillId="0" borderId="0" xfId="0" applyFont="1" applyBorder="1"/>
    <xf numFmtId="164" fontId="0" fillId="0" borderId="0" xfId="0" applyNumberFormat="1"/>
    <xf numFmtId="164" fontId="0" fillId="0" borderId="0" xfId="0" applyNumberFormat="1" applyBorder="1"/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4" xfId="0" applyFont="1" applyFill="1" applyBorder="1"/>
    <xf numFmtId="0" fontId="2" fillId="3" borderId="1" xfId="0" applyFont="1" applyFill="1" applyBorder="1"/>
    <xf numFmtId="0" fontId="2" fillId="4" borderId="1" xfId="0" applyFont="1" applyFill="1" applyBorder="1"/>
    <xf numFmtId="0" fontId="2" fillId="3" borderId="12" xfId="0" applyFont="1" applyFill="1" applyBorder="1"/>
    <xf numFmtId="0" fontId="2" fillId="3" borderId="6" xfId="0" applyFont="1" applyFill="1" applyBorder="1"/>
    <xf numFmtId="0" fontId="2" fillId="0" borderId="12" xfId="0" applyFont="1" applyFill="1" applyBorder="1"/>
    <xf numFmtId="0" fontId="0" fillId="0" borderId="15" xfId="0" applyBorder="1"/>
    <xf numFmtId="0" fontId="0" fillId="6" borderId="9" xfId="0" applyFill="1" applyBorder="1"/>
    <xf numFmtId="0" fontId="0" fillId="0" borderId="20" xfId="0" applyBorder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0" fillId="0" borderId="15" xfId="0" applyFont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0" borderId="9" xfId="0" applyFill="1" applyBorder="1"/>
    <xf numFmtId="0" fontId="0" fillId="5" borderId="15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Fill="1" applyBorder="1"/>
    <xf numFmtId="0" fontId="2" fillId="0" borderId="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0" borderId="18" xfId="1" applyFont="1" applyFill="1" applyBorder="1" applyAlignment="1">
      <alignment horizontal="center"/>
    </xf>
    <xf numFmtId="0" fontId="3" fillId="0" borderId="20" xfId="1" applyFont="1" applyBorder="1" applyAlignment="1">
      <alignment horizontal="center"/>
    </xf>
    <xf numFmtId="0" fontId="2" fillId="0" borderId="2" xfId="0" applyFont="1" applyBorder="1"/>
    <xf numFmtId="0" fontId="0" fillId="6" borderId="7" xfId="0" applyFill="1" applyBorder="1"/>
    <xf numFmtId="0" fontId="0" fillId="0" borderId="9" xfId="0" applyBorder="1"/>
    <xf numFmtId="0" fontId="0" fillId="3" borderId="0" xfId="0" applyFill="1"/>
    <xf numFmtId="0" fontId="0" fillId="0" borderId="18" xfId="0" applyBorder="1"/>
    <xf numFmtId="0" fontId="0" fillId="3" borderId="20" xfId="0" applyFont="1" applyFill="1" applyBorder="1" applyAlignment="1">
      <alignment horizontal="center"/>
    </xf>
    <xf numFmtId="0" fontId="0" fillId="3" borderId="6" xfId="0" applyFill="1" applyBorder="1"/>
    <xf numFmtId="0" fontId="0" fillId="0" borderId="6" xfId="0" applyFill="1" applyBorder="1"/>
    <xf numFmtId="0" fontId="0" fillId="0" borderId="6" xfId="0" applyBorder="1"/>
    <xf numFmtId="0" fontId="0" fillId="5" borderId="22" xfId="0" applyFill="1" applyBorder="1" applyAlignment="1">
      <alignment horizontal="center"/>
    </xf>
    <xf numFmtId="0" fontId="0" fillId="0" borderId="23" xfId="0" applyFill="1" applyBorder="1"/>
    <xf numFmtId="0" fontId="0" fillId="3" borderId="16" xfId="0" applyFont="1" applyFill="1" applyBorder="1" applyAlignment="1">
      <alignment horizontal="center"/>
    </xf>
    <xf numFmtId="0" fontId="0" fillId="0" borderId="12" xfId="0" applyBorder="1"/>
    <xf numFmtId="2" fontId="10" fillId="0" borderId="4" xfId="0" applyNumberFormat="1" applyFont="1" applyBorder="1" applyAlignment="1">
      <alignment vertical="center"/>
    </xf>
    <xf numFmtId="0" fontId="9" fillId="0" borderId="4" xfId="0" applyFont="1" applyBorder="1" applyAlignment="1"/>
    <xf numFmtId="0" fontId="9" fillId="0" borderId="2" xfId="0" applyFont="1" applyBorder="1"/>
    <xf numFmtId="2" fontId="0" fillId="0" borderId="4" xfId="0" applyNumberFormat="1" applyBorder="1"/>
    <xf numFmtId="2" fontId="0" fillId="0" borderId="7" xfId="0" applyNumberFormat="1" applyBorder="1"/>
    <xf numFmtId="0" fontId="0" fillId="0" borderId="2" xfId="0" applyBorder="1"/>
    <xf numFmtId="2" fontId="0" fillId="0" borderId="1" xfId="0" applyNumberFormat="1" applyBorder="1"/>
    <xf numFmtId="2" fontId="0" fillId="0" borderId="0" xfId="0" applyNumberFormat="1" applyBorder="1"/>
    <xf numFmtId="2" fontId="0" fillId="0" borderId="12" xfId="0" applyNumberFormat="1" applyBorder="1"/>
    <xf numFmtId="2" fontId="0" fillId="0" borderId="6" xfId="0" applyNumberFormat="1" applyBorder="1"/>
    <xf numFmtId="0" fontId="9" fillId="0" borderId="7" xfId="0" applyFont="1" applyBorder="1" applyAlignment="1"/>
    <xf numFmtId="0" fontId="0" fillId="0" borderId="16" xfId="0" applyBorder="1"/>
    <xf numFmtId="0" fontId="0" fillId="9" borderId="0" xfId="0" applyFill="1" applyBorder="1"/>
    <xf numFmtId="2" fontId="0" fillId="9" borderId="7" xfId="0" applyNumberFormat="1" applyFill="1" applyBorder="1"/>
    <xf numFmtId="2" fontId="0" fillId="9" borderId="0" xfId="0" applyNumberFormat="1" applyFill="1" applyBorder="1"/>
    <xf numFmtId="0" fontId="0" fillId="9" borderId="0" xfId="0" applyFill="1"/>
    <xf numFmtId="2" fontId="0" fillId="9" borderId="6" xfId="0" applyNumberFormat="1" applyFill="1" applyBorder="1"/>
    <xf numFmtId="0" fontId="0" fillId="0" borderId="0" xfId="0" applyAlignment="1">
      <alignment wrapText="1"/>
    </xf>
    <xf numFmtId="2" fontId="0" fillId="0" borderId="6" xfId="0" applyNumberFormat="1" applyFill="1" applyBorder="1"/>
    <xf numFmtId="2" fontId="0" fillId="9" borderId="1" xfId="0" applyNumberFormat="1" applyFill="1" applyBorder="1"/>
    <xf numFmtId="2" fontId="0" fillId="0" borderId="0" xfId="0" applyNumberFormat="1" applyFill="1" applyBorder="1"/>
    <xf numFmtId="2" fontId="0" fillId="9" borderId="9" xfId="0" applyNumberFormat="1" applyFill="1" applyBorder="1"/>
    <xf numFmtId="2" fontId="0" fillId="9" borderId="18" xfId="0" applyNumberFormat="1" applyFill="1" applyBorder="1"/>
    <xf numFmtId="0" fontId="0" fillId="0" borderId="3" xfId="0" applyBorder="1"/>
    <xf numFmtId="0" fontId="0" fillId="9" borderId="1" xfId="0" applyFill="1" applyBorder="1"/>
    <xf numFmtId="2" fontId="0" fillId="9" borderId="4" xfId="0" applyNumberFormat="1" applyFill="1" applyBorder="1"/>
    <xf numFmtId="2" fontId="0" fillId="9" borderId="12" xfId="0" applyNumberFormat="1" applyFill="1" applyBorder="1"/>
    <xf numFmtId="2" fontId="0" fillId="9" borderId="8" xfId="0" applyNumberFormat="1" applyFill="1" applyBorder="1"/>
    <xf numFmtId="1" fontId="0" fillId="10" borderId="6" xfId="0" applyNumberFormat="1" applyFill="1" applyBorder="1"/>
    <xf numFmtId="2" fontId="0" fillId="0" borderId="7" xfId="0" applyNumberFormat="1" applyFill="1" applyBorder="1"/>
    <xf numFmtId="0" fontId="9" fillId="0" borderId="3" xfId="0" applyFont="1" applyBorder="1"/>
    <xf numFmtId="0" fontId="0" fillId="9" borderId="3" xfId="0" applyFill="1" applyBorder="1"/>
    <xf numFmtId="2" fontId="0" fillId="9" borderId="3" xfId="0" applyNumberFormat="1" applyFill="1" applyBorder="1"/>
    <xf numFmtId="2" fontId="0" fillId="9" borderId="10" xfId="0" applyNumberFormat="1" applyFill="1" applyBorder="1"/>
    <xf numFmtId="0" fontId="0" fillId="0" borderId="0" xfId="0" applyFill="1" applyAlignment="1">
      <alignment wrapText="1"/>
    </xf>
    <xf numFmtId="2" fontId="0" fillId="9" borderId="0" xfId="0" applyNumberFormat="1" applyFill="1"/>
    <xf numFmtId="1" fontId="0" fillId="0" borderId="0" xfId="0" applyNumberFormat="1" applyFill="1" applyBorder="1"/>
    <xf numFmtId="2" fontId="0" fillId="9" borderId="11" xfId="0" applyNumberFormat="1" applyFill="1" applyBorder="1"/>
    <xf numFmtId="2" fontId="0" fillId="10" borderId="8" xfId="0" applyNumberFormat="1" applyFill="1" applyBorder="1"/>
    <xf numFmtId="2" fontId="0" fillId="0" borderId="8" xfId="0" applyNumberFormat="1" applyBorder="1"/>
    <xf numFmtId="2" fontId="0" fillId="0" borderId="0" xfId="0" applyNumberFormat="1"/>
    <xf numFmtId="164" fontId="0" fillId="0" borderId="7" xfId="0" applyNumberFormat="1" applyBorder="1"/>
    <xf numFmtId="164" fontId="0" fillId="0" borderId="0" xfId="0" applyNumberFormat="1" applyFill="1"/>
    <xf numFmtId="2" fontId="0" fillId="0" borderId="0" xfId="0" applyNumberFormat="1" applyFill="1"/>
    <xf numFmtId="164" fontId="0" fillId="0" borderId="9" xfId="0" applyNumberFormat="1" applyBorder="1"/>
    <xf numFmtId="164" fontId="0" fillId="3" borderId="6" xfId="0" applyNumberFormat="1" applyFill="1" applyBorder="1"/>
    <xf numFmtId="164" fontId="0" fillId="3" borderId="0" xfId="0" applyNumberFormat="1" applyFill="1"/>
    <xf numFmtId="164" fontId="0" fillId="0" borderId="6" xfId="0" applyNumberFormat="1" applyBorder="1"/>
    <xf numFmtId="0" fontId="2" fillId="0" borderId="18" xfId="0" applyFont="1" applyBorder="1" applyAlignment="1">
      <alignment horizontal="left"/>
    </xf>
    <xf numFmtId="0" fontId="2" fillId="0" borderId="4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0" fontId="2" fillId="4" borderId="6" xfId="0" applyFont="1" applyFill="1" applyBorder="1"/>
    <xf numFmtId="0" fontId="2" fillId="0" borderId="0" xfId="0" applyFont="1" applyFill="1" applyAlignment="1">
      <alignment horizontal="left"/>
    </xf>
    <xf numFmtId="0" fontId="2" fillId="3" borderId="4" xfId="0" applyFont="1" applyFill="1" applyBorder="1"/>
    <xf numFmtId="0" fontId="2" fillId="0" borderId="8" xfId="0" applyFont="1" applyFill="1" applyBorder="1"/>
    <xf numFmtId="0" fontId="2" fillId="4" borderId="7" xfId="0" applyFont="1" applyFill="1" applyBorder="1"/>
    <xf numFmtId="2" fontId="2" fillId="0" borderId="7" xfId="0" applyNumberFormat="1" applyFont="1" applyBorder="1"/>
    <xf numFmtId="0" fontId="6" fillId="0" borderId="7" xfId="0" applyFont="1" applyFill="1" applyBorder="1"/>
    <xf numFmtId="0" fontId="2" fillId="3" borderId="7" xfId="0" applyFont="1" applyFill="1" applyBorder="1" applyAlignment="1">
      <alignment horizontal="left"/>
    </xf>
    <xf numFmtId="0" fontId="2" fillId="3" borderId="11" xfId="0" applyFont="1" applyFill="1" applyBorder="1"/>
    <xf numFmtId="0" fontId="3" fillId="2" borderId="0" xfId="1" applyFont="1" applyFill="1" applyBorder="1"/>
    <xf numFmtId="0" fontId="3" fillId="2" borderId="0" xfId="1" applyFont="1" applyFill="1" applyBorder="1" applyAlignment="1">
      <alignment horizontal="center"/>
    </xf>
    <xf numFmtId="0" fontId="2" fillId="0" borderId="16" xfId="0" applyFont="1" applyBorder="1"/>
    <xf numFmtId="0" fontId="2" fillId="0" borderId="8" xfId="0" applyFont="1" applyBorder="1"/>
    <xf numFmtId="0" fontId="2" fillId="0" borderId="16" xfId="0" applyFont="1" applyFill="1" applyBorder="1"/>
    <xf numFmtId="0" fontId="2" fillId="0" borderId="20" xfId="0" applyFont="1" applyFill="1" applyBorder="1"/>
    <xf numFmtId="0" fontId="2" fillId="3" borderId="0" xfId="0" applyFont="1" applyFill="1" applyBorder="1"/>
    <xf numFmtId="0" fontId="2" fillId="4" borderId="0" xfId="0" applyFont="1" applyFill="1" applyBorder="1"/>
    <xf numFmtId="0" fontId="2" fillId="6" borderId="0" xfId="0" applyFont="1" applyFill="1" applyBorder="1"/>
    <xf numFmtId="0" fontId="2" fillId="0" borderId="24" xfId="0" applyFont="1" applyBorder="1"/>
    <xf numFmtId="0" fontId="2" fillId="0" borderId="25" xfId="0" applyFont="1" applyBorder="1"/>
    <xf numFmtId="0" fontId="2" fillId="6" borderId="24" xfId="0" applyFont="1" applyFill="1" applyBorder="1"/>
    <xf numFmtId="0" fontId="2" fillId="0" borderId="24" xfId="0" applyFont="1" applyFill="1" applyBorder="1"/>
    <xf numFmtId="0" fontId="2" fillId="0" borderId="24" xfId="0" applyFont="1" applyFill="1" applyBorder="1" applyAlignment="1">
      <alignment horizontal="left"/>
    </xf>
    <xf numFmtId="0" fontId="3" fillId="3" borderId="2" xfId="1" applyFont="1" applyFill="1" applyBorder="1" applyAlignment="1">
      <alignment horizontal="center"/>
    </xf>
    <xf numFmtId="0" fontId="3" fillId="3" borderId="0" xfId="1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4" borderId="0" xfId="0" applyFill="1"/>
    <xf numFmtId="164" fontId="0" fillId="0" borderId="7" xfId="0" applyNumberFormat="1" applyFill="1" applyBorder="1"/>
    <xf numFmtId="164" fontId="0" fillId="0" borderId="8" xfId="0" applyNumberFormat="1" applyBorder="1"/>
    <xf numFmtId="0" fontId="11" fillId="0" borderId="15" xfId="0" applyFont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164" fontId="0" fillId="0" borderId="10" xfId="0" applyNumberFormat="1" applyBorder="1"/>
    <xf numFmtId="0" fontId="11" fillId="0" borderId="0" xfId="0" applyFont="1" applyBorder="1" applyAlignment="1">
      <alignment horizontal="right"/>
    </xf>
    <xf numFmtId="0" fontId="11" fillId="0" borderId="7" xfId="0" applyFont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9" borderId="12" xfId="0" applyFill="1" applyBorder="1"/>
    <xf numFmtId="0" fontId="0" fillId="9" borderId="6" xfId="0" applyFill="1" applyBorder="1"/>
    <xf numFmtId="1" fontId="0" fillId="0" borderId="6" xfId="0" applyNumberFormat="1" applyFill="1" applyBorder="1"/>
    <xf numFmtId="2" fontId="0" fillId="0" borderId="8" xfId="0" applyNumberFormat="1" applyFill="1" applyBorder="1"/>
    <xf numFmtId="0" fontId="0" fillId="0" borderId="0" xfId="0" applyFill="1" applyAlignment="1">
      <alignment horizontal="left" wrapText="1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 applyFill="1" applyBorder="1"/>
    <xf numFmtId="0" fontId="0" fillId="0" borderId="8" xfId="0" applyBorder="1"/>
    <xf numFmtId="0" fontId="0" fillId="0" borderId="0" xfId="0" applyFont="1" applyFill="1" applyBorder="1"/>
    <xf numFmtId="0" fontId="0" fillId="0" borderId="0" xfId="0" applyFont="1" applyBorder="1" applyAlignment="1">
      <alignment horizontal="center"/>
    </xf>
    <xf numFmtId="0" fontId="0" fillId="11" borderId="7" xfId="0" applyFill="1" applyBorder="1" applyAlignment="1">
      <alignment horizontal="center"/>
    </xf>
    <xf numFmtId="165" fontId="11" fillId="0" borderId="0" xfId="0" applyNumberFormat="1" applyFont="1" applyFill="1"/>
    <xf numFmtId="165" fontId="0" fillId="0" borderId="0" xfId="0" applyNumberFormat="1"/>
    <xf numFmtId="166" fontId="0" fillId="0" borderId="0" xfId="0" applyNumberFormat="1"/>
    <xf numFmtId="164" fontId="0" fillId="0" borderId="0" xfId="0" applyNumberFormat="1" applyFill="1" applyBorder="1"/>
    <xf numFmtId="2" fontId="0" fillId="10" borderId="0" xfId="0" applyNumberFormat="1" applyFill="1" applyBorder="1"/>
    <xf numFmtId="0" fontId="0" fillId="10" borderId="6" xfId="0" applyFill="1" applyBorder="1"/>
    <xf numFmtId="2" fontId="0" fillId="10" borderId="6" xfId="0" applyNumberFormat="1" applyFill="1" applyBorder="1"/>
    <xf numFmtId="2" fontId="0" fillId="0" borderId="1" xfId="0" applyNumberFormat="1" applyFill="1" applyBorder="1"/>
    <xf numFmtId="0" fontId="0" fillId="0" borderId="12" xfId="0" applyFill="1" applyBorder="1"/>
    <xf numFmtId="2" fontId="0" fillId="3" borderId="7" xfId="0" applyNumberFormat="1" applyFill="1" applyBorder="1"/>
    <xf numFmtId="2" fontId="0" fillId="3" borderId="9" xfId="0" applyNumberFormat="1" applyFill="1" applyBorder="1"/>
    <xf numFmtId="2" fontId="0" fillId="3" borderId="0" xfId="0" applyNumberFormat="1" applyFill="1" applyBorder="1"/>
    <xf numFmtId="2" fontId="0" fillId="3" borderId="3" xfId="0" applyNumberFormat="1" applyFill="1" applyBorder="1"/>
    <xf numFmtId="0" fontId="0" fillId="3" borderId="0" xfId="0" applyFill="1" applyBorder="1"/>
    <xf numFmtId="0" fontId="0" fillId="3" borderId="3" xfId="0" applyFill="1" applyBorder="1"/>
    <xf numFmtId="2" fontId="0" fillId="3" borderId="6" xfId="0" applyNumberFormat="1" applyFill="1" applyBorder="1"/>
    <xf numFmtId="2" fontId="0" fillId="3" borderId="18" xfId="0" applyNumberFormat="1" applyFill="1" applyBorder="1"/>
    <xf numFmtId="0" fontId="0" fillId="10" borderId="0" xfId="0" applyFill="1" applyBorder="1"/>
    <xf numFmtId="164" fontId="11" fillId="0" borderId="7" xfId="0" applyNumberFormat="1" applyFont="1" applyBorder="1"/>
    <xf numFmtId="164" fontId="11" fillId="0" borderId="0" xfId="0" applyNumberFormat="1" applyFont="1" applyBorder="1"/>
    <xf numFmtId="0" fontId="0" fillId="5" borderId="20" xfId="0" applyFill="1" applyBorder="1" applyAlignment="1">
      <alignment horizontal="center"/>
    </xf>
    <xf numFmtId="164" fontId="0" fillId="0" borderId="6" xfId="0" applyNumberFormat="1" applyFill="1" applyBorder="1"/>
    <xf numFmtId="0" fontId="0" fillId="0" borderId="4" xfId="0" applyBorder="1"/>
    <xf numFmtId="1" fontId="0" fillId="0" borderId="0" xfId="0" applyNumberFormat="1"/>
    <xf numFmtId="165" fontId="11" fillId="13" borderId="0" xfId="0" applyNumberFormat="1" applyFont="1" applyFill="1"/>
    <xf numFmtId="165" fontId="11" fillId="7" borderId="6" xfId="0" applyNumberFormat="1" applyFont="1" applyFill="1" applyBorder="1"/>
    <xf numFmtId="165" fontId="0" fillId="7" borderId="0" xfId="0" applyNumberFormat="1" applyFill="1"/>
    <xf numFmtId="165" fontId="11" fillId="7" borderId="7" xfId="0" applyNumberFormat="1" applyFont="1" applyFill="1" applyBorder="1"/>
    <xf numFmtId="165" fontId="11" fillId="7" borderId="0" xfId="0" applyNumberFormat="1" applyFont="1" applyFill="1" applyBorder="1"/>
    <xf numFmtId="165" fontId="0" fillId="7" borderId="6" xfId="0" applyNumberFormat="1" applyFill="1" applyBorder="1"/>
    <xf numFmtId="165" fontId="0" fillId="24" borderId="7" xfId="0" applyNumberFormat="1" applyFont="1" applyFill="1" applyBorder="1"/>
    <xf numFmtId="165" fontId="0" fillId="25" borderId="0" xfId="0" applyNumberFormat="1" applyFill="1"/>
    <xf numFmtId="165" fontId="0" fillId="7" borderId="0" xfId="0" applyNumberFormat="1" applyFont="1" applyFill="1" applyBorder="1"/>
    <xf numFmtId="165" fontId="0" fillId="7" borderId="6" xfId="0" applyNumberFormat="1" applyFont="1" applyFill="1" applyBorder="1"/>
    <xf numFmtId="165" fontId="0" fillId="27" borderId="0" xfId="0" applyNumberFormat="1" applyFont="1" applyFill="1" applyBorder="1"/>
    <xf numFmtId="165" fontId="0" fillId="8" borderId="0" xfId="0" applyNumberFormat="1" applyFont="1" applyFill="1" applyBorder="1"/>
    <xf numFmtId="165" fontId="11" fillId="14" borderId="0" xfId="0" applyNumberFormat="1" applyFont="1" applyFill="1" applyBorder="1"/>
    <xf numFmtId="165" fontId="0" fillId="25" borderId="0" xfId="0" applyNumberFormat="1" applyFill="1" applyBorder="1"/>
    <xf numFmtId="165" fontId="11" fillId="15" borderId="0" xfId="0" applyNumberFormat="1" applyFont="1" applyFill="1" applyBorder="1"/>
    <xf numFmtId="165" fontId="0" fillId="26" borderId="0" xfId="0" applyNumberFormat="1" applyFill="1" applyBorder="1"/>
    <xf numFmtId="165" fontId="0" fillId="25" borderId="7" xfId="0" applyNumberFormat="1" applyFill="1" applyBorder="1"/>
    <xf numFmtId="165" fontId="11" fillId="19" borderId="3" xfId="0" applyNumberFormat="1" applyFont="1" applyFill="1" applyBorder="1"/>
    <xf numFmtId="165" fontId="11" fillId="17" borderId="0" xfId="0" applyNumberFormat="1" applyFont="1" applyFill="1" applyBorder="1"/>
    <xf numFmtId="165" fontId="11" fillId="18" borderId="0" xfId="0" applyNumberFormat="1" applyFont="1" applyFill="1" applyBorder="1"/>
    <xf numFmtId="165" fontId="11" fillId="16" borderId="7" xfId="0" applyNumberFormat="1" applyFont="1" applyFill="1" applyBorder="1"/>
    <xf numFmtId="165" fontId="11" fillId="15" borderId="3" xfId="0" applyNumberFormat="1" applyFont="1" applyFill="1" applyBorder="1"/>
    <xf numFmtId="165" fontId="11" fillId="21" borderId="0" xfId="0" applyNumberFormat="1" applyFont="1" applyFill="1" applyBorder="1"/>
    <xf numFmtId="165" fontId="11" fillId="21" borderId="7" xfId="0" applyNumberFormat="1" applyFont="1" applyFill="1" applyBorder="1"/>
    <xf numFmtId="165" fontId="11" fillId="20" borderId="0" xfId="0" applyNumberFormat="1" applyFont="1" applyFill="1" applyBorder="1"/>
    <xf numFmtId="165" fontId="11" fillId="13" borderId="0" xfId="0" applyNumberFormat="1" applyFont="1" applyFill="1" applyBorder="1"/>
    <xf numFmtId="165" fontId="11" fillId="22" borderId="0" xfId="0" applyNumberFormat="1" applyFont="1" applyFill="1" applyBorder="1"/>
    <xf numFmtId="165" fontId="11" fillId="23" borderId="0" xfId="0" applyNumberFormat="1" applyFont="1" applyFill="1" applyBorder="1"/>
    <xf numFmtId="165" fontId="11" fillId="16" borderId="6" xfId="0" applyNumberFormat="1" applyFont="1" applyFill="1" applyBorder="1"/>
    <xf numFmtId="165" fontId="11" fillId="14" borderId="7" xfId="0" applyNumberFormat="1" applyFont="1" applyFill="1" applyBorder="1"/>
    <xf numFmtId="165" fontId="0" fillId="7" borderId="7" xfId="0" applyNumberFormat="1" applyFill="1" applyBorder="1"/>
    <xf numFmtId="165" fontId="0" fillId="7" borderId="0" xfId="0" applyNumberFormat="1" applyFill="1" applyBorder="1"/>
    <xf numFmtId="0" fontId="0" fillId="0" borderId="7" xfId="0" applyFont="1" applyFill="1" applyBorder="1"/>
    <xf numFmtId="0" fontId="0" fillId="3" borderId="0" xfId="0" applyFont="1" applyFill="1" applyBorder="1"/>
    <xf numFmtId="0" fontId="0" fillId="28" borderId="0" xfId="0" applyFill="1"/>
    <xf numFmtId="164" fontId="0" fillId="28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 applyFill="1"/>
    <xf numFmtId="168" fontId="0" fillId="0" borderId="0" xfId="0" applyNumberFormat="1"/>
    <xf numFmtId="168" fontId="0" fillId="0" borderId="6" xfId="0" applyNumberFormat="1" applyBorder="1"/>
    <xf numFmtId="0" fontId="11" fillId="0" borderId="12" xfId="0" applyFont="1" applyBorder="1" applyAlignment="1">
      <alignment horizontal="right"/>
    </xf>
    <xf numFmtId="168" fontId="0" fillId="0" borderId="6" xfId="0" applyNumberFormat="1" applyFill="1" applyBorder="1"/>
    <xf numFmtId="0" fontId="0" fillId="3" borderId="1" xfId="0" applyFill="1" applyBorder="1"/>
    <xf numFmtId="165" fontId="0" fillId="0" borderId="0" xfId="0" applyNumberFormat="1" applyFill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7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9" fillId="0" borderId="0" xfId="0" applyFont="1"/>
    <xf numFmtId="167" fontId="0" fillId="0" borderId="0" xfId="0" applyNumberFormat="1"/>
    <xf numFmtId="0" fontId="0" fillId="0" borderId="18" xfId="0" applyFill="1" applyBorder="1"/>
    <xf numFmtId="0" fontId="0" fillId="0" borderId="0" xfId="0" applyFont="1" applyFill="1"/>
    <xf numFmtId="0" fontId="0" fillId="3" borderId="0" xfId="0" applyFont="1" applyFill="1"/>
    <xf numFmtId="0" fontId="0" fillId="3" borderId="1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2" fillId="0" borderId="9" xfId="0" applyFont="1" applyBorder="1"/>
    <xf numFmtId="0" fontId="2" fillId="0" borderId="26" xfId="0" applyFont="1" applyBorder="1"/>
    <xf numFmtId="0" fontId="2" fillId="0" borderId="18" xfId="0" applyFont="1" applyBorder="1"/>
    <xf numFmtId="0" fontId="2" fillId="0" borderId="3" xfId="0" applyFont="1" applyFill="1" applyBorder="1"/>
    <xf numFmtId="0" fontId="2" fillId="0" borderId="9" xfId="0" applyFont="1" applyFill="1" applyBorder="1"/>
    <xf numFmtId="0" fontId="2" fillId="4" borderId="4" xfId="0" applyFont="1" applyFill="1" applyBorder="1"/>
    <xf numFmtId="0" fontId="2" fillId="0" borderId="18" xfId="0" applyFont="1" applyFill="1" applyBorder="1"/>
    <xf numFmtId="0" fontId="2" fillId="0" borderId="11" xfId="0" applyFont="1" applyBorder="1"/>
    <xf numFmtId="0" fontId="2" fillId="0" borderId="11" xfId="0" applyFont="1" applyFill="1" applyBorder="1"/>
    <xf numFmtId="0" fontId="2" fillId="4" borderId="12" xfId="0" applyFont="1" applyFill="1" applyBorder="1"/>
    <xf numFmtId="0" fontId="2" fillId="0" borderId="10" xfId="0" applyFont="1" applyFill="1" applyBorder="1"/>
    <xf numFmtId="0" fontId="0" fillId="0" borderId="27" xfId="0" applyBorder="1"/>
    <xf numFmtId="0" fontId="0" fillId="8" borderId="0" xfId="0" applyFill="1"/>
    <xf numFmtId="0" fontId="0" fillId="8" borderId="0" xfId="0" applyFill="1" applyAlignment="1">
      <alignment horizontal="center"/>
    </xf>
    <xf numFmtId="0" fontId="0" fillId="0" borderId="30" xfId="0" applyBorder="1"/>
    <xf numFmtId="2" fontId="0" fillId="5" borderId="4" xfId="0" applyNumberFormat="1" applyFill="1" applyBorder="1" applyAlignment="1">
      <alignment horizontal="center"/>
    </xf>
    <xf numFmtId="2" fontId="0" fillId="3" borderId="15" xfId="0" applyNumberFormat="1" applyFont="1" applyFill="1" applyBorder="1" applyAlignment="1">
      <alignment horizontal="center"/>
    </xf>
    <xf numFmtId="2" fontId="2" fillId="0" borderId="0" xfId="0" applyNumberFormat="1" applyFont="1"/>
    <xf numFmtId="2" fontId="0" fillId="5" borderId="15" xfId="0" applyNumberFormat="1" applyFill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15" xfId="0" applyNumberFormat="1" applyFont="1" applyBorder="1" applyAlignment="1">
      <alignment horizontal="center"/>
    </xf>
    <xf numFmtId="2" fontId="0" fillId="5" borderId="14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11" xfId="0" applyNumberFormat="1" applyFont="1" applyFill="1" applyBorder="1" applyAlignment="1">
      <alignment horizontal="center"/>
    </xf>
    <xf numFmtId="2" fontId="0" fillId="3" borderId="11" xfId="0" applyNumberFormat="1" applyFont="1" applyFill="1" applyBorder="1" applyAlignment="1">
      <alignment horizontal="center"/>
    </xf>
    <xf numFmtId="2" fontId="0" fillId="3" borderId="11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2" fontId="0" fillId="0" borderId="15" xfId="0" applyNumberFormat="1" applyFill="1" applyBorder="1" applyAlignment="1">
      <alignment horizontal="center"/>
    </xf>
    <xf numFmtId="2" fontId="0" fillId="0" borderId="16" xfId="0" applyNumberFormat="1" applyFill="1" applyBorder="1" applyAlignment="1">
      <alignment horizontal="center"/>
    </xf>
    <xf numFmtId="2" fontId="0" fillId="5" borderId="16" xfId="0" applyNumberFormat="1" applyFill="1" applyBorder="1" applyAlignment="1">
      <alignment horizontal="center"/>
    </xf>
    <xf numFmtId="2" fontId="0" fillId="3" borderId="20" xfId="0" applyNumberFormat="1" applyFont="1" applyFill="1" applyBorder="1" applyAlignment="1">
      <alignment horizontal="center"/>
    </xf>
    <xf numFmtId="2" fontId="0" fillId="3" borderId="16" xfId="0" applyNumberFormat="1" applyFont="1" applyFill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3" borderId="0" xfId="0" applyNumberFormat="1" applyFill="1"/>
    <xf numFmtId="2" fontId="0" fillId="3" borderId="15" xfId="0" applyNumberFormat="1" applyFill="1" applyBorder="1" applyAlignment="1">
      <alignment horizontal="center"/>
    </xf>
    <xf numFmtId="2" fontId="0" fillId="5" borderId="22" xfId="0" applyNumberForma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8" borderId="3" xfId="0" applyFill="1" applyBorder="1"/>
    <xf numFmtId="2" fontId="0" fillId="0" borderId="0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2" fontId="0" fillId="4" borderId="16" xfId="0" applyNumberFormat="1" applyFill="1" applyBorder="1" applyAlignment="1">
      <alignment horizontal="center"/>
    </xf>
    <xf numFmtId="2" fontId="0" fillId="5" borderId="0" xfId="0" applyNumberFormat="1" applyFill="1" applyBorder="1" applyAlignment="1">
      <alignment horizontal="right"/>
    </xf>
    <xf numFmtId="0" fontId="0" fillId="5" borderId="0" xfId="0" applyFill="1" applyBorder="1" applyAlignment="1">
      <alignment horizontal="right"/>
    </xf>
    <xf numFmtId="2" fontId="0" fillId="3" borderId="0" xfId="0" applyNumberFormat="1" applyFon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0" xfId="0" applyNumberFormat="1" applyFont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right"/>
    </xf>
    <xf numFmtId="2" fontId="0" fillId="5" borderId="7" xfId="0" applyNumberFormat="1" applyFill="1" applyBorder="1" applyAlignment="1">
      <alignment horizontal="right"/>
    </xf>
    <xf numFmtId="2" fontId="0" fillId="3" borderId="7" xfId="0" applyNumberFormat="1" applyFont="1" applyFill="1" applyBorder="1" applyAlignment="1">
      <alignment horizontal="right"/>
    </xf>
    <xf numFmtId="2" fontId="0" fillId="0" borderId="7" xfId="0" applyNumberFormat="1" applyBorder="1" applyAlignment="1">
      <alignment horizontal="right"/>
    </xf>
    <xf numFmtId="2" fontId="2" fillId="0" borderId="6" xfId="0" applyNumberFormat="1" applyFont="1" applyFill="1" applyBorder="1"/>
    <xf numFmtId="164" fontId="0" fillId="0" borderId="4" xfId="0" applyNumberFormat="1" applyFill="1" applyBorder="1"/>
    <xf numFmtId="164" fontId="0" fillId="0" borderId="0" xfId="0" applyNumberFormat="1" applyFont="1" applyFill="1" applyBorder="1"/>
    <xf numFmtId="164" fontId="0" fillId="3" borderId="7" xfId="0" applyNumberFormat="1" applyFill="1" applyBorder="1"/>
    <xf numFmtId="2" fontId="11" fillId="3" borderId="15" xfId="0" applyNumberFormat="1" applyFont="1" applyFill="1" applyBorder="1" applyAlignment="1">
      <alignment horizontal="center"/>
    </xf>
    <xf numFmtId="2" fontId="11" fillId="0" borderId="15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165" fontId="0" fillId="0" borderId="0" xfId="0" applyNumberFormat="1" applyFill="1" applyBorder="1" applyAlignment="1">
      <alignment horizontal="right"/>
    </xf>
    <xf numFmtId="169" fontId="0" fillId="8" borderId="0" xfId="0" applyNumberForma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0" fillId="8" borderId="0" xfId="0" applyNumberFormat="1" applyFill="1"/>
    <xf numFmtId="0" fontId="0" fillId="0" borderId="0" xfId="0" applyFill="1" applyBorder="1" applyAlignment="1">
      <alignment wrapText="1"/>
    </xf>
    <xf numFmtId="0" fontId="15" fillId="0" borderId="7" xfId="0" applyFont="1" applyFill="1" applyBorder="1"/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165" fontId="0" fillId="0" borderId="0" xfId="0" applyNumberFormat="1" applyBorder="1"/>
    <xf numFmtId="0" fontId="0" fillId="0" borderId="24" xfId="0" applyBorder="1"/>
    <xf numFmtId="0" fontId="0" fillId="0" borderId="24" xfId="0" applyFill="1" applyBorder="1"/>
    <xf numFmtId="2" fontId="0" fillId="0" borderId="24" xfId="0" applyNumberFormat="1" applyBorder="1"/>
    <xf numFmtId="0" fontId="0" fillId="4" borderId="0" xfId="0" applyFill="1" applyAlignment="1">
      <alignment wrapText="1"/>
    </xf>
    <xf numFmtId="0" fontId="0" fillId="6" borderId="0" xfId="0" applyFill="1"/>
    <xf numFmtId="0" fontId="0" fillId="6" borderId="10" xfId="0" applyFill="1" applyBorder="1"/>
    <xf numFmtId="0" fontId="0" fillId="6" borderId="6" xfId="0" applyFill="1" applyBorder="1"/>
    <xf numFmtId="0" fontId="0" fillId="6" borderId="18" xfId="0" applyFill="1" applyBorder="1"/>
    <xf numFmtId="0" fontId="9" fillId="6" borderId="11" xfId="0" applyFont="1" applyFill="1" applyBorder="1" applyAlignment="1">
      <alignment wrapText="1"/>
    </xf>
    <xf numFmtId="0" fontId="9" fillId="6" borderId="15" xfId="0" applyFont="1" applyFill="1" applyBorder="1" applyAlignment="1">
      <alignment horizontal="left" wrapText="1"/>
    </xf>
    <xf numFmtId="0" fontId="9" fillId="6" borderId="15" xfId="0" applyFont="1" applyFill="1" applyBorder="1" applyAlignment="1">
      <alignment horizontal="left"/>
    </xf>
    <xf numFmtId="0" fontId="0" fillId="6" borderId="15" xfId="0" applyFill="1" applyBorder="1"/>
    <xf numFmtId="0" fontId="0" fillId="6" borderId="16" xfId="0" applyFill="1" applyBorder="1"/>
    <xf numFmtId="0" fontId="0" fillId="6" borderId="0" xfId="0" applyFill="1" applyBorder="1"/>
    <xf numFmtId="0" fontId="9" fillId="6" borderId="4" xfId="0" applyFont="1" applyFill="1" applyBorder="1"/>
    <xf numFmtId="0" fontId="9" fillId="6" borderId="15" xfId="0" applyFont="1" applyFill="1" applyBorder="1"/>
    <xf numFmtId="0" fontId="0" fillId="6" borderId="15" xfId="0" applyFill="1" applyBorder="1" applyAlignment="1">
      <alignment horizontal="center"/>
    </xf>
    <xf numFmtId="165" fontId="0" fillId="6" borderId="15" xfId="0" applyNumberFormat="1" applyFill="1" applyBorder="1" applyAlignment="1">
      <alignment horizontal="center"/>
    </xf>
    <xf numFmtId="0" fontId="9" fillId="6" borderId="11" xfId="0" applyFont="1" applyFill="1" applyBorder="1"/>
    <xf numFmtId="0" fontId="9" fillId="6" borderId="7" xfId="0" applyFont="1" applyFill="1" applyBorder="1"/>
    <xf numFmtId="0" fontId="9" fillId="6" borderId="9" xfId="0" applyFont="1" applyFill="1" applyBorder="1"/>
    <xf numFmtId="165" fontId="0" fillId="0" borderId="0" xfId="0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0" fillId="0" borderId="0" xfId="0" applyNumberFormat="1" applyFill="1" applyBorder="1"/>
    <xf numFmtId="165" fontId="11" fillId="0" borderId="7" xfId="0" applyNumberFormat="1" applyFont="1" applyFill="1" applyBorder="1"/>
    <xf numFmtId="0" fontId="0" fillId="0" borderId="0" xfId="0" applyNumberFormat="1" applyBorder="1"/>
    <xf numFmtId="165" fontId="0" fillId="22" borderId="7" xfId="0" applyNumberFormat="1" applyFill="1" applyBorder="1"/>
    <xf numFmtId="165" fontId="0" fillId="29" borderId="7" xfId="0" applyNumberFormat="1" applyFill="1" applyBorder="1"/>
    <xf numFmtId="164" fontId="11" fillId="14" borderId="7" xfId="0" applyNumberFormat="1" applyFont="1" applyFill="1" applyBorder="1"/>
    <xf numFmtId="165" fontId="0" fillId="0" borderId="7" xfId="0" applyNumberFormat="1" applyFont="1" applyFill="1" applyBorder="1"/>
    <xf numFmtId="0" fontId="18" fillId="0" borderId="7" xfId="0" applyFont="1" applyBorder="1"/>
    <xf numFmtId="0" fontId="18" fillId="0" borderId="3" xfId="0" applyFont="1" applyBorder="1"/>
    <xf numFmtId="0" fontId="18" fillId="0" borderId="4" xfId="0" applyFont="1" applyBorder="1"/>
    <xf numFmtId="0" fontId="18" fillId="0" borderId="0" xfId="0" applyFont="1" applyBorder="1"/>
    <xf numFmtId="0" fontId="18" fillId="0" borderId="15" xfId="0" applyFont="1" applyBorder="1"/>
    <xf numFmtId="165" fontId="19" fillId="7" borderId="15" xfId="0" applyNumberFormat="1" applyFont="1" applyFill="1" applyBorder="1"/>
    <xf numFmtId="0" fontId="18" fillId="0" borderId="15" xfId="0" applyFont="1" applyFill="1" applyBorder="1"/>
    <xf numFmtId="165" fontId="18" fillId="0" borderId="15" xfId="0" applyNumberFormat="1" applyFont="1" applyBorder="1"/>
    <xf numFmtId="165" fontId="18" fillId="0" borderId="15" xfId="0" applyNumberFormat="1" applyFont="1" applyFill="1" applyBorder="1"/>
    <xf numFmtId="0" fontId="18" fillId="0" borderId="15" xfId="0" applyNumberFormat="1" applyFont="1" applyFill="1" applyBorder="1"/>
    <xf numFmtId="165" fontId="19" fillId="14" borderId="15" xfId="0" applyNumberFormat="1" applyFont="1" applyFill="1" applyBorder="1"/>
    <xf numFmtId="0" fontId="18" fillId="0" borderId="20" xfId="0" applyFont="1" applyBorder="1"/>
    <xf numFmtId="0" fontId="18" fillId="0" borderId="12" xfId="0" applyFont="1" applyBorder="1"/>
    <xf numFmtId="165" fontId="18" fillId="0" borderId="20" xfId="0" applyNumberFormat="1" applyFont="1" applyFill="1" applyBorder="1"/>
    <xf numFmtId="0" fontId="18" fillId="0" borderId="20" xfId="0" applyFont="1" applyFill="1" applyBorder="1"/>
    <xf numFmtId="165" fontId="18" fillId="25" borderId="20" xfId="0" applyNumberFormat="1" applyFont="1" applyFill="1" applyBorder="1"/>
    <xf numFmtId="165" fontId="18" fillId="0" borderId="20" xfId="0" applyNumberFormat="1" applyFont="1" applyBorder="1"/>
    <xf numFmtId="0" fontId="18" fillId="0" borderId="30" xfId="0" applyFont="1" applyBorder="1"/>
    <xf numFmtId="0" fontId="18" fillId="0" borderId="33" xfId="0" applyFont="1" applyBorder="1"/>
    <xf numFmtId="0" fontId="18" fillId="0" borderId="33" xfId="0" applyFont="1" applyFill="1" applyBorder="1"/>
    <xf numFmtId="165" fontId="19" fillId="7" borderId="33" xfId="0" applyNumberFormat="1" applyFont="1" applyFill="1" applyBorder="1"/>
    <xf numFmtId="165" fontId="18" fillId="7" borderId="33" xfId="0" applyNumberFormat="1" applyFont="1" applyFill="1" applyBorder="1"/>
    <xf numFmtId="165" fontId="18" fillId="0" borderId="33" xfId="0" applyNumberFormat="1" applyFont="1" applyBorder="1"/>
    <xf numFmtId="0" fontId="18" fillId="0" borderId="33" xfId="0" applyNumberFormat="1" applyFont="1" applyFill="1" applyBorder="1"/>
    <xf numFmtId="0" fontId="18" fillId="0" borderId="33" xfId="0" applyNumberFormat="1" applyFont="1" applyBorder="1"/>
    <xf numFmtId="165" fontId="19" fillId="7" borderId="20" xfId="0" applyNumberFormat="1" applyFont="1" applyFill="1" applyBorder="1"/>
    <xf numFmtId="165" fontId="18" fillId="7" borderId="20" xfId="0" applyNumberFormat="1" applyFont="1" applyFill="1" applyBorder="1"/>
    <xf numFmtId="0" fontId="18" fillId="0" borderId="33" xfId="0" applyFont="1" applyFill="1" applyBorder="1" applyAlignment="1">
      <alignment horizontal="center"/>
    </xf>
    <xf numFmtId="1" fontId="18" fillId="0" borderId="33" xfId="0" applyNumberFormat="1" applyFont="1" applyFill="1" applyBorder="1" applyAlignment="1">
      <alignment horizontal="center"/>
    </xf>
    <xf numFmtId="0" fontId="18" fillId="0" borderId="33" xfId="0" applyFont="1" applyBorder="1" applyAlignment="1">
      <alignment wrapText="1"/>
    </xf>
    <xf numFmtId="165" fontId="19" fillId="0" borderId="20" xfId="0" applyNumberFormat="1" applyFont="1" applyFill="1" applyBorder="1"/>
    <xf numFmtId="165" fontId="19" fillId="14" borderId="20" xfId="0" applyNumberFormat="1" applyFont="1" applyFill="1" applyBorder="1"/>
    <xf numFmtId="165" fontId="18" fillId="0" borderId="33" xfId="0" applyNumberFormat="1" applyFont="1" applyFill="1" applyBorder="1"/>
    <xf numFmtId="165" fontId="19" fillId="14" borderId="33" xfId="0" applyNumberFormat="1" applyFont="1" applyFill="1" applyBorder="1"/>
    <xf numFmtId="0" fontId="18" fillId="0" borderId="1" xfId="0" applyFont="1" applyBorder="1"/>
    <xf numFmtId="0" fontId="18" fillId="0" borderId="31" xfId="0" applyFont="1" applyBorder="1"/>
    <xf numFmtId="0" fontId="18" fillId="0" borderId="6" xfId="0" applyFont="1" applyBorder="1"/>
    <xf numFmtId="164" fontId="19" fillId="14" borderId="20" xfId="0" applyNumberFormat="1" applyFont="1" applyFill="1" applyBorder="1"/>
    <xf numFmtId="0" fontId="18" fillId="0" borderId="20" xfId="0" applyNumberFormat="1" applyFont="1" applyFill="1" applyBorder="1"/>
    <xf numFmtId="165" fontId="18" fillId="22" borderId="20" xfId="0" applyNumberFormat="1" applyFont="1" applyFill="1" applyBorder="1"/>
    <xf numFmtId="165" fontId="18" fillId="29" borderId="20" xfId="0" applyNumberFormat="1" applyFont="1" applyFill="1" applyBorder="1"/>
    <xf numFmtId="165" fontId="0" fillId="0" borderId="7" xfId="0" applyNumberFormat="1" applyBorder="1"/>
    <xf numFmtId="0" fontId="0" fillId="0" borderId="0" xfId="0" applyFill="1" applyBorder="1" applyAlignment="1"/>
    <xf numFmtId="0" fontId="0" fillId="0" borderId="30" xfId="0" applyFill="1" applyBorder="1" applyAlignment="1"/>
    <xf numFmtId="0" fontId="20" fillId="0" borderId="34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Fill="1"/>
    <xf numFmtId="0" fontId="18" fillId="0" borderId="0" xfId="0" applyFont="1" applyFill="1" applyBorder="1"/>
    <xf numFmtId="0" fontId="18" fillId="0" borderId="7" xfId="0" applyFont="1" applyBorder="1" applyAlignment="1">
      <alignment wrapText="1"/>
    </xf>
    <xf numFmtId="165" fontId="18" fillId="7" borderId="15" xfId="0" applyNumberFormat="1" applyFont="1" applyFill="1" applyBorder="1"/>
    <xf numFmtId="0" fontId="18" fillId="0" borderId="0" xfId="0" applyFont="1" applyBorder="1" applyAlignment="1">
      <alignment wrapText="1"/>
    </xf>
    <xf numFmtId="0" fontId="18" fillId="0" borderId="30" xfId="0" applyFont="1" applyBorder="1" applyAlignment="1">
      <alignment wrapText="1"/>
    </xf>
    <xf numFmtId="0" fontId="0" fillId="0" borderId="0" xfId="0" applyAlignment="1"/>
    <xf numFmtId="0" fontId="20" fillId="6" borderId="0" xfId="0" applyFont="1" applyFill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0" fillId="7" borderId="0" xfId="0" applyFill="1"/>
    <xf numFmtId="0" fontId="8" fillId="6" borderId="4" xfId="0" applyFont="1" applyFill="1" applyBorder="1"/>
    <xf numFmtId="0" fontId="8" fillId="6" borderId="15" xfId="0" applyFont="1" applyFill="1" applyBorder="1"/>
    <xf numFmtId="0" fontId="8" fillId="6" borderId="15" xfId="0" applyFont="1" applyFill="1" applyBorder="1" applyAlignment="1">
      <alignment wrapText="1"/>
    </xf>
    <xf numFmtId="0" fontId="7" fillId="6" borderId="4" xfId="0" applyFont="1" applyFill="1" applyBorder="1" applyAlignment="1">
      <alignment wrapText="1"/>
    </xf>
    <xf numFmtId="0" fontId="7" fillId="6" borderId="15" xfId="0" applyFont="1" applyFill="1" applyBorder="1"/>
    <xf numFmtId="0" fontId="7" fillId="6" borderId="15" xfId="0" applyFont="1" applyFill="1" applyBorder="1" applyAlignment="1">
      <alignment horizontal="center"/>
    </xf>
    <xf numFmtId="165" fontId="7" fillId="6" borderId="15" xfId="0" applyNumberFormat="1" applyFont="1" applyFill="1" applyBorder="1" applyAlignment="1">
      <alignment horizontal="center"/>
    </xf>
    <xf numFmtId="2" fontId="7" fillId="6" borderId="15" xfId="0" applyNumberFormat="1" applyFont="1" applyFill="1" applyBorder="1" applyAlignment="1">
      <alignment horizontal="center"/>
    </xf>
    <xf numFmtId="0" fontId="7" fillId="6" borderId="1" xfId="0" applyFont="1" applyFill="1" applyBorder="1"/>
    <xf numFmtId="0" fontId="7" fillId="6" borderId="15" xfId="0" applyFont="1" applyFill="1" applyBorder="1" applyAlignment="1">
      <alignment horizontal="left"/>
    </xf>
    <xf numFmtId="170" fontId="7" fillId="6" borderId="15" xfId="0" applyNumberFormat="1" applyFont="1" applyFill="1" applyBorder="1" applyAlignment="1">
      <alignment horizontal="center"/>
    </xf>
    <xf numFmtId="1" fontId="7" fillId="6" borderId="15" xfId="0" applyNumberFormat="1" applyFont="1" applyFill="1" applyBorder="1" applyAlignment="1">
      <alignment horizontal="center"/>
    </xf>
    <xf numFmtId="0" fontId="7" fillId="6" borderId="11" xfId="0" applyFont="1" applyFill="1" applyBorder="1" applyAlignment="1">
      <alignment wrapText="1"/>
    </xf>
    <xf numFmtId="2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5" fontId="0" fillId="6" borderId="0" xfId="0" applyNumberForma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0" fillId="0" borderId="30" xfId="0" applyFill="1" applyBorder="1"/>
    <xf numFmtId="1" fontId="18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left"/>
    </xf>
    <xf numFmtId="2" fontId="18" fillId="0" borderId="0" xfId="0" applyNumberFormat="1" applyFont="1" applyFill="1" applyBorder="1"/>
    <xf numFmtId="0" fontId="18" fillId="0" borderId="0" xfId="0" applyFont="1" applyFill="1" applyBorder="1" applyAlignment="1">
      <alignment horizontal="left"/>
    </xf>
    <xf numFmtId="0" fontId="9" fillId="0" borderId="0" xfId="0" applyFont="1" applyFill="1" applyBorder="1"/>
    <xf numFmtId="165" fontId="0" fillId="22" borderId="0" xfId="0" applyNumberFormat="1" applyFill="1" applyBorder="1"/>
    <xf numFmtId="165" fontId="0" fillId="29" borderId="0" xfId="0" applyNumberFormat="1" applyFill="1" applyBorder="1"/>
    <xf numFmtId="165" fontId="0" fillId="0" borderId="7" xfId="0" applyNumberFormat="1" applyFill="1" applyBorder="1"/>
    <xf numFmtId="165" fontId="0" fillId="7" borderId="30" xfId="0" applyNumberFormat="1" applyFill="1" applyBorder="1"/>
    <xf numFmtId="1" fontId="0" fillId="0" borderId="30" xfId="0" applyNumberFormat="1" applyFill="1" applyBorder="1"/>
    <xf numFmtId="165" fontId="11" fillId="14" borderId="30" xfId="0" applyNumberFormat="1" applyFont="1" applyFill="1" applyBorder="1"/>
    <xf numFmtId="0" fontId="0" fillId="7" borderId="7" xfId="0" applyFill="1" applyBorder="1"/>
    <xf numFmtId="0" fontId="0" fillId="7" borderId="30" xfId="0" applyFill="1" applyBorder="1"/>
    <xf numFmtId="164" fontId="11" fillId="30" borderId="0" xfId="0" applyNumberFormat="1" applyFont="1" applyFill="1" applyBorder="1"/>
    <xf numFmtId="164" fontId="11" fillId="22" borderId="0" xfId="0" applyNumberFormat="1" applyFont="1" applyFill="1" applyBorder="1"/>
    <xf numFmtId="0" fontId="0" fillId="22" borderId="0" xfId="0" applyFill="1"/>
    <xf numFmtId="0" fontId="0" fillId="22" borderId="0" xfId="0" applyFill="1" applyBorder="1"/>
    <xf numFmtId="165" fontId="0" fillId="9" borderId="0" xfId="0" applyNumberFormat="1" applyFill="1"/>
    <xf numFmtId="164" fontId="0" fillId="9" borderId="0" xfId="0" applyNumberFormat="1" applyFill="1"/>
    <xf numFmtId="0" fontId="0" fillId="31" borderId="0" xfId="0" applyFill="1"/>
    <xf numFmtId="0" fontId="0" fillId="31" borderId="0" xfId="0" applyFill="1" applyBorder="1"/>
    <xf numFmtId="0" fontId="0" fillId="32" borderId="0" xfId="0" applyFill="1"/>
    <xf numFmtId="0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38" xfId="0" applyNumberFormat="1" applyFont="1" applyFill="1" applyBorder="1"/>
    <xf numFmtId="0" fontId="0" fillId="0" borderId="40" xfId="0" applyNumberFormat="1" applyFont="1" applyFill="1" applyBorder="1"/>
    <xf numFmtId="0" fontId="0" fillId="0" borderId="39" xfId="0" applyNumberFormat="1" applyFont="1" applyFill="1" applyBorder="1"/>
    <xf numFmtId="0" fontId="0" fillId="0" borderId="40" xfId="0" applyFont="1" applyFill="1" applyBorder="1"/>
    <xf numFmtId="0" fontId="0" fillId="0" borderId="38" xfId="0" applyFont="1" applyFill="1" applyBorder="1"/>
    <xf numFmtId="0" fontId="0" fillId="0" borderId="39" xfId="0" applyFont="1" applyFill="1" applyBorder="1"/>
    <xf numFmtId="0" fontId="0" fillId="0" borderId="0" xfId="0" applyNumberFormat="1" applyFont="1" applyFill="1" applyBorder="1"/>
    <xf numFmtId="0" fontId="0" fillId="0" borderId="7" xfId="0" applyFont="1" applyBorder="1"/>
    <xf numFmtId="165" fontId="18" fillId="22" borderId="15" xfId="0" applyNumberFormat="1" applyFont="1" applyFill="1" applyBorder="1"/>
    <xf numFmtId="165" fontId="19" fillId="22" borderId="15" xfId="0" applyNumberFormat="1" applyFont="1" applyFill="1" applyBorder="1"/>
    <xf numFmtId="165" fontId="19" fillId="30" borderId="15" xfId="0" applyNumberFormat="1" applyFont="1" applyFill="1" applyBorder="1"/>
    <xf numFmtId="165" fontId="18" fillId="9" borderId="15" xfId="0" applyNumberFormat="1" applyFont="1" applyFill="1" applyBorder="1"/>
    <xf numFmtId="0" fontId="18" fillId="31" borderId="15" xfId="0" applyFont="1" applyFill="1" applyBorder="1"/>
    <xf numFmtId="165" fontId="18" fillId="31" borderId="15" xfId="0" applyNumberFormat="1" applyFont="1" applyFill="1" applyBorder="1"/>
    <xf numFmtId="164" fontId="11" fillId="0" borderId="0" xfId="0" applyNumberFormat="1" applyFont="1" applyFill="1" applyBorder="1"/>
    <xf numFmtId="0" fontId="18" fillId="33" borderId="15" xfId="0" applyFont="1" applyFill="1" applyBorder="1"/>
    <xf numFmtId="165" fontId="19" fillId="33" borderId="15" xfId="0" applyNumberFormat="1" applyFont="1" applyFill="1" applyBorder="1"/>
    <xf numFmtId="165" fontId="18" fillId="33" borderId="15" xfId="0" applyNumberFormat="1" applyFont="1" applyFill="1" applyBorder="1"/>
    <xf numFmtId="164" fontId="19" fillId="33" borderId="15" xfId="0" applyNumberFormat="1" applyFont="1" applyFill="1" applyBorder="1"/>
    <xf numFmtId="0" fontId="18" fillId="6" borderId="15" xfId="0" applyFont="1" applyFill="1" applyBorder="1"/>
    <xf numFmtId="165" fontId="18" fillId="6" borderId="15" xfId="0" applyNumberFormat="1" applyFont="1" applyFill="1" applyBorder="1"/>
    <xf numFmtId="0" fontId="18" fillId="6" borderId="15" xfId="0" applyFont="1" applyFill="1" applyBorder="1" applyAlignment="1"/>
    <xf numFmtId="165" fontId="18" fillId="6" borderId="15" xfId="0" applyNumberFormat="1" applyFont="1" applyFill="1" applyBorder="1" applyAlignment="1"/>
    <xf numFmtId="165" fontId="18" fillId="34" borderId="15" xfId="0" applyNumberFormat="1" applyFont="1" applyFill="1" applyBorder="1" applyAlignment="1"/>
    <xf numFmtId="164" fontId="18" fillId="6" borderId="15" xfId="0" applyNumberFormat="1" applyFont="1" applyFill="1" applyBorder="1" applyAlignment="1"/>
    <xf numFmtId="164" fontId="18" fillId="6" borderId="15" xfId="0" applyNumberFormat="1" applyFont="1" applyFill="1" applyBorder="1"/>
    <xf numFmtId="165" fontId="18" fillId="0" borderId="15" xfId="0" applyNumberFormat="1" applyFont="1" applyFill="1" applyBorder="1" applyAlignment="1"/>
    <xf numFmtId="164" fontId="18" fillId="0" borderId="15" xfId="0" applyNumberFormat="1" applyFont="1" applyFill="1" applyBorder="1" applyAlignment="1"/>
    <xf numFmtId="164" fontId="18" fillId="0" borderId="15" xfId="0" applyNumberFormat="1" applyFont="1" applyFill="1" applyBorder="1"/>
    <xf numFmtId="0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7" xfId="0" applyNumberFormat="1" applyFont="1" applyFill="1" applyBorder="1"/>
    <xf numFmtId="0" fontId="18" fillId="0" borderId="7" xfId="0" applyFont="1" applyBorder="1" applyAlignment="1">
      <alignment horizontal="center"/>
    </xf>
    <xf numFmtId="0" fontId="18" fillId="0" borderId="9" xfId="0" applyFont="1" applyBorder="1"/>
    <xf numFmtId="0" fontId="18" fillId="0" borderId="16" xfId="0" applyFont="1" applyBorder="1"/>
    <xf numFmtId="0" fontId="18" fillId="0" borderId="2" xfId="0" applyFont="1" applyBorder="1"/>
    <xf numFmtId="0" fontId="21" fillId="6" borderId="15" xfId="0" applyFont="1" applyFill="1" applyBorder="1"/>
    <xf numFmtId="0" fontId="18" fillId="6" borderId="15" xfId="0" applyFont="1" applyFill="1" applyBorder="1" applyAlignment="1">
      <alignment wrapText="1"/>
    </xf>
    <xf numFmtId="0" fontId="18" fillId="6" borderId="15" xfId="0" applyNumberFormat="1" applyFont="1" applyFill="1" applyBorder="1" applyAlignment="1">
      <alignment horizontal="center"/>
    </xf>
    <xf numFmtId="165" fontId="18" fillId="6" borderId="15" xfId="0" applyNumberFormat="1" applyFont="1" applyFill="1" applyBorder="1" applyAlignment="1">
      <alignment horizontal="left"/>
    </xf>
    <xf numFmtId="0" fontId="18" fillId="6" borderId="16" xfId="0" applyFont="1" applyFill="1" applyBorder="1"/>
    <xf numFmtId="0" fontId="18" fillId="6" borderId="2" xfId="0" applyFont="1" applyFill="1" applyBorder="1"/>
    <xf numFmtId="0" fontId="18" fillId="6" borderId="16" xfId="0" applyFont="1" applyFill="1" applyBorder="1" applyAlignment="1">
      <alignment horizontal="center"/>
    </xf>
    <xf numFmtId="165" fontId="18" fillId="6" borderId="16" xfId="0" applyNumberFormat="1" applyFont="1" applyFill="1" applyBorder="1" applyAlignment="1">
      <alignment horizontal="left"/>
    </xf>
    <xf numFmtId="0" fontId="18" fillId="6" borderId="20" xfId="0" applyFont="1" applyFill="1" applyBorder="1" applyAlignment="1">
      <alignment horizontal="center"/>
    </xf>
    <xf numFmtId="0" fontId="18" fillId="6" borderId="20" xfId="0" applyFont="1" applyFill="1" applyBorder="1"/>
    <xf numFmtId="165" fontId="18" fillId="6" borderId="20" xfId="0" applyNumberFormat="1" applyFont="1" applyFill="1" applyBorder="1" applyAlignment="1">
      <alignment horizontal="left"/>
    </xf>
    <xf numFmtId="0" fontId="18" fillId="6" borderId="18" xfId="0" applyFont="1" applyFill="1" applyBorder="1"/>
    <xf numFmtId="0" fontId="18" fillId="0" borderId="7" xfId="0" applyFont="1" applyFill="1" applyBorder="1"/>
    <xf numFmtId="2" fontId="18" fillId="0" borderId="7" xfId="0" applyNumberFormat="1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0" fontId="18" fillId="0" borderId="1" xfId="0" applyNumberFormat="1" applyFont="1" applyFill="1" applyBorder="1"/>
    <xf numFmtId="0" fontId="18" fillId="0" borderId="30" xfId="0" applyFont="1" applyFill="1" applyBorder="1"/>
    <xf numFmtId="0" fontId="18" fillId="0" borderId="41" xfId="0" applyFont="1" applyBorder="1"/>
    <xf numFmtId="0" fontId="23" fillId="0" borderId="1" xfId="0" applyFont="1" applyBorder="1"/>
    <xf numFmtId="0" fontId="18" fillId="0" borderId="7" xfId="0" applyFont="1" applyBorder="1" applyAlignment="1">
      <alignment horizontal="right"/>
    </xf>
    <xf numFmtId="0" fontId="18" fillId="0" borderId="9" xfId="0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0" fontId="18" fillId="0" borderId="3" xfId="0" applyFont="1" applyBorder="1" applyAlignment="1">
      <alignment horizontal="right"/>
    </xf>
    <xf numFmtId="0" fontId="18" fillId="0" borderId="30" xfId="0" applyFont="1" applyBorder="1" applyAlignment="1">
      <alignment horizontal="right"/>
    </xf>
    <xf numFmtId="0" fontId="18" fillId="0" borderId="32" xfId="0" applyFont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8" fillId="0" borderId="3" xfId="0" applyFont="1" applyFill="1" applyBorder="1" applyAlignment="1">
      <alignment horizontal="right"/>
    </xf>
    <xf numFmtId="0" fontId="18" fillId="0" borderId="6" xfId="0" applyFont="1" applyBorder="1" applyAlignment="1">
      <alignment horizontal="right"/>
    </xf>
    <xf numFmtId="0" fontId="18" fillId="0" borderId="18" xfId="0" applyFont="1" applyBorder="1" applyAlignment="1">
      <alignment horizontal="right"/>
    </xf>
    <xf numFmtId="165" fontId="18" fillId="6" borderId="15" xfId="0" applyNumberFormat="1" applyFont="1" applyFill="1" applyBorder="1" applyAlignment="1">
      <alignment horizontal="right"/>
    </xf>
    <xf numFmtId="165" fontId="18" fillId="6" borderId="16" xfId="0" applyNumberFormat="1" applyFont="1" applyFill="1" applyBorder="1" applyAlignment="1">
      <alignment horizontal="right"/>
    </xf>
    <xf numFmtId="165" fontId="18" fillId="6" borderId="20" xfId="0" applyNumberFormat="1" applyFont="1" applyFill="1" applyBorder="1" applyAlignment="1">
      <alignment horizontal="right"/>
    </xf>
    <xf numFmtId="0" fontId="18" fillId="0" borderId="16" xfId="0" applyFont="1" applyBorder="1" applyAlignment="1">
      <alignment horizontal="center"/>
    </xf>
    <xf numFmtId="0" fontId="18" fillId="6" borderId="18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0" fontId="24" fillId="6" borderId="15" xfId="0" applyFont="1" applyFill="1" applyBorder="1"/>
    <xf numFmtId="0" fontId="0" fillId="35" borderId="0" xfId="0" applyFill="1"/>
    <xf numFmtId="0" fontId="24" fillId="0" borderId="34" xfId="0" applyFont="1" applyFill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wrapText="1"/>
    </xf>
    <xf numFmtId="167" fontId="18" fillId="0" borderId="0" xfId="0" applyNumberFormat="1" applyFont="1"/>
    <xf numFmtId="0" fontId="18" fillId="0" borderId="0" xfId="0" applyFont="1" applyAlignment="1"/>
    <xf numFmtId="0" fontId="24" fillId="0" borderId="0" xfId="0" applyFont="1" applyFill="1" applyBorder="1" applyAlignment="1">
      <alignment horizontal="center"/>
    </xf>
    <xf numFmtId="167" fontId="18" fillId="0" borderId="6" xfId="0" applyNumberFormat="1" applyFont="1" applyBorder="1"/>
    <xf numFmtId="0" fontId="24" fillId="0" borderId="30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Continuous"/>
    </xf>
    <xf numFmtId="0" fontId="20" fillId="0" borderId="27" xfId="0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0" fontId="20" fillId="0" borderId="7" xfId="0" applyFont="1" applyBorder="1"/>
    <xf numFmtId="0" fontId="20" fillId="0" borderId="0" xfId="0" applyFont="1"/>
    <xf numFmtId="164" fontId="0" fillId="0" borderId="0" xfId="0" applyNumberFormat="1" applyAlignment="1">
      <alignment horizontal="center"/>
    </xf>
    <xf numFmtId="0" fontId="21" fillId="0" borderId="1" xfId="0" applyFont="1" applyBorder="1"/>
    <xf numFmtId="0" fontId="23" fillId="0" borderId="4" xfId="0" applyFont="1" applyBorder="1"/>
    <xf numFmtId="0" fontId="18" fillId="0" borderId="18" xfId="0" applyFont="1" applyBorder="1"/>
    <xf numFmtId="165" fontId="0" fillId="0" borderId="0" xfId="0" applyNumberFormat="1" applyAlignment="1">
      <alignment horizontal="center"/>
    </xf>
    <xf numFmtId="0" fontId="26" fillId="0" borderId="0" xfId="0" applyFont="1"/>
    <xf numFmtId="0" fontId="25" fillId="0" borderId="0" xfId="0" applyFont="1"/>
    <xf numFmtId="0" fontId="27" fillId="6" borderId="20" xfId="0" applyFont="1" applyFill="1" applyBorder="1"/>
    <xf numFmtId="0" fontId="24" fillId="6" borderId="4" xfId="0" applyFont="1" applyFill="1" applyBorder="1"/>
    <xf numFmtId="0" fontId="18" fillId="6" borderId="16" xfId="0" applyFont="1" applyFill="1" applyBorder="1" applyAlignment="1">
      <alignment horizontal="left"/>
    </xf>
    <xf numFmtId="0" fontId="18" fillId="6" borderId="9" xfId="0" applyFont="1" applyFill="1" applyBorder="1"/>
    <xf numFmtId="0" fontId="27" fillId="6" borderId="1" xfId="0" applyFont="1" applyFill="1" applyBorder="1"/>
    <xf numFmtId="165" fontId="18" fillId="6" borderId="2" xfId="0" applyNumberFormat="1" applyFont="1" applyFill="1" applyBorder="1" applyAlignment="1">
      <alignment horizontal="center"/>
    </xf>
    <xf numFmtId="166" fontId="18" fillId="6" borderId="2" xfId="0" applyNumberFormat="1" applyFont="1" applyFill="1" applyBorder="1"/>
    <xf numFmtId="0" fontId="18" fillId="6" borderId="2" xfId="0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left"/>
    </xf>
    <xf numFmtId="165" fontId="18" fillId="6" borderId="2" xfId="0" applyNumberFormat="1" applyFont="1" applyFill="1" applyBorder="1"/>
    <xf numFmtId="165" fontId="18" fillId="6" borderId="3" xfId="0" applyNumberFormat="1" applyFont="1" applyFill="1" applyBorder="1"/>
    <xf numFmtId="0" fontId="18" fillId="6" borderId="3" xfId="0" applyFont="1" applyFill="1" applyBorder="1"/>
    <xf numFmtId="0" fontId="27" fillId="6" borderId="12" xfId="0" applyFont="1" applyFill="1" applyBorder="1"/>
    <xf numFmtId="165" fontId="18" fillId="6" borderId="20" xfId="0" applyNumberFormat="1" applyFont="1" applyFill="1" applyBorder="1" applyAlignment="1">
      <alignment horizontal="center"/>
    </xf>
    <xf numFmtId="165" fontId="18" fillId="6" borderId="20" xfId="0" applyNumberFormat="1" applyFont="1" applyFill="1" applyBorder="1"/>
    <xf numFmtId="165" fontId="18" fillId="6" borderId="18" xfId="0" applyNumberFormat="1" applyFont="1" applyFill="1" applyBorder="1"/>
    <xf numFmtId="165" fontId="18" fillId="6" borderId="16" xfId="0" applyNumberFormat="1" applyFont="1" applyFill="1" applyBorder="1" applyAlignment="1">
      <alignment horizontal="center"/>
    </xf>
    <xf numFmtId="165" fontId="18" fillId="6" borderId="16" xfId="0" applyNumberFormat="1" applyFont="1" applyFill="1" applyBorder="1"/>
    <xf numFmtId="165" fontId="18" fillId="6" borderId="9" xfId="0" applyNumberFormat="1" applyFont="1" applyFill="1" applyBorder="1"/>
    <xf numFmtId="166" fontId="18" fillId="6" borderId="2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171" fontId="0" fillId="0" borderId="0" xfId="0" applyNumberFormat="1"/>
    <xf numFmtId="1" fontId="11" fillId="14" borderId="7" xfId="0" applyNumberFormat="1" applyFont="1" applyFill="1" applyBorder="1"/>
    <xf numFmtId="1" fontId="11" fillId="7" borderId="0" xfId="0" applyNumberFormat="1" applyFont="1" applyFill="1" applyBorder="1"/>
    <xf numFmtId="1" fontId="0" fillId="7" borderId="0" xfId="0" applyNumberFormat="1" applyFont="1" applyFill="1" applyBorder="1"/>
    <xf numFmtId="1" fontId="0" fillId="7" borderId="7" xfId="0" applyNumberFormat="1" applyFill="1" applyBorder="1"/>
    <xf numFmtId="1" fontId="0" fillId="7" borderId="30" xfId="0" applyNumberFormat="1" applyFill="1" applyBorder="1"/>
    <xf numFmtId="1" fontId="11" fillId="7" borderId="7" xfId="0" applyNumberFormat="1" applyFont="1" applyFill="1" applyBorder="1"/>
    <xf numFmtId="1" fontId="11" fillId="14" borderId="30" xfId="0" applyNumberFormat="1" applyFont="1" applyFill="1" applyBorder="1"/>
    <xf numFmtId="1" fontId="11" fillId="14" borderId="0" xfId="0" applyNumberFormat="1" applyFont="1" applyFill="1" applyBorder="1"/>
    <xf numFmtId="0" fontId="18" fillId="0" borderId="43" xfId="0" applyFont="1" applyBorder="1"/>
    <xf numFmtId="0" fontId="18" fillId="0" borderId="44" xfId="0" applyFont="1" applyBorder="1"/>
    <xf numFmtId="0" fontId="18" fillId="6" borderId="28" xfId="0" applyFont="1" applyFill="1" applyBorder="1" applyAlignment="1"/>
    <xf numFmtId="0" fontId="18" fillId="6" borderId="28" xfId="0" applyFont="1" applyFill="1" applyBorder="1" applyAlignment="1">
      <alignment vertical="top"/>
    </xf>
    <xf numFmtId="0" fontId="18" fillId="6" borderId="29" xfId="0" applyFont="1" applyFill="1" applyBorder="1" applyAlignment="1"/>
    <xf numFmtId="0" fontId="0" fillId="6" borderId="29" xfId="0" applyFill="1" applyBorder="1" applyAlignment="1"/>
    <xf numFmtId="0" fontId="18" fillId="6" borderId="45" xfId="0" applyFont="1" applyFill="1" applyBorder="1" applyAlignment="1">
      <alignment horizontal="center"/>
    </xf>
    <xf numFmtId="1" fontId="18" fillId="6" borderId="45" xfId="0" applyNumberFormat="1" applyFont="1" applyFill="1" applyBorder="1" applyAlignment="1">
      <alignment horizontal="center"/>
    </xf>
    <xf numFmtId="0" fontId="18" fillId="6" borderId="46" xfId="0" applyFont="1" applyFill="1" applyBorder="1" applyAlignment="1">
      <alignment horizontal="center"/>
    </xf>
    <xf numFmtId="0" fontId="13" fillId="6" borderId="20" xfId="0" applyFont="1" applyFill="1" applyBorder="1" applyAlignment="1">
      <alignment horizontal="center" vertical="center"/>
    </xf>
    <xf numFmtId="164" fontId="28" fillId="6" borderId="20" xfId="0" applyNumberFormat="1" applyFont="1" applyFill="1" applyBorder="1" applyAlignment="1">
      <alignment horizontal="center" vertical="center"/>
    </xf>
    <xf numFmtId="165" fontId="28" fillId="6" borderId="20" xfId="0" applyNumberFormat="1" applyFont="1" applyFill="1" applyBorder="1" applyAlignment="1">
      <alignment horizontal="center" vertical="center"/>
    </xf>
    <xf numFmtId="165" fontId="13" fillId="6" borderId="20" xfId="0" applyNumberFormat="1" applyFont="1" applyFill="1" applyBorder="1" applyAlignment="1">
      <alignment horizontal="center" vertical="center"/>
    </xf>
    <xf numFmtId="0" fontId="13" fillId="6" borderId="37" xfId="0" applyFont="1" applyFill="1" applyBorder="1" applyAlignment="1">
      <alignment horizontal="center" vertical="center"/>
    </xf>
    <xf numFmtId="0" fontId="13" fillId="6" borderId="15" xfId="0" applyFont="1" applyFill="1" applyBorder="1" applyAlignment="1">
      <alignment horizontal="center" vertical="center"/>
    </xf>
    <xf numFmtId="165" fontId="28" fillId="6" borderId="15" xfId="0" applyNumberFormat="1" applyFont="1" applyFill="1" applyBorder="1" applyAlignment="1">
      <alignment horizontal="center" vertical="center"/>
    </xf>
    <xf numFmtId="0" fontId="13" fillId="6" borderId="35" xfId="0" applyFont="1" applyFill="1" applyBorder="1" applyAlignment="1">
      <alignment horizontal="center" vertical="center"/>
    </xf>
    <xf numFmtId="165" fontId="13" fillId="6" borderId="15" xfId="0" applyNumberFormat="1" applyFont="1" applyFill="1" applyBorder="1" applyAlignment="1">
      <alignment horizontal="center" vertical="center"/>
    </xf>
    <xf numFmtId="165" fontId="13" fillId="6" borderId="35" xfId="0" applyNumberFormat="1" applyFont="1" applyFill="1" applyBorder="1" applyAlignment="1">
      <alignment horizontal="center" vertical="center"/>
    </xf>
    <xf numFmtId="0" fontId="13" fillId="6" borderId="33" xfId="0" applyFont="1" applyFill="1" applyBorder="1" applyAlignment="1">
      <alignment horizontal="center" vertical="center"/>
    </xf>
    <xf numFmtId="165" fontId="28" fillId="6" borderId="33" xfId="0" applyNumberFormat="1" applyFont="1" applyFill="1" applyBorder="1" applyAlignment="1">
      <alignment horizontal="center" vertical="center"/>
    </xf>
    <xf numFmtId="165" fontId="13" fillId="6" borderId="33" xfId="0" applyNumberFormat="1" applyFont="1" applyFill="1" applyBorder="1" applyAlignment="1">
      <alignment horizontal="center" vertical="center"/>
    </xf>
    <xf numFmtId="0" fontId="13" fillId="6" borderId="36" xfId="0" applyFont="1" applyFill="1" applyBorder="1" applyAlignment="1">
      <alignment horizontal="center" vertical="center"/>
    </xf>
    <xf numFmtId="165" fontId="13" fillId="6" borderId="37" xfId="0" applyNumberFormat="1" applyFont="1" applyFill="1" applyBorder="1" applyAlignment="1">
      <alignment horizontal="center" vertical="center"/>
    </xf>
    <xf numFmtId="165" fontId="28" fillId="6" borderId="35" xfId="0" applyNumberFormat="1" applyFont="1" applyFill="1" applyBorder="1" applyAlignment="1">
      <alignment horizontal="center" vertical="center"/>
    </xf>
    <xf numFmtId="0" fontId="3" fillId="0" borderId="18" xfId="1" applyFont="1" applyBorder="1"/>
    <xf numFmtId="0" fontId="2" fillId="0" borderId="6" xfId="0" applyFont="1" applyBorder="1" applyAlignment="1">
      <alignment horizontal="center"/>
    </xf>
    <xf numFmtId="0" fontId="3" fillId="0" borderId="20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2" fontId="0" fillId="10" borderId="7" xfId="0" applyNumberForma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wrapText="1"/>
    </xf>
    <xf numFmtId="0" fontId="12" fillId="0" borderId="0" xfId="0" applyFon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0" fillId="12" borderId="4" xfId="0" applyNumberFormat="1" applyFill="1" applyBorder="1"/>
    <xf numFmtId="170" fontId="0" fillId="6" borderId="15" xfId="0" applyNumberFormat="1" applyFill="1" applyBorder="1"/>
    <xf numFmtId="165" fontId="0" fillId="0" borderId="3" xfId="0" applyNumberFormat="1" applyFont="1" applyFill="1" applyBorder="1"/>
    <xf numFmtId="165" fontId="11" fillId="0" borderId="3" xfId="0" applyNumberFormat="1" applyFont="1" applyFill="1" applyBorder="1"/>
  </cellXfs>
  <cellStyles count="3">
    <cellStyle name="Excel Built-in Normal" xfId="1" xr:uid="{00000000-0005-0000-0000-000000000000}"/>
    <cellStyle name="Normal" xfId="0" builtinId="0"/>
    <cellStyle name="Normal 2" xfId="2" xr:uid="{8E79A17F-D55F-4335-89EA-E467FB441380}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teeth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measurements'!$C$6:$AP$6</c:f>
              <c:numCache>
                <c:formatCode>General</c:formatCode>
                <c:ptCount val="40"/>
                <c:pt idx="20">
                  <c:v>5.7075000000000005</c:v>
                </c:pt>
                <c:pt idx="21">
                  <c:v>5.1275000000000004</c:v>
                </c:pt>
                <c:pt idx="22">
                  <c:v>9.0274999999999999</c:v>
                </c:pt>
                <c:pt idx="23">
                  <c:v>11.4175</c:v>
                </c:pt>
                <c:pt idx="24">
                  <c:v>7.8175000000000008</c:v>
                </c:pt>
                <c:pt idx="25">
                  <c:v>8.0075000000000003</c:v>
                </c:pt>
                <c:pt idx="26">
                  <c:v>7.2875000000000005</c:v>
                </c:pt>
                <c:pt idx="27">
                  <c:v>12.297500000000001</c:v>
                </c:pt>
                <c:pt idx="28">
                  <c:v>9.9875000000000007</c:v>
                </c:pt>
                <c:pt idx="29">
                  <c:v>11.1875</c:v>
                </c:pt>
                <c:pt idx="30">
                  <c:v>9.6375000000000011</c:v>
                </c:pt>
                <c:pt idx="31">
                  <c:v>8.2475000000000005</c:v>
                </c:pt>
                <c:pt idx="32">
                  <c:v>9.0675000000000008</c:v>
                </c:pt>
                <c:pt idx="33">
                  <c:v>8.8674999999999997</c:v>
                </c:pt>
                <c:pt idx="34">
                  <c:v>10.307500000000001</c:v>
                </c:pt>
                <c:pt idx="35">
                  <c:v>6.9075000000000006</c:v>
                </c:pt>
                <c:pt idx="36">
                  <c:v>8.6974999999999998</c:v>
                </c:pt>
                <c:pt idx="37">
                  <c:v>7.4375</c:v>
                </c:pt>
                <c:pt idx="38">
                  <c:v>6.1675000000000004</c:v>
                </c:pt>
                <c:pt idx="39">
                  <c:v>5.7775000000000007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9-41E5-A1D0-B3E593D7F7FE}"/>
            </c:ext>
          </c:extLst>
        </c:ser>
        <c:ser>
          <c:idx val="1"/>
          <c:order val="1"/>
          <c:tx>
            <c:v>Functional teeth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measurements'!$C$7:$AP$7</c:f>
              <c:numCache>
                <c:formatCode>General</c:formatCode>
                <c:ptCount val="40"/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5.8175000000000008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9-41E5-A1D0-B3E593D7F7FE}"/>
            </c:ext>
          </c:extLst>
        </c:ser>
        <c:ser>
          <c:idx val="2"/>
          <c:order val="2"/>
          <c:tx>
            <c:v>Replacement teeth 1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measurements'!$C$8:$AP$8</c:f>
              <c:numCache>
                <c:formatCode>General</c:formatCode>
                <c:ptCount val="40"/>
                <c:pt idx="20">
                  <c:v>1.2775000000000001</c:v>
                </c:pt>
                <c:pt idx="21">
                  <c:v>2.1875</c:v>
                </c:pt>
                <c:pt idx="22">
                  <c:v>3.0175000000000001</c:v>
                </c:pt>
                <c:pt idx="23">
                  <c:v>2.2675000000000001</c:v>
                </c:pt>
                <c:pt idx="24">
                  <c:v>2.8275000000000001</c:v>
                </c:pt>
                <c:pt idx="25">
                  <c:v>2.0074999999999998</c:v>
                </c:pt>
                <c:pt idx="26">
                  <c:v>5.7975000000000003</c:v>
                </c:pt>
                <c:pt idx="27">
                  <c:v>3.3075000000000001</c:v>
                </c:pt>
                <c:pt idx="28">
                  <c:v>1.6375</c:v>
                </c:pt>
                <c:pt idx="29">
                  <c:v>2.4175</c:v>
                </c:pt>
                <c:pt idx="30">
                  <c:v>3.1274999999999999</c:v>
                </c:pt>
                <c:pt idx="31">
                  <c:v>1.2375</c:v>
                </c:pt>
                <c:pt idx="32">
                  <c:v>2.7675000000000001</c:v>
                </c:pt>
                <c:pt idx="33">
                  <c:v>1.2775000000000001</c:v>
                </c:pt>
                <c:pt idx="34">
                  <c:v>2.8875000000000002</c:v>
                </c:pt>
                <c:pt idx="35">
                  <c:v>0.77749999999999997</c:v>
                </c:pt>
                <c:pt idx="36">
                  <c:v>1.6675</c:v>
                </c:pt>
                <c:pt idx="37">
                  <c:v>2.0674999999999999</c:v>
                </c:pt>
                <c:pt idx="38">
                  <c:v>0.77749999999999997</c:v>
                </c:pt>
                <c:pt idx="39">
                  <c:v>1.6074999999999999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9-41E5-A1D0-B3E593D7F7FE}"/>
            </c:ext>
          </c:extLst>
        </c:ser>
        <c:ser>
          <c:idx val="3"/>
          <c:order val="3"/>
          <c:tx>
            <c:v>Replacemetn teeth 1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measurements'!$C$9:$AP$9</c:f>
              <c:numCache>
                <c:formatCode>General</c:formatCode>
                <c:ptCount val="40"/>
                <c:pt idx="20">
                  <c:v>3.1675</c:v>
                </c:pt>
                <c:pt idx="21">
                  <c:v>1.7175</c:v>
                </c:pt>
                <c:pt idx="22">
                  <c:v>4.5175000000000001</c:v>
                </c:pt>
                <c:pt idx="23">
                  <c:v>2.2675000000000001</c:v>
                </c:pt>
                <c:pt idx="24">
                  <c:v>2.0674999999999999</c:v>
                </c:pt>
                <c:pt idx="25">
                  <c:v>0.87749999999999995</c:v>
                </c:pt>
                <c:pt idx="26">
                  <c:v>2.2075</c:v>
                </c:pt>
                <c:pt idx="27">
                  <c:v>1.1475</c:v>
                </c:pt>
                <c:pt idx="28">
                  <c:v>0.28749999999999998</c:v>
                </c:pt>
                <c:pt idx="29">
                  <c:v>1.3975</c:v>
                </c:pt>
                <c:pt idx="30">
                  <c:v>0.75749999999999995</c:v>
                </c:pt>
                <c:pt idx="31">
                  <c:v>2.5874999999999999</c:v>
                </c:pt>
                <c:pt idx="32">
                  <c:v>0.5675</c:v>
                </c:pt>
                <c:pt idx="33">
                  <c:v>1.6174999999999999</c:v>
                </c:pt>
                <c:pt idx="34">
                  <c:v>2.6274999999999999</c:v>
                </c:pt>
                <c:pt idx="35">
                  <c:v>0.61749999999999994</c:v>
                </c:pt>
                <c:pt idx="36">
                  <c:v>1.1875</c:v>
                </c:pt>
                <c:pt idx="37">
                  <c:v>2.7075</c:v>
                </c:pt>
                <c:pt idx="38">
                  <c:v>0.90749999999999997</c:v>
                </c:pt>
                <c:pt idx="39">
                  <c:v>1.6274999999999999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9-41E5-A1D0-B3E593D7F7FE}"/>
            </c:ext>
          </c:extLst>
        </c:ser>
        <c:ser>
          <c:idx val="4"/>
          <c:order val="4"/>
          <c:tx>
            <c:v>Replacement teeth 2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measurements'!$C$10:$AP$10</c:f>
              <c:numCache>
                <c:formatCode>General</c:formatCode>
                <c:ptCount val="40"/>
                <c:pt idx="24">
                  <c:v>0.3775</c:v>
                </c:pt>
                <c:pt idx="26">
                  <c:v>1.0075000000000001</c:v>
                </c:pt>
                <c:pt idx="30">
                  <c:v>0.3075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C-4796-8A37-2B5CF59BC029}"/>
            </c:ext>
          </c:extLst>
        </c:ser>
        <c:ser>
          <c:idx val="5"/>
          <c:order val="5"/>
          <c:tx>
            <c:v>Replacement teeth 2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measurements'!$C$11:$AP$11</c:f>
              <c:numCache>
                <c:formatCode>General</c:formatCode>
                <c:ptCount val="40"/>
                <c:pt idx="22">
                  <c:v>0.51749999999999996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C-4796-8A37-2B5CF59BC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80736"/>
        <c:axId val="76582272"/>
      </c:barChart>
      <c:catAx>
        <c:axId val="765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6582272"/>
        <c:crosses val="autoZero"/>
        <c:auto val="1"/>
        <c:lblAlgn val="ctr"/>
        <c:lblOffset val="100"/>
        <c:noMultiLvlLbl val="0"/>
      </c:catAx>
      <c:valAx>
        <c:axId val="76582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5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 width by tooth position upper dentition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32361164191648"/>
          <c:y val="7.2859408871795386E-2"/>
          <c:w val="0.56069578525761843"/>
          <c:h val="0.83126620770560633"/>
        </c:manualLayout>
      </c:layout>
      <c:scatterChart>
        <c:scatterStyle val="lineMarker"/>
        <c:varyColors val="0"/>
        <c:ser>
          <c:idx val="0"/>
          <c:order val="0"/>
          <c:tx>
            <c:v>Small Alligator fuctional teeth upper dentition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position'!$G$35:$Z$35</c:f>
              <c:numCache>
                <c:formatCode>General</c:formatCode>
                <c:ptCount val="20"/>
                <c:pt idx="2" formatCode="0.000">
                  <c:v>1.8500000000000003E-2</c:v>
                </c:pt>
                <c:pt idx="10" formatCode="0.0000">
                  <c:v>1.2666666666666666E-2</c:v>
                </c:pt>
                <c:pt idx="11" formatCode="0.0000">
                  <c:v>1.5333333333333332E-2</c:v>
                </c:pt>
                <c:pt idx="16" formatCode="0.0000">
                  <c:v>1.2E-2</c:v>
                </c:pt>
                <c:pt idx="17" formatCode="0.0000">
                  <c:v>1.1666666666666665E-2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C-4349-A1E0-25ED8538F617}"/>
            </c:ext>
          </c:extLst>
        </c:ser>
        <c:ser>
          <c:idx val="1"/>
          <c:order val="1"/>
          <c:tx>
            <c:v>Small Alligator replacement teeth upper dentition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position'!$G$36:$Z$36</c:f>
              <c:numCache>
                <c:formatCode>General</c:formatCode>
                <c:ptCount val="20"/>
                <c:pt idx="16" formatCode="0.0000">
                  <c:v>1.15E-2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EC-4349-A1E0-25ED8538F617}"/>
            </c:ext>
          </c:extLst>
        </c:ser>
        <c:ser>
          <c:idx val="4"/>
          <c:order val="2"/>
          <c:tx>
            <c:v>Medium Alligator funcional teeth upper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position'!$G$37:$Z$37</c:f>
              <c:numCache>
                <c:formatCode>General</c:formatCode>
                <c:ptCount val="20"/>
                <c:pt idx="2" formatCode="0.0000">
                  <c:v>1.555E-2</c:v>
                </c:pt>
                <c:pt idx="10" formatCode="0.0000">
                  <c:v>1.15E-2</c:v>
                </c:pt>
                <c:pt idx="16" formatCode="0.0000">
                  <c:v>8.9999999999999993E-3</c:v>
                </c:pt>
                <c:pt idx="17" formatCode="0.0000">
                  <c:v>1.35E-2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EC-4349-A1E0-25ED8538F617}"/>
            </c:ext>
          </c:extLst>
        </c:ser>
        <c:ser>
          <c:idx val="5"/>
          <c:order val="3"/>
          <c:tx>
            <c:v>Medium Alligator replacement teeth upper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position'!$G$38:$Z$38</c:f>
              <c:numCache>
                <c:formatCode>General</c:formatCode>
                <c:ptCount val="20"/>
                <c:pt idx="2" formatCode="0.0000">
                  <c:v>2.4550000000000002E-2</c:v>
                </c:pt>
                <c:pt idx="10" formatCode="0.0000">
                  <c:v>3.6999999999999998E-2</c:v>
                </c:pt>
                <c:pt idx="17" formatCode="0.0000">
                  <c:v>1.5333333333333332E-2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EC-4349-A1E0-25ED8538F617}"/>
            </c:ext>
          </c:extLst>
        </c:ser>
        <c:ser>
          <c:idx val="8"/>
          <c:order val="4"/>
          <c:tx>
            <c:v>Large Alligator functional teeth upper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position'!$G$39:$Z$39</c:f>
              <c:numCache>
                <c:formatCode>General</c:formatCode>
                <c:ptCount val="20"/>
                <c:pt idx="0" formatCode="0.0000">
                  <c:v>1.4250000000000001E-2</c:v>
                </c:pt>
                <c:pt idx="10" formatCode="0.0000">
                  <c:v>1.7000000000000001E-2</c:v>
                </c:pt>
                <c:pt idx="11" formatCode="0.0000">
                  <c:v>1.7099999999999997E-2</c:v>
                </c:pt>
                <c:pt idx="17" formatCode="0.0000">
                  <c:v>1.8749999999999999E-2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EC-4349-A1E0-25ED8538F617}"/>
            </c:ext>
          </c:extLst>
        </c:ser>
        <c:ser>
          <c:idx val="9"/>
          <c:order val="5"/>
          <c:tx>
            <c:v>Large Alligator replacement teeth upper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position'!$G$40:$Z$40</c:f>
              <c:numCache>
                <c:formatCode>General</c:formatCode>
                <c:ptCount val="20"/>
                <c:pt idx="10" formatCode="0.0000">
                  <c:v>0.01</c:v>
                </c:pt>
                <c:pt idx="11" formatCode="0.0000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EC-4349-A1E0-25ED8538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150600"/>
        <c:axId val="476151912"/>
      </c:scatterChart>
      <c:valAx>
        <c:axId val="47615060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Tooth postion</a:t>
                </a:r>
              </a:p>
            </c:rich>
          </c:tx>
          <c:layout>
            <c:manualLayout>
              <c:xMode val="edge"/>
              <c:yMode val="edge"/>
              <c:x val="3.6258757822411457E-3"/>
              <c:y val="0.9222820391657045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1912"/>
        <c:crosses val="autoZero"/>
        <c:crossBetween val="midCat"/>
      </c:valAx>
      <c:valAx>
        <c:axId val="47615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aseline="0"/>
                  <a:t>mean  increment width/mm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0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166721485506909"/>
          <c:y val="8.5559299592658719E-2"/>
          <c:w val="0.31564710228491089"/>
          <c:h val="0.85751997214738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lgDashDot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2361164191648"/>
          <c:y val="7.2859408871795386E-2"/>
          <c:w val="0.56069578525761843"/>
          <c:h val="0.83126620770560633"/>
        </c:manualLayout>
      </c:layout>
      <c:scatterChart>
        <c:scatterStyle val="lineMarker"/>
        <c:varyColors val="0"/>
        <c:ser>
          <c:idx val="0"/>
          <c:order val="0"/>
          <c:tx>
            <c:v>Small Alligator fuctional teeth lower dentition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position'!$AU$28:$BN$28</c:f>
              <c:numCache>
                <c:formatCode>0.0000</c:formatCode>
                <c:ptCount val="20"/>
                <c:pt idx="1">
                  <c:v>1.3333333333333334E-2</c:v>
                </c:pt>
                <c:pt idx="3">
                  <c:v>1.7500000000000002E-2</c:v>
                </c:pt>
                <c:pt idx="11">
                  <c:v>1.44E-2</c:v>
                </c:pt>
                <c:pt idx="17">
                  <c:v>1.4500000000000001E-2</c:v>
                </c:pt>
                <c:pt idx="18">
                  <c:v>1.2499999999999999E-2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63-42C8-A4B0-4410C1248FCD}"/>
            </c:ext>
          </c:extLst>
        </c:ser>
        <c:ser>
          <c:idx val="1"/>
          <c:order val="1"/>
          <c:tx>
            <c:v>Small Alligator replacement teeth lower dentition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position'!$AU$29:$BN$29</c:f>
              <c:numCache>
                <c:formatCode>General</c:formatCode>
                <c:ptCount val="20"/>
                <c:pt idx="3" formatCode="0.0000">
                  <c:v>1.2E-2</c:v>
                </c:pt>
                <c:pt idx="11" formatCode="0.0000">
                  <c:v>1.2999999999999999E-2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63-42C8-A4B0-4410C1248FCD}"/>
            </c:ext>
          </c:extLst>
        </c:ser>
        <c:ser>
          <c:idx val="4"/>
          <c:order val="2"/>
          <c:tx>
            <c:v>Medium Alligator funcional teeth lower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position'!$AU$30:$BN$30</c:f>
              <c:numCache>
                <c:formatCode>0.0000</c:formatCode>
                <c:ptCount val="20"/>
                <c:pt idx="10">
                  <c:v>1.15E-2</c:v>
                </c:pt>
                <c:pt idx="11">
                  <c:v>1.4333333333333332E-2</c:v>
                </c:pt>
                <c:pt idx="17">
                  <c:v>1.2749999999999999E-2</c:v>
                </c:pt>
                <c:pt idx="18">
                  <c:v>9.4285714285714285E-3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63-42C8-A4B0-4410C1248FCD}"/>
            </c:ext>
          </c:extLst>
        </c:ser>
        <c:ser>
          <c:idx val="5"/>
          <c:order val="3"/>
          <c:tx>
            <c:v>Medium Alligator replacement teeth lower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position'!$AU$31:$BN$31</c:f>
              <c:numCache>
                <c:formatCode>0.0000</c:formatCode>
                <c:ptCount val="20"/>
                <c:pt idx="10">
                  <c:v>2.2993915920411868E-2</c:v>
                </c:pt>
                <c:pt idx="18">
                  <c:v>2.4E-2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63-42C8-A4B0-4410C1248FCD}"/>
            </c:ext>
          </c:extLst>
        </c:ser>
        <c:ser>
          <c:idx val="8"/>
          <c:order val="4"/>
          <c:tx>
            <c:v>Large Alligator functional teeth lower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position'!$AU$32:$BN$32</c:f>
              <c:numCache>
                <c:formatCode>0.0000</c:formatCode>
                <c:ptCount val="20"/>
                <c:pt idx="3">
                  <c:v>2.3E-2</c:v>
                </c:pt>
                <c:pt idx="10">
                  <c:v>1.666666666666667E-2</c:v>
                </c:pt>
                <c:pt idx="15">
                  <c:v>2.7E-2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63-42C8-A4B0-4410C1248FCD}"/>
            </c:ext>
          </c:extLst>
        </c:ser>
        <c:ser>
          <c:idx val="9"/>
          <c:order val="5"/>
          <c:tx>
            <c:v>Large Alligator replacement teeth lower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position'!$AU$33:$BN$33</c:f>
              <c:numCache>
                <c:formatCode>0.0000</c:formatCode>
                <c:ptCount val="20"/>
                <c:pt idx="1">
                  <c:v>1.2999999999999999E-2</c:v>
                </c:pt>
                <c:pt idx="3">
                  <c:v>1.8333333333333337E-2</c:v>
                </c:pt>
                <c:pt idx="14">
                  <c:v>2.5999999999999999E-2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63-42C8-A4B0-4410C124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150600"/>
        <c:axId val="476151912"/>
      </c:scatterChart>
      <c:valAx>
        <c:axId val="47615060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Tooth postion</a:t>
                </a:r>
              </a:p>
            </c:rich>
          </c:tx>
          <c:layout>
            <c:manualLayout>
              <c:xMode val="edge"/>
              <c:yMode val="edge"/>
              <c:x val="3.6258757822411457E-3"/>
              <c:y val="0.9222820391657045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1912"/>
        <c:crosses val="autoZero"/>
        <c:crossBetween val="midCat"/>
      </c:valAx>
      <c:valAx>
        <c:axId val="4761519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aseline="0">
                    <a:solidFill>
                      <a:schemeClr val="tx1"/>
                    </a:solidFill>
                  </a:rPr>
                  <a:t>mean  increment width/mm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06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8166721485506909"/>
          <c:y val="8.5559299592658719E-2"/>
          <c:w val="0.31564710228491089"/>
          <c:h val="0.85751997214738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lgDashDot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0996657800055"/>
          <c:y val="7.2859408871795386E-2"/>
          <c:w val="0.78542600749781066"/>
          <c:h val="0.83126620770560633"/>
        </c:manualLayout>
      </c:layout>
      <c:scatterChart>
        <c:scatterStyle val="lineMarker"/>
        <c:varyColors val="0"/>
        <c:ser>
          <c:idx val="0"/>
          <c:order val="0"/>
          <c:tx>
            <c:v>Small Alligator fuctional teeth upper dentition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position'!$G$35:$Z$35</c:f>
              <c:numCache>
                <c:formatCode>General</c:formatCode>
                <c:ptCount val="20"/>
                <c:pt idx="2" formatCode="0.000">
                  <c:v>1.8500000000000003E-2</c:v>
                </c:pt>
                <c:pt idx="10" formatCode="0.0000">
                  <c:v>1.2666666666666666E-2</c:v>
                </c:pt>
                <c:pt idx="11" formatCode="0.0000">
                  <c:v>1.5333333333333332E-2</c:v>
                </c:pt>
                <c:pt idx="16" formatCode="0.0000">
                  <c:v>1.2E-2</c:v>
                </c:pt>
                <c:pt idx="17" formatCode="0.0000">
                  <c:v>1.1666666666666665E-2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98-4A86-8F99-2D1F0B2044FA}"/>
            </c:ext>
          </c:extLst>
        </c:ser>
        <c:ser>
          <c:idx val="1"/>
          <c:order val="1"/>
          <c:tx>
            <c:v>Small Alligator replacement teeth upper dentition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position'!$G$36:$Z$36</c:f>
              <c:numCache>
                <c:formatCode>General</c:formatCode>
                <c:ptCount val="20"/>
                <c:pt idx="16" formatCode="0.0000">
                  <c:v>1.15E-2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98-4A86-8F99-2D1F0B2044FA}"/>
            </c:ext>
          </c:extLst>
        </c:ser>
        <c:ser>
          <c:idx val="4"/>
          <c:order val="2"/>
          <c:tx>
            <c:v>Medium Alligator funcional teeth upper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position'!$G$37:$Z$37</c:f>
              <c:numCache>
                <c:formatCode>General</c:formatCode>
                <c:ptCount val="20"/>
                <c:pt idx="2" formatCode="0.0000">
                  <c:v>1.555E-2</c:v>
                </c:pt>
                <c:pt idx="10" formatCode="0.0000">
                  <c:v>1.15E-2</c:v>
                </c:pt>
                <c:pt idx="16" formatCode="0.0000">
                  <c:v>8.9999999999999993E-3</c:v>
                </c:pt>
                <c:pt idx="17" formatCode="0.0000">
                  <c:v>1.35E-2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98-4A86-8F99-2D1F0B2044FA}"/>
            </c:ext>
          </c:extLst>
        </c:ser>
        <c:ser>
          <c:idx val="5"/>
          <c:order val="3"/>
          <c:tx>
            <c:v>Medium Alligator replacement teeth upper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position'!$G$38:$Z$38</c:f>
              <c:numCache>
                <c:formatCode>General</c:formatCode>
                <c:ptCount val="20"/>
                <c:pt idx="2" formatCode="0.0000">
                  <c:v>2.4550000000000002E-2</c:v>
                </c:pt>
                <c:pt idx="10" formatCode="0.0000">
                  <c:v>3.6999999999999998E-2</c:v>
                </c:pt>
                <c:pt idx="17" formatCode="0.0000">
                  <c:v>1.5333333333333332E-2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98-4A86-8F99-2D1F0B2044FA}"/>
            </c:ext>
          </c:extLst>
        </c:ser>
        <c:ser>
          <c:idx val="8"/>
          <c:order val="4"/>
          <c:tx>
            <c:v>Large Alligator functional teeth upper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position'!$G$39:$Z$39</c:f>
              <c:numCache>
                <c:formatCode>General</c:formatCode>
                <c:ptCount val="20"/>
                <c:pt idx="0" formatCode="0.0000">
                  <c:v>1.4250000000000001E-2</c:v>
                </c:pt>
                <c:pt idx="10" formatCode="0.0000">
                  <c:v>1.7000000000000001E-2</c:v>
                </c:pt>
                <c:pt idx="11" formatCode="0.0000">
                  <c:v>1.7099999999999997E-2</c:v>
                </c:pt>
                <c:pt idx="17" formatCode="0.0000">
                  <c:v>1.8749999999999999E-2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98-4A86-8F99-2D1F0B2044FA}"/>
            </c:ext>
          </c:extLst>
        </c:ser>
        <c:ser>
          <c:idx val="9"/>
          <c:order val="5"/>
          <c:tx>
            <c:v>Large Alligator replacement teeth upper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position'!$G$34:$Z$34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position'!$G$40:$Z$40</c:f>
              <c:numCache>
                <c:formatCode>General</c:formatCode>
                <c:ptCount val="20"/>
                <c:pt idx="10" formatCode="0.0000">
                  <c:v>0.01</c:v>
                </c:pt>
                <c:pt idx="11" formatCode="0.0000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98-4A86-8F99-2D1F0B20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150600"/>
        <c:axId val="476151912"/>
      </c:scatterChart>
      <c:valAx>
        <c:axId val="47615060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Tooth postion</a:t>
                </a:r>
              </a:p>
            </c:rich>
          </c:tx>
          <c:layout>
            <c:manualLayout>
              <c:xMode val="edge"/>
              <c:yMode val="edge"/>
              <c:x val="3.6258757822411457E-3"/>
              <c:y val="0.9222820391657045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1912"/>
        <c:crosses val="autoZero"/>
        <c:crossBetween val="midCat"/>
      </c:valAx>
      <c:valAx>
        <c:axId val="4761519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aseline="0">
                    <a:solidFill>
                      <a:schemeClr val="tx1"/>
                    </a:solidFill>
                  </a:rPr>
                  <a:t>mean  increment width/mm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06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lgDashDot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4608923884515"/>
          <c:y val="7.2859408871795386E-2"/>
          <c:w val="0.78613564304461936"/>
          <c:h val="0.83126620770560633"/>
        </c:manualLayout>
      </c:layout>
      <c:scatterChart>
        <c:scatterStyle val="lineMarker"/>
        <c:varyColors val="0"/>
        <c:ser>
          <c:idx val="0"/>
          <c:order val="0"/>
          <c:tx>
            <c:v>Small Alligator fuctional teeth lower dentition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position'!$AU$28:$BN$28</c:f>
              <c:numCache>
                <c:formatCode>0.0000</c:formatCode>
                <c:ptCount val="20"/>
                <c:pt idx="1">
                  <c:v>1.3333333333333334E-2</c:v>
                </c:pt>
                <c:pt idx="3">
                  <c:v>1.7500000000000002E-2</c:v>
                </c:pt>
                <c:pt idx="11">
                  <c:v>1.44E-2</c:v>
                </c:pt>
                <c:pt idx="17">
                  <c:v>1.4500000000000001E-2</c:v>
                </c:pt>
                <c:pt idx="18">
                  <c:v>1.2499999999999999E-2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D6-4D19-99AA-DDEE16DCF54B}"/>
            </c:ext>
          </c:extLst>
        </c:ser>
        <c:ser>
          <c:idx val="1"/>
          <c:order val="1"/>
          <c:tx>
            <c:v>Small Alligator replacement teeth lower dentition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position'!$AU$29:$BN$29</c:f>
              <c:numCache>
                <c:formatCode>General</c:formatCode>
                <c:ptCount val="20"/>
                <c:pt idx="3" formatCode="0.0000">
                  <c:v>1.2E-2</c:v>
                </c:pt>
                <c:pt idx="11" formatCode="0.0000">
                  <c:v>1.2999999999999999E-2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D6-4D19-99AA-DDEE16DCF54B}"/>
            </c:ext>
          </c:extLst>
        </c:ser>
        <c:ser>
          <c:idx val="4"/>
          <c:order val="2"/>
          <c:tx>
            <c:v>Medium Alligator funcional teeth lower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position'!$AU$30:$BN$30</c:f>
              <c:numCache>
                <c:formatCode>0.0000</c:formatCode>
                <c:ptCount val="20"/>
                <c:pt idx="10">
                  <c:v>1.15E-2</c:v>
                </c:pt>
                <c:pt idx="11">
                  <c:v>1.4333333333333332E-2</c:v>
                </c:pt>
                <c:pt idx="17">
                  <c:v>1.2749999999999999E-2</c:v>
                </c:pt>
                <c:pt idx="18">
                  <c:v>9.4285714285714285E-3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D6-4D19-99AA-DDEE16DCF54B}"/>
            </c:ext>
          </c:extLst>
        </c:ser>
        <c:ser>
          <c:idx val="5"/>
          <c:order val="3"/>
          <c:tx>
            <c:v>Medium Alligator replacement teeth lower dentition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position'!$AU$31:$BN$31</c:f>
              <c:numCache>
                <c:formatCode>0.0000</c:formatCode>
                <c:ptCount val="20"/>
                <c:pt idx="10">
                  <c:v>2.2993915920411868E-2</c:v>
                </c:pt>
                <c:pt idx="18">
                  <c:v>2.4E-2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D6-4D19-99AA-DDEE16DCF54B}"/>
            </c:ext>
          </c:extLst>
        </c:ser>
        <c:ser>
          <c:idx val="8"/>
          <c:order val="4"/>
          <c:tx>
            <c:v>Large Alligator functional teeth lower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position'!$AU$32:$BN$32</c:f>
              <c:numCache>
                <c:formatCode>0.0000</c:formatCode>
                <c:ptCount val="20"/>
                <c:pt idx="3">
                  <c:v>2.3E-2</c:v>
                </c:pt>
                <c:pt idx="10">
                  <c:v>1.666666666666667E-2</c:v>
                </c:pt>
                <c:pt idx="15">
                  <c:v>2.7E-2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D6-4D19-99AA-DDEE16DCF54B}"/>
            </c:ext>
          </c:extLst>
        </c:ser>
        <c:ser>
          <c:idx val="9"/>
          <c:order val="5"/>
          <c:tx>
            <c:v>Large Alligator replacement teeth lower dentition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'VEIW by tooth position'!$AU$27:$BN$27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'VEIW by tooth position'!$AU$33:$BN$33</c:f>
              <c:numCache>
                <c:formatCode>0.0000</c:formatCode>
                <c:ptCount val="20"/>
                <c:pt idx="1">
                  <c:v>1.2999999999999999E-2</c:v>
                </c:pt>
                <c:pt idx="3">
                  <c:v>1.8333333333333337E-2</c:v>
                </c:pt>
                <c:pt idx="14">
                  <c:v>2.5999999999999999E-2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D6-4D19-99AA-DDEE16DC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150600"/>
        <c:axId val="476151912"/>
      </c:scatterChart>
      <c:valAx>
        <c:axId val="47615060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Tooth postion</a:t>
                </a:r>
              </a:p>
            </c:rich>
          </c:tx>
          <c:layout>
            <c:manualLayout>
              <c:xMode val="edge"/>
              <c:yMode val="edge"/>
              <c:x val="3.6258757822411457E-3"/>
              <c:y val="0.9222820391657045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1912"/>
        <c:crosses val="autoZero"/>
        <c:crossBetween val="midCat"/>
      </c:valAx>
      <c:valAx>
        <c:axId val="4761519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aseline="0">
                    <a:solidFill>
                      <a:schemeClr val="tx1"/>
                    </a:solidFill>
                  </a:rPr>
                  <a:t>mean  increment width/mm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506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lgDashDot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TFT differences </a:t>
            </a:r>
          </a:p>
          <a:p>
            <a:pPr>
              <a:defRPr sz="2400"/>
            </a:pPr>
            <a:r>
              <a:rPr lang="en-US" sz="2400"/>
              <a:t>for exteme VEIW values</a:t>
            </a:r>
          </a:p>
        </c:rich>
      </c:tx>
      <c:layout>
        <c:manualLayout>
          <c:xMode val="edge"/>
          <c:yMode val="edge"/>
          <c:x val="0.80796439362976857"/>
          <c:y val="2.5277844790265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32012778701894E-2"/>
          <c:y val="9.8788430174907335E-2"/>
          <c:w val="0.72744179058216507"/>
          <c:h val="0.7868709088475996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'TFT +- SD'!$AA$11</c:f>
              <c:strCache>
                <c:ptCount val="1"/>
                <c:pt idx="0">
                  <c:v>TFT + SD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'TFT +- SD'!$AB$8:$AZ$8</c:f>
              <c:numCache>
                <c:formatCode>0.0000</c:formatCode>
                <c:ptCount val="25"/>
                <c:pt idx="0" formatCode="General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 formatCode="General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 formatCode="0.000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'TFT +- SD'!$AB$15:$AZ$15</c:f>
              <c:numCache>
                <c:formatCode>General</c:formatCode>
                <c:ptCount val="25"/>
                <c:pt idx="0">
                  <c:v>66.427811936572539</c:v>
                </c:pt>
                <c:pt idx="1">
                  <c:v>71.377477522229441</c:v>
                </c:pt>
                <c:pt idx="2">
                  <c:v>58.337054930778322</c:v>
                </c:pt>
                <c:pt idx="3">
                  <c:v>58.337054930778351</c:v>
                </c:pt>
                <c:pt idx="4">
                  <c:v>37.68324984920406</c:v>
                </c:pt>
                <c:pt idx="5">
                  <c:v>66.427811936572539</c:v>
                </c:pt>
                <c:pt idx="6">
                  <c:v>56.06101985876478</c:v>
                </c:pt>
                <c:pt idx="7">
                  <c:v>62.120098569020001</c:v>
                </c:pt>
                <c:pt idx="8">
                  <c:v>31.489557537638888</c:v>
                </c:pt>
                <c:pt idx="9">
                  <c:v>34.934720770221958</c:v>
                </c:pt>
                <c:pt idx="10">
                  <c:v>49.325460849267131</c:v>
                </c:pt>
                <c:pt idx="11">
                  <c:v>69.647617662740572</c:v>
                </c:pt>
                <c:pt idx="12">
                  <c:v>91.926300300684574</c:v>
                </c:pt>
                <c:pt idx="13">
                  <c:v>45.426954569884003</c:v>
                </c:pt>
                <c:pt idx="14">
                  <c:v>49.838715271756115</c:v>
                </c:pt>
                <c:pt idx="15">
                  <c:v>60.805721298294628</c:v>
                </c:pt>
                <c:pt idx="16">
                  <c:v>22.581760462667575</c:v>
                </c:pt>
                <c:pt idx="17">
                  <c:v>35.364623071054126</c:v>
                </c:pt>
                <c:pt idx="18">
                  <c:v>40.327243130981458</c:v>
                </c:pt>
                <c:pt idx="19">
                  <c:v>21.565037294952802</c:v>
                </c:pt>
                <c:pt idx="20">
                  <c:v>50.628941897748518</c:v>
                </c:pt>
                <c:pt idx="21">
                  <c:v>38.907692724269594</c:v>
                </c:pt>
                <c:pt idx="22">
                  <c:v>34.309113918005806</c:v>
                </c:pt>
                <c:pt idx="23">
                  <c:v>39.226338347301464</c:v>
                </c:pt>
                <c:pt idx="24">
                  <c:v>26.301916494298098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F-41C5-A371-71AE7DF0CA95}"/>
            </c:ext>
          </c:extLst>
        </c:ser>
        <c:ser>
          <c:idx val="4"/>
          <c:order val="1"/>
          <c:tx>
            <c:strRef>
              <c:f>'TFT +- SD'!$AA$12</c:f>
              <c:strCache>
                <c:ptCount val="1"/>
                <c:pt idx="0">
                  <c:v>TFT - SD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'TFT +- SD'!$AB$8:$AZ$8</c:f>
              <c:numCache>
                <c:formatCode>0.0000</c:formatCode>
                <c:ptCount val="25"/>
                <c:pt idx="0" formatCode="General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 formatCode="General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 formatCode="0.000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'TFT +- SD'!$AB$16:$AZ$16</c:f>
              <c:numCache>
                <c:formatCode>General</c:formatCode>
                <c:ptCount val="25"/>
                <c:pt idx="0">
                  <c:v>-28.527467291389556</c:v>
                </c:pt>
                <c:pt idx="1">
                  <c:v>-29.403098078536487</c:v>
                </c:pt>
                <c:pt idx="2">
                  <c:v>-26.92386966216344</c:v>
                </c:pt>
                <c:pt idx="3">
                  <c:v>-26.92386966216344</c:v>
                </c:pt>
                <c:pt idx="4">
                  <c:v>-21.488283060910135</c:v>
                </c:pt>
                <c:pt idx="5">
                  <c:v>-28.527467291389556</c:v>
                </c:pt>
                <c:pt idx="6">
                  <c:v>-26.42866339274218</c:v>
                </c:pt>
                <c:pt idx="7">
                  <c:v>-27.702481250843476</c:v>
                </c:pt>
                <c:pt idx="8">
                  <c:v>-19.321222552407605</c:v>
                </c:pt>
                <c:pt idx="9">
                  <c:v>-20.565629964648124</c:v>
                </c:pt>
                <c:pt idx="10">
                  <c:v>-24.830219979609126</c:v>
                </c:pt>
                <c:pt idx="11">
                  <c:v>-29.105308999574646</c:v>
                </c:pt>
                <c:pt idx="12">
                  <c:v>-32.385223917600129</c:v>
                </c:pt>
                <c:pt idx="13">
                  <c:v>-23.801951332637628</c:v>
                </c:pt>
                <c:pt idx="14">
                  <c:v>-24.959613680974144</c:v>
                </c:pt>
                <c:pt idx="15">
                  <c:v>-27.437988122744372</c:v>
                </c:pt>
                <c:pt idx="16">
                  <c:v>-15.556084833656328</c:v>
                </c:pt>
                <c:pt idx="17">
                  <c:v>-20.71386354135133</c:v>
                </c:pt>
                <c:pt idx="18">
                  <c:v>-22.322857276017942</c:v>
                </c:pt>
                <c:pt idx="19">
                  <c:v>-15.066740764818746</c:v>
                </c:pt>
                <c:pt idx="20">
                  <c:v>-25.156252735517086</c:v>
                </c:pt>
                <c:pt idx="21">
                  <c:v>-21.880948392696723</c:v>
                </c:pt>
                <c:pt idx="22">
                  <c:v>-20.347215338648255</c:v>
                </c:pt>
                <c:pt idx="23">
                  <c:v>-21.981367314782233</c:v>
                </c:pt>
                <c:pt idx="24">
                  <c:v>-17.23542323885377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F-41C5-A371-71AE7DF0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5139856"/>
        <c:axId val="595138216"/>
      </c:barChart>
      <c:catAx>
        <c:axId val="59513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Crown height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8216"/>
        <c:crosses val="autoZero"/>
        <c:auto val="1"/>
        <c:lblAlgn val="ctr"/>
        <c:lblOffset val="1000"/>
        <c:noMultiLvlLbl val="0"/>
      </c:catAx>
      <c:valAx>
        <c:axId val="595138216"/>
        <c:scaling>
          <c:orientation val="minMax"/>
          <c:max val="100"/>
          <c:min val="-1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relative TFT difference to Control [%] </a:t>
                </a:r>
              </a:p>
            </c:rich>
          </c:tx>
          <c:layout>
            <c:manualLayout>
              <c:xMode val="edge"/>
              <c:yMode val="edge"/>
              <c:x val="0.80381658159641856"/>
              <c:y val="0.2230451250814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985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155398579755127"/>
          <c:y val="0.5001192061671843"/>
          <c:w val="6.9531961479707388E-2"/>
          <c:h val="0.16535008673478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TFT differences </a:t>
            </a:r>
          </a:p>
          <a:p>
            <a:pPr>
              <a:defRPr sz="2400"/>
            </a:pPr>
            <a:r>
              <a:rPr lang="en-US" sz="2400"/>
              <a:t>for exteme VEIW values</a:t>
            </a:r>
          </a:p>
        </c:rich>
      </c:tx>
      <c:layout>
        <c:manualLayout>
          <c:xMode val="edge"/>
          <c:yMode val="edge"/>
          <c:x val="0.80796439362976857"/>
          <c:y val="2.5277844790265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32012778701894E-2"/>
          <c:y val="9.8788430174907335E-2"/>
          <c:w val="0.72744179058216507"/>
          <c:h val="0.7868709088475996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'TFT +- SD'!$AA$17</c:f>
              <c:strCache>
                <c:ptCount val="1"/>
                <c:pt idx="0">
                  <c:v>TFT (tooth specific SD) +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'TFT +- SD'!$AB$8:$AZ$8</c:f>
              <c:numCache>
                <c:formatCode>0.0000</c:formatCode>
                <c:ptCount val="25"/>
                <c:pt idx="0" formatCode="General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 formatCode="General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 formatCode="0.000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'TFT +- SD'!$AB$21:$AZ$21</c:f>
              <c:numCache>
                <c:formatCode>General</c:formatCode>
                <c:ptCount val="25"/>
                <c:pt idx="0">
                  <c:v>33.333333333333314</c:v>
                </c:pt>
                <c:pt idx="1">
                  <c:v>27.777777777777786</c:v>
                </c:pt>
                <c:pt idx="2">
                  <c:v>30.000000000000028</c:v>
                </c:pt>
                <c:pt idx="3">
                  <c:v>39.784946236559136</c:v>
                </c:pt>
                <c:pt idx="4">
                  <c:v>37.795275590551171</c:v>
                </c:pt>
                <c:pt idx="5">
                  <c:v>33.333333333333314</c:v>
                </c:pt>
                <c:pt idx="6">
                  <c:v>29.032258064516157</c:v>
                </c:pt>
                <c:pt idx="7">
                  <c:v>28.865979381443339</c:v>
                </c:pt>
                <c:pt idx="8">
                  <c:v>36.986301369863014</c:v>
                </c:pt>
                <c:pt idx="9">
                  <c:v>27.586206896551715</c:v>
                </c:pt>
                <c:pt idx="10">
                  <c:v>26.08695652173914</c:v>
                </c:pt>
                <c:pt idx="11">
                  <c:v>34.615384615384613</c:v>
                </c:pt>
                <c:pt idx="12">
                  <c:v>25</c:v>
                </c:pt>
                <c:pt idx="13">
                  <c:v>24.324324324324323</c:v>
                </c:pt>
                <c:pt idx="14">
                  <c:v>34.579439252336471</c:v>
                </c:pt>
                <c:pt idx="15">
                  <c:v>31.034482758620669</c:v>
                </c:pt>
                <c:pt idx="16">
                  <c:v>44.444444444444429</c:v>
                </c:pt>
                <c:pt idx="17">
                  <c:v>30.921209235896242</c:v>
                </c:pt>
                <c:pt idx="18">
                  <c:v>26.582278481012651</c:v>
                </c:pt>
                <c:pt idx="19">
                  <c:v>31.707317073170742</c:v>
                </c:pt>
                <c:pt idx="20">
                  <c:v>127.99999999999997</c:v>
                </c:pt>
                <c:pt idx="21">
                  <c:v>180.32786885245906</c:v>
                </c:pt>
                <c:pt idx="22">
                  <c:v>39.40520446096653</c:v>
                </c:pt>
                <c:pt idx="23">
                  <c:v>21.428571428571416</c:v>
                </c:pt>
                <c:pt idx="24">
                  <c:v>27.777777777777771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6-4E83-AB6D-CD59BA9CAF25}"/>
            </c:ext>
          </c:extLst>
        </c:ser>
        <c:ser>
          <c:idx val="4"/>
          <c:order val="1"/>
          <c:tx>
            <c:strRef>
              <c:f>'TFT +- SD'!$AA$18</c:f>
              <c:strCache>
                <c:ptCount val="1"/>
                <c:pt idx="0">
                  <c:v>TFT (tooth specific SD) -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'TFT +- SD'!$AB$8:$AZ$8</c:f>
              <c:numCache>
                <c:formatCode>0.0000</c:formatCode>
                <c:ptCount val="25"/>
                <c:pt idx="0" formatCode="General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 formatCode="General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 formatCode="0.000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'TFT +- SD'!$AB$22:$AZ$22</c:f>
              <c:numCache>
                <c:formatCode>General</c:formatCode>
                <c:ptCount val="25"/>
                <c:pt idx="0">
                  <c:v>-20</c:v>
                </c:pt>
                <c:pt idx="1">
                  <c:v>-17.857142857142847</c:v>
                </c:pt>
                <c:pt idx="2">
                  <c:v>-18.75</c:v>
                </c:pt>
                <c:pt idx="3">
                  <c:v>-22.155688622754482</c:v>
                </c:pt>
                <c:pt idx="4">
                  <c:v>-21.524663677130036</c:v>
                </c:pt>
                <c:pt idx="5">
                  <c:v>-20</c:v>
                </c:pt>
                <c:pt idx="6">
                  <c:v>-18.367346938775512</c:v>
                </c:pt>
                <c:pt idx="7">
                  <c:v>-18.300653594771248</c:v>
                </c:pt>
                <c:pt idx="8">
                  <c:v>-21.259842519685051</c:v>
                </c:pt>
                <c:pt idx="9">
                  <c:v>-17.777777777777786</c:v>
                </c:pt>
                <c:pt idx="10">
                  <c:v>-17.142857142857153</c:v>
                </c:pt>
                <c:pt idx="11">
                  <c:v>-20.454545454545453</c:v>
                </c:pt>
                <c:pt idx="12">
                  <c:v>-16.666666666666657</c:v>
                </c:pt>
                <c:pt idx="13">
                  <c:v>-16.363636363636374</c:v>
                </c:pt>
                <c:pt idx="14">
                  <c:v>-20.44198895027624</c:v>
                </c:pt>
                <c:pt idx="15">
                  <c:v>-19.148936170212778</c:v>
                </c:pt>
                <c:pt idx="16">
                  <c:v>-23.529411764705884</c:v>
                </c:pt>
                <c:pt idx="17">
                  <c:v>-19.105750845712606</c:v>
                </c:pt>
                <c:pt idx="18">
                  <c:v>-17.355371900826427</c:v>
                </c:pt>
                <c:pt idx="19">
                  <c:v>-19.402985074626869</c:v>
                </c:pt>
                <c:pt idx="20">
                  <c:v>-35.955056179775283</c:v>
                </c:pt>
                <c:pt idx="21">
                  <c:v>-39.145907473309613</c:v>
                </c:pt>
                <c:pt idx="22">
                  <c:v>-22.037422037422033</c:v>
                </c:pt>
                <c:pt idx="23">
                  <c:v>-14.999999999999986</c:v>
                </c:pt>
                <c:pt idx="24">
                  <c:v>-17.857142857142861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6-4E83-AB6D-CD59BA9CA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5139856"/>
        <c:axId val="595138216"/>
      </c:barChart>
      <c:catAx>
        <c:axId val="59513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Crown height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8216"/>
        <c:crosses val="autoZero"/>
        <c:auto val="1"/>
        <c:lblAlgn val="ctr"/>
        <c:lblOffset val="1000"/>
        <c:noMultiLvlLbl val="0"/>
      </c:catAx>
      <c:valAx>
        <c:axId val="595138216"/>
        <c:scaling>
          <c:orientation val="minMax"/>
          <c:max val="190"/>
          <c:min val="-1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relative TFT difference to Control [%] </a:t>
                </a:r>
              </a:p>
            </c:rich>
          </c:tx>
          <c:layout>
            <c:manualLayout>
              <c:xMode val="edge"/>
              <c:yMode val="edge"/>
              <c:x val="0.80381658159641856"/>
              <c:y val="0.2230451250814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985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570785005314663"/>
          <c:y val="0.34820357202833674"/>
          <c:w val="0.15955335694355066"/>
          <c:h val="0.164301365763755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</a:t>
            </a:r>
            <a:r>
              <a:rPr lang="en-US" baseline="0"/>
              <a:t> width </a:t>
            </a:r>
            <a:r>
              <a:rPr lang="en-US"/>
              <a:t>vs. Body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Erickson 1992 &amp; 96 (without hatchlings)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log"/>
            <c:dispRSqr val="1"/>
            <c:dispEq val="1"/>
            <c:trendlineLbl>
              <c:layout>
                <c:manualLayout>
                  <c:x val="0.12781167862181064"/>
                  <c:y val="0.20322817226295559"/>
                </c:manualLayout>
              </c:layout>
              <c:numFmt formatCode="General" sourceLinked="0"/>
            </c:trendlineLbl>
          </c:trendline>
          <c:xVal>
            <c:numRef>
              <c:f>('Body length vs. VEIW, TRR'!$E$13:$E$14,'Body length vs. VEIW, TRR'!$E$16:$E$19)</c:f>
              <c:numCache>
                <c:formatCode>General</c:formatCode>
                <c:ptCount val="6"/>
                <c:pt idx="0">
                  <c:v>0.6</c:v>
                </c:pt>
                <c:pt idx="1">
                  <c:v>0.85</c:v>
                </c:pt>
                <c:pt idx="2">
                  <c:v>1.4</c:v>
                </c:pt>
                <c:pt idx="3">
                  <c:v>1.5</c:v>
                </c:pt>
                <c:pt idx="4">
                  <c:v>2.5</c:v>
                </c:pt>
                <c:pt idx="5">
                  <c:v>3.2</c:v>
                </c:pt>
              </c:numCache>
            </c:numRef>
          </c:xVal>
          <c:yVal>
            <c:numRef>
              <c:f>('Body length vs. VEIW, TRR'!$K$13:$K$14,'Body length vs. VEIW, TRR'!$K$16:$K$19)</c:f>
              <c:numCache>
                <c:formatCode>General</c:formatCode>
                <c:ptCount val="6"/>
                <c:pt idx="0">
                  <c:v>6.6</c:v>
                </c:pt>
                <c:pt idx="1">
                  <c:v>10.5</c:v>
                </c:pt>
                <c:pt idx="2">
                  <c:v>13</c:v>
                </c:pt>
                <c:pt idx="3">
                  <c:v>14</c:v>
                </c:pt>
                <c:pt idx="4">
                  <c:v>16.3</c:v>
                </c:pt>
                <c:pt idx="5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DD-49BA-AA7F-CC6EA4C7C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</a:t>
            </a:r>
            <a:r>
              <a:rPr lang="en-US" baseline="0"/>
              <a:t> width </a:t>
            </a:r>
            <a:r>
              <a:rPr lang="en-US"/>
              <a:t>vs. Body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Erickson 1996 and 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738412027083226"/>
                  <c:y val="0.13688045153421569"/>
                </c:manualLayout>
              </c:layout>
              <c:numFmt formatCode="General" sourceLinked="0"/>
            </c:trendlineLbl>
          </c:trendline>
          <c:xVal>
            <c:numRef>
              <c:f>('Body length vs. VEIW, TRR'!$E$12:$E$16,'Body length vs. VEIW, TRR'!$E$20)</c:f>
              <c:numCache>
                <c:formatCode>General</c:formatCode>
                <c:ptCount val="6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3.95</c:v>
                </c:pt>
              </c:numCache>
            </c:numRef>
          </c:xVal>
          <c:yVal>
            <c:numRef>
              <c:f>('Body length vs. VEIW, TRR'!$K$12:$K$16,'Body length vs. VEIW, TRR'!$K$20)</c:f>
              <c:numCache>
                <c:formatCode>General</c:formatCode>
                <c:ptCount val="6"/>
                <c:pt idx="0">
                  <c:v>13.6</c:v>
                </c:pt>
                <c:pt idx="1">
                  <c:v>6.6</c:v>
                </c:pt>
                <c:pt idx="2">
                  <c:v>10.5</c:v>
                </c:pt>
                <c:pt idx="3">
                  <c:v>16.2</c:v>
                </c:pt>
                <c:pt idx="4">
                  <c:v>13</c:v>
                </c:pt>
                <c:pt idx="5">
                  <c:v>18.07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E6-4A1C-93AF-7BF87B89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1996 and 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6480751626852287E-2"/>
                  <c:y val="0.177250487762241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('Body length vs. VEIW, TRR'!$E$12:$E$16,'Body length vs. VEIW, TRR'!$E$20)</c:f>
              <c:numCache>
                <c:formatCode>General</c:formatCode>
                <c:ptCount val="6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3.95</c:v>
                </c:pt>
              </c:numCache>
            </c:numRef>
          </c:xVal>
          <c:yVal>
            <c:numRef>
              <c:f>('Body length vs. VEIW, TRR'!$I$12:$I$16,'Body length vs. VEIW, TRR'!$I$20)</c:f>
              <c:numCache>
                <c:formatCode>General</c:formatCode>
                <c:ptCount val="6"/>
                <c:pt idx="0" formatCode="0">
                  <c:v>90.474024303224979</c:v>
                </c:pt>
                <c:pt idx="1">
                  <c:v>83</c:v>
                </c:pt>
                <c:pt idx="2">
                  <c:v>109</c:v>
                </c:pt>
                <c:pt idx="3" formatCode="0">
                  <c:v>133.61838846785886</c:v>
                </c:pt>
                <c:pt idx="4">
                  <c:v>122</c:v>
                </c:pt>
                <c:pt idx="5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F7-47C0-95F4-5E6894A25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294365634419942"/>
                  <c:y val="0.182354085306015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TRR'!$E$12:$E$20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xVal>
          <c:yVal>
            <c:numRef>
              <c:f>'Body length vs. VEIW, TRR'!$I$12:$I$20</c:f>
              <c:numCache>
                <c:formatCode>General</c:formatCode>
                <c:ptCount val="9"/>
                <c:pt idx="0" formatCode="0">
                  <c:v>90.474024303224979</c:v>
                </c:pt>
                <c:pt idx="1">
                  <c:v>83</c:v>
                </c:pt>
                <c:pt idx="2">
                  <c:v>109</c:v>
                </c:pt>
                <c:pt idx="3" formatCode="0">
                  <c:v>133.61838846785886</c:v>
                </c:pt>
                <c:pt idx="4">
                  <c:v>122</c:v>
                </c:pt>
                <c:pt idx="5">
                  <c:v>115</c:v>
                </c:pt>
                <c:pt idx="6">
                  <c:v>154</c:v>
                </c:pt>
                <c:pt idx="7">
                  <c:v>260</c:v>
                </c:pt>
                <c:pt idx="8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2B-4A21-95C2-7546CF326D59}"/>
            </c:ext>
          </c:extLst>
        </c:ser>
        <c:ser>
          <c:idx val="1"/>
          <c:order val="1"/>
          <c:tx>
            <c:strRef>
              <c:f>'Body length vs. VEIW, TRR'!$F$49</c:f>
              <c:strCache>
                <c:ptCount val="1"/>
                <c:pt idx="0">
                  <c:v>reduced major axis replacement rate no hatchlings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'Body length vs. VEIW, TRR'!$B$50:$B$58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xVal>
          <c:yVal>
            <c:numRef>
              <c:f>'Body length vs. VEIW, TRR'!$F$50:$F$58</c:f>
              <c:numCache>
                <c:formatCode>General</c:formatCode>
                <c:ptCount val="9"/>
                <c:pt idx="0">
                  <c:v>73.590031187066145</c:v>
                </c:pt>
                <c:pt idx="1">
                  <c:v>86.761665767932868</c:v>
                </c:pt>
                <c:pt idx="2">
                  <c:v>101.07865987757063</c:v>
                </c:pt>
                <c:pt idx="3">
                  <c:v>103.94205869949818</c:v>
                </c:pt>
                <c:pt idx="4">
                  <c:v>132.57604691877367</c:v>
                </c:pt>
                <c:pt idx="5">
                  <c:v>138.30284456262879</c:v>
                </c:pt>
                <c:pt idx="6">
                  <c:v>195.57082100117981</c:v>
                </c:pt>
                <c:pt idx="7">
                  <c:v>235.65840450816552</c:v>
                </c:pt>
                <c:pt idx="8">
                  <c:v>278.60938683707877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82-4B73-8ECA-75F09ECAA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Medium sized </a:t>
            </a:r>
            <a:r>
              <a:rPr lang="en-US" i="1"/>
              <a:t>Alligator</a:t>
            </a:r>
          </a:p>
          <a:p>
            <a:pPr>
              <a:defRPr/>
            </a:pPr>
            <a:r>
              <a:rPr lang="en-US"/>
              <a:t>Length of the teeth of the upper tooth row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tooth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measurements'!$C$6:$AP$6</c:f>
              <c:numCache>
                <c:formatCode>General</c:formatCode>
                <c:ptCount val="40"/>
                <c:pt idx="20">
                  <c:v>5.7075000000000005</c:v>
                </c:pt>
                <c:pt idx="21">
                  <c:v>5.1275000000000004</c:v>
                </c:pt>
                <c:pt idx="22">
                  <c:v>9.0274999999999999</c:v>
                </c:pt>
                <c:pt idx="23">
                  <c:v>11.4175</c:v>
                </c:pt>
                <c:pt idx="24">
                  <c:v>7.8175000000000008</c:v>
                </c:pt>
                <c:pt idx="25">
                  <c:v>8.0075000000000003</c:v>
                </c:pt>
                <c:pt idx="26">
                  <c:v>7.2875000000000005</c:v>
                </c:pt>
                <c:pt idx="27">
                  <c:v>12.297500000000001</c:v>
                </c:pt>
                <c:pt idx="28">
                  <c:v>9.9875000000000007</c:v>
                </c:pt>
                <c:pt idx="29">
                  <c:v>11.1875</c:v>
                </c:pt>
                <c:pt idx="30">
                  <c:v>9.6375000000000011</c:v>
                </c:pt>
                <c:pt idx="31">
                  <c:v>8.2475000000000005</c:v>
                </c:pt>
                <c:pt idx="32">
                  <c:v>9.0675000000000008</c:v>
                </c:pt>
                <c:pt idx="33">
                  <c:v>8.8674999999999997</c:v>
                </c:pt>
                <c:pt idx="34">
                  <c:v>10.307500000000001</c:v>
                </c:pt>
                <c:pt idx="35">
                  <c:v>6.9075000000000006</c:v>
                </c:pt>
                <c:pt idx="36">
                  <c:v>8.6974999999999998</c:v>
                </c:pt>
                <c:pt idx="37">
                  <c:v>7.4375</c:v>
                </c:pt>
                <c:pt idx="38">
                  <c:v>6.1675000000000004</c:v>
                </c:pt>
                <c:pt idx="39">
                  <c:v>5.7775000000000007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5-420B-A8D6-13F5AFFEB75F}"/>
            </c:ext>
          </c:extLst>
        </c:ser>
        <c:ser>
          <c:idx val="1"/>
          <c:order val="1"/>
          <c:tx>
            <c:v>Replacement teeth 1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measurements'!$C$8:$AP$8</c:f>
              <c:numCache>
                <c:formatCode>General</c:formatCode>
                <c:ptCount val="40"/>
                <c:pt idx="20">
                  <c:v>1.2775000000000001</c:v>
                </c:pt>
                <c:pt idx="21">
                  <c:v>2.1875</c:v>
                </c:pt>
                <c:pt idx="22">
                  <c:v>3.0175000000000001</c:v>
                </c:pt>
                <c:pt idx="23">
                  <c:v>2.2675000000000001</c:v>
                </c:pt>
                <c:pt idx="24">
                  <c:v>2.8275000000000001</c:v>
                </c:pt>
                <c:pt idx="25">
                  <c:v>2.0074999999999998</c:v>
                </c:pt>
                <c:pt idx="26">
                  <c:v>5.7975000000000003</c:v>
                </c:pt>
                <c:pt idx="27">
                  <c:v>3.3075000000000001</c:v>
                </c:pt>
                <c:pt idx="28">
                  <c:v>1.6375</c:v>
                </c:pt>
                <c:pt idx="29">
                  <c:v>2.4175</c:v>
                </c:pt>
                <c:pt idx="30">
                  <c:v>3.1274999999999999</c:v>
                </c:pt>
                <c:pt idx="31">
                  <c:v>1.2375</c:v>
                </c:pt>
                <c:pt idx="32">
                  <c:v>2.7675000000000001</c:v>
                </c:pt>
                <c:pt idx="33">
                  <c:v>1.2775000000000001</c:v>
                </c:pt>
                <c:pt idx="34">
                  <c:v>2.8875000000000002</c:v>
                </c:pt>
                <c:pt idx="35">
                  <c:v>0.77749999999999997</c:v>
                </c:pt>
                <c:pt idx="36">
                  <c:v>1.6675</c:v>
                </c:pt>
                <c:pt idx="37">
                  <c:v>2.0674999999999999</c:v>
                </c:pt>
                <c:pt idx="38">
                  <c:v>0.77749999999999997</c:v>
                </c:pt>
                <c:pt idx="39">
                  <c:v>1.6074999999999999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5-420B-A8D6-13F5AFFEB75F}"/>
            </c:ext>
          </c:extLst>
        </c:ser>
        <c:ser>
          <c:idx val="2"/>
          <c:order val="2"/>
          <c:tx>
            <c:v>Replacement tooth 2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measurements'!$C$10:$AP$10</c:f>
              <c:numCache>
                <c:formatCode>General</c:formatCode>
                <c:ptCount val="40"/>
                <c:pt idx="24">
                  <c:v>0.3775</c:v>
                </c:pt>
                <c:pt idx="26">
                  <c:v>1.0075000000000001</c:v>
                </c:pt>
                <c:pt idx="30">
                  <c:v>0.3075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8-4749-A0AD-D98702B0F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645120"/>
        <c:axId val="76646656"/>
      </c:barChart>
      <c:catAx>
        <c:axId val="7664512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crossAx val="76646656"/>
        <c:crosses val="autoZero"/>
        <c:auto val="1"/>
        <c:lblAlgn val="ctr"/>
        <c:lblOffset val="100"/>
        <c:noMultiLvlLbl val="0"/>
      </c:catAx>
      <c:valAx>
        <c:axId val="7664665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6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1996 (without hatchlings)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4393831941943758E-2"/>
                  <c:y val="0.100695425382926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('Body length vs. VEIW, TRR'!$E$13:$E$14,'Body length vs. VEIW, TRR'!$E$16)</c:f>
              <c:numCache>
                <c:formatCode>General</c:formatCode>
                <c:ptCount val="3"/>
                <c:pt idx="0">
                  <c:v>0.6</c:v>
                </c:pt>
                <c:pt idx="1">
                  <c:v>0.85</c:v>
                </c:pt>
                <c:pt idx="2">
                  <c:v>1.4</c:v>
                </c:pt>
              </c:numCache>
            </c:numRef>
          </c:xVal>
          <c:yVal>
            <c:numRef>
              <c:f>('Body length vs. VEIW, TRR'!$I$13:$I$14,'Body length vs. VEIW, TRR'!$I$16)</c:f>
              <c:numCache>
                <c:formatCode>General</c:formatCode>
                <c:ptCount val="3"/>
                <c:pt idx="0">
                  <c:v>83</c:v>
                </c:pt>
                <c:pt idx="1">
                  <c:v>109</c:v>
                </c:pt>
                <c:pt idx="2">
                  <c:v>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C2-4A69-B398-299CDD0C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</a:t>
            </a:r>
            <a:r>
              <a:rPr lang="en-US" baseline="0"/>
              <a:t> width </a:t>
            </a:r>
            <a:r>
              <a:rPr lang="en-US"/>
              <a:t>vs. Body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Erickson 1992, 1996 and 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5154809827590424"/>
                  <c:y val="0.23895386803996937"/>
                </c:manualLayout>
              </c:layout>
              <c:numFmt formatCode="General" sourceLinked="0"/>
            </c:trendlineLbl>
          </c:trendline>
          <c:xVal>
            <c:numRef>
              <c:f>'Body length vs. VEIW, TRR'!$E$12:$E$20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xVal>
          <c:yVal>
            <c:numRef>
              <c:f>'Body length vs. VEIW, TRR'!$K$12:$K$20</c:f>
              <c:numCache>
                <c:formatCode>General</c:formatCode>
                <c:ptCount val="9"/>
                <c:pt idx="0">
                  <c:v>13.6</c:v>
                </c:pt>
                <c:pt idx="1">
                  <c:v>6.6</c:v>
                </c:pt>
                <c:pt idx="2">
                  <c:v>10.5</c:v>
                </c:pt>
                <c:pt idx="3">
                  <c:v>16.2</c:v>
                </c:pt>
                <c:pt idx="4">
                  <c:v>13</c:v>
                </c:pt>
                <c:pt idx="5">
                  <c:v>14</c:v>
                </c:pt>
                <c:pt idx="6">
                  <c:v>16.3</c:v>
                </c:pt>
                <c:pt idx="7">
                  <c:v>14</c:v>
                </c:pt>
                <c:pt idx="8">
                  <c:v>18.07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13-4179-B4FC-780338F8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</a:t>
            </a:r>
            <a:r>
              <a:rPr lang="en-US" baseline="0"/>
              <a:t> width </a:t>
            </a:r>
            <a:r>
              <a:rPr lang="en-US"/>
              <a:t>vs. Body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738412027083226"/>
                  <c:y val="0.13688045153421569"/>
                </c:manualLayout>
              </c:layout>
              <c:numFmt formatCode="General" sourceLinked="0"/>
            </c:trendlineLbl>
          </c:trendline>
          <c:xVal>
            <c:numRef>
              <c:f>('Body length vs. VEIW, TRR'!$E$12,'Body length vs. VEIW, TRR'!$E$15,'Body length vs. VEIW, TRR'!$E$20)</c:f>
              <c:numCache>
                <c:formatCode>General</c:formatCode>
                <c:ptCount val="3"/>
                <c:pt idx="0">
                  <c:v>0.37</c:v>
                </c:pt>
                <c:pt idx="1">
                  <c:v>0.9</c:v>
                </c:pt>
                <c:pt idx="2">
                  <c:v>3.95</c:v>
                </c:pt>
              </c:numCache>
            </c:numRef>
          </c:xVal>
          <c:yVal>
            <c:numRef>
              <c:f>('Body length vs. VEIW, TRR'!$K$12,'Body length vs. VEIW, TRR'!$K$15,'Body length vs. VEIW, TRR'!$K$20)</c:f>
              <c:numCache>
                <c:formatCode>General</c:formatCode>
                <c:ptCount val="3"/>
                <c:pt idx="0">
                  <c:v>13.6</c:v>
                </c:pt>
                <c:pt idx="1">
                  <c:v>16.2</c:v>
                </c:pt>
                <c:pt idx="2">
                  <c:v>18.07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73-408B-9662-B4375991E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</a:t>
            </a:r>
            <a:r>
              <a:rPr lang="en-US" baseline="0"/>
              <a:t> width </a:t>
            </a:r>
            <a:r>
              <a:rPr lang="en-US"/>
              <a:t>vs. Skull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Erickson 1992, 1996 and 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2.0991402625148477E-2"/>
                  <c:y val="0.22874652638939402"/>
                </c:manualLayout>
              </c:layout>
              <c:numFmt formatCode="General" sourceLinked="0"/>
            </c:trendlineLbl>
          </c:trendline>
          <c:xVal>
            <c:numRef>
              <c:f>'Body length vs. VEIW, TRR'!$M$12:$M$20</c:f>
              <c:numCache>
                <c:formatCode>General</c:formatCode>
                <c:ptCount val="9"/>
                <c:pt idx="0">
                  <c:v>57.73</c:v>
                </c:pt>
                <c:pt idx="1">
                  <c:v>65.875175315568029</c:v>
                </c:pt>
                <c:pt idx="2">
                  <c:v>100.93828892005611</c:v>
                </c:pt>
                <c:pt idx="3">
                  <c:v>115.6</c:v>
                </c:pt>
                <c:pt idx="4">
                  <c:v>178.0771388499299</c:v>
                </c:pt>
                <c:pt idx="5">
                  <c:v>192.10238429172512</c:v>
                </c:pt>
                <c:pt idx="6">
                  <c:v>332.35483870967744</c:v>
                </c:pt>
                <c:pt idx="7">
                  <c:v>430.53155680224404</c:v>
                </c:pt>
                <c:pt idx="8">
                  <c:v>428</c:v>
                </c:pt>
              </c:numCache>
            </c:numRef>
          </c:xVal>
          <c:yVal>
            <c:numRef>
              <c:f>'Body length vs. VEIW, TRR'!$K$12:$K$20</c:f>
              <c:numCache>
                <c:formatCode>General</c:formatCode>
                <c:ptCount val="9"/>
                <c:pt idx="0">
                  <c:v>13.6</c:v>
                </c:pt>
                <c:pt idx="1">
                  <c:v>6.6</c:v>
                </c:pt>
                <c:pt idx="2">
                  <c:v>10.5</c:v>
                </c:pt>
                <c:pt idx="3">
                  <c:v>16.2</c:v>
                </c:pt>
                <c:pt idx="4">
                  <c:v>13</c:v>
                </c:pt>
                <c:pt idx="5">
                  <c:v>14</c:v>
                </c:pt>
                <c:pt idx="6">
                  <c:v>16.3</c:v>
                </c:pt>
                <c:pt idx="7">
                  <c:v>14</c:v>
                </c:pt>
                <c:pt idx="8">
                  <c:v>18.07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AD-4D85-B587-6BE852088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skull Length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increment</a:t>
            </a:r>
            <a:r>
              <a:rPr lang="en-US" baseline="0"/>
              <a:t> width </a:t>
            </a:r>
            <a:r>
              <a:rPr lang="en-US"/>
              <a:t>vs. Skull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738412027083226"/>
                  <c:y val="0.13688045153421569"/>
                </c:manualLayout>
              </c:layout>
              <c:numFmt formatCode="General" sourceLinked="0"/>
            </c:trendlineLbl>
          </c:trendline>
          <c:xVal>
            <c:numRef>
              <c:f>('Body length vs. VEIW, TRR'!$M$12,'Body length vs. VEIW, TRR'!$M$15,'Body length vs. VEIW, TRR'!$M$20)</c:f>
              <c:numCache>
                <c:formatCode>General</c:formatCode>
                <c:ptCount val="3"/>
                <c:pt idx="0">
                  <c:v>57.73</c:v>
                </c:pt>
                <c:pt idx="1">
                  <c:v>115.6</c:v>
                </c:pt>
                <c:pt idx="2">
                  <c:v>428</c:v>
                </c:pt>
              </c:numCache>
            </c:numRef>
          </c:xVal>
          <c:yVal>
            <c:numRef>
              <c:f>('Body length vs. VEIW, TRR'!$K$12,'Body length vs. VEIW, TRR'!$K$15,'Body length vs. VEIW, TRR'!$K$20)</c:f>
              <c:numCache>
                <c:formatCode>General</c:formatCode>
                <c:ptCount val="3"/>
                <c:pt idx="0">
                  <c:v>13.6</c:v>
                </c:pt>
                <c:pt idx="1">
                  <c:v>16.2</c:v>
                </c:pt>
                <c:pt idx="2">
                  <c:v>18.07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53-47C0-AADE-2E81D03F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Skull Length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Skull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294365634419942"/>
                  <c:y val="0.182354085306015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TRR'!$M$12:$M$20</c:f>
              <c:numCache>
                <c:formatCode>General</c:formatCode>
                <c:ptCount val="9"/>
                <c:pt idx="0">
                  <c:v>57.73</c:v>
                </c:pt>
                <c:pt idx="1">
                  <c:v>65.875175315568029</c:v>
                </c:pt>
                <c:pt idx="2">
                  <c:v>100.93828892005611</c:v>
                </c:pt>
                <c:pt idx="3">
                  <c:v>115.6</c:v>
                </c:pt>
                <c:pt idx="4">
                  <c:v>178.0771388499299</c:v>
                </c:pt>
                <c:pt idx="5">
                  <c:v>192.10238429172512</c:v>
                </c:pt>
                <c:pt idx="6">
                  <c:v>332.35483870967744</c:v>
                </c:pt>
                <c:pt idx="7">
                  <c:v>430.53155680224404</c:v>
                </c:pt>
                <c:pt idx="8">
                  <c:v>428</c:v>
                </c:pt>
              </c:numCache>
            </c:numRef>
          </c:xVal>
          <c:yVal>
            <c:numRef>
              <c:f>'Body length vs. VEIW, TRR'!$I$14:$I$20</c:f>
              <c:numCache>
                <c:formatCode>0</c:formatCode>
                <c:ptCount val="7"/>
                <c:pt idx="0" formatCode="General">
                  <c:v>109</c:v>
                </c:pt>
                <c:pt idx="1">
                  <c:v>133.61838846785886</c:v>
                </c:pt>
                <c:pt idx="2" formatCode="General">
                  <c:v>122</c:v>
                </c:pt>
                <c:pt idx="3" formatCode="General">
                  <c:v>115</c:v>
                </c:pt>
                <c:pt idx="4" formatCode="General">
                  <c:v>154</c:v>
                </c:pt>
                <c:pt idx="5" formatCode="General">
                  <c:v>260</c:v>
                </c:pt>
                <c:pt idx="6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C6-4516-9481-9646EB5F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Skull Length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Body length vs. Skull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Erickson 1992, 1996 and 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TRR'!$M$6</c:f>
              <c:strCache>
                <c:ptCount val="1"/>
                <c:pt idx="0">
                  <c:v>skull length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wer"/>
            <c:dispRSqr val="1"/>
            <c:dispEq val="1"/>
            <c:trendlineLbl>
              <c:layout>
                <c:manualLayout>
                  <c:x val="-0.32994725173916367"/>
                  <c:y val="-1.8676539604734838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100"/>
                  </a:pPr>
                  <a:endParaRPr lang="en-US"/>
                </a:p>
              </c:txPr>
            </c:trendlineLbl>
          </c:trendline>
          <c:xVal>
            <c:numRef>
              <c:f>'Body length vs. VEIW, TRR'!$M$12:$M$20</c:f>
              <c:numCache>
                <c:formatCode>General</c:formatCode>
                <c:ptCount val="9"/>
                <c:pt idx="0">
                  <c:v>57.73</c:v>
                </c:pt>
                <c:pt idx="1">
                  <c:v>65.875175315568029</c:v>
                </c:pt>
                <c:pt idx="2">
                  <c:v>100.93828892005611</c:v>
                </c:pt>
                <c:pt idx="3">
                  <c:v>115.6</c:v>
                </c:pt>
                <c:pt idx="4">
                  <c:v>178.0771388499299</c:v>
                </c:pt>
                <c:pt idx="5">
                  <c:v>192.10238429172512</c:v>
                </c:pt>
                <c:pt idx="6">
                  <c:v>332.35483870967744</c:v>
                </c:pt>
                <c:pt idx="7">
                  <c:v>430.53155680224404</c:v>
                </c:pt>
                <c:pt idx="8">
                  <c:v>428</c:v>
                </c:pt>
              </c:numCache>
            </c:numRef>
          </c:xVal>
          <c:yVal>
            <c:numRef>
              <c:f>'Body length vs. VEIW, TRR'!$E$12:$E$20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45-4374-B61B-72EBB509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skull Length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</a:t>
                </a:r>
                <a:r>
                  <a:rPr lang="en-US" baseline="0"/>
                  <a:t>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Body length vs. Skull Length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'Body length vs. VEIW, TRR'!$M$6</c:f>
              <c:strCache>
                <c:ptCount val="1"/>
                <c:pt idx="0">
                  <c:v>skull length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wer"/>
            <c:dispRSqr val="1"/>
            <c:dispEq val="1"/>
            <c:trendlineLbl>
              <c:layout>
                <c:manualLayout>
                  <c:x val="-0.32540316340282527"/>
                  <c:y val="9.6423841059602652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100"/>
                  </a:pPr>
                  <a:endParaRPr lang="en-US"/>
                </a:p>
              </c:txPr>
            </c:trendlineLbl>
          </c:trendline>
          <c:xVal>
            <c:numRef>
              <c:f>('Body length vs. VEIW, TRR'!$M$12,'Body length vs. VEIW, TRR'!$M$15,'Body length vs. VEIW, TRR'!$M$20)</c:f>
              <c:numCache>
                <c:formatCode>General</c:formatCode>
                <c:ptCount val="3"/>
                <c:pt idx="0">
                  <c:v>57.73</c:v>
                </c:pt>
                <c:pt idx="1">
                  <c:v>115.6</c:v>
                </c:pt>
                <c:pt idx="2">
                  <c:v>428</c:v>
                </c:pt>
              </c:numCache>
            </c:numRef>
          </c:xVal>
          <c:yVal>
            <c:numRef>
              <c:f>('Body length vs. VEIW, TRR'!$E$12,'Body length vs. VEIW, TRR'!$E$15,'Body length vs. VEIW, TRR'!$E$20)</c:f>
              <c:numCache>
                <c:formatCode>General</c:formatCode>
                <c:ptCount val="3"/>
                <c:pt idx="0">
                  <c:v>0.37</c:v>
                </c:pt>
                <c:pt idx="1">
                  <c:v>0.9</c:v>
                </c:pt>
                <c:pt idx="2">
                  <c:v>3.95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7-4645-96DA-0E75C1C4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skull Length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</a:t>
                </a:r>
                <a:r>
                  <a:rPr lang="en-US" baseline="0"/>
                  <a:t>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1996 (with hatchlings)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4393831941943758E-2"/>
                  <c:y val="0.100695425382926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('Body length vs. VEIW, TRR'!$E$10:$E$11,'Body length vs. VEIW, TRR'!$E$14,'Body length vs. VEIW, TRR'!$E$16)</c:f>
              <c:numCache>
                <c:formatCode>General</c:formatCode>
                <c:ptCount val="4"/>
                <c:pt idx="0">
                  <c:v>0.18</c:v>
                </c:pt>
                <c:pt idx="1">
                  <c:v>0.2</c:v>
                </c:pt>
                <c:pt idx="2">
                  <c:v>0.85</c:v>
                </c:pt>
                <c:pt idx="3">
                  <c:v>1.4</c:v>
                </c:pt>
              </c:numCache>
            </c:numRef>
          </c:xVal>
          <c:yVal>
            <c:numRef>
              <c:f>('Body length vs. VEIW, TRR'!$I$10:$I$11,'Body length vs. VEIW, TRR'!$I$13:$I$14,'Body length vs. VEIW, TRR'!$I$16)</c:f>
              <c:numCache>
                <c:formatCode>General</c:formatCode>
                <c:ptCount val="5"/>
                <c:pt idx="0">
                  <c:v>11.41</c:v>
                </c:pt>
                <c:pt idx="1">
                  <c:v>20.260000000000002</c:v>
                </c:pt>
                <c:pt idx="2">
                  <c:v>83</c:v>
                </c:pt>
                <c:pt idx="3">
                  <c:v>109</c:v>
                </c:pt>
                <c:pt idx="4">
                  <c:v>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DD-42C9-AFCD-F6895C8AC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294365634419942"/>
                  <c:y val="0.182354085306015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('Body length vs. VEIW, TRR'!$E$8:$E$9,'Body length vs. VEIW, TRR'!$E$12:$E$20)</c:f>
              <c:numCache>
                <c:formatCode>General</c:formatCode>
                <c:ptCount val="11"/>
                <c:pt idx="0">
                  <c:v>0.22</c:v>
                </c:pt>
                <c:pt idx="1">
                  <c:v>0.3</c:v>
                </c:pt>
                <c:pt idx="2">
                  <c:v>0.37</c:v>
                </c:pt>
                <c:pt idx="3">
                  <c:v>0.6</c:v>
                </c:pt>
                <c:pt idx="4">
                  <c:v>0.85</c:v>
                </c:pt>
                <c:pt idx="5">
                  <c:v>0.9</c:v>
                </c:pt>
                <c:pt idx="6">
                  <c:v>1.4</c:v>
                </c:pt>
                <c:pt idx="7">
                  <c:v>1.5</c:v>
                </c:pt>
                <c:pt idx="8">
                  <c:v>2.5</c:v>
                </c:pt>
                <c:pt idx="9">
                  <c:v>3.2</c:v>
                </c:pt>
                <c:pt idx="10">
                  <c:v>3.95</c:v>
                </c:pt>
              </c:numCache>
            </c:numRef>
          </c:xVal>
          <c:yVal>
            <c:numRef>
              <c:f>('Body length vs. VEIW, TRR'!$I$8:$I$9,'Body length vs. VEIW, TRR'!$I$12:$I$20)</c:f>
              <c:numCache>
                <c:formatCode>General</c:formatCode>
                <c:ptCount val="11"/>
                <c:pt idx="0">
                  <c:v>6.49</c:v>
                </c:pt>
                <c:pt idx="1">
                  <c:v>24.74</c:v>
                </c:pt>
                <c:pt idx="2" formatCode="0">
                  <c:v>90.474024303224979</c:v>
                </c:pt>
                <c:pt idx="3">
                  <c:v>83</c:v>
                </c:pt>
                <c:pt idx="4">
                  <c:v>109</c:v>
                </c:pt>
                <c:pt idx="5" formatCode="0">
                  <c:v>133.61838846785886</c:v>
                </c:pt>
                <c:pt idx="6">
                  <c:v>122</c:v>
                </c:pt>
                <c:pt idx="7">
                  <c:v>115</c:v>
                </c:pt>
                <c:pt idx="8">
                  <c:v>154</c:v>
                </c:pt>
                <c:pt idx="9">
                  <c:v>260</c:v>
                </c:pt>
                <c:pt idx="10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9E-4B10-92DC-0BB5689C8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Medium sized </a:t>
            </a:r>
            <a:r>
              <a:rPr lang="en-US" i="1"/>
              <a:t>Alligator</a:t>
            </a:r>
          </a:p>
          <a:p>
            <a:pPr>
              <a:defRPr/>
            </a:pPr>
            <a:r>
              <a:rPr lang="en-US"/>
              <a:t>Length of the teeth of the lower tooth row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teeth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measurements'!$C$7:$AP$7</c:f>
              <c:numCache>
                <c:formatCode>General</c:formatCode>
                <c:ptCount val="40"/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5.8175000000000008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D-4A8F-8CDD-CA6DFDB88519}"/>
            </c:ext>
          </c:extLst>
        </c:ser>
        <c:ser>
          <c:idx val="1"/>
          <c:order val="1"/>
          <c:tx>
            <c:v>Replacement tooth 1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measurements'!$C$9:$AP$9</c:f>
              <c:numCache>
                <c:formatCode>General</c:formatCode>
                <c:ptCount val="40"/>
                <c:pt idx="20">
                  <c:v>3.1675</c:v>
                </c:pt>
                <c:pt idx="21">
                  <c:v>1.7175</c:v>
                </c:pt>
                <c:pt idx="22">
                  <c:v>4.5175000000000001</c:v>
                </c:pt>
                <c:pt idx="23">
                  <c:v>2.2675000000000001</c:v>
                </c:pt>
                <c:pt idx="24">
                  <c:v>2.0674999999999999</c:v>
                </c:pt>
                <c:pt idx="25">
                  <c:v>0.87749999999999995</c:v>
                </c:pt>
                <c:pt idx="26">
                  <c:v>2.2075</c:v>
                </c:pt>
                <c:pt idx="27">
                  <c:v>1.1475</c:v>
                </c:pt>
                <c:pt idx="28">
                  <c:v>0.28749999999999998</c:v>
                </c:pt>
                <c:pt idx="29">
                  <c:v>1.3975</c:v>
                </c:pt>
                <c:pt idx="30">
                  <c:v>0.75749999999999995</c:v>
                </c:pt>
                <c:pt idx="31">
                  <c:v>2.5874999999999999</c:v>
                </c:pt>
                <c:pt idx="32">
                  <c:v>0.5675</c:v>
                </c:pt>
                <c:pt idx="33">
                  <c:v>1.6174999999999999</c:v>
                </c:pt>
                <c:pt idx="34">
                  <c:v>2.6274999999999999</c:v>
                </c:pt>
                <c:pt idx="35">
                  <c:v>0.61749999999999994</c:v>
                </c:pt>
                <c:pt idx="36">
                  <c:v>1.1875</c:v>
                </c:pt>
                <c:pt idx="37">
                  <c:v>2.7075</c:v>
                </c:pt>
                <c:pt idx="38">
                  <c:v>0.90749999999999997</c:v>
                </c:pt>
                <c:pt idx="39">
                  <c:v>1.6274999999999999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D-4A8F-8CDD-CA6DFDB88519}"/>
            </c:ext>
          </c:extLst>
        </c:ser>
        <c:ser>
          <c:idx val="2"/>
          <c:order val="2"/>
          <c:tx>
            <c:v>Replacement tooth 2</c:v>
          </c:tx>
          <c:invertIfNegative val="0"/>
          <c:val>
            <c:numRef>
              <c:f>'Tooth measurements'!$C$11:$AP$11</c:f>
              <c:numCache>
                <c:formatCode>General</c:formatCode>
                <c:ptCount val="40"/>
                <c:pt idx="22">
                  <c:v>0.51749999999999996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A-43D0-A85E-12D206A94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54208"/>
        <c:axId val="79455744"/>
      </c:barChart>
      <c:catAx>
        <c:axId val="794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9455744"/>
        <c:crosses val="autoZero"/>
        <c:auto val="1"/>
        <c:lblAlgn val="ctr"/>
        <c:lblOffset val="100"/>
        <c:noMultiLvlLbl val="0"/>
      </c:catAx>
      <c:valAx>
        <c:axId val="7945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4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294365634419942"/>
                  <c:y val="0.182354085306015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TRR'!$E$10:$E$20</c:f>
              <c:numCache>
                <c:formatCode>General</c:formatCode>
                <c:ptCount val="11"/>
                <c:pt idx="0">
                  <c:v>0.18</c:v>
                </c:pt>
                <c:pt idx="1">
                  <c:v>0.2</c:v>
                </c:pt>
                <c:pt idx="2">
                  <c:v>0.37</c:v>
                </c:pt>
                <c:pt idx="3">
                  <c:v>0.6</c:v>
                </c:pt>
                <c:pt idx="4">
                  <c:v>0.85</c:v>
                </c:pt>
                <c:pt idx="5">
                  <c:v>0.9</c:v>
                </c:pt>
                <c:pt idx="6">
                  <c:v>1.4</c:v>
                </c:pt>
                <c:pt idx="7">
                  <c:v>1.5</c:v>
                </c:pt>
                <c:pt idx="8">
                  <c:v>2.5</c:v>
                </c:pt>
                <c:pt idx="9">
                  <c:v>3.2</c:v>
                </c:pt>
                <c:pt idx="10">
                  <c:v>3.95</c:v>
                </c:pt>
              </c:numCache>
            </c:numRef>
          </c:xVal>
          <c:yVal>
            <c:numRef>
              <c:f>'Body length vs. VEIW, TRR'!$I$10:$I$20</c:f>
              <c:numCache>
                <c:formatCode>General</c:formatCode>
                <c:ptCount val="11"/>
                <c:pt idx="0">
                  <c:v>11.41</c:v>
                </c:pt>
                <c:pt idx="1">
                  <c:v>20.260000000000002</c:v>
                </c:pt>
                <c:pt idx="2" formatCode="0">
                  <c:v>90.474024303224979</c:v>
                </c:pt>
                <c:pt idx="3">
                  <c:v>83</c:v>
                </c:pt>
                <c:pt idx="4">
                  <c:v>109</c:v>
                </c:pt>
                <c:pt idx="5" formatCode="0">
                  <c:v>133.61838846785886</c:v>
                </c:pt>
                <c:pt idx="6">
                  <c:v>122</c:v>
                </c:pt>
                <c:pt idx="7">
                  <c:v>115</c:v>
                </c:pt>
                <c:pt idx="8">
                  <c:v>154</c:v>
                </c:pt>
                <c:pt idx="9">
                  <c:v>260</c:v>
                </c:pt>
                <c:pt idx="10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63-4136-A14C-A6263850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Replacement rate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8109011893745"/>
          <c:y val="6.6347720728739901E-2"/>
          <c:w val="0.80774881458369163"/>
          <c:h val="0.7478617829493188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'Body length vs. VEIW, TRR'!$K$6</c:f>
              <c:strCache>
                <c:ptCount val="1"/>
                <c:pt idx="0">
                  <c:v>VEIW (average increment width)</c:v>
                </c:pt>
              </c:strCache>
            </c:strRef>
          </c:tx>
          <c:spPr>
            <a:ln w="25400">
              <a:noFill/>
            </a:ln>
          </c:spP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5906553434499779"/>
                  <c:y val="0.33610726549737685"/>
                </c:manualLayout>
              </c:layout>
              <c:numFmt formatCode="General" sourceLinked="0"/>
            </c:trendlineLbl>
          </c:trendline>
          <c:xVal>
            <c:numRef>
              <c:f>'Body length vs. VEIW, TRR'!$E$12:$E$20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xVal>
          <c:yVal>
            <c:numRef>
              <c:f>'Body length vs. VEIW, TRR'!$K$12:$K$20</c:f>
              <c:numCache>
                <c:formatCode>General</c:formatCode>
                <c:ptCount val="9"/>
                <c:pt idx="0">
                  <c:v>13.6</c:v>
                </c:pt>
                <c:pt idx="1">
                  <c:v>6.6</c:v>
                </c:pt>
                <c:pt idx="2">
                  <c:v>10.5</c:v>
                </c:pt>
                <c:pt idx="3">
                  <c:v>16.2</c:v>
                </c:pt>
                <c:pt idx="4">
                  <c:v>13</c:v>
                </c:pt>
                <c:pt idx="5">
                  <c:v>14</c:v>
                </c:pt>
                <c:pt idx="6">
                  <c:v>16.3</c:v>
                </c:pt>
                <c:pt idx="7">
                  <c:v>14</c:v>
                </c:pt>
                <c:pt idx="8">
                  <c:v>18.07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F0-4F5E-A699-695501F08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incrment</a:t>
                </a:r>
                <a:r>
                  <a:rPr lang="en-US" baseline="0"/>
                  <a:t> width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1996 and this study</a:t>
            </a:r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6480751626852287E-2"/>
                  <c:y val="0.177250487762241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('Body length vs. VEIW, TRR'!$E$12:$E$16,'Body length vs. VEIW, TRR'!$E$20)</c:f>
              <c:numCache>
                <c:formatCode>General</c:formatCode>
                <c:ptCount val="6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3.95</c:v>
                </c:pt>
              </c:numCache>
            </c:numRef>
          </c:xVal>
          <c:yVal>
            <c:numRef>
              <c:f>('Body length vs. VEIW, TRR'!$I$12:$I$16,'Body length vs. VEIW, TRR'!$I$20)</c:f>
              <c:numCache>
                <c:formatCode>General</c:formatCode>
                <c:ptCount val="6"/>
                <c:pt idx="0" formatCode="0">
                  <c:v>90.474024303224979</c:v>
                </c:pt>
                <c:pt idx="1">
                  <c:v>83</c:v>
                </c:pt>
                <c:pt idx="2">
                  <c:v>109</c:v>
                </c:pt>
                <c:pt idx="3" formatCode="0">
                  <c:v>133.61838846785886</c:v>
                </c:pt>
                <c:pt idx="4">
                  <c:v>122</c:v>
                </c:pt>
                <c:pt idx="5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8-4812-A120-BE25B87F6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Average </a:t>
                </a:r>
                <a:r>
                  <a:rPr lang="en-US"/>
                  <a:t>Replacement rate (days)</a:t>
                </a:r>
              </a:p>
            </c:rich>
          </c:tx>
          <c:layout>
            <c:manualLayout>
              <c:xMode val="edge"/>
              <c:yMode val="edge"/>
              <c:x val="3.8643734915596493E-2"/>
              <c:y val="0.18536363351015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7.9134328940511589E-2"/>
                  <c:y val="0.245387232047761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TRR'!$E$12:$E$20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xVal>
          <c:yVal>
            <c:numRef>
              <c:f>'Body length vs. VEIW, TRR'!$I$12:$I$20</c:f>
              <c:numCache>
                <c:formatCode>General</c:formatCode>
                <c:ptCount val="9"/>
                <c:pt idx="0" formatCode="0">
                  <c:v>90.474024303224979</c:v>
                </c:pt>
                <c:pt idx="1">
                  <c:v>83</c:v>
                </c:pt>
                <c:pt idx="2">
                  <c:v>109</c:v>
                </c:pt>
                <c:pt idx="3" formatCode="0">
                  <c:v>133.61838846785886</c:v>
                </c:pt>
                <c:pt idx="4">
                  <c:v>122</c:v>
                </c:pt>
                <c:pt idx="5">
                  <c:v>115</c:v>
                </c:pt>
                <c:pt idx="6">
                  <c:v>154</c:v>
                </c:pt>
                <c:pt idx="7">
                  <c:v>260</c:v>
                </c:pt>
                <c:pt idx="8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EC-4CF0-A429-606C2EB2FEF4}"/>
            </c:ext>
          </c:extLst>
        </c:ser>
        <c:ser>
          <c:idx val="1"/>
          <c:order val="1"/>
          <c:tx>
            <c:strRef>
              <c:f>'Body length vs. VEIW, TRR'!$F$49</c:f>
              <c:strCache>
                <c:ptCount val="1"/>
                <c:pt idx="0">
                  <c:v>reduced major axis replacement rate no hatchlings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70C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2756776640480655"/>
                  <c:y val="0.173411090236140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TRR'!$B$50:$B$58</c:f>
              <c:numCache>
                <c:formatCode>General</c:formatCode>
                <c:ptCount val="9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</c:numCache>
            </c:numRef>
          </c:xVal>
          <c:yVal>
            <c:numRef>
              <c:f>'Body length vs. VEIW, TRR'!$F$50:$F$58</c:f>
              <c:numCache>
                <c:formatCode>General</c:formatCode>
                <c:ptCount val="9"/>
                <c:pt idx="0">
                  <c:v>73.590031187066145</c:v>
                </c:pt>
                <c:pt idx="1">
                  <c:v>86.761665767932868</c:v>
                </c:pt>
                <c:pt idx="2">
                  <c:v>101.07865987757063</c:v>
                </c:pt>
                <c:pt idx="3">
                  <c:v>103.94205869949818</c:v>
                </c:pt>
                <c:pt idx="4">
                  <c:v>132.57604691877367</c:v>
                </c:pt>
                <c:pt idx="5">
                  <c:v>138.30284456262879</c:v>
                </c:pt>
                <c:pt idx="6">
                  <c:v>195.57082100117981</c:v>
                </c:pt>
                <c:pt idx="7">
                  <c:v>235.65840450816552</c:v>
                </c:pt>
                <c:pt idx="8">
                  <c:v>278.60938683707877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EC-4CF0-A429-606C2EB2F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Replacement rate (days)</a:t>
                </a:r>
              </a:p>
            </c:rich>
          </c:tx>
          <c:layout>
            <c:manualLayout>
              <c:xMode val="edge"/>
              <c:yMode val="edge"/>
              <c:x val="3.893067441750292E-2"/>
              <c:y val="0.171046159862330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8.7261944224455851E-2"/>
                  <c:y val="0.17964431849143589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('Body length vs. VEIW, TRR'!$E$8:$E$9,'Body length vs. VEIW, TRR'!$E$12:$E$20)</c:f>
              <c:numCache>
                <c:formatCode>General</c:formatCode>
                <c:ptCount val="11"/>
                <c:pt idx="0">
                  <c:v>0.22</c:v>
                </c:pt>
                <c:pt idx="1">
                  <c:v>0.3</c:v>
                </c:pt>
                <c:pt idx="2">
                  <c:v>0.37</c:v>
                </c:pt>
                <c:pt idx="3">
                  <c:v>0.6</c:v>
                </c:pt>
                <c:pt idx="4">
                  <c:v>0.85</c:v>
                </c:pt>
                <c:pt idx="5">
                  <c:v>0.9</c:v>
                </c:pt>
                <c:pt idx="6">
                  <c:v>1.4</c:v>
                </c:pt>
                <c:pt idx="7">
                  <c:v>1.5</c:v>
                </c:pt>
                <c:pt idx="8">
                  <c:v>2.5</c:v>
                </c:pt>
                <c:pt idx="9">
                  <c:v>3.2</c:v>
                </c:pt>
                <c:pt idx="10">
                  <c:v>3.95</c:v>
                </c:pt>
              </c:numCache>
            </c:numRef>
          </c:xVal>
          <c:yVal>
            <c:numRef>
              <c:f>('Body length vs. VEIW, TRR'!$I$8:$I$9,'Body length vs. VEIW, TRR'!$I$12:$I$20)</c:f>
              <c:numCache>
                <c:formatCode>General</c:formatCode>
                <c:ptCount val="11"/>
                <c:pt idx="0">
                  <c:v>6.49</c:v>
                </c:pt>
                <c:pt idx="1">
                  <c:v>24.74</c:v>
                </c:pt>
                <c:pt idx="2" formatCode="0">
                  <c:v>90.474024303224979</c:v>
                </c:pt>
                <c:pt idx="3">
                  <c:v>83</c:v>
                </c:pt>
                <c:pt idx="4">
                  <c:v>109</c:v>
                </c:pt>
                <c:pt idx="5" formatCode="0">
                  <c:v>133.61838846785886</c:v>
                </c:pt>
                <c:pt idx="6">
                  <c:v>122</c:v>
                </c:pt>
                <c:pt idx="7">
                  <c:v>115</c:v>
                </c:pt>
                <c:pt idx="8">
                  <c:v>154</c:v>
                </c:pt>
                <c:pt idx="9">
                  <c:v>260</c:v>
                </c:pt>
                <c:pt idx="10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6D-4BCE-834B-194729A90FA4}"/>
            </c:ext>
          </c:extLst>
        </c:ser>
        <c:ser>
          <c:idx val="1"/>
          <c:order val="1"/>
          <c:tx>
            <c:strRef>
              <c:f>'Body length vs. VEIW, TRR'!$H$47</c:f>
              <c:strCache>
                <c:ptCount val="1"/>
                <c:pt idx="0">
                  <c:v>reduced major axis replacement rate hatchlings high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70C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5153710764399853"/>
                  <c:y val="0.133861998403797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TRR'!$E$12:$E$22</c:f>
              <c:numCache>
                <c:formatCode>General</c:formatCode>
                <c:ptCount val="11"/>
                <c:pt idx="0">
                  <c:v>0.37</c:v>
                </c:pt>
                <c:pt idx="1">
                  <c:v>0.6</c:v>
                </c:pt>
                <c:pt idx="2">
                  <c:v>0.85</c:v>
                </c:pt>
                <c:pt idx="3">
                  <c:v>0.9</c:v>
                </c:pt>
                <c:pt idx="4">
                  <c:v>1.4</c:v>
                </c:pt>
                <c:pt idx="5">
                  <c:v>1.5</c:v>
                </c:pt>
                <c:pt idx="6">
                  <c:v>2.5</c:v>
                </c:pt>
                <c:pt idx="7">
                  <c:v>3.2</c:v>
                </c:pt>
                <c:pt idx="8">
                  <c:v>3.95</c:v>
                </c:pt>
                <c:pt idx="9">
                  <c:v>0.22</c:v>
                </c:pt>
                <c:pt idx="10">
                  <c:v>0.3</c:v>
                </c:pt>
              </c:numCache>
            </c:numRef>
          </c:xVal>
          <c:yVal>
            <c:numRef>
              <c:f>'Body length vs. VEIW, TRR'!$H$50:$H$60</c:f>
              <c:numCache>
                <c:formatCode>General</c:formatCode>
                <c:ptCount val="11"/>
                <c:pt idx="0">
                  <c:v>54.165103925781025</c:v>
                </c:pt>
                <c:pt idx="1">
                  <c:v>69.50178212719311</c:v>
                </c:pt>
                <c:pt idx="2">
                  <c:v>86.172084520032342</c:v>
                </c:pt>
                <c:pt idx="3">
                  <c:v>89.506144998600178</c:v>
                </c:pt>
                <c:pt idx="4">
                  <c:v>122.84674978427863</c:v>
                </c:pt>
                <c:pt idx="5">
                  <c:v>129.51487074141431</c:v>
                </c:pt>
                <c:pt idx="6">
                  <c:v>196.19608031277124</c:v>
                </c:pt>
                <c:pt idx="7">
                  <c:v>242.87292701272108</c:v>
                </c:pt>
                <c:pt idx="8">
                  <c:v>292.88383419123875</c:v>
                </c:pt>
                <c:pt idx="9">
                  <c:v>44.162922490077491</c:v>
                </c:pt>
                <c:pt idx="10">
                  <c:v>49.497419255786042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6D-4BCE-834B-194729A90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Average</a:t>
                </a:r>
                <a:r>
                  <a:rPr lang="en-US"/>
                  <a:t>Replacement rate (days)</a:t>
                </a:r>
              </a:p>
            </c:rich>
          </c:tx>
          <c:layout>
            <c:manualLayout>
              <c:xMode val="edge"/>
              <c:yMode val="edge"/>
              <c:x val="3.8751894945471342E-2"/>
              <c:y val="0.195317403992756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tooth replacement rate est. (days) vs. Body Length</a:t>
            </a:r>
          </a:p>
          <a:p>
            <a:pPr>
              <a:defRPr/>
            </a:pPr>
            <a:r>
              <a:rPr lang="en-US"/>
              <a:t>Erickson 1992,</a:t>
            </a:r>
            <a:r>
              <a:rPr lang="en-US" baseline="0"/>
              <a:t> 1996 and this study</a:t>
            </a:r>
            <a:endParaRPr lang="en-US"/>
          </a:p>
        </c:rich>
      </c:tx>
      <c:layout>
        <c:manualLayout>
          <c:xMode val="edge"/>
          <c:yMode val="edge"/>
          <c:x val="0.15118441545733521"/>
          <c:y val="3.333334791485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'Body length vs. VEIW, TRR'!$I$6</c:f>
              <c:strCache>
                <c:ptCount val="1"/>
                <c:pt idx="0">
                  <c:v>Mean tooth replacement rate est. (days)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7.4802307465577492E-2"/>
                  <c:y val="0.179414854328433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TRR'!$E$10:$E$20</c:f>
              <c:numCache>
                <c:formatCode>General</c:formatCode>
                <c:ptCount val="11"/>
                <c:pt idx="0">
                  <c:v>0.18</c:v>
                </c:pt>
                <c:pt idx="1">
                  <c:v>0.2</c:v>
                </c:pt>
                <c:pt idx="2">
                  <c:v>0.37</c:v>
                </c:pt>
                <c:pt idx="3">
                  <c:v>0.6</c:v>
                </c:pt>
                <c:pt idx="4">
                  <c:v>0.85</c:v>
                </c:pt>
                <c:pt idx="5">
                  <c:v>0.9</c:v>
                </c:pt>
                <c:pt idx="6">
                  <c:v>1.4</c:v>
                </c:pt>
                <c:pt idx="7">
                  <c:v>1.5</c:v>
                </c:pt>
                <c:pt idx="8">
                  <c:v>2.5</c:v>
                </c:pt>
                <c:pt idx="9">
                  <c:v>3.2</c:v>
                </c:pt>
                <c:pt idx="10">
                  <c:v>3.95</c:v>
                </c:pt>
              </c:numCache>
            </c:numRef>
          </c:xVal>
          <c:yVal>
            <c:numRef>
              <c:f>'Body length vs. VEIW, TRR'!$I$10:$I$20</c:f>
              <c:numCache>
                <c:formatCode>General</c:formatCode>
                <c:ptCount val="11"/>
                <c:pt idx="0">
                  <c:v>11.41</c:v>
                </c:pt>
                <c:pt idx="1">
                  <c:v>20.260000000000002</c:v>
                </c:pt>
                <c:pt idx="2" formatCode="0">
                  <c:v>90.474024303224979</c:v>
                </c:pt>
                <c:pt idx="3">
                  <c:v>83</c:v>
                </c:pt>
                <c:pt idx="4">
                  <c:v>109</c:v>
                </c:pt>
                <c:pt idx="5" formatCode="0">
                  <c:v>133.61838846785886</c:v>
                </c:pt>
                <c:pt idx="6">
                  <c:v>122</c:v>
                </c:pt>
                <c:pt idx="7">
                  <c:v>115</c:v>
                </c:pt>
                <c:pt idx="8">
                  <c:v>154</c:v>
                </c:pt>
                <c:pt idx="9">
                  <c:v>260</c:v>
                </c:pt>
                <c:pt idx="10" formatCode="0">
                  <c:v>278.99750658881067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D7-4DDC-A45A-00055279B744}"/>
            </c:ext>
          </c:extLst>
        </c:ser>
        <c:ser>
          <c:idx val="1"/>
          <c:order val="1"/>
          <c:tx>
            <c:strRef>
              <c:f>'Body length vs. VEIW, TRR'!$G$47</c:f>
              <c:strCache>
                <c:ptCount val="1"/>
                <c:pt idx="0">
                  <c:v>reduced major axis replacement rate hatchlings low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70C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4498042022822014"/>
                  <c:y val="0.122496489720728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'Body length vs. VEIW, TRR'!$E$10:$E$20</c:f>
              <c:numCache>
                <c:formatCode>General</c:formatCode>
                <c:ptCount val="11"/>
                <c:pt idx="0">
                  <c:v>0.18</c:v>
                </c:pt>
                <c:pt idx="1">
                  <c:v>0.2</c:v>
                </c:pt>
                <c:pt idx="2">
                  <c:v>0.37</c:v>
                </c:pt>
                <c:pt idx="3">
                  <c:v>0.6</c:v>
                </c:pt>
                <c:pt idx="4">
                  <c:v>0.85</c:v>
                </c:pt>
                <c:pt idx="5">
                  <c:v>0.9</c:v>
                </c:pt>
                <c:pt idx="6">
                  <c:v>1.4</c:v>
                </c:pt>
                <c:pt idx="7">
                  <c:v>1.5</c:v>
                </c:pt>
                <c:pt idx="8">
                  <c:v>2.5</c:v>
                </c:pt>
                <c:pt idx="9">
                  <c:v>3.2</c:v>
                </c:pt>
                <c:pt idx="10">
                  <c:v>3.95</c:v>
                </c:pt>
              </c:numCache>
            </c:numRef>
          </c:xVal>
          <c:yVal>
            <c:numRef>
              <c:f>'Body length vs. VEIW, TRR'!$G$48:$G$58</c:f>
              <c:numCache>
                <c:formatCode>General</c:formatCode>
                <c:ptCount val="11"/>
                <c:pt idx="0">
                  <c:v>43.377342258925104</c:v>
                </c:pt>
                <c:pt idx="1">
                  <c:v>44.694985498883725</c:v>
                </c:pt>
                <c:pt idx="2">
                  <c:v>55.894953038532016</c:v>
                </c:pt>
                <c:pt idx="3">
                  <c:v>71.047850298056176</c:v>
                </c:pt>
                <c:pt idx="4">
                  <c:v>87.518390797538942</c:v>
                </c:pt>
                <c:pt idx="5">
                  <c:v>90.812498897435503</c:v>
                </c:pt>
                <c:pt idx="6">
                  <c:v>123.75357989640105</c:v>
                </c:pt>
                <c:pt idx="7">
                  <c:v>130.34179609619417</c:v>
                </c:pt>
                <c:pt idx="8">
                  <c:v>196.22395809412529</c:v>
                </c:pt>
                <c:pt idx="9">
                  <c:v>242.34147149267704</c:v>
                </c:pt>
                <c:pt idx="10">
                  <c:v>291.75309299112536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D7-4DDC-A45A-00055279B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Body 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Average </a:t>
                </a:r>
                <a:r>
                  <a:rPr lang="en-US"/>
                  <a:t>Replacement rate (days)</a:t>
                </a:r>
              </a:p>
            </c:rich>
          </c:tx>
          <c:layout>
            <c:manualLayout>
              <c:xMode val="edge"/>
              <c:yMode val="edge"/>
              <c:x val="3.9215686274509803E-2"/>
              <c:y val="0.195317403992756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TFT vs. Tooth height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relations'!$G$2</c:f>
              <c:strCache>
                <c:ptCount val="1"/>
                <c:pt idx="0">
                  <c:v>TFT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41182841326577496"/>
                  <c:y val="6.93969673203605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relations'!$E$3:$E$50</c:f>
              <c:numCache>
                <c:formatCode>General</c:formatCode>
                <c:ptCount val="4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  <c:pt idx="18">
                  <c:v>27.254999999999999</c:v>
                </c:pt>
                <c:pt idx="19">
                  <c:v>39.015000000000001</c:v>
                </c:pt>
                <c:pt idx="20">
                  <c:v>31.684999999999999</c:v>
                </c:pt>
                <c:pt idx="21">
                  <c:v>7.4649999999999999</c:v>
                </c:pt>
                <c:pt idx="22">
                  <c:v>28.484999999999999</c:v>
                </c:pt>
                <c:pt idx="23">
                  <c:v>3.0050000000000003</c:v>
                </c:pt>
                <c:pt idx="24">
                  <c:v>31.695</c:v>
                </c:pt>
                <c:pt idx="25">
                  <c:v>26.395</c:v>
                </c:pt>
                <c:pt idx="26">
                  <c:v>32.575000000000003</c:v>
                </c:pt>
                <c:pt idx="27">
                  <c:v>1.9349999999999998</c:v>
                </c:pt>
                <c:pt idx="28">
                  <c:v>43.715000000000003</c:v>
                </c:pt>
                <c:pt idx="29">
                  <c:v>28.654999999999998</c:v>
                </c:pt>
                <c:pt idx="30">
                  <c:v>25.984999999999999</c:v>
                </c:pt>
                <c:pt idx="31">
                  <c:v>36.585000000000001</c:v>
                </c:pt>
                <c:pt idx="32">
                  <c:v>28.035</c:v>
                </c:pt>
                <c:pt idx="33">
                  <c:v>8.8649999999999984</c:v>
                </c:pt>
                <c:pt idx="34">
                  <c:v>26.125</c:v>
                </c:pt>
                <c:pt idx="35">
                  <c:v>4.9228000000000005</c:v>
                </c:pt>
                <c:pt idx="36">
                  <c:v>4.0428000000000006</c:v>
                </c:pt>
                <c:pt idx="37">
                  <c:v>4.0528000000000004</c:v>
                </c:pt>
                <c:pt idx="38">
                  <c:v>4.5628000000000002</c:v>
                </c:pt>
                <c:pt idx="39">
                  <c:v>0.36280000000000001</c:v>
                </c:pt>
                <c:pt idx="40">
                  <c:v>3.8828</c:v>
                </c:pt>
                <c:pt idx="41">
                  <c:v>2.1728000000000001</c:v>
                </c:pt>
                <c:pt idx="42">
                  <c:v>3.7527999999999997</c:v>
                </c:pt>
                <c:pt idx="43">
                  <c:v>0.36280000000000001</c:v>
                </c:pt>
                <c:pt idx="44">
                  <c:v>3.5627999999999997</c:v>
                </c:pt>
                <c:pt idx="45">
                  <c:v>1.6128</c:v>
                </c:pt>
                <c:pt idx="46">
                  <c:v>3.3828</c:v>
                </c:pt>
                <c:pt idx="47">
                  <c:v>3.4827999999999997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73-4532-880B-D3B2CC9B3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Tooth height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Tooth Age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relations'!$B$3</c:f>
              <c:strCache>
                <c:ptCount val="1"/>
                <c:pt idx="0">
                  <c:v>Medium Alligator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899160258015605"/>
                  <c:y val="-0.13133536534371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relations'!$E$3:$E$20</c:f>
              <c:numCache>
                <c:formatCode>General</c:formatCode>
                <c:ptCount val="1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</c:numCache>
            </c:numRef>
          </c:xVal>
          <c:yVal>
            <c:numRef>
              <c:f>'TH, CAH, TFT relations'!$G$3:$G$20</c:f>
              <c:numCache>
                <c:formatCode>0.000</c:formatCode>
                <c:ptCount val="1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D-4E74-B38E-1066D90E900E}"/>
            </c:ext>
          </c:extLst>
        </c:ser>
        <c:ser>
          <c:idx val="1"/>
          <c:order val="1"/>
          <c:tx>
            <c:strRef>
              <c:f>'TH, CAH, TFT relations'!$B$21</c:f>
              <c:strCache>
                <c:ptCount val="1"/>
                <c:pt idx="0">
                  <c:v>Large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3.1792821063094875E-2"/>
                  <c:y val="-7.3309735385735444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relations'!$E$21:$E$37</c:f>
              <c:numCache>
                <c:formatCode>General</c:formatCode>
                <c:ptCount val="17"/>
                <c:pt idx="0">
                  <c:v>27.254999999999999</c:v>
                </c:pt>
                <c:pt idx="1">
                  <c:v>39.015000000000001</c:v>
                </c:pt>
                <c:pt idx="2">
                  <c:v>31.684999999999999</c:v>
                </c:pt>
                <c:pt idx="3">
                  <c:v>7.4649999999999999</c:v>
                </c:pt>
                <c:pt idx="4">
                  <c:v>28.484999999999999</c:v>
                </c:pt>
                <c:pt idx="5">
                  <c:v>3.0050000000000003</c:v>
                </c:pt>
                <c:pt idx="6">
                  <c:v>31.695</c:v>
                </c:pt>
                <c:pt idx="7">
                  <c:v>26.395</c:v>
                </c:pt>
                <c:pt idx="8">
                  <c:v>32.575000000000003</c:v>
                </c:pt>
                <c:pt idx="9">
                  <c:v>1.9349999999999998</c:v>
                </c:pt>
                <c:pt idx="10">
                  <c:v>43.715000000000003</c:v>
                </c:pt>
                <c:pt idx="11">
                  <c:v>28.654999999999998</c:v>
                </c:pt>
                <c:pt idx="12">
                  <c:v>25.984999999999999</c:v>
                </c:pt>
                <c:pt idx="13">
                  <c:v>36.585000000000001</c:v>
                </c:pt>
                <c:pt idx="14">
                  <c:v>28.035</c:v>
                </c:pt>
                <c:pt idx="15">
                  <c:v>8.8649999999999984</c:v>
                </c:pt>
                <c:pt idx="16">
                  <c:v>26.125</c:v>
                </c:pt>
              </c:numCache>
            </c:numRef>
          </c:xVal>
          <c:yVal>
            <c:numRef>
              <c:f>'TH, CAH, TFT relations'!$G$21:$G$37</c:f>
              <c:numCache>
                <c:formatCode>General</c:formatCode>
                <c:ptCount val="17"/>
                <c:pt idx="0" formatCode="0.000">
                  <c:v>408.79518072289153</c:v>
                </c:pt>
                <c:pt idx="1">
                  <c:v>1041.3636363636363</c:v>
                </c:pt>
                <c:pt idx="2">
                  <c:v>756.42857142857133</c:v>
                </c:pt>
                <c:pt idx="3">
                  <c:v>205.5</c:v>
                </c:pt>
                <c:pt idx="4">
                  <c:v>346.90402476780184</c:v>
                </c:pt>
                <c:pt idx="5">
                  <c:v>89.25</c:v>
                </c:pt>
                <c:pt idx="6">
                  <c:v>228.38235294117646</c:v>
                </c:pt>
                <c:pt idx="7">
                  <c:v>342.13333333333333</c:v>
                </c:pt>
                <c:pt idx="8">
                  <c:v>210.22727272727272</c:v>
                </c:pt>
                <c:pt idx="9">
                  <c:v>90.384615384615387</c:v>
                </c:pt>
                <c:pt idx="10">
                  <c:v>796.94690265486713</c:v>
                </c:pt>
                <c:pt idx="11">
                  <c:v>243.46666666666664</c:v>
                </c:pt>
                <c:pt idx="12">
                  <c:v>296.65041067761803</c:v>
                </c:pt>
                <c:pt idx="13">
                  <c:v>551.94175293147327</c:v>
                </c:pt>
                <c:pt idx="14">
                  <c:v>422.72727272727275</c:v>
                </c:pt>
                <c:pt idx="15">
                  <c:v>133.65384615384616</c:v>
                </c:pt>
                <c:pt idx="16">
                  <c:v>224.04255319148939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5D-4E74-B38E-1066D90E900E}"/>
            </c:ext>
          </c:extLst>
        </c:ser>
        <c:ser>
          <c:idx val="2"/>
          <c:order val="2"/>
          <c:tx>
            <c:strRef>
              <c:f>'TH, CAH, TFT relations'!$B$38</c:f>
              <c:strCache>
                <c:ptCount val="1"/>
                <c:pt idx="0">
                  <c:v>Small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6799069618804752"/>
                  <c:y val="5.85518544991250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relations'!$E$38:$E$50</c:f>
              <c:numCache>
                <c:formatCode>General</c:formatCode>
                <c:ptCount val="13"/>
                <c:pt idx="0">
                  <c:v>4.9228000000000005</c:v>
                </c:pt>
                <c:pt idx="1">
                  <c:v>4.0428000000000006</c:v>
                </c:pt>
                <c:pt idx="2">
                  <c:v>4.0528000000000004</c:v>
                </c:pt>
                <c:pt idx="3">
                  <c:v>4.5628000000000002</c:v>
                </c:pt>
                <c:pt idx="4">
                  <c:v>0.36280000000000001</c:v>
                </c:pt>
                <c:pt idx="5">
                  <c:v>3.8828</c:v>
                </c:pt>
                <c:pt idx="6">
                  <c:v>2.1728000000000001</c:v>
                </c:pt>
                <c:pt idx="7">
                  <c:v>3.7527999999999997</c:v>
                </c:pt>
                <c:pt idx="8">
                  <c:v>0.36280000000000001</c:v>
                </c:pt>
                <c:pt idx="9">
                  <c:v>3.5627999999999997</c:v>
                </c:pt>
                <c:pt idx="10">
                  <c:v>1.6128</c:v>
                </c:pt>
                <c:pt idx="11">
                  <c:v>3.3828</c:v>
                </c:pt>
                <c:pt idx="12">
                  <c:v>3.4827999999999997</c:v>
                </c:pt>
              </c:numCache>
            </c:numRef>
          </c:xVal>
          <c:yVal>
            <c:numRef>
              <c:f>'TH, CAH, TFT relations'!$G$38:$G$50</c:f>
              <c:numCache>
                <c:formatCode>0.000</c:formatCode>
                <c:ptCount val="13"/>
                <c:pt idx="0">
                  <c:v>109.2</c:v>
                </c:pt>
                <c:pt idx="1">
                  <c:v>175.26315789473685</c:v>
                </c:pt>
                <c:pt idx="2">
                  <c:v>136.30434782608697</c:v>
                </c:pt>
                <c:pt idx="3">
                  <c:v>132.5</c:v>
                </c:pt>
                <c:pt idx="4">
                  <c:v>20</c:v>
                </c:pt>
                <c:pt idx="5">
                  <c:v>178.28571428571431</c:v>
                </c:pt>
                <c:pt idx="6">
                  <c:v>123.74999999999999</c:v>
                </c:pt>
                <c:pt idx="7">
                  <c:v>72</c:v>
                </c:pt>
                <c:pt idx="8">
                  <c:v>18.333333333333332</c:v>
                </c:pt>
                <c:pt idx="9">
                  <c:v>150</c:v>
                </c:pt>
                <c:pt idx="10">
                  <c:v>73.07692307692308</c:v>
                </c:pt>
                <c:pt idx="11">
                  <c:v>130.34482758620689</c:v>
                </c:pt>
                <c:pt idx="12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95D-4E74-B38E-1066D90E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Tooth height (mm)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Tooth Age (days)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TFT by CAH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relations'!$F$2</c:f>
              <c:strCache>
                <c:ptCount val="1"/>
                <c:pt idx="0">
                  <c:v>central axis height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4.7439139807099247E-2"/>
                  <c:y val="0.3593428976434283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9F-4719-8280-5B69486A3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central axis</a:t>
                </a:r>
                <a:r>
                  <a:rPr lang="en-US" sz="1100" baseline="0"/>
                  <a:t> height (mm)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Tooth Age (days)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relations'!$B$3</c:f>
              <c:strCache>
                <c:ptCount val="1"/>
                <c:pt idx="0">
                  <c:v>Medium Alligator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8.9700546721863672E-2"/>
                  <c:y val="-9.942357557568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relations'!$F$3:$F$20</c:f>
              <c:numCache>
                <c:formatCode>0.000</c:formatCode>
                <c:ptCount val="1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</c:numCache>
            </c:numRef>
          </c:xVal>
          <c:yVal>
            <c:numRef>
              <c:f>'TH, CAH, TFT relations'!$G$3:$G$20</c:f>
              <c:numCache>
                <c:formatCode>0.000</c:formatCode>
                <c:ptCount val="1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AC-44B5-9FE6-92FD42D8A08A}"/>
            </c:ext>
          </c:extLst>
        </c:ser>
        <c:ser>
          <c:idx val="1"/>
          <c:order val="1"/>
          <c:tx>
            <c:strRef>
              <c:f>'TH, CAH, TFT relations'!$B$21</c:f>
              <c:strCache>
                <c:ptCount val="1"/>
                <c:pt idx="0">
                  <c:v>Large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3638208372377233E-2"/>
                  <c:y val="7.508979838521953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relations'!$F$21:$F$37</c:f>
              <c:numCache>
                <c:formatCode>General</c:formatCode>
                <c:ptCount val="17"/>
                <c:pt idx="0">
                  <c:v>5.6550000000000002</c:v>
                </c:pt>
                <c:pt idx="1">
                  <c:v>11.455</c:v>
                </c:pt>
                <c:pt idx="2">
                  <c:v>8.8249999999999993</c:v>
                </c:pt>
                <c:pt idx="3">
                  <c:v>2.0550000000000002</c:v>
                </c:pt>
                <c:pt idx="4">
                  <c:v>6.2250000000000005</c:v>
                </c:pt>
                <c:pt idx="5">
                  <c:v>1.7849999999999999</c:v>
                </c:pt>
                <c:pt idx="6">
                  <c:v>7.7650000000000006</c:v>
                </c:pt>
                <c:pt idx="7">
                  <c:v>6.415</c:v>
                </c:pt>
                <c:pt idx="8">
                  <c:v>4.625</c:v>
                </c:pt>
                <c:pt idx="9">
                  <c:v>1.175</c:v>
                </c:pt>
                <c:pt idx="10">
                  <c:v>12.864999999999998</c:v>
                </c:pt>
                <c:pt idx="11">
                  <c:v>4.5650000000000004</c:v>
                </c:pt>
                <c:pt idx="12">
                  <c:v>5.0250000000000004</c:v>
                </c:pt>
                <c:pt idx="13">
                  <c:v>9.4749999999999996</c:v>
                </c:pt>
                <c:pt idx="14">
                  <c:v>6.9750000000000005</c:v>
                </c:pt>
                <c:pt idx="15">
                  <c:v>3.4750000000000001</c:v>
                </c:pt>
                <c:pt idx="16">
                  <c:v>5.2650000000000006</c:v>
                </c:pt>
              </c:numCache>
            </c:numRef>
          </c:xVal>
          <c:yVal>
            <c:numRef>
              <c:f>'TH, CAH, TFT relations'!$G$21:$G$37</c:f>
              <c:numCache>
                <c:formatCode>General</c:formatCode>
                <c:ptCount val="17"/>
                <c:pt idx="0" formatCode="0.000">
                  <c:v>408.79518072289153</c:v>
                </c:pt>
                <c:pt idx="1">
                  <c:v>1041.3636363636363</c:v>
                </c:pt>
                <c:pt idx="2">
                  <c:v>756.42857142857133</c:v>
                </c:pt>
                <c:pt idx="3">
                  <c:v>205.5</c:v>
                </c:pt>
                <c:pt idx="4">
                  <c:v>346.90402476780184</c:v>
                </c:pt>
                <c:pt idx="5">
                  <c:v>89.25</c:v>
                </c:pt>
                <c:pt idx="6">
                  <c:v>228.38235294117646</c:v>
                </c:pt>
                <c:pt idx="7">
                  <c:v>342.13333333333333</c:v>
                </c:pt>
                <c:pt idx="8">
                  <c:v>210.22727272727272</c:v>
                </c:pt>
                <c:pt idx="9">
                  <c:v>90.384615384615387</c:v>
                </c:pt>
                <c:pt idx="10">
                  <c:v>796.94690265486713</c:v>
                </c:pt>
                <c:pt idx="11">
                  <c:v>243.46666666666664</c:v>
                </c:pt>
                <c:pt idx="12">
                  <c:v>296.65041067761803</c:v>
                </c:pt>
                <c:pt idx="13">
                  <c:v>551.94175293147327</c:v>
                </c:pt>
                <c:pt idx="14">
                  <c:v>422.72727272727275</c:v>
                </c:pt>
                <c:pt idx="15">
                  <c:v>133.65384615384616</c:v>
                </c:pt>
                <c:pt idx="16">
                  <c:v>224.04255319148939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AC-44B5-9FE6-92FD42D8A08A}"/>
            </c:ext>
          </c:extLst>
        </c:ser>
        <c:ser>
          <c:idx val="2"/>
          <c:order val="2"/>
          <c:tx>
            <c:strRef>
              <c:f>'TH, CAH, TFT relations'!$B$38</c:f>
              <c:strCache>
                <c:ptCount val="1"/>
                <c:pt idx="0">
                  <c:v>Small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3207655393735143"/>
                  <c:y val="8.14480991560394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relations'!$F$38:$F$50</c:f>
              <c:numCache>
                <c:formatCode>General</c:formatCode>
                <c:ptCount val="13"/>
                <c:pt idx="0">
                  <c:v>1.7928000000000002</c:v>
                </c:pt>
                <c:pt idx="1">
                  <c:v>2.1928000000000001</c:v>
                </c:pt>
                <c:pt idx="2">
                  <c:v>2.0627999999999997</c:v>
                </c:pt>
                <c:pt idx="3">
                  <c:v>1.5628000000000002</c:v>
                </c:pt>
                <c:pt idx="4">
                  <c:v>0.20280000000000001</c:v>
                </c:pt>
                <c:pt idx="5">
                  <c:v>2.0528</c:v>
                </c:pt>
                <c:pt idx="6">
                  <c:v>1.6228</c:v>
                </c:pt>
                <c:pt idx="7">
                  <c:v>1.2328000000000001</c:v>
                </c:pt>
                <c:pt idx="8">
                  <c:v>0.1928</c:v>
                </c:pt>
                <c:pt idx="9">
                  <c:v>2.1328</c:v>
                </c:pt>
                <c:pt idx="10">
                  <c:v>0.92279999999999995</c:v>
                </c:pt>
                <c:pt idx="11">
                  <c:v>1.8628</c:v>
                </c:pt>
                <c:pt idx="12">
                  <c:v>1.6428</c:v>
                </c:pt>
              </c:numCache>
            </c:numRef>
          </c:xVal>
          <c:yVal>
            <c:numRef>
              <c:f>'TH, CAH, TFT relations'!$G$38:$G$50</c:f>
              <c:numCache>
                <c:formatCode>0.000</c:formatCode>
                <c:ptCount val="13"/>
                <c:pt idx="0">
                  <c:v>109.2</c:v>
                </c:pt>
                <c:pt idx="1">
                  <c:v>175.26315789473685</c:v>
                </c:pt>
                <c:pt idx="2">
                  <c:v>136.30434782608697</c:v>
                </c:pt>
                <c:pt idx="3">
                  <c:v>132.5</c:v>
                </c:pt>
                <c:pt idx="4">
                  <c:v>20</c:v>
                </c:pt>
                <c:pt idx="5">
                  <c:v>178.28571428571431</c:v>
                </c:pt>
                <c:pt idx="6">
                  <c:v>123.74999999999999</c:v>
                </c:pt>
                <c:pt idx="7">
                  <c:v>72</c:v>
                </c:pt>
                <c:pt idx="8">
                  <c:v>18.333333333333332</c:v>
                </c:pt>
                <c:pt idx="9">
                  <c:v>150</c:v>
                </c:pt>
                <c:pt idx="10">
                  <c:v>73.07692307692308</c:v>
                </c:pt>
                <c:pt idx="11">
                  <c:v>130.34482758620689</c:v>
                </c:pt>
                <c:pt idx="12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7AC-44B5-9FE6-92FD42D8A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central axis height (mm)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Age (days)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teeth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measurements'!$C$102:$AQ$102</c:f>
              <c:numCache>
                <c:formatCode>General</c:formatCode>
                <c:ptCount val="41"/>
                <c:pt idx="20">
                  <c:v>3.2027999999999999</c:v>
                </c:pt>
                <c:pt idx="21">
                  <c:v>2.5327999999999999</c:v>
                </c:pt>
                <c:pt idx="22">
                  <c:v>4.9228000000000005</c:v>
                </c:pt>
                <c:pt idx="23">
                  <c:v>4.1328000000000005</c:v>
                </c:pt>
                <c:pt idx="24">
                  <c:v>4.5928000000000004</c:v>
                </c:pt>
                <c:pt idx="25">
                  <c:v>4.5528000000000004</c:v>
                </c:pt>
                <c:pt idx="26">
                  <c:v>4.2228000000000003</c:v>
                </c:pt>
                <c:pt idx="27">
                  <c:v>6.3228</c:v>
                </c:pt>
                <c:pt idx="28">
                  <c:v>4.9028</c:v>
                </c:pt>
                <c:pt idx="29">
                  <c:v>5.8728000000000007</c:v>
                </c:pt>
                <c:pt idx="30">
                  <c:v>4.0428000000000006</c:v>
                </c:pt>
                <c:pt idx="31">
                  <c:v>4.0528000000000004</c:v>
                </c:pt>
                <c:pt idx="32">
                  <c:v>3.1027999999999998</c:v>
                </c:pt>
                <c:pt idx="33">
                  <c:v>4.7628000000000004</c:v>
                </c:pt>
                <c:pt idx="34">
                  <c:v>3.9327999999999999</c:v>
                </c:pt>
                <c:pt idx="35">
                  <c:v>4.7328000000000001</c:v>
                </c:pt>
                <c:pt idx="36">
                  <c:v>4.5628000000000002</c:v>
                </c:pt>
                <c:pt idx="37">
                  <c:v>3.8828</c:v>
                </c:pt>
                <c:pt idx="38">
                  <c:v>3.2227999999999999</c:v>
                </c:pt>
                <c:pt idx="39">
                  <c:v>2.8727999999999998</c:v>
                </c:pt>
                <c:pt idx="40">
                  <c:v>1.1528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A-4F4D-B534-F2E322270693}"/>
            </c:ext>
          </c:extLst>
        </c:ser>
        <c:ser>
          <c:idx val="1"/>
          <c:order val="1"/>
          <c:tx>
            <c:v>Functional teeth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measurements'!$C$103:$AQ$103</c:f>
              <c:numCache>
                <c:formatCode>General</c:formatCode>
                <c:ptCount val="41"/>
                <c:pt idx="20">
                  <c:v>5.1628000000000007</c:v>
                </c:pt>
                <c:pt idx="21">
                  <c:v>2.1728000000000001</c:v>
                </c:pt>
                <c:pt idx="22">
                  <c:v>4.4428000000000001</c:v>
                </c:pt>
                <c:pt idx="23">
                  <c:v>3.7527999999999997</c:v>
                </c:pt>
                <c:pt idx="24">
                  <c:v>4.1828000000000003</c:v>
                </c:pt>
                <c:pt idx="25">
                  <c:v>3.2427999999999999</c:v>
                </c:pt>
                <c:pt idx="26">
                  <c:v>3.1928000000000001</c:v>
                </c:pt>
                <c:pt idx="27">
                  <c:v>3.0427999999999997</c:v>
                </c:pt>
                <c:pt idx="28">
                  <c:v>3.1027999999999998</c:v>
                </c:pt>
                <c:pt idx="29">
                  <c:v>3.1827999999999999</c:v>
                </c:pt>
                <c:pt idx="30">
                  <c:v>3.8828</c:v>
                </c:pt>
                <c:pt idx="31">
                  <c:v>3.5627999999999997</c:v>
                </c:pt>
                <c:pt idx="32">
                  <c:v>5.3928000000000003</c:v>
                </c:pt>
                <c:pt idx="33">
                  <c:v>4.1228000000000007</c:v>
                </c:pt>
                <c:pt idx="34">
                  <c:v>4.2528000000000006</c:v>
                </c:pt>
                <c:pt idx="35">
                  <c:v>3.7128000000000001</c:v>
                </c:pt>
                <c:pt idx="36">
                  <c:v>3.3428</c:v>
                </c:pt>
                <c:pt idx="37">
                  <c:v>3.3828</c:v>
                </c:pt>
                <c:pt idx="38">
                  <c:v>3.4827999999999997</c:v>
                </c:pt>
                <c:pt idx="39">
                  <c:v>2.8327999999999998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A-4F4D-B534-F2E322270693}"/>
            </c:ext>
          </c:extLst>
        </c:ser>
        <c:ser>
          <c:idx val="2"/>
          <c:order val="2"/>
          <c:tx>
            <c:v>Replacement teeth 1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measurements'!$C$104:$AQ$104</c:f>
              <c:numCache>
                <c:formatCode>General</c:formatCode>
                <c:ptCount val="41"/>
                <c:pt idx="20">
                  <c:v>0.25280000000000002</c:v>
                </c:pt>
                <c:pt idx="21">
                  <c:v>1.1528</c:v>
                </c:pt>
                <c:pt idx="22">
                  <c:v>1.0528000000000002</c:v>
                </c:pt>
                <c:pt idx="23">
                  <c:v>0.53280000000000005</c:v>
                </c:pt>
                <c:pt idx="24">
                  <c:v>0.99280000000000002</c:v>
                </c:pt>
                <c:pt idx="25">
                  <c:v>0.69279999999999997</c:v>
                </c:pt>
                <c:pt idx="26">
                  <c:v>1.8028000000000002</c:v>
                </c:pt>
                <c:pt idx="27">
                  <c:v>1.1028</c:v>
                </c:pt>
                <c:pt idx="28">
                  <c:v>2.8028</c:v>
                </c:pt>
                <c:pt idx="29">
                  <c:v>0.89280000000000004</c:v>
                </c:pt>
                <c:pt idx="30">
                  <c:v>1.8428000000000002</c:v>
                </c:pt>
                <c:pt idx="31">
                  <c:v>0.71279999999999999</c:v>
                </c:pt>
                <c:pt idx="32">
                  <c:v>2.1128</c:v>
                </c:pt>
                <c:pt idx="33">
                  <c:v>1.0028000000000001</c:v>
                </c:pt>
                <c:pt idx="34">
                  <c:v>0.46279999999999999</c:v>
                </c:pt>
                <c:pt idx="35">
                  <c:v>1.3928</c:v>
                </c:pt>
                <c:pt idx="36">
                  <c:v>0.36280000000000001</c:v>
                </c:pt>
                <c:pt idx="37">
                  <c:v>0.7228</c:v>
                </c:pt>
                <c:pt idx="39">
                  <c:v>0.33279999999999998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A-4F4D-B534-F2E322270693}"/>
            </c:ext>
          </c:extLst>
        </c:ser>
        <c:ser>
          <c:idx val="3"/>
          <c:order val="3"/>
          <c:tx>
            <c:v>Replacemetn teeth 1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measurements'!$C$105:$AQ$105</c:f>
              <c:numCache>
                <c:formatCode>General</c:formatCode>
                <c:ptCount val="41"/>
                <c:pt idx="20">
                  <c:v>1.4828000000000001</c:v>
                </c:pt>
                <c:pt idx="21">
                  <c:v>2.0728</c:v>
                </c:pt>
                <c:pt idx="22">
                  <c:v>1.0928000000000002</c:v>
                </c:pt>
                <c:pt idx="23">
                  <c:v>0.36280000000000001</c:v>
                </c:pt>
                <c:pt idx="24">
                  <c:v>0.63280000000000003</c:v>
                </c:pt>
                <c:pt idx="25">
                  <c:v>0.95279999999999998</c:v>
                </c:pt>
                <c:pt idx="26">
                  <c:v>0.17280000000000001</c:v>
                </c:pt>
                <c:pt idx="27">
                  <c:v>0.95279999999999998</c:v>
                </c:pt>
                <c:pt idx="28">
                  <c:v>0.1628</c:v>
                </c:pt>
                <c:pt idx="29">
                  <c:v>0.7228</c:v>
                </c:pt>
                <c:pt idx="30">
                  <c:v>0.45279999999999998</c:v>
                </c:pt>
                <c:pt idx="31">
                  <c:v>1.6128</c:v>
                </c:pt>
                <c:pt idx="32">
                  <c:v>0.80279999999999996</c:v>
                </c:pt>
                <c:pt idx="33">
                  <c:v>1.6928000000000001</c:v>
                </c:pt>
                <c:pt idx="34">
                  <c:v>0.30280000000000001</c:v>
                </c:pt>
                <c:pt idx="35">
                  <c:v>0.84279999999999999</c:v>
                </c:pt>
                <c:pt idx="36">
                  <c:v>0.15279999999999999</c:v>
                </c:pt>
                <c:pt idx="37">
                  <c:v>0.68279999999999996</c:v>
                </c:pt>
                <c:pt idx="38">
                  <c:v>0.11280000000000001</c:v>
                </c:pt>
                <c:pt idx="39">
                  <c:v>0.42280000000000001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A-4F4D-B534-F2E322270693}"/>
            </c:ext>
          </c:extLst>
        </c:ser>
        <c:ser>
          <c:idx val="4"/>
          <c:order val="4"/>
          <c:tx>
            <c:v>Replacement teeth 2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measurements'!$C$106:$AQ$106</c:f>
              <c:numCache>
                <c:formatCode>General</c:formatCode>
                <c:ptCount val="41"/>
                <c:pt idx="32">
                  <c:v>0.1628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4A-4F4D-B534-F2E322270693}"/>
            </c:ext>
          </c:extLst>
        </c:ser>
        <c:ser>
          <c:idx val="5"/>
          <c:order val="5"/>
          <c:tx>
            <c:v>Replacement teeth 2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measurements'!$C$107:$AQ$107</c:f>
              <c:numCache>
                <c:formatCode>General</c:formatCode>
                <c:ptCount val="41"/>
              </c:numCache>
            </c:numRef>
          </c:val>
          <c:extLst>
            <c:ext xmlns:c16="http://schemas.microsoft.com/office/drawing/2014/chart" uri="{C3380CC4-5D6E-409C-BE32-E72D297353CC}">
              <c16:uniqueId val="{00000005-714A-4F4D-B534-F2E32227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80736"/>
        <c:axId val="76582272"/>
      </c:barChart>
      <c:catAx>
        <c:axId val="765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6582272"/>
        <c:crosses val="autoZero"/>
        <c:auto val="1"/>
        <c:lblAlgn val="ctr"/>
        <c:lblOffset val="100"/>
        <c:noMultiLvlLbl val="0"/>
      </c:catAx>
      <c:valAx>
        <c:axId val="76582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5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age by CAH</a:t>
            </a:r>
            <a:r>
              <a:rPr lang="en-US" baseline="0"/>
              <a:t> </a:t>
            </a:r>
            <a:r>
              <a:rPr lang="en-US"/>
              <a:t>vs. Tooth height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relations'!$G$2</c:f>
              <c:strCache>
                <c:ptCount val="1"/>
                <c:pt idx="0">
                  <c:v>TFT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6.1236280206185528E-3"/>
                  <c:y val="-1.42132345862623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relations'!$E$3:$E$50</c:f>
              <c:numCache>
                <c:formatCode>General</c:formatCode>
                <c:ptCount val="4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  <c:pt idx="18">
                  <c:v>27.254999999999999</c:v>
                </c:pt>
                <c:pt idx="19">
                  <c:v>39.015000000000001</c:v>
                </c:pt>
                <c:pt idx="20">
                  <c:v>31.684999999999999</c:v>
                </c:pt>
                <c:pt idx="21">
                  <c:v>7.4649999999999999</c:v>
                </c:pt>
                <c:pt idx="22">
                  <c:v>28.484999999999999</c:v>
                </c:pt>
                <c:pt idx="23">
                  <c:v>3.0050000000000003</c:v>
                </c:pt>
                <c:pt idx="24">
                  <c:v>31.695</c:v>
                </c:pt>
                <c:pt idx="25">
                  <c:v>26.395</c:v>
                </c:pt>
                <c:pt idx="26">
                  <c:v>32.575000000000003</c:v>
                </c:pt>
                <c:pt idx="27">
                  <c:v>1.9349999999999998</c:v>
                </c:pt>
                <c:pt idx="28">
                  <c:v>43.715000000000003</c:v>
                </c:pt>
                <c:pt idx="29">
                  <c:v>28.654999999999998</c:v>
                </c:pt>
                <c:pt idx="30">
                  <c:v>25.984999999999999</c:v>
                </c:pt>
                <c:pt idx="31">
                  <c:v>36.585000000000001</c:v>
                </c:pt>
                <c:pt idx="32">
                  <c:v>28.035</c:v>
                </c:pt>
                <c:pt idx="33">
                  <c:v>8.8649999999999984</c:v>
                </c:pt>
                <c:pt idx="34">
                  <c:v>26.125</c:v>
                </c:pt>
                <c:pt idx="35">
                  <c:v>4.9228000000000005</c:v>
                </c:pt>
                <c:pt idx="36">
                  <c:v>4.0428000000000006</c:v>
                </c:pt>
                <c:pt idx="37">
                  <c:v>4.0528000000000004</c:v>
                </c:pt>
                <c:pt idx="38">
                  <c:v>4.5628000000000002</c:v>
                </c:pt>
                <c:pt idx="39">
                  <c:v>0.36280000000000001</c:v>
                </c:pt>
                <c:pt idx="40">
                  <c:v>3.8828</c:v>
                </c:pt>
                <c:pt idx="41">
                  <c:v>2.1728000000000001</c:v>
                </c:pt>
                <c:pt idx="42">
                  <c:v>3.7527999999999997</c:v>
                </c:pt>
                <c:pt idx="43">
                  <c:v>0.36280000000000001</c:v>
                </c:pt>
                <c:pt idx="44">
                  <c:v>3.5627999999999997</c:v>
                </c:pt>
                <c:pt idx="45">
                  <c:v>1.6128</c:v>
                </c:pt>
                <c:pt idx="46">
                  <c:v>3.3828</c:v>
                </c:pt>
                <c:pt idx="47">
                  <c:v>3.4827999999999997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82-42DC-BC4D-C4756F4E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 height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 Age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relations'!$B$3</c:f>
              <c:strCache>
                <c:ptCount val="1"/>
                <c:pt idx="0">
                  <c:v>Medium Alligator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6.1686914487081287E-2"/>
                  <c:y val="0.16177385838521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relations'!$E$3:$E$20</c:f>
              <c:numCache>
                <c:formatCode>General</c:formatCode>
                <c:ptCount val="1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</c:numCache>
            </c:numRef>
          </c:xVal>
          <c:yVal>
            <c:numRef>
              <c:f>'TH, CAH, TFT relations'!$G$3:$G$20</c:f>
              <c:numCache>
                <c:formatCode>0.000</c:formatCode>
                <c:ptCount val="1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C0-424F-AABB-8C033BAEEC14}"/>
            </c:ext>
          </c:extLst>
        </c:ser>
        <c:ser>
          <c:idx val="1"/>
          <c:order val="1"/>
          <c:tx>
            <c:strRef>
              <c:f>'TH, CAH, TFT relations'!$B$21</c:f>
              <c:strCache>
                <c:ptCount val="1"/>
                <c:pt idx="0">
                  <c:v>Large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1.2853165044918799E-2"/>
                  <c:y val="-2.305074794378055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relations'!$E$21:$E$37</c:f>
              <c:numCache>
                <c:formatCode>General</c:formatCode>
                <c:ptCount val="17"/>
                <c:pt idx="0">
                  <c:v>27.254999999999999</c:v>
                </c:pt>
                <c:pt idx="1">
                  <c:v>39.015000000000001</c:v>
                </c:pt>
                <c:pt idx="2">
                  <c:v>31.684999999999999</c:v>
                </c:pt>
                <c:pt idx="3">
                  <c:v>7.4649999999999999</c:v>
                </c:pt>
                <c:pt idx="4">
                  <c:v>28.484999999999999</c:v>
                </c:pt>
                <c:pt idx="5">
                  <c:v>3.0050000000000003</c:v>
                </c:pt>
                <c:pt idx="6">
                  <c:v>31.695</c:v>
                </c:pt>
                <c:pt idx="7">
                  <c:v>26.395</c:v>
                </c:pt>
                <c:pt idx="8">
                  <c:v>32.575000000000003</c:v>
                </c:pt>
                <c:pt idx="9">
                  <c:v>1.9349999999999998</c:v>
                </c:pt>
                <c:pt idx="10">
                  <c:v>43.715000000000003</c:v>
                </c:pt>
                <c:pt idx="11">
                  <c:v>28.654999999999998</c:v>
                </c:pt>
                <c:pt idx="12">
                  <c:v>25.984999999999999</c:v>
                </c:pt>
                <c:pt idx="13">
                  <c:v>36.585000000000001</c:v>
                </c:pt>
                <c:pt idx="14">
                  <c:v>28.035</c:v>
                </c:pt>
                <c:pt idx="15">
                  <c:v>8.8649999999999984</c:v>
                </c:pt>
                <c:pt idx="16">
                  <c:v>26.125</c:v>
                </c:pt>
              </c:numCache>
            </c:numRef>
          </c:xVal>
          <c:yVal>
            <c:numRef>
              <c:f>'TH, CAH, TFT relations'!$G$21:$G$37</c:f>
              <c:numCache>
                <c:formatCode>General</c:formatCode>
                <c:ptCount val="17"/>
                <c:pt idx="0" formatCode="0.000">
                  <c:v>408.79518072289153</c:v>
                </c:pt>
                <c:pt idx="1">
                  <c:v>1041.3636363636363</c:v>
                </c:pt>
                <c:pt idx="2">
                  <c:v>756.42857142857133</c:v>
                </c:pt>
                <c:pt idx="3">
                  <c:v>205.5</c:v>
                </c:pt>
                <c:pt idx="4">
                  <c:v>346.90402476780184</c:v>
                </c:pt>
                <c:pt idx="5">
                  <c:v>89.25</c:v>
                </c:pt>
                <c:pt idx="6">
                  <c:v>228.38235294117646</c:v>
                </c:pt>
                <c:pt idx="7">
                  <c:v>342.13333333333333</c:v>
                </c:pt>
                <c:pt idx="8">
                  <c:v>210.22727272727272</c:v>
                </c:pt>
                <c:pt idx="9">
                  <c:v>90.384615384615387</c:v>
                </c:pt>
                <c:pt idx="10">
                  <c:v>796.94690265486713</c:v>
                </c:pt>
                <c:pt idx="11">
                  <c:v>243.46666666666664</c:v>
                </c:pt>
                <c:pt idx="12">
                  <c:v>296.65041067761803</c:v>
                </c:pt>
                <c:pt idx="13">
                  <c:v>551.94175293147327</c:v>
                </c:pt>
                <c:pt idx="14">
                  <c:v>422.72727272727275</c:v>
                </c:pt>
                <c:pt idx="15">
                  <c:v>133.65384615384616</c:v>
                </c:pt>
                <c:pt idx="16">
                  <c:v>224.04255319148939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C0-424F-AABB-8C033BAEEC14}"/>
            </c:ext>
          </c:extLst>
        </c:ser>
        <c:ser>
          <c:idx val="2"/>
          <c:order val="2"/>
          <c:tx>
            <c:strRef>
              <c:f>'TH, CAH, TFT relations'!$B$38</c:f>
              <c:strCache>
                <c:ptCount val="1"/>
                <c:pt idx="0">
                  <c:v>Small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1852164271003136"/>
                  <c:y val="6.77805918531238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relations'!$E$38:$E$50</c:f>
              <c:numCache>
                <c:formatCode>General</c:formatCode>
                <c:ptCount val="13"/>
                <c:pt idx="0">
                  <c:v>4.9228000000000005</c:v>
                </c:pt>
                <c:pt idx="1">
                  <c:v>4.0428000000000006</c:v>
                </c:pt>
                <c:pt idx="2">
                  <c:v>4.0528000000000004</c:v>
                </c:pt>
                <c:pt idx="3">
                  <c:v>4.5628000000000002</c:v>
                </c:pt>
                <c:pt idx="4">
                  <c:v>0.36280000000000001</c:v>
                </c:pt>
                <c:pt idx="5">
                  <c:v>3.8828</c:v>
                </c:pt>
                <c:pt idx="6">
                  <c:v>2.1728000000000001</c:v>
                </c:pt>
                <c:pt idx="7">
                  <c:v>3.7527999999999997</c:v>
                </c:pt>
                <c:pt idx="8">
                  <c:v>0.36280000000000001</c:v>
                </c:pt>
                <c:pt idx="9">
                  <c:v>3.5627999999999997</c:v>
                </c:pt>
                <c:pt idx="10">
                  <c:v>1.6128</c:v>
                </c:pt>
                <c:pt idx="11">
                  <c:v>3.3828</c:v>
                </c:pt>
                <c:pt idx="12">
                  <c:v>3.4827999999999997</c:v>
                </c:pt>
              </c:numCache>
            </c:numRef>
          </c:xVal>
          <c:yVal>
            <c:numRef>
              <c:f>'TH, CAH, TFT relations'!$G$38:$G$50</c:f>
              <c:numCache>
                <c:formatCode>0.000</c:formatCode>
                <c:ptCount val="13"/>
                <c:pt idx="0">
                  <c:v>109.2</c:v>
                </c:pt>
                <c:pt idx="1">
                  <c:v>175.26315789473685</c:v>
                </c:pt>
                <c:pt idx="2">
                  <c:v>136.30434782608697</c:v>
                </c:pt>
                <c:pt idx="3">
                  <c:v>132.5</c:v>
                </c:pt>
                <c:pt idx="4">
                  <c:v>20</c:v>
                </c:pt>
                <c:pt idx="5">
                  <c:v>178.28571428571431</c:v>
                </c:pt>
                <c:pt idx="6">
                  <c:v>123.74999999999999</c:v>
                </c:pt>
                <c:pt idx="7">
                  <c:v>72</c:v>
                </c:pt>
                <c:pt idx="8">
                  <c:v>18.333333333333332</c:v>
                </c:pt>
                <c:pt idx="9">
                  <c:v>150</c:v>
                </c:pt>
                <c:pt idx="10">
                  <c:v>73.07692307692308</c:v>
                </c:pt>
                <c:pt idx="11">
                  <c:v>130.34482758620689</c:v>
                </c:pt>
                <c:pt idx="12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EC0-424F-AABB-8C033BAEE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Age (days)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age by CAH vs. CAH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relations'!$G$2</c:f>
              <c:strCache>
                <c:ptCount val="1"/>
                <c:pt idx="0">
                  <c:v>TFT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1.9162233545902196E-2"/>
                  <c:y val="-4.22116349380378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7D-49CE-833B-FE01EEC96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central axis</a:t>
                </a:r>
                <a:r>
                  <a:rPr lang="en-US" baseline="0"/>
                  <a:t> height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Age (days)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relations'!$B$3</c:f>
              <c:strCache>
                <c:ptCount val="1"/>
                <c:pt idx="0">
                  <c:v>Medium Alligator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6494468878554151E-2"/>
                  <c:y val="0.20814120734908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relations'!$F$3:$F$20</c:f>
              <c:numCache>
                <c:formatCode>0.000</c:formatCode>
                <c:ptCount val="1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</c:numCache>
            </c:numRef>
          </c:xVal>
          <c:yVal>
            <c:numRef>
              <c:f>'TH, CAH, TFT relations'!$G$3:$G$20</c:f>
              <c:numCache>
                <c:formatCode>0.000</c:formatCode>
                <c:ptCount val="1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F7-427B-BADA-F0E7D35133ED}"/>
            </c:ext>
          </c:extLst>
        </c:ser>
        <c:ser>
          <c:idx val="1"/>
          <c:order val="1"/>
          <c:tx>
            <c:strRef>
              <c:f>'TH, CAH, TFT relations'!$B$21</c:f>
              <c:strCache>
                <c:ptCount val="1"/>
                <c:pt idx="0">
                  <c:v>Large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1.0520606975898868E-5"/>
                  <c:y val="-1.43601049868766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relations'!$F$21:$F$37</c:f>
              <c:numCache>
                <c:formatCode>General</c:formatCode>
                <c:ptCount val="17"/>
                <c:pt idx="0">
                  <c:v>5.6550000000000002</c:v>
                </c:pt>
                <c:pt idx="1">
                  <c:v>11.455</c:v>
                </c:pt>
                <c:pt idx="2">
                  <c:v>8.8249999999999993</c:v>
                </c:pt>
                <c:pt idx="3">
                  <c:v>2.0550000000000002</c:v>
                </c:pt>
                <c:pt idx="4">
                  <c:v>6.2250000000000005</c:v>
                </c:pt>
                <c:pt idx="5">
                  <c:v>1.7849999999999999</c:v>
                </c:pt>
                <c:pt idx="6">
                  <c:v>7.7650000000000006</c:v>
                </c:pt>
                <c:pt idx="7">
                  <c:v>6.415</c:v>
                </c:pt>
                <c:pt idx="8">
                  <c:v>4.625</c:v>
                </c:pt>
                <c:pt idx="9">
                  <c:v>1.175</c:v>
                </c:pt>
                <c:pt idx="10">
                  <c:v>12.864999999999998</c:v>
                </c:pt>
                <c:pt idx="11">
                  <c:v>4.5650000000000004</c:v>
                </c:pt>
                <c:pt idx="12">
                  <c:v>5.0250000000000004</c:v>
                </c:pt>
                <c:pt idx="13">
                  <c:v>9.4749999999999996</c:v>
                </c:pt>
                <c:pt idx="14">
                  <c:v>6.9750000000000005</c:v>
                </c:pt>
                <c:pt idx="15">
                  <c:v>3.4750000000000001</c:v>
                </c:pt>
                <c:pt idx="16">
                  <c:v>5.2650000000000006</c:v>
                </c:pt>
              </c:numCache>
            </c:numRef>
          </c:xVal>
          <c:yVal>
            <c:numRef>
              <c:f>'TH, CAH, TFT relations'!$G$21:$G$37</c:f>
              <c:numCache>
                <c:formatCode>General</c:formatCode>
                <c:ptCount val="17"/>
                <c:pt idx="0" formatCode="0.000">
                  <c:v>408.79518072289153</c:v>
                </c:pt>
                <c:pt idx="1">
                  <c:v>1041.3636363636363</c:v>
                </c:pt>
                <c:pt idx="2">
                  <c:v>756.42857142857133</c:v>
                </c:pt>
                <c:pt idx="3">
                  <c:v>205.5</c:v>
                </c:pt>
                <c:pt idx="4">
                  <c:v>346.90402476780184</c:v>
                </c:pt>
                <c:pt idx="5">
                  <c:v>89.25</c:v>
                </c:pt>
                <c:pt idx="6">
                  <c:v>228.38235294117646</c:v>
                </c:pt>
                <c:pt idx="7">
                  <c:v>342.13333333333333</c:v>
                </c:pt>
                <c:pt idx="8">
                  <c:v>210.22727272727272</c:v>
                </c:pt>
                <c:pt idx="9">
                  <c:v>90.384615384615387</c:v>
                </c:pt>
                <c:pt idx="10">
                  <c:v>796.94690265486713</c:v>
                </c:pt>
                <c:pt idx="11">
                  <c:v>243.46666666666664</c:v>
                </c:pt>
                <c:pt idx="12">
                  <c:v>296.65041067761803</c:v>
                </c:pt>
                <c:pt idx="13">
                  <c:v>551.94175293147327</c:v>
                </c:pt>
                <c:pt idx="14">
                  <c:v>422.72727272727275</c:v>
                </c:pt>
                <c:pt idx="15">
                  <c:v>133.65384615384616</c:v>
                </c:pt>
                <c:pt idx="16">
                  <c:v>224.04255319148939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F7-427B-BADA-F0E7D35133ED}"/>
            </c:ext>
          </c:extLst>
        </c:ser>
        <c:ser>
          <c:idx val="2"/>
          <c:order val="2"/>
          <c:tx>
            <c:strRef>
              <c:f>'TH, CAH, TFT relations'!$B$38</c:f>
              <c:strCache>
                <c:ptCount val="1"/>
                <c:pt idx="0">
                  <c:v>Small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627377284571723"/>
                  <c:y val="9.50572178477690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relations'!$F$38:$F$50</c:f>
              <c:numCache>
                <c:formatCode>General</c:formatCode>
                <c:ptCount val="13"/>
                <c:pt idx="0">
                  <c:v>1.7928000000000002</c:v>
                </c:pt>
                <c:pt idx="1">
                  <c:v>2.1928000000000001</c:v>
                </c:pt>
                <c:pt idx="2">
                  <c:v>2.0627999999999997</c:v>
                </c:pt>
                <c:pt idx="3">
                  <c:v>1.5628000000000002</c:v>
                </c:pt>
                <c:pt idx="4">
                  <c:v>0.20280000000000001</c:v>
                </c:pt>
                <c:pt idx="5">
                  <c:v>2.0528</c:v>
                </c:pt>
                <c:pt idx="6">
                  <c:v>1.6228</c:v>
                </c:pt>
                <c:pt idx="7">
                  <c:v>1.2328000000000001</c:v>
                </c:pt>
                <c:pt idx="8">
                  <c:v>0.1928</c:v>
                </c:pt>
                <c:pt idx="9">
                  <c:v>2.1328</c:v>
                </c:pt>
                <c:pt idx="10">
                  <c:v>0.92279999999999995</c:v>
                </c:pt>
                <c:pt idx="11">
                  <c:v>1.8628</c:v>
                </c:pt>
                <c:pt idx="12">
                  <c:v>1.6428</c:v>
                </c:pt>
              </c:numCache>
            </c:numRef>
          </c:xVal>
          <c:yVal>
            <c:numRef>
              <c:f>'TH, CAH, TFT relations'!$G$38:$G$50</c:f>
              <c:numCache>
                <c:formatCode>0.000</c:formatCode>
                <c:ptCount val="13"/>
                <c:pt idx="0">
                  <c:v>109.2</c:v>
                </c:pt>
                <c:pt idx="1">
                  <c:v>175.26315789473685</c:v>
                </c:pt>
                <c:pt idx="2">
                  <c:v>136.30434782608697</c:v>
                </c:pt>
                <c:pt idx="3">
                  <c:v>132.5</c:v>
                </c:pt>
                <c:pt idx="4">
                  <c:v>20</c:v>
                </c:pt>
                <c:pt idx="5">
                  <c:v>178.28571428571431</c:v>
                </c:pt>
                <c:pt idx="6">
                  <c:v>123.74999999999999</c:v>
                </c:pt>
                <c:pt idx="7">
                  <c:v>72</c:v>
                </c:pt>
                <c:pt idx="8">
                  <c:v>18.333333333333332</c:v>
                </c:pt>
                <c:pt idx="9">
                  <c:v>150</c:v>
                </c:pt>
                <c:pt idx="10">
                  <c:v>73.07692307692308</c:v>
                </c:pt>
                <c:pt idx="11">
                  <c:v>130.34482758620689</c:v>
                </c:pt>
                <c:pt idx="12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5F7-427B-BADA-F0E7D351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central axis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Age (days)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relations'!$B$3</c:f>
              <c:strCache>
                <c:ptCount val="1"/>
                <c:pt idx="0">
                  <c:v>Medium Alligator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816143775968704"/>
                  <c:y val="-1.806648082387635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relations'!$F$3:$F$20</c:f>
              <c:numCache>
                <c:formatCode>0.000</c:formatCode>
                <c:ptCount val="1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</c:numCache>
            </c:numRef>
          </c:xVal>
          <c:yVal>
            <c:numRef>
              <c:f>'TH, CAH, TFT relations'!$E$3:$E$20</c:f>
              <c:numCache>
                <c:formatCode>General</c:formatCode>
                <c:ptCount val="1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ED-4CE4-B889-E56C738034C3}"/>
            </c:ext>
          </c:extLst>
        </c:ser>
        <c:ser>
          <c:idx val="1"/>
          <c:order val="1"/>
          <c:tx>
            <c:strRef>
              <c:f>'TH, CAH, TFT relations'!$B$21</c:f>
              <c:strCache>
                <c:ptCount val="1"/>
                <c:pt idx="0">
                  <c:v>Large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9.5889259327252868E-2"/>
                  <c:y val="-2.42823765547375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relations'!$F$21:$F$37</c:f>
              <c:numCache>
                <c:formatCode>General</c:formatCode>
                <c:ptCount val="17"/>
                <c:pt idx="0">
                  <c:v>5.6550000000000002</c:v>
                </c:pt>
                <c:pt idx="1">
                  <c:v>11.455</c:v>
                </c:pt>
                <c:pt idx="2">
                  <c:v>8.8249999999999993</c:v>
                </c:pt>
                <c:pt idx="3">
                  <c:v>2.0550000000000002</c:v>
                </c:pt>
                <c:pt idx="4">
                  <c:v>6.2250000000000005</c:v>
                </c:pt>
                <c:pt idx="5">
                  <c:v>1.7849999999999999</c:v>
                </c:pt>
                <c:pt idx="6">
                  <c:v>7.7650000000000006</c:v>
                </c:pt>
                <c:pt idx="7">
                  <c:v>6.415</c:v>
                </c:pt>
                <c:pt idx="8">
                  <c:v>4.625</c:v>
                </c:pt>
                <c:pt idx="9">
                  <c:v>1.175</c:v>
                </c:pt>
                <c:pt idx="10">
                  <c:v>12.864999999999998</c:v>
                </c:pt>
                <c:pt idx="11">
                  <c:v>4.5650000000000004</c:v>
                </c:pt>
                <c:pt idx="12">
                  <c:v>5.0250000000000004</c:v>
                </c:pt>
                <c:pt idx="13">
                  <c:v>9.4749999999999996</c:v>
                </c:pt>
                <c:pt idx="14">
                  <c:v>6.9750000000000005</c:v>
                </c:pt>
                <c:pt idx="15">
                  <c:v>3.4750000000000001</c:v>
                </c:pt>
                <c:pt idx="16">
                  <c:v>5.2650000000000006</c:v>
                </c:pt>
              </c:numCache>
            </c:numRef>
          </c:xVal>
          <c:yVal>
            <c:numRef>
              <c:f>'TH, CAH, TFT relations'!$E$21:$E$37</c:f>
              <c:numCache>
                <c:formatCode>General</c:formatCode>
                <c:ptCount val="17"/>
                <c:pt idx="0">
                  <c:v>27.254999999999999</c:v>
                </c:pt>
                <c:pt idx="1">
                  <c:v>39.015000000000001</c:v>
                </c:pt>
                <c:pt idx="2">
                  <c:v>31.684999999999999</c:v>
                </c:pt>
                <c:pt idx="3">
                  <c:v>7.4649999999999999</c:v>
                </c:pt>
                <c:pt idx="4">
                  <c:v>28.484999999999999</c:v>
                </c:pt>
                <c:pt idx="5">
                  <c:v>3.0050000000000003</c:v>
                </c:pt>
                <c:pt idx="6">
                  <c:v>31.695</c:v>
                </c:pt>
                <c:pt idx="7">
                  <c:v>26.395</c:v>
                </c:pt>
                <c:pt idx="8">
                  <c:v>32.575000000000003</c:v>
                </c:pt>
                <c:pt idx="9">
                  <c:v>1.9349999999999998</c:v>
                </c:pt>
                <c:pt idx="10">
                  <c:v>43.715000000000003</c:v>
                </c:pt>
                <c:pt idx="11">
                  <c:v>28.654999999999998</c:v>
                </c:pt>
                <c:pt idx="12">
                  <c:v>25.984999999999999</c:v>
                </c:pt>
                <c:pt idx="13">
                  <c:v>36.585000000000001</c:v>
                </c:pt>
                <c:pt idx="14">
                  <c:v>28.035</c:v>
                </c:pt>
                <c:pt idx="15">
                  <c:v>8.8649999999999984</c:v>
                </c:pt>
                <c:pt idx="16">
                  <c:v>26.125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ED-4CE4-B889-E56C738034C3}"/>
            </c:ext>
          </c:extLst>
        </c:ser>
        <c:ser>
          <c:idx val="2"/>
          <c:order val="2"/>
          <c:tx>
            <c:strRef>
              <c:f>'TH, CAH, TFT relations'!$B$38</c:f>
              <c:strCache>
                <c:ptCount val="1"/>
                <c:pt idx="0">
                  <c:v>Small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820518253229207"/>
                  <c:y val="2.763184421057145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relations'!$F$38:$F$50</c:f>
              <c:numCache>
                <c:formatCode>General</c:formatCode>
                <c:ptCount val="13"/>
                <c:pt idx="0">
                  <c:v>1.7928000000000002</c:v>
                </c:pt>
                <c:pt idx="1">
                  <c:v>2.1928000000000001</c:v>
                </c:pt>
                <c:pt idx="2">
                  <c:v>2.0627999999999997</c:v>
                </c:pt>
                <c:pt idx="3">
                  <c:v>1.5628000000000002</c:v>
                </c:pt>
                <c:pt idx="4">
                  <c:v>0.20280000000000001</c:v>
                </c:pt>
                <c:pt idx="5">
                  <c:v>2.0528</c:v>
                </c:pt>
                <c:pt idx="6">
                  <c:v>1.6228</c:v>
                </c:pt>
                <c:pt idx="7">
                  <c:v>1.2328000000000001</c:v>
                </c:pt>
                <c:pt idx="8">
                  <c:v>0.1928</c:v>
                </c:pt>
                <c:pt idx="9">
                  <c:v>2.1328</c:v>
                </c:pt>
                <c:pt idx="10">
                  <c:v>0.92279999999999995</c:v>
                </c:pt>
                <c:pt idx="11">
                  <c:v>1.8628</c:v>
                </c:pt>
                <c:pt idx="12">
                  <c:v>1.6428</c:v>
                </c:pt>
              </c:numCache>
            </c:numRef>
          </c:xVal>
          <c:yVal>
            <c:numRef>
              <c:f>'TH, CAH, TFT relations'!$E$38:$E$50</c:f>
              <c:numCache>
                <c:formatCode>General</c:formatCode>
                <c:ptCount val="13"/>
                <c:pt idx="0">
                  <c:v>4.9228000000000005</c:v>
                </c:pt>
                <c:pt idx="1">
                  <c:v>4.0428000000000006</c:v>
                </c:pt>
                <c:pt idx="2">
                  <c:v>4.0528000000000004</c:v>
                </c:pt>
                <c:pt idx="3">
                  <c:v>4.5628000000000002</c:v>
                </c:pt>
                <c:pt idx="4">
                  <c:v>0.36280000000000001</c:v>
                </c:pt>
                <c:pt idx="5">
                  <c:v>3.8828</c:v>
                </c:pt>
                <c:pt idx="6">
                  <c:v>2.1728000000000001</c:v>
                </c:pt>
                <c:pt idx="7">
                  <c:v>3.7527999999999997</c:v>
                </c:pt>
                <c:pt idx="8">
                  <c:v>0.36280000000000001</c:v>
                </c:pt>
                <c:pt idx="9">
                  <c:v>3.5627999999999997</c:v>
                </c:pt>
                <c:pt idx="10">
                  <c:v>1.6128</c:v>
                </c:pt>
                <c:pt idx="11">
                  <c:v>3.3828</c:v>
                </c:pt>
                <c:pt idx="12">
                  <c:v>3.4827999999999997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7ED-4CE4-B889-E56C73803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central axis heicht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relations'!$B$3</c:f>
              <c:strCache>
                <c:ptCount val="1"/>
                <c:pt idx="0">
                  <c:v>Medium Alligator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26545502506272067"/>
                  <c:y val="7.13541939864205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relations'!$F$3:$F$20</c:f>
              <c:numCache>
                <c:formatCode>0.000</c:formatCode>
                <c:ptCount val="1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</c:numCache>
            </c:numRef>
          </c:xVal>
          <c:yVal>
            <c:numRef>
              <c:f>'TH, CAH, TFT relations'!$E$3:$E$20</c:f>
              <c:numCache>
                <c:formatCode>General</c:formatCode>
                <c:ptCount val="1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47-4A77-A077-74C332F93977}"/>
            </c:ext>
          </c:extLst>
        </c:ser>
        <c:ser>
          <c:idx val="1"/>
          <c:order val="1"/>
          <c:tx>
            <c:strRef>
              <c:f>'TH, CAH, TFT relations'!$B$21</c:f>
              <c:strCache>
                <c:ptCount val="1"/>
                <c:pt idx="0">
                  <c:v>Large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1486361766704649"/>
                  <c:y val="3.21043314936540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relations'!$F$21:$F$37</c:f>
              <c:numCache>
                <c:formatCode>General</c:formatCode>
                <c:ptCount val="17"/>
                <c:pt idx="0">
                  <c:v>5.6550000000000002</c:v>
                </c:pt>
                <c:pt idx="1">
                  <c:v>11.455</c:v>
                </c:pt>
                <c:pt idx="2">
                  <c:v>8.8249999999999993</c:v>
                </c:pt>
                <c:pt idx="3">
                  <c:v>2.0550000000000002</c:v>
                </c:pt>
                <c:pt idx="4">
                  <c:v>6.2250000000000005</c:v>
                </c:pt>
                <c:pt idx="5">
                  <c:v>1.7849999999999999</c:v>
                </c:pt>
                <c:pt idx="6">
                  <c:v>7.7650000000000006</c:v>
                </c:pt>
                <c:pt idx="7">
                  <c:v>6.415</c:v>
                </c:pt>
                <c:pt idx="8">
                  <c:v>4.625</c:v>
                </c:pt>
                <c:pt idx="9">
                  <c:v>1.175</c:v>
                </c:pt>
                <c:pt idx="10">
                  <c:v>12.864999999999998</c:v>
                </c:pt>
                <c:pt idx="11">
                  <c:v>4.5650000000000004</c:v>
                </c:pt>
                <c:pt idx="12">
                  <c:v>5.0250000000000004</c:v>
                </c:pt>
                <c:pt idx="13">
                  <c:v>9.4749999999999996</c:v>
                </c:pt>
                <c:pt idx="14">
                  <c:v>6.9750000000000005</c:v>
                </c:pt>
                <c:pt idx="15">
                  <c:v>3.4750000000000001</c:v>
                </c:pt>
                <c:pt idx="16">
                  <c:v>5.2650000000000006</c:v>
                </c:pt>
              </c:numCache>
            </c:numRef>
          </c:xVal>
          <c:yVal>
            <c:numRef>
              <c:f>'TH, CAH, TFT relations'!$E$21:$E$37</c:f>
              <c:numCache>
                <c:formatCode>General</c:formatCode>
                <c:ptCount val="17"/>
                <c:pt idx="0">
                  <c:v>27.254999999999999</c:v>
                </c:pt>
                <c:pt idx="1">
                  <c:v>39.015000000000001</c:v>
                </c:pt>
                <c:pt idx="2">
                  <c:v>31.684999999999999</c:v>
                </c:pt>
                <c:pt idx="3">
                  <c:v>7.4649999999999999</c:v>
                </c:pt>
                <c:pt idx="4">
                  <c:v>28.484999999999999</c:v>
                </c:pt>
                <c:pt idx="5">
                  <c:v>3.0050000000000003</c:v>
                </c:pt>
                <c:pt idx="6">
                  <c:v>31.695</c:v>
                </c:pt>
                <c:pt idx="7">
                  <c:v>26.395</c:v>
                </c:pt>
                <c:pt idx="8">
                  <c:v>32.575000000000003</c:v>
                </c:pt>
                <c:pt idx="9">
                  <c:v>1.9349999999999998</c:v>
                </c:pt>
                <c:pt idx="10">
                  <c:v>43.715000000000003</c:v>
                </c:pt>
                <c:pt idx="11">
                  <c:v>28.654999999999998</c:v>
                </c:pt>
                <c:pt idx="12">
                  <c:v>25.984999999999999</c:v>
                </c:pt>
                <c:pt idx="13">
                  <c:v>36.585000000000001</c:v>
                </c:pt>
                <c:pt idx="14">
                  <c:v>28.035</c:v>
                </c:pt>
                <c:pt idx="15">
                  <c:v>8.8649999999999984</c:v>
                </c:pt>
                <c:pt idx="16">
                  <c:v>26.125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47-4A77-A077-74C332F93977}"/>
            </c:ext>
          </c:extLst>
        </c:ser>
        <c:ser>
          <c:idx val="2"/>
          <c:order val="2"/>
          <c:tx>
            <c:strRef>
              <c:f>'TH, CAH, TFT relations'!$B$38</c:f>
              <c:strCache>
                <c:ptCount val="1"/>
                <c:pt idx="0">
                  <c:v>Small Alligator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21397441481996229"/>
                  <c:y val="9.149818739028650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rgbClr val="92D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relations'!$F$38:$F$50</c:f>
              <c:numCache>
                <c:formatCode>General</c:formatCode>
                <c:ptCount val="13"/>
                <c:pt idx="0">
                  <c:v>1.7928000000000002</c:v>
                </c:pt>
                <c:pt idx="1">
                  <c:v>2.1928000000000001</c:v>
                </c:pt>
                <c:pt idx="2">
                  <c:v>2.0627999999999997</c:v>
                </c:pt>
                <c:pt idx="3">
                  <c:v>1.5628000000000002</c:v>
                </c:pt>
                <c:pt idx="4">
                  <c:v>0.20280000000000001</c:v>
                </c:pt>
                <c:pt idx="5">
                  <c:v>2.0528</c:v>
                </c:pt>
                <c:pt idx="6">
                  <c:v>1.6228</c:v>
                </c:pt>
                <c:pt idx="7">
                  <c:v>1.2328000000000001</c:v>
                </c:pt>
                <c:pt idx="8">
                  <c:v>0.1928</c:v>
                </c:pt>
                <c:pt idx="9">
                  <c:v>2.1328</c:v>
                </c:pt>
                <c:pt idx="10">
                  <c:v>0.92279999999999995</c:v>
                </c:pt>
                <c:pt idx="11">
                  <c:v>1.8628</c:v>
                </c:pt>
                <c:pt idx="12">
                  <c:v>1.6428</c:v>
                </c:pt>
              </c:numCache>
            </c:numRef>
          </c:xVal>
          <c:yVal>
            <c:numRef>
              <c:f>'TH, CAH, TFT relations'!$E$38:$E$50</c:f>
              <c:numCache>
                <c:formatCode>General</c:formatCode>
                <c:ptCount val="13"/>
                <c:pt idx="0">
                  <c:v>4.9228000000000005</c:v>
                </c:pt>
                <c:pt idx="1">
                  <c:v>4.0428000000000006</c:v>
                </c:pt>
                <c:pt idx="2">
                  <c:v>4.0528000000000004</c:v>
                </c:pt>
                <c:pt idx="3">
                  <c:v>4.5628000000000002</c:v>
                </c:pt>
                <c:pt idx="4">
                  <c:v>0.36280000000000001</c:v>
                </c:pt>
                <c:pt idx="5">
                  <c:v>3.8828</c:v>
                </c:pt>
                <c:pt idx="6">
                  <c:v>2.1728000000000001</c:v>
                </c:pt>
                <c:pt idx="7">
                  <c:v>3.7527999999999997</c:v>
                </c:pt>
                <c:pt idx="8">
                  <c:v>0.36280000000000001</c:v>
                </c:pt>
                <c:pt idx="9">
                  <c:v>3.5627999999999997</c:v>
                </c:pt>
                <c:pt idx="10">
                  <c:v>1.6128</c:v>
                </c:pt>
                <c:pt idx="11">
                  <c:v>3.3828</c:v>
                </c:pt>
                <c:pt idx="12">
                  <c:v>3.4827999999999997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447-4A77-A077-74C332F93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central axis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All Alligators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xVal>
          <c:yVal>
            <c:numRef>
              <c:f>'TH, CAH, TFT relations'!$E$3:$E$50</c:f>
              <c:numCache>
                <c:formatCode>General</c:formatCode>
                <c:ptCount val="4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  <c:pt idx="18">
                  <c:v>27.254999999999999</c:v>
                </c:pt>
                <c:pt idx="19">
                  <c:v>39.015000000000001</c:v>
                </c:pt>
                <c:pt idx="20">
                  <c:v>31.684999999999999</c:v>
                </c:pt>
                <c:pt idx="21">
                  <c:v>7.4649999999999999</c:v>
                </c:pt>
                <c:pt idx="22">
                  <c:v>28.484999999999999</c:v>
                </c:pt>
                <c:pt idx="23">
                  <c:v>3.0050000000000003</c:v>
                </c:pt>
                <c:pt idx="24">
                  <c:v>31.695</c:v>
                </c:pt>
                <c:pt idx="25">
                  <c:v>26.395</c:v>
                </c:pt>
                <c:pt idx="26">
                  <c:v>32.575000000000003</c:v>
                </c:pt>
                <c:pt idx="27">
                  <c:v>1.9349999999999998</c:v>
                </c:pt>
                <c:pt idx="28">
                  <c:v>43.715000000000003</c:v>
                </c:pt>
                <c:pt idx="29">
                  <c:v>28.654999999999998</c:v>
                </c:pt>
                <c:pt idx="30">
                  <c:v>25.984999999999999</c:v>
                </c:pt>
                <c:pt idx="31">
                  <c:v>36.585000000000001</c:v>
                </c:pt>
                <c:pt idx="32">
                  <c:v>28.035</c:v>
                </c:pt>
                <c:pt idx="33">
                  <c:v>8.8649999999999984</c:v>
                </c:pt>
                <c:pt idx="34">
                  <c:v>26.125</c:v>
                </c:pt>
                <c:pt idx="35">
                  <c:v>4.9228000000000005</c:v>
                </c:pt>
                <c:pt idx="36">
                  <c:v>4.0428000000000006</c:v>
                </c:pt>
                <c:pt idx="37">
                  <c:v>4.0528000000000004</c:v>
                </c:pt>
                <c:pt idx="38">
                  <c:v>4.5628000000000002</c:v>
                </c:pt>
                <c:pt idx="39">
                  <c:v>0.36280000000000001</c:v>
                </c:pt>
                <c:pt idx="40">
                  <c:v>3.8828</c:v>
                </c:pt>
                <c:pt idx="41">
                  <c:v>2.1728000000000001</c:v>
                </c:pt>
                <c:pt idx="42">
                  <c:v>3.7527999999999997</c:v>
                </c:pt>
                <c:pt idx="43">
                  <c:v>0.36280000000000001</c:v>
                </c:pt>
                <c:pt idx="44">
                  <c:v>3.5627999999999997</c:v>
                </c:pt>
                <c:pt idx="45">
                  <c:v>1.6128</c:v>
                </c:pt>
                <c:pt idx="46">
                  <c:v>3.3828</c:v>
                </c:pt>
                <c:pt idx="47">
                  <c:v>3.4827999999999997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BA-47BC-8197-265870D2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central axis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All Alligators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4451286731831436"/>
                  <c:y val="0.294048922872292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xVal>
          <c:yVal>
            <c:numRef>
              <c:f>'TH, CAH, TFT relations'!$E$3:$E$50</c:f>
              <c:numCache>
                <c:formatCode>General</c:formatCode>
                <c:ptCount val="4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  <c:pt idx="18">
                  <c:v>27.254999999999999</c:v>
                </c:pt>
                <c:pt idx="19">
                  <c:v>39.015000000000001</c:v>
                </c:pt>
                <c:pt idx="20">
                  <c:v>31.684999999999999</c:v>
                </c:pt>
                <c:pt idx="21">
                  <c:v>7.4649999999999999</c:v>
                </c:pt>
                <c:pt idx="22">
                  <c:v>28.484999999999999</c:v>
                </c:pt>
                <c:pt idx="23">
                  <c:v>3.0050000000000003</c:v>
                </c:pt>
                <c:pt idx="24">
                  <c:v>31.695</c:v>
                </c:pt>
                <c:pt idx="25">
                  <c:v>26.395</c:v>
                </c:pt>
                <c:pt idx="26">
                  <c:v>32.575000000000003</c:v>
                </c:pt>
                <c:pt idx="27">
                  <c:v>1.9349999999999998</c:v>
                </c:pt>
                <c:pt idx="28">
                  <c:v>43.715000000000003</c:v>
                </c:pt>
                <c:pt idx="29">
                  <c:v>28.654999999999998</c:v>
                </c:pt>
                <c:pt idx="30">
                  <c:v>25.984999999999999</c:v>
                </c:pt>
                <c:pt idx="31">
                  <c:v>36.585000000000001</c:v>
                </c:pt>
                <c:pt idx="32">
                  <c:v>28.035</c:v>
                </c:pt>
                <c:pt idx="33">
                  <c:v>8.8649999999999984</c:v>
                </c:pt>
                <c:pt idx="34">
                  <c:v>26.125</c:v>
                </c:pt>
                <c:pt idx="35">
                  <c:v>4.9228000000000005</c:v>
                </c:pt>
                <c:pt idx="36">
                  <c:v>4.0428000000000006</c:v>
                </c:pt>
                <c:pt idx="37">
                  <c:v>4.0528000000000004</c:v>
                </c:pt>
                <c:pt idx="38">
                  <c:v>4.5628000000000002</c:v>
                </c:pt>
                <c:pt idx="39">
                  <c:v>0.36280000000000001</c:v>
                </c:pt>
                <c:pt idx="40">
                  <c:v>3.8828</c:v>
                </c:pt>
                <c:pt idx="41">
                  <c:v>2.1728000000000001</c:v>
                </c:pt>
                <c:pt idx="42">
                  <c:v>3.7527999999999997</c:v>
                </c:pt>
                <c:pt idx="43">
                  <c:v>0.36280000000000001</c:v>
                </c:pt>
                <c:pt idx="44">
                  <c:v>3.5627999999999997</c:v>
                </c:pt>
                <c:pt idx="45">
                  <c:v>1.6128</c:v>
                </c:pt>
                <c:pt idx="46">
                  <c:v>3.3828</c:v>
                </c:pt>
                <c:pt idx="47">
                  <c:v>3.4827999999999997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AE-4FB6-B676-34697677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central axis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All Alligators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6.1126317310830638E-2"/>
                  <c:y val="-4.982722855987847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relations'!$E$3:$E$50</c:f>
              <c:numCache>
                <c:formatCode>General</c:formatCode>
                <c:ptCount val="4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  <c:pt idx="18">
                  <c:v>27.254999999999999</c:v>
                </c:pt>
                <c:pt idx="19">
                  <c:v>39.015000000000001</c:v>
                </c:pt>
                <c:pt idx="20">
                  <c:v>31.684999999999999</c:v>
                </c:pt>
                <c:pt idx="21">
                  <c:v>7.4649999999999999</c:v>
                </c:pt>
                <c:pt idx="22">
                  <c:v>28.484999999999999</c:v>
                </c:pt>
                <c:pt idx="23">
                  <c:v>3.0050000000000003</c:v>
                </c:pt>
                <c:pt idx="24">
                  <c:v>31.695</c:v>
                </c:pt>
                <c:pt idx="25">
                  <c:v>26.395</c:v>
                </c:pt>
                <c:pt idx="26">
                  <c:v>32.575000000000003</c:v>
                </c:pt>
                <c:pt idx="27">
                  <c:v>1.9349999999999998</c:v>
                </c:pt>
                <c:pt idx="28">
                  <c:v>43.715000000000003</c:v>
                </c:pt>
                <c:pt idx="29">
                  <c:v>28.654999999999998</c:v>
                </c:pt>
                <c:pt idx="30">
                  <c:v>25.984999999999999</c:v>
                </c:pt>
                <c:pt idx="31">
                  <c:v>36.585000000000001</c:v>
                </c:pt>
                <c:pt idx="32">
                  <c:v>28.035</c:v>
                </c:pt>
                <c:pt idx="33">
                  <c:v>8.8649999999999984</c:v>
                </c:pt>
                <c:pt idx="34">
                  <c:v>26.125</c:v>
                </c:pt>
                <c:pt idx="35">
                  <c:v>4.9228000000000005</c:v>
                </c:pt>
                <c:pt idx="36">
                  <c:v>4.0428000000000006</c:v>
                </c:pt>
                <c:pt idx="37">
                  <c:v>4.0528000000000004</c:v>
                </c:pt>
                <c:pt idx="38">
                  <c:v>4.5628000000000002</c:v>
                </c:pt>
                <c:pt idx="39">
                  <c:v>0.36280000000000001</c:v>
                </c:pt>
                <c:pt idx="40">
                  <c:v>3.8828</c:v>
                </c:pt>
                <c:pt idx="41">
                  <c:v>2.1728000000000001</c:v>
                </c:pt>
                <c:pt idx="42">
                  <c:v>3.7527999999999997</c:v>
                </c:pt>
                <c:pt idx="43">
                  <c:v>0.36280000000000001</c:v>
                </c:pt>
                <c:pt idx="44">
                  <c:v>3.5627999999999997</c:v>
                </c:pt>
                <c:pt idx="45">
                  <c:v>1.6128</c:v>
                </c:pt>
                <c:pt idx="46">
                  <c:v>3.3828</c:v>
                </c:pt>
                <c:pt idx="47">
                  <c:v>3.4827999999999997</c:v>
                </c:pt>
              </c:numCache>
            </c:numRef>
          </c:xVal>
          <c:y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12-41F1-90D0-4A4C8BB0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CAH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TFT vs. Tooth height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relations'!$G$2</c:f>
              <c:strCache>
                <c:ptCount val="1"/>
                <c:pt idx="0">
                  <c:v>TFT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1182841326577496"/>
                  <c:y val="6.93969673203605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relations'!$E$3:$E$50</c:f>
              <c:numCache>
                <c:formatCode>General</c:formatCode>
                <c:ptCount val="48"/>
                <c:pt idx="0">
                  <c:v>5.7075000000000005</c:v>
                </c:pt>
                <c:pt idx="1">
                  <c:v>9.0274999999999999</c:v>
                </c:pt>
                <c:pt idx="3">
                  <c:v>9.6375000000000011</c:v>
                </c:pt>
                <c:pt idx="5">
                  <c:v>8.2475000000000005</c:v>
                </c:pt>
                <c:pt idx="6">
                  <c:v>8.6974999999999998</c:v>
                </c:pt>
                <c:pt idx="7">
                  <c:v>7.4375</c:v>
                </c:pt>
                <c:pt idx="8">
                  <c:v>2.0674999999999999</c:v>
                </c:pt>
                <c:pt idx="9">
                  <c:v>8.1275000000000013</c:v>
                </c:pt>
                <c:pt idx="11">
                  <c:v>11.127500000000001</c:v>
                </c:pt>
                <c:pt idx="12">
                  <c:v>5.5675000000000008</c:v>
                </c:pt>
                <c:pt idx="14">
                  <c:v>8.557500000000001</c:v>
                </c:pt>
                <c:pt idx="15">
                  <c:v>6.1175000000000006</c:v>
                </c:pt>
                <c:pt idx="16">
                  <c:v>6.0475000000000003</c:v>
                </c:pt>
                <c:pt idx="17">
                  <c:v>0.90749999999999997</c:v>
                </c:pt>
                <c:pt idx="18">
                  <c:v>27.254999999999999</c:v>
                </c:pt>
                <c:pt idx="19">
                  <c:v>39.015000000000001</c:v>
                </c:pt>
                <c:pt idx="20">
                  <c:v>31.684999999999999</c:v>
                </c:pt>
                <c:pt idx="21">
                  <c:v>7.4649999999999999</c:v>
                </c:pt>
                <c:pt idx="22">
                  <c:v>28.484999999999999</c:v>
                </c:pt>
                <c:pt idx="23">
                  <c:v>3.0050000000000003</c:v>
                </c:pt>
                <c:pt idx="24">
                  <c:v>31.695</c:v>
                </c:pt>
                <c:pt idx="25">
                  <c:v>26.395</c:v>
                </c:pt>
                <c:pt idx="26">
                  <c:v>32.575000000000003</c:v>
                </c:pt>
                <c:pt idx="27">
                  <c:v>1.9349999999999998</c:v>
                </c:pt>
                <c:pt idx="28">
                  <c:v>43.715000000000003</c:v>
                </c:pt>
                <c:pt idx="29">
                  <c:v>28.654999999999998</c:v>
                </c:pt>
                <c:pt idx="30">
                  <c:v>25.984999999999999</c:v>
                </c:pt>
                <c:pt idx="31">
                  <c:v>36.585000000000001</c:v>
                </c:pt>
                <c:pt idx="32">
                  <c:v>28.035</c:v>
                </c:pt>
                <c:pt idx="33">
                  <c:v>8.8649999999999984</c:v>
                </c:pt>
                <c:pt idx="34">
                  <c:v>26.125</c:v>
                </c:pt>
                <c:pt idx="35">
                  <c:v>4.9228000000000005</c:v>
                </c:pt>
                <c:pt idx="36">
                  <c:v>4.0428000000000006</c:v>
                </c:pt>
                <c:pt idx="37">
                  <c:v>4.0528000000000004</c:v>
                </c:pt>
                <c:pt idx="38">
                  <c:v>4.5628000000000002</c:v>
                </c:pt>
                <c:pt idx="39">
                  <c:v>0.36280000000000001</c:v>
                </c:pt>
                <c:pt idx="40">
                  <c:v>3.8828</c:v>
                </c:pt>
                <c:pt idx="41">
                  <c:v>2.1728000000000001</c:v>
                </c:pt>
                <c:pt idx="42">
                  <c:v>3.7527999999999997</c:v>
                </c:pt>
                <c:pt idx="43">
                  <c:v>0.36280000000000001</c:v>
                </c:pt>
                <c:pt idx="44">
                  <c:v>3.5627999999999997</c:v>
                </c:pt>
                <c:pt idx="45">
                  <c:v>1.6128</c:v>
                </c:pt>
                <c:pt idx="46">
                  <c:v>3.3828</c:v>
                </c:pt>
                <c:pt idx="47">
                  <c:v>3.4827999999999997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DA-4A7E-806D-2D09D556C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Tooth height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TFT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Small sized </a:t>
            </a:r>
            <a:r>
              <a:rPr lang="en-US" i="1"/>
              <a:t>Alligator</a:t>
            </a:r>
          </a:p>
          <a:p>
            <a:pPr>
              <a:defRPr/>
            </a:pPr>
            <a:r>
              <a:rPr lang="en-US"/>
              <a:t>Length of the teeth of the upper tooth row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tooth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measurements'!$C$102:$AQ$102</c:f>
              <c:numCache>
                <c:formatCode>General</c:formatCode>
                <c:ptCount val="41"/>
                <c:pt idx="20">
                  <c:v>3.2027999999999999</c:v>
                </c:pt>
                <c:pt idx="21">
                  <c:v>2.5327999999999999</c:v>
                </c:pt>
                <c:pt idx="22">
                  <c:v>4.9228000000000005</c:v>
                </c:pt>
                <c:pt idx="23">
                  <c:v>4.1328000000000005</c:v>
                </c:pt>
                <c:pt idx="24">
                  <c:v>4.5928000000000004</c:v>
                </c:pt>
                <c:pt idx="25">
                  <c:v>4.5528000000000004</c:v>
                </c:pt>
                <c:pt idx="26">
                  <c:v>4.2228000000000003</c:v>
                </c:pt>
                <c:pt idx="27">
                  <c:v>6.3228</c:v>
                </c:pt>
                <c:pt idx="28">
                  <c:v>4.9028</c:v>
                </c:pt>
                <c:pt idx="29">
                  <c:v>5.8728000000000007</c:v>
                </c:pt>
                <c:pt idx="30">
                  <c:v>4.0428000000000006</c:v>
                </c:pt>
                <c:pt idx="31">
                  <c:v>4.0528000000000004</c:v>
                </c:pt>
                <c:pt idx="32">
                  <c:v>3.1027999999999998</c:v>
                </c:pt>
                <c:pt idx="33">
                  <c:v>4.7628000000000004</c:v>
                </c:pt>
                <c:pt idx="34">
                  <c:v>3.9327999999999999</c:v>
                </c:pt>
                <c:pt idx="35">
                  <c:v>4.7328000000000001</c:v>
                </c:pt>
                <c:pt idx="36">
                  <c:v>4.5628000000000002</c:v>
                </c:pt>
                <c:pt idx="37">
                  <c:v>3.8828</c:v>
                </c:pt>
                <c:pt idx="38">
                  <c:v>3.2227999999999999</c:v>
                </c:pt>
                <c:pt idx="39">
                  <c:v>2.8727999999999998</c:v>
                </c:pt>
                <c:pt idx="40">
                  <c:v>1.1528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5-4DA2-B328-78A24315861C}"/>
            </c:ext>
          </c:extLst>
        </c:ser>
        <c:ser>
          <c:idx val="1"/>
          <c:order val="1"/>
          <c:tx>
            <c:v>Replacement teeth 1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measurements'!$C$104:$AQ$104</c:f>
              <c:numCache>
                <c:formatCode>General</c:formatCode>
                <c:ptCount val="41"/>
                <c:pt idx="20">
                  <c:v>0.25280000000000002</c:v>
                </c:pt>
                <c:pt idx="21">
                  <c:v>1.1528</c:v>
                </c:pt>
                <c:pt idx="22">
                  <c:v>1.0528000000000002</c:v>
                </c:pt>
                <c:pt idx="23">
                  <c:v>0.53280000000000005</c:v>
                </c:pt>
                <c:pt idx="24">
                  <c:v>0.99280000000000002</c:v>
                </c:pt>
                <c:pt idx="25">
                  <c:v>0.69279999999999997</c:v>
                </c:pt>
                <c:pt idx="26">
                  <c:v>1.8028000000000002</c:v>
                </c:pt>
                <c:pt idx="27">
                  <c:v>1.1028</c:v>
                </c:pt>
                <c:pt idx="28">
                  <c:v>2.8028</c:v>
                </c:pt>
                <c:pt idx="29">
                  <c:v>0.89280000000000004</c:v>
                </c:pt>
                <c:pt idx="30">
                  <c:v>1.8428000000000002</c:v>
                </c:pt>
                <c:pt idx="31">
                  <c:v>0.71279999999999999</c:v>
                </c:pt>
                <c:pt idx="32">
                  <c:v>2.1128</c:v>
                </c:pt>
                <c:pt idx="33">
                  <c:v>1.0028000000000001</c:v>
                </c:pt>
                <c:pt idx="34">
                  <c:v>0.46279999999999999</c:v>
                </c:pt>
                <c:pt idx="35">
                  <c:v>1.3928</c:v>
                </c:pt>
                <c:pt idx="36">
                  <c:v>0.36280000000000001</c:v>
                </c:pt>
                <c:pt idx="37">
                  <c:v>0.7228</c:v>
                </c:pt>
                <c:pt idx="39">
                  <c:v>0.33279999999999998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5-4DA2-B328-78A24315861C}"/>
            </c:ext>
          </c:extLst>
        </c:ser>
        <c:ser>
          <c:idx val="2"/>
          <c:order val="2"/>
          <c:tx>
            <c:v>Replacement tooth 2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measurements'!$C$106:$AQ$106</c:f>
              <c:numCache>
                <c:formatCode>General</c:formatCode>
                <c:ptCount val="41"/>
                <c:pt idx="32">
                  <c:v>0.1628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5-4DA2-B328-78A243158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645120"/>
        <c:axId val="76646656"/>
      </c:barChart>
      <c:catAx>
        <c:axId val="7664512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crossAx val="76646656"/>
        <c:crosses val="autoZero"/>
        <c:auto val="1"/>
        <c:lblAlgn val="ctr"/>
        <c:lblOffset val="100"/>
        <c:noMultiLvlLbl val="0"/>
      </c:catAx>
      <c:valAx>
        <c:axId val="7664665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6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TFT vs. </a:t>
            </a:r>
            <a:r>
              <a:rPr lang="en-US" baseline="0"/>
              <a:t>CAH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relations'!$G$2</c:f>
              <c:strCache>
                <c:ptCount val="1"/>
                <c:pt idx="0">
                  <c:v>TFT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866891575122014"/>
                  <c:y val="0.12217636190092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8A-4C69-B3A2-6A7D850B8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central axis</a:t>
                </a:r>
                <a:r>
                  <a:rPr lang="en-US" sz="1100" baseline="0"/>
                  <a:t> height (mm)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TFT (days)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</a:t>
            </a:r>
            <a:r>
              <a:rPr lang="en-US" sz="1400" b="0" i="0" u="none" strike="noStrike" baseline="0">
                <a:effectLst/>
              </a:rPr>
              <a:t>. central axis </a:t>
            </a:r>
            <a:r>
              <a:rPr lang="en-US"/>
              <a:t> height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Small functional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2165309695375799E-2"/>
                  <c:y val="4.31104494153265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st'!$AQ$6:$AQ$10,'Tooth size Developmental st'!$AQ$16:$AQ$31,'Tooth size Developmental st'!$AQ$36:$AQ$55)</c:f>
              <c:numCache>
                <c:formatCode>0.00</c:formatCode>
                <c:ptCount val="41"/>
                <c:pt idx="0">
                  <c:v>3.2027999999999999</c:v>
                </c:pt>
                <c:pt idx="1">
                  <c:v>2.5327999999999999</c:v>
                </c:pt>
                <c:pt idx="2">
                  <c:v>4.9228000000000005</c:v>
                </c:pt>
                <c:pt idx="3">
                  <c:v>4.1328000000000005</c:v>
                </c:pt>
                <c:pt idx="4">
                  <c:v>4.5928000000000004</c:v>
                </c:pt>
                <c:pt idx="5">
                  <c:v>4.5528000000000004</c:v>
                </c:pt>
                <c:pt idx="6">
                  <c:v>4.2228000000000003</c:v>
                </c:pt>
                <c:pt idx="7">
                  <c:v>6.3228</c:v>
                </c:pt>
                <c:pt idx="8">
                  <c:v>4.9028</c:v>
                </c:pt>
                <c:pt idx="9">
                  <c:v>5.8728000000000007</c:v>
                </c:pt>
                <c:pt idx="10">
                  <c:v>4.0428000000000006</c:v>
                </c:pt>
                <c:pt idx="11">
                  <c:v>4.0528000000000004</c:v>
                </c:pt>
                <c:pt idx="12">
                  <c:v>3.1027999999999998</c:v>
                </c:pt>
                <c:pt idx="13">
                  <c:v>4.7628000000000004</c:v>
                </c:pt>
                <c:pt idx="14">
                  <c:v>3.9327999999999999</c:v>
                </c:pt>
                <c:pt idx="15">
                  <c:v>4.7328000000000001</c:v>
                </c:pt>
                <c:pt idx="16">
                  <c:v>4.5628000000000002</c:v>
                </c:pt>
                <c:pt idx="17">
                  <c:v>3.8828</c:v>
                </c:pt>
                <c:pt idx="18">
                  <c:v>3.2227999999999999</c:v>
                </c:pt>
                <c:pt idx="19">
                  <c:v>2.8727999999999998</c:v>
                </c:pt>
                <c:pt idx="20">
                  <c:v>1.1528</c:v>
                </c:pt>
                <c:pt idx="21">
                  <c:v>5.1628000000000007</c:v>
                </c:pt>
                <c:pt idx="22">
                  <c:v>2.1728000000000001</c:v>
                </c:pt>
                <c:pt idx="23">
                  <c:v>4.4428000000000001</c:v>
                </c:pt>
                <c:pt idx="24">
                  <c:v>3.7527999999999997</c:v>
                </c:pt>
                <c:pt idx="25">
                  <c:v>4.1828000000000003</c:v>
                </c:pt>
                <c:pt idx="26">
                  <c:v>3.2427999999999999</c:v>
                </c:pt>
                <c:pt idx="27">
                  <c:v>3.1928000000000001</c:v>
                </c:pt>
                <c:pt idx="28">
                  <c:v>3.0427999999999997</c:v>
                </c:pt>
                <c:pt idx="29">
                  <c:v>3.1027999999999998</c:v>
                </c:pt>
                <c:pt idx="30">
                  <c:v>3.1827999999999999</c:v>
                </c:pt>
                <c:pt idx="31">
                  <c:v>3.8828</c:v>
                </c:pt>
                <c:pt idx="32">
                  <c:v>3.5627999999999997</c:v>
                </c:pt>
                <c:pt idx="33">
                  <c:v>5.3928000000000003</c:v>
                </c:pt>
                <c:pt idx="34">
                  <c:v>4.1228000000000007</c:v>
                </c:pt>
                <c:pt idx="35">
                  <c:v>4.2528000000000006</c:v>
                </c:pt>
                <c:pt idx="36">
                  <c:v>3.7128000000000001</c:v>
                </c:pt>
                <c:pt idx="37">
                  <c:v>3.3428</c:v>
                </c:pt>
                <c:pt idx="38">
                  <c:v>3.3828</c:v>
                </c:pt>
                <c:pt idx="39">
                  <c:v>3.4827999999999997</c:v>
                </c:pt>
                <c:pt idx="40">
                  <c:v>2.8327999999999998</c:v>
                </c:pt>
              </c:numCache>
            </c:numRef>
          </c:xVal>
          <c:yVal>
            <c:numRef>
              <c:f>('Tooth size Developmental st'!$AR$6:$AR$10,'Tooth size Developmental st'!$AR$16:$AR$31,'Tooth size Developmental st'!$AR$36:$AR$55)</c:f>
              <c:numCache>
                <c:formatCode>General</c:formatCode>
                <c:ptCount val="41"/>
                <c:pt idx="0">
                  <c:v>1.4328000000000001</c:v>
                </c:pt>
                <c:pt idx="1">
                  <c:v>1.7728000000000002</c:v>
                </c:pt>
                <c:pt idx="2">
                  <c:v>1.7928000000000002</c:v>
                </c:pt>
                <c:pt idx="3">
                  <c:v>1.4328000000000001</c:v>
                </c:pt>
                <c:pt idx="4">
                  <c:v>1.7628000000000001</c:v>
                </c:pt>
                <c:pt idx="5">
                  <c:v>1.6928000000000001</c:v>
                </c:pt>
                <c:pt idx="6">
                  <c:v>2.4327999999999999</c:v>
                </c:pt>
                <c:pt idx="7">
                  <c:v>1.7928000000000002</c:v>
                </c:pt>
                <c:pt idx="8">
                  <c:v>2.5127999999999999</c:v>
                </c:pt>
                <c:pt idx="9">
                  <c:v>1.8328000000000002</c:v>
                </c:pt>
                <c:pt idx="10">
                  <c:v>2.1928000000000001</c:v>
                </c:pt>
                <c:pt idx="11">
                  <c:v>2.0627999999999997</c:v>
                </c:pt>
                <c:pt idx="12">
                  <c:v>2.1027999999999998</c:v>
                </c:pt>
                <c:pt idx="13">
                  <c:v>2.2827999999999999</c:v>
                </c:pt>
                <c:pt idx="14">
                  <c:v>1.3528</c:v>
                </c:pt>
                <c:pt idx="15">
                  <c:v>2.3028</c:v>
                </c:pt>
                <c:pt idx="16">
                  <c:v>1.5628000000000002</c:v>
                </c:pt>
                <c:pt idx="17">
                  <c:v>2.0528</c:v>
                </c:pt>
                <c:pt idx="18">
                  <c:v>1.3528</c:v>
                </c:pt>
                <c:pt idx="19">
                  <c:v>1.7528000000000001</c:v>
                </c:pt>
                <c:pt idx="20">
                  <c:v>0.68279999999999996</c:v>
                </c:pt>
                <c:pt idx="21">
                  <c:v>2.1427999999999998</c:v>
                </c:pt>
                <c:pt idx="22">
                  <c:v>1.6228</c:v>
                </c:pt>
                <c:pt idx="23">
                  <c:v>1.8428000000000002</c:v>
                </c:pt>
                <c:pt idx="24">
                  <c:v>1.2328000000000001</c:v>
                </c:pt>
                <c:pt idx="25">
                  <c:v>1.5728000000000002</c:v>
                </c:pt>
                <c:pt idx="26">
                  <c:v>1.9228000000000001</c:v>
                </c:pt>
                <c:pt idx="27">
                  <c:v>1.0828000000000002</c:v>
                </c:pt>
                <c:pt idx="28">
                  <c:v>1.7028000000000001</c:v>
                </c:pt>
                <c:pt idx="29">
                  <c:v>1.1128</c:v>
                </c:pt>
                <c:pt idx="30">
                  <c:v>1.8128000000000002</c:v>
                </c:pt>
                <c:pt idx="31">
                  <c:v>1.4928000000000001</c:v>
                </c:pt>
                <c:pt idx="32">
                  <c:v>2.1328</c:v>
                </c:pt>
                <c:pt idx="33">
                  <c:v>1.8128000000000002</c:v>
                </c:pt>
                <c:pt idx="34">
                  <c:v>2.2827999999999999</c:v>
                </c:pt>
                <c:pt idx="35">
                  <c:v>1.5728000000000002</c:v>
                </c:pt>
                <c:pt idx="36">
                  <c:v>2.0427999999999997</c:v>
                </c:pt>
                <c:pt idx="37">
                  <c:v>1.4128000000000001</c:v>
                </c:pt>
                <c:pt idx="38">
                  <c:v>1.8628</c:v>
                </c:pt>
                <c:pt idx="39">
                  <c:v>1.6428</c:v>
                </c:pt>
                <c:pt idx="40">
                  <c:v>2.8327999999999998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25-40D0-80A5-F7D116E209D0}"/>
            </c:ext>
          </c:extLst>
        </c:ser>
        <c:ser>
          <c:idx val="1"/>
          <c:order val="1"/>
          <c:tx>
            <c:v>Small replacement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730132638182662E-2"/>
                  <c:y val="5.626567266474140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st'!$AW$6:$AW$10,'Tooth size Developmental st'!$AW$16:$AW$30,'Tooth size Developmental st'!$AW$36:$AW$55)</c:f>
              <c:numCache>
                <c:formatCode>0.00</c:formatCode>
                <c:ptCount val="40"/>
                <c:pt idx="0">
                  <c:v>0.25280000000000002</c:v>
                </c:pt>
                <c:pt idx="1">
                  <c:v>1.1528</c:v>
                </c:pt>
                <c:pt idx="2">
                  <c:v>1.0528000000000002</c:v>
                </c:pt>
                <c:pt idx="3">
                  <c:v>0.53280000000000005</c:v>
                </c:pt>
                <c:pt idx="4">
                  <c:v>0.99280000000000002</c:v>
                </c:pt>
                <c:pt idx="5">
                  <c:v>0.69279999999999997</c:v>
                </c:pt>
                <c:pt idx="6">
                  <c:v>1.8028000000000002</c:v>
                </c:pt>
                <c:pt idx="7">
                  <c:v>1.1028</c:v>
                </c:pt>
                <c:pt idx="8">
                  <c:v>2.8028</c:v>
                </c:pt>
                <c:pt idx="9">
                  <c:v>0.89280000000000004</c:v>
                </c:pt>
                <c:pt idx="10">
                  <c:v>1.8428000000000002</c:v>
                </c:pt>
                <c:pt idx="11">
                  <c:v>0.71279999999999999</c:v>
                </c:pt>
                <c:pt idx="12">
                  <c:v>2.1128</c:v>
                </c:pt>
                <c:pt idx="13">
                  <c:v>1.0028000000000001</c:v>
                </c:pt>
                <c:pt idx="14">
                  <c:v>0.46279999999999999</c:v>
                </c:pt>
                <c:pt idx="15">
                  <c:v>1.3928</c:v>
                </c:pt>
                <c:pt idx="16">
                  <c:v>0.36280000000000001</c:v>
                </c:pt>
                <c:pt idx="17">
                  <c:v>0.7228</c:v>
                </c:pt>
                <c:pt idx="19" formatCode="General">
                  <c:v>0.33279999999999998</c:v>
                </c:pt>
                <c:pt idx="20">
                  <c:v>1.4828000000000001</c:v>
                </c:pt>
                <c:pt idx="21">
                  <c:v>2.0728</c:v>
                </c:pt>
                <c:pt idx="22">
                  <c:v>1.0928000000000002</c:v>
                </c:pt>
                <c:pt idx="23">
                  <c:v>0.36280000000000001</c:v>
                </c:pt>
                <c:pt idx="24">
                  <c:v>0.63280000000000003</c:v>
                </c:pt>
                <c:pt idx="25">
                  <c:v>0.95279999999999998</c:v>
                </c:pt>
                <c:pt idx="26">
                  <c:v>0.17280000000000001</c:v>
                </c:pt>
                <c:pt idx="27">
                  <c:v>0.95279999999999998</c:v>
                </c:pt>
                <c:pt idx="28">
                  <c:v>0.1628</c:v>
                </c:pt>
                <c:pt idx="29">
                  <c:v>0.7228</c:v>
                </c:pt>
                <c:pt idx="30">
                  <c:v>0.45279999999999998</c:v>
                </c:pt>
                <c:pt idx="31">
                  <c:v>1.6128</c:v>
                </c:pt>
                <c:pt idx="32">
                  <c:v>0.80279999999999996</c:v>
                </c:pt>
                <c:pt idx="33">
                  <c:v>1.6928000000000001</c:v>
                </c:pt>
                <c:pt idx="34">
                  <c:v>0.30280000000000001</c:v>
                </c:pt>
                <c:pt idx="35">
                  <c:v>0.84279999999999999</c:v>
                </c:pt>
                <c:pt idx="36">
                  <c:v>0.15279999999999999</c:v>
                </c:pt>
                <c:pt idx="37">
                  <c:v>0.68279999999999996</c:v>
                </c:pt>
                <c:pt idx="38">
                  <c:v>0.11280000000000001</c:v>
                </c:pt>
                <c:pt idx="39">
                  <c:v>0.42280000000000001</c:v>
                </c:pt>
              </c:numCache>
            </c:numRef>
          </c:xVal>
          <c:yVal>
            <c:numRef>
              <c:f>('Tooth size Developmental st'!$AX$6:$AX$10,'Tooth size Developmental st'!$AX$16:$AX$30,'Tooth size Developmental st'!$AX$36:$AX$55)</c:f>
              <c:numCache>
                <c:formatCode>General</c:formatCode>
                <c:ptCount val="40"/>
                <c:pt idx="0">
                  <c:v>0.1628</c:v>
                </c:pt>
                <c:pt idx="1">
                  <c:v>0.77280000000000004</c:v>
                </c:pt>
                <c:pt idx="2">
                  <c:v>0.53280000000000005</c:v>
                </c:pt>
                <c:pt idx="3">
                  <c:v>0.31280000000000002</c:v>
                </c:pt>
                <c:pt idx="4">
                  <c:v>0.56279999999999997</c:v>
                </c:pt>
                <c:pt idx="5">
                  <c:v>0.4728</c:v>
                </c:pt>
                <c:pt idx="6">
                  <c:v>0.95279999999999998</c:v>
                </c:pt>
                <c:pt idx="7">
                  <c:v>0.6028</c:v>
                </c:pt>
                <c:pt idx="8">
                  <c:v>1.2228000000000001</c:v>
                </c:pt>
                <c:pt idx="9">
                  <c:v>0.50280000000000002</c:v>
                </c:pt>
                <c:pt idx="10">
                  <c:v>0.93279999999999996</c:v>
                </c:pt>
                <c:pt idx="11">
                  <c:v>0.42280000000000001</c:v>
                </c:pt>
                <c:pt idx="12">
                  <c:v>1.0628000000000002</c:v>
                </c:pt>
                <c:pt idx="13">
                  <c:v>0.61280000000000001</c:v>
                </c:pt>
                <c:pt idx="14">
                  <c:v>0.2828</c:v>
                </c:pt>
                <c:pt idx="15">
                  <c:v>0.75280000000000002</c:v>
                </c:pt>
                <c:pt idx="16">
                  <c:v>0.20280000000000001</c:v>
                </c:pt>
                <c:pt idx="17">
                  <c:v>0.45279999999999998</c:v>
                </c:pt>
                <c:pt idx="19">
                  <c:v>0.33279999999999998</c:v>
                </c:pt>
                <c:pt idx="20">
                  <c:v>0.66279999999999994</c:v>
                </c:pt>
                <c:pt idx="21">
                  <c:v>0.82279999999999998</c:v>
                </c:pt>
                <c:pt idx="22">
                  <c:v>0.54279999999999995</c:v>
                </c:pt>
                <c:pt idx="23">
                  <c:v>0.1928</c:v>
                </c:pt>
                <c:pt idx="24">
                  <c:v>0.32279999999999998</c:v>
                </c:pt>
                <c:pt idx="25">
                  <c:v>0.56279999999999997</c:v>
                </c:pt>
                <c:pt idx="26">
                  <c:v>0.17280000000000001</c:v>
                </c:pt>
                <c:pt idx="27">
                  <c:v>0.45279999999999998</c:v>
                </c:pt>
                <c:pt idx="28">
                  <c:v>0.1628</c:v>
                </c:pt>
                <c:pt idx="29">
                  <c:v>0.46279999999999999</c:v>
                </c:pt>
                <c:pt idx="30">
                  <c:v>0.2828</c:v>
                </c:pt>
                <c:pt idx="31">
                  <c:v>0.92279999999999995</c:v>
                </c:pt>
                <c:pt idx="32">
                  <c:v>0.45279999999999998</c:v>
                </c:pt>
                <c:pt idx="33">
                  <c:v>0.83279999999999998</c:v>
                </c:pt>
                <c:pt idx="34">
                  <c:v>0.23280000000000001</c:v>
                </c:pt>
                <c:pt idx="35">
                  <c:v>0.53280000000000005</c:v>
                </c:pt>
                <c:pt idx="36">
                  <c:v>0.15279999999999999</c:v>
                </c:pt>
                <c:pt idx="37">
                  <c:v>0.43280000000000002</c:v>
                </c:pt>
                <c:pt idx="38">
                  <c:v>0.11280000000000001</c:v>
                </c:pt>
                <c:pt idx="39">
                  <c:v>0.30280000000000001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25-40D0-80A5-F7D116E209D0}"/>
            </c:ext>
          </c:extLst>
        </c:ser>
        <c:ser>
          <c:idx val="2"/>
          <c:order val="2"/>
          <c:tx>
            <c:v>medium functional teeth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70784788060188"/>
                  <c:y val="5.378693084144858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st'!$C$6:$C$10,'Tooth size Developmental st'!$C$17:$C$31,'Tooth size Developmental st'!$C$37:$C$56)</c:f>
              <c:numCache>
                <c:formatCode>0.00</c:formatCode>
                <c:ptCount val="40"/>
                <c:pt idx="0">
                  <c:v>5.7075000000000005</c:v>
                </c:pt>
                <c:pt idx="1">
                  <c:v>5.1275000000000004</c:v>
                </c:pt>
                <c:pt idx="2">
                  <c:v>9.0274999999999999</c:v>
                </c:pt>
                <c:pt idx="3">
                  <c:v>11.4175</c:v>
                </c:pt>
                <c:pt idx="4">
                  <c:v>7.8175000000000008</c:v>
                </c:pt>
                <c:pt idx="5">
                  <c:v>8.0075000000000003</c:v>
                </c:pt>
                <c:pt idx="6">
                  <c:v>7.2875000000000005</c:v>
                </c:pt>
                <c:pt idx="7">
                  <c:v>12.297500000000001</c:v>
                </c:pt>
                <c:pt idx="8">
                  <c:v>9.9875000000000007</c:v>
                </c:pt>
                <c:pt idx="9">
                  <c:v>11.1875</c:v>
                </c:pt>
                <c:pt idx="10">
                  <c:v>9.6375000000000011</c:v>
                </c:pt>
                <c:pt idx="11">
                  <c:v>8.2475000000000005</c:v>
                </c:pt>
                <c:pt idx="12">
                  <c:v>9.0675000000000008</c:v>
                </c:pt>
                <c:pt idx="13">
                  <c:v>8.8674999999999997</c:v>
                </c:pt>
                <c:pt idx="14">
                  <c:v>10.307500000000001</c:v>
                </c:pt>
                <c:pt idx="15">
                  <c:v>6.9075000000000006</c:v>
                </c:pt>
                <c:pt idx="16">
                  <c:v>8.6974999999999998</c:v>
                </c:pt>
                <c:pt idx="17">
                  <c:v>7.4375</c:v>
                </c:pt>
                <c:pt idx="18">
                  <c:v>6.1675000000000004</c:v>
                </c:pt>
                <c:pt idx="19">
                  <c:v>5.7775000000000007</c:v>
                </c:pt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4.4975000000000005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</c:numCache>
            </c:numRef>
          </c:xVal>
          <c:yVal>
            <c:numRef>
              <c:f>('Tooth size Developmental st'!$D$6:$D$10,'Tooth size Developmental st'!$D$17:$D$31,'Tooth size Developmental st'!$D$37:$D$56)</c:f>
              <c:numCache>
                <c:formatCode>0.00</c:formatCode>
                <c:ptCount val="40"/>
                <c:pt idx="0">
                  <c:v>2.4474999999999998</c:v>
                </c:pt>
                <c:pt idx="1">
                  <c:v>2.1575000000000002</c:v>
                </c:pt>
                <c:pt idx="2">
                  <c:v>2.9474999999999998</c:v>
                </c:pt>
                <c:pt idx="3">
                  <c:v>2.5375000000000001</c:v>
                </c:pt>
                <c:pt idx="4">
                  <c:v>2.6074999999999999</c:v>
                </c:pt>
                <c:pt idx="5">
                  <c:v>2.6074999999999999</c:v>
                </c:pt>
                <c:pt idx="6">
                  <c:v>3.5274999999999999</c:v>
                </c:pt>
                <c:pt idx="7">
                  <c:v>2.9474999999999998</c:v>
                </c:pt>
                <c:pt idx="8">
                  <c:v>2.6375000000000002</c:v>
                </c:pt>
                <c:pt idx="9">
                  <c:v>2.8174999999999999</c:v>
                </c:pt>
                <c:pt idx="10">
                  <c:v>3.3174999999999999</c:v>
                </c:pt>
                <c:pt idx="11">
                  <c:v>2.3174999999999999</c:v>
                </c:pt>
                <c:pt idx="12">
                  <c:v>2.7374999999999998</c:v>
                </c:pt>
                <c:pt idx="13">
                  <c:v>2.2974999999999999</c:v>
                </c:pt>
                <c:pt idx="14">
                  <c:v>3.2574999999999998</c:v>
                </c:pt>
                <c:pt idx="15">
                  <c:v>2.2974999999999999</c:v>
                </c:pt>
                <c:pt idx="16">
                  <c:v>3.0175000000000001</c:v>
                </c:pt>
                <c:pt idx="17">
                  <c:v>2.8174999999999999</c:v>
                </c:pt>
                <c:pt idx="18">
                  <c:v>2.1974999999999998</c:v>
                </c:pt>
                <c:pt idx="19">
                  <c:v>3.0674999999999999</c:v>
                </c:pt>
                <c:pt idx="20">
                  <c:v>2.1175000000000002</c:v>
                </c:pt>
                <c:pt idx="21">
                  <c:v>2.3875000000000002</c:v>
                </c:pt>
                <c:pt idx="22">
                  <c:v>3.1575000000000002</c:v>
                </c:pt>
                <c:pt idx="23">
                  <c:v>2.6575000000000002</c:v>
                </c:pt>
                <c:pt idx="24">
                  <c:v>2.1675</c:v>
                </c:pt>
                <c:pt idx="25">
                  <c:v>1.9175</c:v>
                </c:pt>
                <c:pt idx="26">
                  <c:v>1.7675000000000001</c:v>
                </c:pt>
                <c:pt idx="27">
                  <c:v>2.2774999999999999</c:v>
                </c:pt>
                <c:pt idx="28">
                  <c:v>0.95750000000000002</c:v>
                </c:pt>
                <c:pt idx="29">
                  <c:v>2.3075000000000001</c:v>
                </c:pt>
                <c:pt idx="30">
                  <c:v>1.6675</c:v>
                </c:pt>
                <c:pt idx="31">
                  <c:v>2.7974999999999999</c:v>
                </c:pt>
                <c:pt idx="32">
                  <c:v>2.1175000000000002</c:v>
                </c:pt>
                <c:pt idx="33">
                  <c:v>2.6575000000000002</c:v>
                </c:pt>
                <c:pt idx="34">
                  <c:v>3.0575000000000001</c:v>
                </c:pt>
                <c:pt idx="35">
                  <c:v>2.1575000000000002</c:v>
                </c:pt>
                <c:pt idx="36">
                  <c:v>2.7574999999999998</c:v>
                </c:pt>
                <c:pt idx="37">
                  <c:v>2.4874999999999998</c:v>
                </c:pt>
                <c:pt idx="38">
                  <c:v>2.5874999999999999</c:v>
                </c:pt>
                <c:pt idx="39">
                  <c:v>2.5175000000000001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625-40D0-80A5-F7D116E209D0}"/>
            </c:ext>
          </c:extLst>
        </c:ser>
        <c:ser>
          <c:idx val="4"/>
          <c:order val="3"/>
          <c:tx>
            <c:v>large functional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866697068234985"/>
                  <c:y val="0.290076171043561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st'!$W$6:$W$11,'Tooth size Developmental st'!$W$17:$W$31,'Tooth size Developmental st'!$W$37:$W$52)</c:f>
              <c:numCache>
                <c:formatCode>General</c:formatCode>
                <c:ptCount val="37"/>
                <c:pt idx="0">
                  <c:v>27.254999999999999</c:v>
                </c:pt>
                <c:pt idx="1">
                  <c:v>23.265000000000001</c:v>
                </c:pt>
                <c:pt idx="2">
                  <c:v>39.015000000000001</c:v>
                </c:pt>
                <c:pt idx="4">
                  <c:v>37.615000000000002</c:v>
                </c:pt>
                <c:pt idx="6">
                  <c:v>27.004999999999999</c:v>
                </c:pt>
                <c:pt idx="7">
                  <c:v>20.824999999999999</c:v>
                </c:pt>
                <c:pt idx="8">
                  <c:v>42.415000000000006</c:v>
                </c:pt>
                <c:pt idx="9">
                  <c:v>62.495000000000005</c:v>
                </c:pt>
                <c:pt idx="10">
                  <c:v>35.205000000000005</c:v>
                </c:pt>
                <c:pt idx="11">
                  <c:v>31.684999999999999</c:v>
                </c:pt>
                <c:pt idx="12">
                  <c:v>28.484999999999999</c:v>
                </c:pt>
                <c:pt idx="13">
                  <c:v>31.395</c:v>
                </c:pt>
                <c:pt idx="15">
                  <c:v>42.205000000000005</c:v>
                </c:pt>
                <c:pt idx="16">
                  <c:v>42.234999999999999</c:v>
                </c:pt>
                <c:pt idx="17">
                  <c:v>31.695</c:v>
                </c:pt>
                <c:pt idx="18">
                  <c:v>26.395</c:v>
                </c:pt>
                <c:pt idx="19">
                  <c:v>21.164999999999999</c:v>
                </c:pt>
                <c:pt idx="20">
                  <c:v>16.945</c:v>
                </c:pt>
                <c:pt idx="22">
                  <c:v>32.575000000000003</c:v>
                </c:pt>
                <c:pt idx="24">
                  <c:v>43.715000000000003</c:v>
                </c:pt>
                <c:pt idx="25">
                  <c:v>30.015000000000001</c:v>
                </c:pt>
                <c:pt idx="26">
                  <c:v>24.314999999999998</c:v>
                </c:pt>
                <c:pt idx="27">
                  <c:v>21.195</c:v>
                </c:pt>
                <c:pt idx="28">
                  <c:v>20.044999999999998</c:v>
                </c:pt>
                <c:pt idx="29">
                  <c:v>18.265000000000001</c:v>
                </c:pt>
                <c:pt idx="30">
                  <c:v>21.314999999999998</c:v>
                </c:pt>
                <c:pt idx="31">
                  <c:v>25.984999999999999</c:v>
                </c:pt>
                <c:pt idx="32">
                  <c:v>36.585000000000001</c:v>
                </c:pt>
                <c:pt idx="33">
                  <c:v>45.025000000000006</c:v>
                </c:pt>
                <c:pt idx="34">
                  <c:v>38.215000000000003</c:v>
                </c:pt>
                <c:pt idx="35">
                  <c:v>28.035</c:v>
                </c:pt>
                <c:pt idx="36">
                  <c:v>26.125</c:v>
                </c:pt>
              </c:numCache>
            </c:numRef>
          </c:xVal>
          <c:yVal>
            <c:numRef>
              <c:f>('Tooth size Developmental st'!$X$6:$X$11,'Tooth size Developmental st'!$X$17:$X$31,'Tooth size Developmental st'!$X$37:$X$52)</c:f>
              <c:numCache>
                <c:formatCode>General</c:formatCode>
                <c:ptCount val="37"/>
                <c:pt idx="0">
                  <c:v>5.6550000000000002</c:v>
                </c:pt>
                <c:pt idx="1">
                  <c:v>8.0549999999999997</c:v>
                </c:pt>
                <c:pt idx="2">
                  <c:v>11.455</c:v>
                </c:pt>
                <c:pt idx="4">
                  <c:v>8.6449999999999996</c:v>
                </c:pt>
                <c:pt idx="6">
                  <c:v>7.2050000000000001</c:v>
                </c:pt>
                <c:pt idx="7">
                  <c:v>1.1850000000000001</c:v>
                </c:pt>
                <c:pt idx="8">
                  <c:v>5.4550000000000001</c:v>
                </c:pt>
                <c:pt idx="9">
                  <c:v>12.725</c:v>
                </c:pt>
                <c:pt idx="10">
                  <c:v>6.0250000000000004</c:v>
                </c:pt>
                <c:pt idx="11">
                  <c:v>8.8249999999999993</c:v>
                </c:pt>
                <c:pt idx="12">
                  <c:v>6.2250000000000005</c:v>
                </c:pt>
                <c:pt idx="13">
                  <c:v>6.2149999999999999</c:v>
                </c:pt>
                <c:pt idx="15">
                  <c:v>10.434999999999999</c:v>
                </c:pt>
                <c:pt idx="16">
                  <c:v>6.8550000000000004</c:v>
                </c:pt>
                <c:pt idx="17">
                  <c:v>7.7650000000000006</c:v>
                </c:pt>
                <c:pt idx="18">
                  <c:v>6.415</c:v>
                </c:pt>
                <c:pt idx="19">
                  <c:v>6.1749999999999998</c:v>
                </c:pt>
                <c:pt idx="20">
                  <c:v>4.5550000000000006</c:v>
                </c:pt>
                <c:pt idx="22">
                  <c:v>4.625</c:v>
                </c:pt>
                <c:pt idx="24">
                  <c:v>12.864999999999998</c:v>
                </c:pt>
                <c:pt idx="25">
                  <c:v>7.4249999999999998</c:v>
                </c:pt>
                <c:pt idx="26">
                  <c:v>5.5650000000000004</c:v>
                </c:pt>
                <c:pt idx="27">
                  <c:v>4.3849999999999998</c:v>
                </c:pt>
                <c:pt idx="28">
                  <c:v>4.2149999999999999</c:v>
                </c:pt>
                <c:pt idx="29">
                  <c:v>5.5650000000000004</c:v>
                </c:pt>
                <c:pt idx="30">
                  <c:v>4.5550000000000006</c:v>
                </c:pt>
                <c:pt idx="31">
                  <c:v>5.0250000000000004</c:v>
                </c:pt>
                <c:pt idx="32">
                  <c:v>9.4749999999999996</c:v>
                </c:pt>
                <c:pt idx="33">
                  <c:v>11.975</c:v>
                </c:pt>
                <c:pt idx="34">
                  <c:v>7.7050000000000001</c:v>
                </c:pt>
                <c:pt idx="35">
                  <c:v>6.9750000000000005</c:v>
                </c:pt>
                <c:pt idx="36">
                  <c:v>5.2650000000000006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625-40D0-80A5-F7D116E209D0}"/>
            </c:ext>
          </c:extLst>
        </c:ser>
        <c:ser>
          <c:idx val="5"/>
          <c:order val="4"/>
          <c:tx>
            <c:v>large replacement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699977750432649"/>
                  <c:y val="6.38416936769789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st'!$AC$6:$AC$10,'Tooth size Developmental st'!$AC$17:$AC$31,'Tooth size Developmental st'!$AC$37:$AC$52)</c:f>
              <c:numCache>
                <c:formatCode>General</c:formatCode>
                <c:ptCount val="36"/>
                <c:pt idx="1">
                  <c:v>7.955000000000001</c:v>
                </c:pt>
                <c:pt idx="2">
                  <c:v>13.364999999999998</c:v>
                </c:pt>
                <c:pt idx="4">
                  <c:v>6.5049999999999999</c:v>
                </c:pt>
                <c:pt idx="5">
                  <c:v>8.9849999999999994</c:v>
                </c:pt>
                <c:pt idx="10">
                  <c:v>7.4649999999999999</c:v>
                </c:pt>
                <c:pt idx="11">
                  <c:v>3.0050000000000003</c:v>
                </c:pt>
                <c:pt idx="12">
                  <c:v>1.2349999999999999</c:v>
                </c:pt>
                <c:pt idx="14">
                  <c:v>11.604999999999999</c:v>
                </c:pt>
                <c:pt idx="15">
                  <c:v>2.1750000000000003</c:v>
                </c:pt>
                <c:pt idx="16">
                  <c:v>5.3250000000000002</c:v>
                </c:pt>
                <c:pt idx="17">
                  <c:v>2.2050000000000001</c:v>
                </c:pt>
                <c:pt idx="21">
                  <c:v>1.9349999999999998</c:v>
                </c:pt>
                <c:pt idx="23">
                  <c:v>28.654999999999998</c:v>
                </c:pt>
                <c:pt idx="24">
                  <c:v>5.8050000000000006</c:v>
                </c:pt>
                <c:pt idx="25">
                  <c:v>6.2250000000000005</c:v>
                </c:pt>
                <c:pt idx="26">
                  <c:v>2.0150000000000001</c:v>
                </c:pt>
                <c:pt idx="27">
                  <c:v>3.5450000000000004</c:v>
                </c:pt>
                <c:pt idx="28">
                  <c:v>7.3849999999999998</c:v>
                </c:pt>
                <c:pt idx="29">
                  <c:v>2.5050000000000003</c:v>
                </c:pt>
                <c:pt idx="31">
                  <c:v>5.3550000000000004</c:v>
                </c:pt>
                <c:pt idx="32">
                  <c:v>13.045</c:v>
                </c:pt>
                <c:pt idx="34">
                  <c:v>8.8649999999999984</c:v>
                </c:pt>
                <c:pt idx="35">
                  <c:v>1.4849999999999999</c:v>
                </c:pt>
              </c:numCache>
            </c:numRef>
          </c:xVal>
          <c:yVal>
            <c:numRef>
              <c:f>('Tooth size Developmental st'!$AD$6:$AD$10,'Tooth size Developmental st'!$AD$17:$AD$31,'Tooth size Developmental st'!$AD$37:$AD$52)</c:f>
              <c:numCache>
                <c:formatCode>General</c:formatCode>
                <c:ptCount val="36"/>
                <c:pt idx="1">
                  <c:v>3.145</c:v>
                </c:pt>
                <c:pt idx="2">
                  <c:v>4.7949999999999999</c:v>
                </c:pt>
                <c:pt idx="4">
                  <c:v>2.9650000000000003</c:v>
                </c:pt>
                <c:pt idx="5">
                  <c:v>3.915</c:v>
                </c:pt>
                <c:pt idx="10">
                  <c:v>2.0550000000000002</c:v>
                </c:pt>
                <c:pt idx="11">
                  <c:v>1.7849999999999999</c:v>
                </c:pt>
                <c:pt idx="12">
                  <c:v>0.95499999999999985</c:v>
                </c:pt>
                <c:pt idx="14">
                  <c:v>4.2250000000000005</c:v>
                </c:pt>
                <c:pt idx="15">
                  <c:v>1.4350000000000001</c:v>
                </c:pt>
                <c:pt idx="16">
                  <c:v>2.9050000000000002</c:v>
                </c:pt>
                <c:pt idx="17">
                  <c:v>1.6850000000000001</c:v>
                </c:pt>
                <c:pt idx="21">
                  <c:v>1.175</c:v>
                </c:pt>
                <c:pt idx="23">
                  <c:v>4.5650000000000004</c:v>
                </c:pt>
                <c:pt idx="24">
                  <c:v>2.5050000000000003</c:v>
                </c:pt>
                <c:pt idx="25">
                  <c:v>3.1150000000000002</c:v>
                </c:pt>
                <c:pt idx="26">
                  <c:v>1.135</c:v>
                </c:pt>
                <c:pt idx="27">
                  <c:v>1.8749999999999998</c:v>
                </c:pt>
                <c:pt idx="28">
                  <c:v>3.3650000000000002</c:v>
                </c:pt>
                <c:pt idx="29">
                  <c:v>1.5449999999999999</c:v>
                </c:pt>
                <c:pt idx="31">
                  <c:v>2.3450000000000002</c:v>
                </c:pt>
                <c:pt idx="32">
                  <c:v>3.9249999999999998</c:v>
                </c:pt>
                <c:pt idx="34">
                  <c:v>3.4750000000000001</c:v>
                </c:pt>
                <c:pt idx="35">
                  <c:v>0.98499999999999988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625-40D0-80A5-F7D116E209D0}"/>
            </c:ext>
          </c:extLst>
        </c:ser>
        <c:ser>
          <c:idx val="3"/>
          <c:order val="5"/>
          <c:tx>
            <c:v>medium replacement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602575538408528"/>
                  <c:y val="-5.446417504364930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92D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st'!$I$6:$I$10,'Tooth size Developmental st'!$I$17:$I$31,'Tooth size Developmental st'!$I$37:$I$56)</c:f>
              <c:numCache>
                <c:formatCode>0.00</c:formatCode>
                <c:ptCount val="40"/>
                <c:pt idx="0">
                  <c:v>1.2775000000000001</c:v>
                </c:pt>
                <c:pt idx="1">
                  <c:v>2.1875</c:v>
                </c:pt>
                <c:pt idx="2">
                  <c:v>3.0175000000000001</c:v>
                </c:pt>
                <c:pt idx="3">
                  <c:v>2.2675000000000001</c:v>
                </c:pt>
                <c:pt idx="4">
                  <c:v>2.8275000000000001</c:v>
                </c:pt>
                <c:pt idx="5">
                  <c:v>2.0074999999999998</c:v>
                </c:pt>
                <c:pt idx="6">
                  <c:v>5.7975000000000003</c:v>
                </c:pt>
                <c:pt idx="7">
                  <c:v>3.3075000000000001</c:v>
                </c:pt>
                <c:pt idx="8">
                  <c:v>1.6375</c:v>
                </c:pt>
                <c:pt idx="9">
                  <c:v>2.4175</c:v>
                </c:pt>
                <c:pt idx="10">
                  <c:v>3.1274999999999999</c:v>
                </c:pt>
                <c:pt idx="11">
                  <c:v>1.2375</c:v>
                </c:pt>
                <c:pt idx="12">
                  <c:v>2.7675000000000001</c:v>
                </c:pt>
                <c:pt idx="13">
                  <c:v>1.2775000000000001</c:v>
                </c:pt>
                <c:pt idx="14">
                  <c:v>2.8875000000000002</c:v>
                </c:pt>
                <c:pt idx="15">
                  <c:v>0.77749999999999997</c:v>
                </c:pt>
                <c:pt idx="16">
                  <c:v>1.6675</c:v>
                </c:pt>
                <c:pt idx="17">
                  <c:v>2.0674999999999999</c:v>
                </c:pt>
                <c:pt idx="18">
                  <c:v>0.77749999999999997</c:v>
                </c:pt>
                <c:pt idx="19">
                  <c:v>1.6074999999999999</c:v>
                </c:pt>
                <c:pt idx="20">
                  <c:v>3.1675</c:v>
                </c:pt>
                <c:pt idx="21">
                  <c:v>1.7175</c:v>
                </c:pt>
                <c:pt idx="22">
                  <c:v>4.5175000000000001</c:v>
                </c:pt>
                <c:pt idx="23">
                  <c:v>2.2675000000000001</c:v>
                </c:pt>
                <c:pt idx="24">
                  <c:v>2.0674999999999999</c:v>
                </c:pt>
                <c:pt idx="25">
                  <c:v>0.87749999999999995</c:v>
                </c:pt>
                <c:pt idx="26">
                  <c:v>2.2075</c:v>
                </c:pt>
                <c:pt idx="27">
                  <c:v>1.1475</c:v>
                </c:pt>
                <c:pt idx="28">
                  <c:v>0.28749999999999998</c:v>
                </c:pt>
                <c:pt idx="29">
                  <c:v>1.3975</c:v>
                </c:pt>
                <c:pt idx="30">
                  <c:v>0.75749999999999995</c:v>
                </c:pt>
                <c:pt idx="31">
                  <c:v>2.5874999999999999</c:v>
                </c:pt>
                <c:pt idx="32">
                  <c:v>0.5675</c:v>
                </c:pt>
                <c:pt idx="33">
                  <c:v>1.6174999999999999</c:v>
                </c:pt>
                <c:pt idx="34">
                  <c:v>2.6274999999999999</c:v>
                </c:pt>
                <c:pt idx="35">
                  <c:v>0.61749999999999994</c:v>
                </c:pt>
                <c:pt idx="36">
                  <c:v>1.1875</c:v>
                </c:pt>
                <c:pt idx="37">
                  <c:v>2.7075</c:v>
                </c:pt>
                <c:pt idx="38">
                  <c:v>0.90749999999999997</c:v>
                </c:pt>
                <c:pt idx="39">
                  <c:v>1.6274999999999999</c:v>
                </c:pt>
              </c:numCache>
            </c:numRef>
          </c:xVal>
          <c:yVal>
            <c:numRef>
              <c:f>('Tooth size Developmental st'!$J$6:$J$10,'Tooth size Developmental st'!$J$17:$J$31,'Tooth size Developmental st'!$J$37:$J$56)</c:f>
              <c:numCache>
                <c:formatCode>0.00</c:formatCode>
                <c:ptCount val="40"/>
                <c:pt idx="0">
                  <c:v>0.62749999999999995</c:v>
                </c:pt>
                <c:pt idx="1">
                  <c:v>0.91749999999999998</c:v>
                </c:pt>
                <c:pt idx="2">
                  <c:v>1.0375000000000001</c:v>
                </c:pt>
                <c:pt idx="3">
                  <c:v>0.91749999999999998</c:v>
                </c:pt>
                <c:pt idx="4">
                  <c:v>1.3774999999999999</c:v>
                </c:pt>
                <c:pt idx="5">
                  <c:v>0.67749999999999999</c:v>
                </c:pt>
                <c:pt idx="6">
                  <c:v>2.0074999999999998</c:v>
                </c:pt>
                <c:pt idx="7">
                  <c:v>1.0375000000000001</c:v>
                </c:pt>
                <c:pt idx="8">
                  <c:v>0.48749999999999993</c:v>
                </c:pt>
                <c:pt idx="9">
                  <c:v>0.92749999999999999</c:v>
                </c:pt>
                <c:pt idx="10">
                  <c:v>1.3574999999999999</c:v>
                </c:pt>
                <c:pt idx="11">
                  <c:v>0.58750000000000002</c:v>
                </c:pt>
                <c:pt idx="12">
                  <c:v>1.2875000000000001</c:v>
                </c:pt>
                <c:pt idx="13">
                  <c:v>0.5575</c:v>
                </c:pt>
                <c:pt idx="14">
                  <c:v>1.2375</c:v>
                </c:pt>
                <c:pt idx="15">
                  <c:v>0.2475</c:v>
                </c:pt>
                <c:pt idx="16">
                  <c:v>0.8175</c:v>
                </c:pt>
                <c:pt idx="17">
                  <c:v>1.1074999999999999</c:v>
                </c:pt>
                <c:pt idx="18">
                  <c:v>0.41749999999999998</c:v>
                </c:pt>
                <c:pt idx="19">
                  <c:v>0.41749999999999998</c:v>
                </c:pt>
                <c:pt idx="21">
                  <c:v>0.42749999999999999</c:v>
                </c:pt>
                <c:pt idx="22">
                  <c:v>1.4775</c:v>
                </c:pt>
                <c:pt idx="23">
                  <c:v>0.76749999999999996</c:v>
                </c:pt>
                <c:pt idx="24">
                  <c:v>0.94750000000000001</c:v>
                </c:pt>
                <c:pt idx="25">
                  <c:v>0.38749999999999996</c:v>
                </c:pt>
                <c:pt idx="26">
                  <c:v>1.0474999999999999</c:v>
                </c:pt>
                <c:pt idx="27">
                  <c:v>0.59750000000000003</c:v>
                </c:pt>
                <c:pt idx="28">
                  <c:v>0.16749999999999998</c:v>
                </c:pt>
                <c:pt idx="29">
                  <c:v>0.66749999999999998</c:v>
                </c:pt>
                <c:pt idx="30">
                  <c:v>0.32749999999999996</c:v>
                </c:pt>
                <c:pt idx="31">
                  <c:v>1.1875</c:v>
                </c:pt>
                <c:pt idx="32">
                  <c:v>0.19750000000000001</c:v>
                </c:pt>
                <c:pt idx="33">
                  <c:v>0.8175</c:v>
                </c:pt>
                <c:pt idx="34">
                  <c:v>1.3674999999999999</c:v>
                </c:pt>
                <c:pt idx="35">
                  <c:v>0.39749999999999996</c:v>
                </c:pt>
                <c:pt idx="36">
                  <c:v>0.72750000000000004</c:v>
                </c:pt>
                <c:pt idx="37">
                  <c:v>1.3274999999999999</c:v>
                </c:pt>
                <c:pt idx="38">
                  <c:v>0.51749999999999996</c:v>
                </c:pt>
                <c:pt idx="39">
                  <c:v>1.0275000000000001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625-40D0-80A5-F7D116E20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tooth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. central axis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</a:t>
            </a:r>
            <a:r>
              <a:rPr lang="en-US" sz="1400" b="0" i="0" u="none" strike="noStrike" baseline="0">
                <a:effectLst/>
              </a:rPr>
              <a:t> central axis</a:t>
            </a:r>
            <a:r>
              <a:rPr lang="en-US"/>
              <a:t> height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Small functional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068555241295069"/>
                  <c:y val="1.65651407966859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st'!$AR$6:$AR$10,'Tooth size Developmental st'!$AR$16:$AR$31,'Tooth size Developmental st'!$AR$36:$AR$55)</c:f>
              <c:numCache>
                <c:formatCode>General</c:formatCode>
                <c:ptCount val="41"/>
                <c:pt idx="0">
                  <c:v>1.4328000000000001</c:v>
                </c:pt>
                <c:pt idx="1">
                  <c:v>1.7728000000000002</c:v>
                </c:pt>
                <c:pt idx="2">
                  <c:v>1.7928000000000002</c:v>
                </c:pt>
                <c:pt idx="3">
                  <c:v>1.4328000000000001</c:v>
                </c:pt>
                <c:pt idx="4">
                  <c:v>1.7628000000000001</c:v>
                </c:pt>
                <c:pt idx="5">
                  <c:v>1.6928000000000001</c:v>
                </c:pt>
                <c:pt idx="6">
                  <c:v>2.4327999999999999</c:v>
                </c:pt>
                <c:pt idx="7">
                  <c:v>1.7928000000000002</c:v>
                </c:pt>
                <c:pt idx="8">
                  <c:v>2.5127999999999999</c:v>
                </c:pt>
                <c:pt idx="9">
                  <c:v>1.8328000000000002</c:v>
                </c:pt>
                <c:pt idx="10">
                  <c:v>2.1928000000000001</c:v>
                </c:pt>
                <c:pt idx="11">
                  <c:v>2.0627999999999997</c:v>
                </c:pt>
                <c:pt idx="12">
                  <c:v>2.1027999999999998</c:v>
                </c:pt>
                <c:pt idx="13">
                  <c:v>2.2827999999999999</c:v>
                </c:pt>
                <c:pt idx="14">
                  <c:v>1.3528</c:v>
                </c:pt>
                <c:pt idx="15">
                  <c:v>2.3028</c:v>
                </c:pt>
                <c:pt idx="16">
                  <c:v>1.5628000000000002</c:v>
                </c:pt>
                <c:pt idx="17">
                  <c:v>2.0528</c:v>
                </c:pt>
                <c:pt idx="18">
                  <c:v>1.3528</c:v>
                </c:pt>
                <c:pt idx="19">
                  <c:v>1.7528000000000001</c:v>
                </c:pt>
                <c:pt idx="20">
                  <c:v>0.68279999999999996</c:v>
                </c:pt>
                <c:pt idx="21">
                  <c:v>2.1427999999999998</c:v>
                </c:pt>
                <c:pt idx="22">
                  <c:v>1.6228</c:v>
                </c:pt>
                <c:pt idx="23">
                  <c:v>1.8428000000000002</c:v>
                </c:pt>
                <c:pt idx="24">
                  <c:v>1.2328000000000001</c:v>
                </c:pt>
                <c:pt idx="25">
                  <c:v>1.5728000000000002</c:v>
                </c:pt>
                <c:pt idx="26">
                  <c:v>1.9228000000000001</c:v>
                </c:pt>
                <c:pt idx="27">
                  <c:v>1.0828000000000002</c:v>
                </c:pt>
                <c:pt idx="28">
                  <c:v>1.7028000000000001</c:v>
                </c:pt>
                <c:pt idx="29">
                  <c:v>1.1128</c:v>
                </c:pt>
                <c:pt idx="30">
                  <c:v>1.8128000000000002</c:v>
                </c:pt>
                <c:pt idx="31">
                  <c:v>1.4928000000000001</c:v>
                </c:pt>
                <c:pt idx="32">
                  <c:v>2.1328</c:v>
                </c:pt>
                <c:pt idx="33">
                  <c:v>1.8128000000000002</c:v>
                </c:pt>
                <c:pt idx="34">
                  <c:v>2.2827999999999999</c:v>
                </c:pt>
                <c:pt idx="35">
                  <c:v>1.5728000000000002</c:v>
                </c:pt>
                <c:pt idx="36">
                  <c:v>2.0427999999999997</c:v>
                </c:pt>
                <c:pt idx="37">
                  <c:v>1.4128000000000001</c:v>
                </c:pt>
                <c:pt idx="38">
                  <c:v>1.8628</c:v>
                </c:pt>
                <c:pt idx="39">
                  <c:v>1.6428</c:v>
                </c:pt>
                <c:pt idx="40">
                  <c:v>2.8327999999999998</c:v>
                </c:pt>
              </c:numCache>
            </c:numRef>
          </c:xVal>
          <c:yVal>
            <c:numRef>
              <c:f>('Tooth size Developmental st'!$AQ$6:$AQ$10,'Tooth size Developmental st'!$AQ$16:$AQ$31,'Tooth size Developmental st'!$AQ$36:$AQ$55)</c:f>
              <c:numCache>
                <c:formatCode>0.00</c:formatCode>
                <c:ptCount val="41"/>
                <c:pt idx="0">
                  <c:v>3.2027999999999999</c:v>
                </c:pt>
                <c:pt idx="1">
                  <c:v>2.5327999999999999</c:v>
                </c:pt>
                <c:pt idx="2">
                  <c:v>4.9228000000000005</c:v>
                </c:pt>
                <c:pt idx="3">
                  <c:v>4.1328000000000005</c:v>
                </c:pt>
                <c:pt idx="4">
                  <c:v>4.5928000000000004</c:v>
                </c:pt>
                <c:pt idx="5">
                  <c:v>4.5528000000000004</c:v>
                </c:pt>
                <c:pt idx="6">
                  <c:v>4.2228000000000003</c:v>
                </c:pt>
                <c:pt idx="7">
                  <c:v>6.3228</c:v>
                </c:pt>
                <c:pt idx="8">
                  <c:v>4.9028</c:v>
                </c:pt>
                <c:pt idx="9">
                  <c:v>5.8728000000000007</c:v>
                </c:pt>
                <c:pt idx="10">
                  <c:v>4.0428000000000006</c:v>
                </c:pt>
                <c:pt idx="11">
                  <c:v>4.0528000000000004</c:v>
                </c:pt>
                <c:pt idx="12">
                  <c:v>3.1027999999999998</c:v>
                </c:pt>
                <c:pt idx="13">
                  <c:v>4.7628000000000004</c:v>
                </c:pt>
                <c:pt idx="14">
                  <c:v>3.9327999999999999</c:v>
                </c:pt>
                <c:pt idx="15">
                  <c:v>4.7328000000000001</c:v>
                </c:pt>
                <c:pt idx="16">
                  <c:v>4.5628000000000002</c:v>
                </c:pt>
                <c:pt idx="17">
                  <c:v>3.8828</c:v>
                </c:pt>
                <c:pt idx="18">
                  <c:v>3.2227999999999999</c:v>
                </c:pt>
                <c:pt idx="19">
                  <c:v>2.8727999999999998</c:v>
                </c:pt>
                <c:pt idx="20">
                  <c:v>1.1528</c:v>
                </c:pt>
                <c:pt idx="21">
                  <c:v>5.1628000000000007</c:v>
                </c:pt>
                <c:pt idx="22">
                  <c:v>2.1728000000000001</c:v>
                </c:pt>
                <c:pt idx="23">
                  <c:v>4.4428000000000001</c:v>
                </c:pt>
                <c:pt idx="24">
                  <c:v>3.7527999999999997</c:v>
                </c:pt>
                <c:pt idx="25">
                  <c:v>4.1828000000000003</c:v>
                </c:pt>
                <c:pt idx="26">
                  <c:v>3.2427999999999999</c:v>
                </c:pt>
                <c:pt idx="27">
                  <c:v>3.1928000000000001</c:v>
                </c:pt>
                <c:pt idx="28">
                  <c:v>3.0427999999999997</c:v>
                </c:pt>
                <c:pt idx="29">
                  <c:v>3.1027999999999998</c:v>
                </c:pt>
                <c:pt idx="30">
                  <c:v>3.1827999999999999</c:v>
                </c:pt>
                <c:pt idx="31">
                  <c:v>3.8828</c:v>
                </c:pt>
                <c:pt idx="32">
                  <c:v>3.5627999999999997</c:v>
                </c:pt>
                <c:pt idx="33">
                  <c:v>5.3928000000000003</c:v>
                </c:pt>
                <c:pt idx="34">
                  <c:v>4.1228000000000007</c:v>
                </c:pt>
                <c:pt idx="35">
                  <c:v>4.2528000000000006</c:v>
                </c:pt>
                <c:pt idx="36">
                  <c:v>3.7128000000000001</c:v>
                </c:pt>
                <c:pt idx="37">
                  <c:v>3.3428</c:v>
                </c:pt>
                <c:pt idx="38">
                  <c:v>3.3828</c:v>
                </c:pt>
                <c:pt idx="39">
                  <c:v>3.4827999999999997</c:v>
                </c:pt>
                <c:pt idx="40">
                  <c:v>2.8327999999999998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4A-4C60-940A-D442DB10BE16}"/>
            </c:ext>
          </c:extLst>
        </c:ser>
        <c:ser>
          <c:idx val="1"/>
          <c:order val="1"/>
          <c:tx>
            <c:v>Small replacement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413604720612513"/>
                  <c:y val="2.392803319870709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st'!$AX$6:$AX$10,'Tooth size Developmental st'!$AX$16:$AX$30,'Tooth size Developmental st'!$AX$36:$AX$55)</c:f>
              <c:numCache>
                <c:formatCode>General</c:formatCode>
                <c:ptCount val="40"/>
                <c:pt idx="0">
                  <c:v>0.1628</c:v>
                </c:pt>
                <c:pt idx="1">
                  <c:v>0.77280000000000004</c:v>
                </c:pt>
                <c:pt idx="2">
                  <c:v>0.53280000000000005</c:v>
                </c:pt>
                <c:pt idx="3">
                  <c:v>0.31280000000000002</c:v>
                </c:pt>
                <c:pt idx="4">
                  <c:v>0.56279999999999997</c:v>
                </c:pt>
                <c:pt idx="5">
                  <c:v>0.4728</c:v>
                </c:pt>
                <c:pt idx="6">
                  <c:v>0.95279999999999998</c:v>
                </c:pt>
                <c:pt idx="7">
                  <c:v>0.6028</c:v>
                </c:pt>
                <c:pt idx="8">
                  <c:v>1.2228000000000001</c:v>
                </c:pt>
                <c:pt idx="9">
                  <c:v>0.50280000000000002</c:v>
                </c:pt>
                <c:pt idx="10">
                  <c:v>0.93279999999999996</c:v>
                </c:pt>
                <c:pt idx="11">
                  <c:v>0.42280000000000001</c:v>
                </c:pt>
                <c:pt idx="12">
                  <c:v>1.0628000000000002</c:v>
                </c:pt>
                <c:pt idx="13">
                  <c:v>0.61280000000000001</c:v>
                </c:pt>
                <c:pt idx="14">
                  <c:v>0.2828</c:v>
                </c:pt>
                <c:pt idx="15">
                  <c:v>0.75280000000000002</c:v>
                </c:pt>
                <c:pt idx="16">
                  <c:v>0.20280000000000001</c:v>
                </c:pt>
                <c:pt idx="17">
                  <c:v>0.45279999999999998</c:v>
                </c:pt>
                <c:pt idx="19">
                  <c:v>0.33279999999999998</c:v>
                </c:pt>
                <c:pt idx="20">
                  <c:v>0.66279999999999994</c:v>
                </c:pt>
                <c:pt idx="21">
                  <c:v>0.82279999999999998</c:v>
                </c:pt>
                <c:pt idx="22">
                  <c:v>0.54279999999999995</c:v>
                </c:pt>
                <c:pt idx="23">
                  <c:v>0.1928</c:v>
                </c:pt>
                <c:pt idx="24">
                  <c:v>0.32279999999999998</c:v>
                </c:pt>
                <c:pt idx="25">
                  <c:v>0.56279999999999997</c:v>
                </c:pt>
                <c:pt idx="26">
                  <c:v>0.17280000000000001</c:v>
                </c:pt>
                <c:pt idx="27">
                  <c:v>0.45279999999999998</c:v>
                </c:pt>
                <c:pt idx="28">
                  <c:v>0.1628</c:v>
                </c:pt>
                <c:pt idx="29">
                  <c:v>0.46279999999999999</c:v>
                </c:pt>
                <c:pt idx="30">
                  <c:v>0.2828</c:v>
                </c:pt>
                <c:pt idx="31">
                  <c:v>0.92279999999999995</c:v>
                </c:pt>
                <c:pt idx="32">
                  <c:v>0.45279999999999998</c:v>
                </c:pt>
                <c:pt idx="33">
                  <c:v>0.83279999999999998</c:v>
                </c:pt>
                <c:pt idx="34">
                  <c:v>0.23280000000000001</c:v>
                </c:pt>
                <c:pt idx="35">
                  <c:v>0.53280000000000005</c:v>
                </c:pt>
                <c:pt idx="36">
                  <c:v>0.15279999999999999</c:v>
                </c:pt>
                <c:pt idx="37">
                  <c:v>0.43280000000000002</c:v>
                </c:pt>
                <c:pt idx="38">
                  <c:v>0.11280000000000001</c:v>
                </c:pt>
                <c:pt idx="39">
                  <c:v>0.30280000000000001</c:v>
                </c:pt>
              </c:numCache>
            </c:numRef>
          </c:xVal>
          <c:yVal>
            <c:numRef>
              <c:f>('Tooth size Developmental st'!$AW$6:$AW$10,'Tooth size Developmental st'!$AW$16:$AW$30,'Tooth size Developmental st'!$AW$36:$AW$55)</c:f>
              <c:numCache>
                <c:formatCode>0.00</c:formatCode>
                <c:ptCount val="40"/>
                <c:pt idx="0">
                  <c:v>0.25280000000000002</c:v>
                </c:pt>
                <c:pt idx="1">
                  <c:v>1.1528</c:v>
                </c:pt>
                <c:pt idx="2">
                  <c:v>1.0528000000000002</c:v>
                </c:pt>
                <c:pt idx="3">
                  <c:v>0.53280000000000005</c:v>
                </c:pt>
                <c:pt idx="4">
                  <c:v>0.99280000000000002</c:v>
                </c:pt>
                <c:pt idx="5">
                  <c:v>0.69279999999999997</c:v>
                </c:pt>
                <c:pt idx="6">
                  <c:v>1.8028000000000002</c:v>
                </c:pt>
                <c:pt idx="7">
                  <c:v>1.1028</c:v>
                </c:pt>
                <c:pt idx="8">
                  <c:v>2.8028</c:v>
                </c:pt>
                <c:pt idx="9">
                  <c:v>0.89280000000000004</c:v>
                </c:pt>
                <c:pt idx="10">
                  <c:v>1.8428000000000002</c:v>
                </c:pt>
                <c:pt idx="11">
                  <c:v>0.71279999999999999</c:v>
                </c:pt>
                <c:pt idx="12">
                  <c:v>2.1128</c:v>
                </c:pt>
                <c:pt idx="13">
                  <c:v>1.0028000000000001</c:v>
                </c:pt>
                <c:pt idx="14">
                  <c:v>0.46279999999999999</c:v>
                </c:pt>
                <c:pt idx="15">
                  <c:v>1.3928</c:v>
                </c:pt>
                <c:pt idx="16">
                  <c:v>0.36280000000000001</c:v>
                </c:pt>
                <c:pt idx="17">
                  <c:v>0.7228</c:v>
                </c:pt>
                <c:pt idx="19" formatCode="General">
                  <c:v>0.33279999999999998</c:v>
                </c:pt>
                <c:pt idx="20">
                  <c:v>1.4828000000000001</c:v>
                </c:pt>
                <c:pt idx="21">
                  <c:v>2.0728</c:v>
                </c:pt>
                <c:pt idx="22">
                  <c:v>1.0928000000000002</c:v>
                </c:pt>
                <c:pt idx="23">
                  <c:v>0.36280000000000001</c:v>
                </c:pt>
                <c:pt idx="24">
                  <c:v>0.63280000000000003</c:v>
                </c:pt>
                <c:pt idx="25">
                  <c:v>0.95279999999999998</c:v>
                </c:pt>
                <c:pt idx="26">
                  <c:v>0.17280000000000001</c:v>
                </c:pt>
                <c:pt idx="27">
                  <c:v>0.95279999999999998</c:v>
                </c:pt>
                <c:pt idx="28">
                  <c:v>0.1628</c:v>
                </c:pt>
                <c:pt idx="29">
                  <c:v>0.7228</c:v>
                </c:pt>
                <c:pt idx="30">
                  <c:v>0.45279999999999998</c:v>
                </c:pt>
                <c:pt idx="31">
                  <c:v>1.6128</c:v>
                </c:pt>
                <c:pt idx="32">
                  <c:v>0.80279999999999996</c:v>
                </c:pt>
                <c:pt idx="33">
                  <c:v>1.6928000000000001</c:v>
                </c:pt>
                <c:pt idx="34">
                  <c:v>0.30280000000000001</c:v>
                </c:pt>
                <c:pt idx="35">
                  <c:v>0.84279999999999999</c:v>
                </c:pt>
                <c:pt idx="36">
                  <c:v>0.15279999999999999</c:v>
                </c:pt>
                <c:pt idx="37">
                  <c:v>0.68279999999999996</c:v>
                </c:pt>
                <c:pt idx="38">
                  <c:v>0.11280000000000001</c:v>
                </c:pt>
                <c:pt idx="39">
                  <c:v>0.42280000000000001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4A-4C60-940A-D442DB10BE16}"/>
            </c:ext>
          </c:extLst>
        </c:ser>
        <c:ser>
          <c:idx val="2"/>
          <c:order val="2"/>
          <c:tx>
            <c:v>medium functional teeth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8825792168748192E-2"/>
                  <c:y val="-6.309868808123116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st'!$D$6:$D$10,'Tooth size Developmental st'!$D$17:$D$31,'Tooth size Developmental st'!$D$37:$D$56)</c:f>
              <c:numCache>
                <c:formatCode>0.00</c:formatCode>
                <c:ptCount val="40"/>
                <c:pt idx="0">
                  <c:v>2.4474999999999998</c:v>
                </c:pt>
                <c:pt idx="1">
                  <c:v>2.1575000000000002</c:v>
                </c:pt>
                <c:pt idx="2">
                  <c:v>2.9474999999999998</c:v>
                </c:pt>
                <c:pt idx="3">
                  <c:v>2.5375000000000001</c:v>
                </c:pt>
                <c:pt idx="4">
                  <c:v>2.6074999999999999</c:v>
                </c:pt>
                <c:pt idx="5">
                  <c:v>2.6074999999999999</c:v>
                </c:pt>
                <c:pt idx="6">
                  <c:v>3.5274999999999999</c:v>
                </c:pt>
                <c:pt idx="7">
                  <c:v>2.9474999999999998</c:v>
                </c:pt>
                <c:pt idx="8">
                  <c:v>2.6375000000000002</c:v>
                </c:pt>
                <c:pt idx="9">
                  <c:v>2.8174999999999999</c:v>
                </c:pt>
                <c:pt idx="10">
                  <c:v>3.3174999999999999</c:v>
                </c:pt>
                <c:pt idx="11">
                  <c:v>2.3174999999999999</c:v>
                </c:pt>
                <c:pt idx="12">
                  <c:v>2.7374999999999998</c:v>
                </c:pt>
                <c:pt idx="13">
                  <c:v>2.2974999999999999</c:v>
                </c:pt>
                <c:pt idx="14">
                  <c:v>3.2574999999999998</c:v>
                </c:pt>
                <c:pt idx="15">
                  <c:v>2.2974999999999999</c:v>
                </c:pt>
                <c:pt idx="16">
                  <c:v>3.0175000000000001</c:v>
                </c:pt>
                <c:pt idx="17">
                  <c:v>2.8174999999999999</c:v>
                </c:pt>
                <c:pt idx="18">
                  <c:v>2.1974999999999998</c:v>
                </c:pt>
                <c:pt idx="19">
                  <c:v>3.0674999999999999</c:v>
                </c:pt>
                <c:pt idx="20">
                  <c:v>2.1175000000000002</c:v>
                </c:pt>
                <c:pt idx="21">
                  <c:v>2.3875000000000002</c:v>
                </c:pt>
                <c:pt idx="22">
                  <c:v>3.1575000000000002</c:v>
                </c:pt>
                <c:pt idx="23">
                  <c:v>2.6575000000000002</c:v>
                </c:pt>
                <c:pt idx="24">
                  <c:v>2.1675</c:v>
                </c:pt>
                <c:pt idx="25">
                  <c:v>1.9175</c:v>
                </c:pt>
                <c:pt idx="26">
                  <c:v>1.7675000000000001</c:v>
                </c:pt>
                <c:pt idx="27">
                  <c:v>2.2774999999999999</c:v>
                </c:pt>
                <c:pt idx="28">
                  <c:v>0.95750000000000002</c:v>
                </c:pt>
                <c:pt idx="29">
                  <c:v>2.3075000000000001</c:v>
                </c:pt>
                <c:pt idx="30">
                  <c:v>1.6675</c:v>
                </c:pt>
                <c:pt idx="31">
                  <c:v>2.7974999999999999</c:v>
                </c:pt>
                <c:pt idx="32">
                  <c:v>2.1175000000000002</c:v>
                </c:pt>
                <c:pt idx="33">
                  <c:v>2.6575000000000002</c:v>
                </c:pt>
                <c:pt idx="34">
                  <c:v>3.0575000000000001</c:v>
                </c:pt>
                <c:pt idx="35">
                  <c:v>2.1575000000000002</c:v>
                </c:pt>
                <c:pt idx="36">
                  <c:v>2.7574999999999998</c:v>
                </c:pt>
                <c:pt idx="37">
                  <c:v>2.4874999999999998</c:v>
                </c:pt>
                <c:pt idx="38">
                  <c:v>2.5874999999999999</c:v>
                </c:pt>
                <c:pt idx="39">
                  <c:v>2.5175000000000001</c:v>
                </c:pt>
              </c:numCache>
            </c:numRef>
          </c:xVal>
          <c:yVal>
            <c:numRef>
              <c:f>('Tooth size Developmental st'!$C$6:$C$10,'Tooth size Developmental st'!$C$17:$C$31,'Tooth size Developmental st'!$C$37:$C$56)</c:f>
              <c:numCache>
                <c:formatCode>0.00</c:formatCode>
                <c:ptCount val="40"/>
                <c:pt idx="0">
                  <c:v>5.7075000000000005</c:v>
                </c:pt>
                <c:pt idx="1">
                  <c:v>5.1275000000000004</c:v>
                </c:pt>
                <c:pt idx="2">
                  <c:v>9.0274999999999999</c:v>
                </c:pt>
                <c:pt idx="3">
                  <c:v>11.4175</c:v>
                </c:pt>
                <c:pt idx="4">
                  <c:v>7.8175000000000008</c:v>
                </c:pt>
                <c:pt idx="5">
                  <c:v>8.0075000000000003</c:v>
                </c:pt>
                <c:pt idx="6">
                  <c:v>7.2875000000000005</c:v>
                </c:pt>
                <c:pt idx="7">
                  <c:v>12.297500000000001</c:v>
                </c:pt>
                <c:pt idx="8">
                  <c:v>9.9875000000000007</c:v>
                </c:pt>
                <c:pt idx="9">
                  <c:v>11.1875</c:v>
                </c:pt>
                <c:pt idx="10">
                  <c:v>9.6375000000000011</c:v>
                </c:pt>
                <c:pt idx="11">
                  <c:v>8.2475000000000005</c:v>
                </c:pt>
                <c:pt idx="12">
                  <c:v>9.0675000000000008</c:v>
                </c:pt>
                <c:pt idx="13">
                  <c:v>8.8674999999999997</c:v>
                </c:pt>
                <c:pt idx="14">
                  <c:v>10.307500000000001</c:v>
                </c:pt>
                <c:pt idx="15">
                  <c:v>6.9075000000000006</c:v>
                </c:pt>
                <c:pt idx="16">
                  <c:v>8.6974999999999998</c:v>
                </c:pt>
                <c:pt idx="17">
                  <c:v>7.4375</c:v>
                </c:pt>
                <c:pt idx="18">
                  <c:v>6.1675000000000004</c:v>
                </c:pt>
                <c:pt idx="19">
                  <c:v>5.7775000000000007</c:v>
                </c:pt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4.4975000000000005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84A-4C60-940A-D442DB10BE16}"/>
            </c:ext>
          </c:extLst>
        </c:ser>
        <c:ser>
          <c:idx val="4"/>
          <c:order val="3"/>
          <c:tx>
            <c:v>large functional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048998733232196"/>
                  <c:y val="0.248369986780417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st'!$X$6:$X$11,'Tooth size Developmental st'!$X$17:$X$31,'Tooth size Developmental st'!$X$37:$X$52)</c:f>
              <c:numCache>
                <c:formatCode>General</c:formatCode>
                <c:ptCount val="37"/>
                <c:pt idx="0">
                  <c:v>5.6550000000000002</c:v>
                </c:pt>
                <c:pt idx="1">
                  <c:v>8.0549999999999997</c:v>
                </c:pt>
                <c:pt idx="2">
                  <c:v>11.455</c:v>
                </c:pt>
                <c:pt idx="4">
                  <c:v>8.6449999999999996</c:v>
                </c:pt>
                <c:pt idx="6">
                  <c:v>7.2050000000000001</c:v>
                </c:pt>
                <c:pt idx="7">
                  <c:v>1.1850000000000001</c:v>
                </c:pt>
                <c:pt idx="8">
                  <c:v>5.4550000000000001</c:v>
                </c:pt>
                <c:pt idx="9">
                  <c:v>12.725</c:v>
                </c:pt>
                <c:pt idx="10">
                  <c:v>6.0250000000000004</c:v>
                </c:pt>
                <c:pt idx="11">
                  <c:v>8.8249999999999993</c:v>
                </c:pt>
                <c:pt idx="12">
                  <c:v>6.2250000000000005</c:v>
                </c:pt>
                <c:pt idx="13">
                  <c:v>6.2149999999999999</c:v>
                </c:pt>
                <c:pt idx="15">
                  <c:v>10.434999999999999</c:v>
                </c:pt>
                <c:pt idx="16">
                  <c:v>6.8550000000000004</c:v>
                </c:pt>
                <c:pt idx="17">
                  <c:v>7.7650000000000006</c:v>
                </c:pt>
                <c:pt idx="18">
                  <c:v>6.415</c:v>
                </c:pt>
                <c:pt idx="19">
                  <c:v>6.1749999999999998</c:v>
                </c:pt>
                <c:pt idx="20">
                  <c:v>4.5550000000000006</c:v>
                </c:pt>
                <c:pt idx="22">
                  <c:v>4.625</c:v>
                </c:pt>
                <c:pt idx="24">
                  <c:v>12.864999999999998</c:v>
                </c:pt>
                <c:pt idx="25">
                  <c:v>7.4249999999999998</c:v>
                </c:pt>
                <c:pt idx="26">
                  <c:v>5.5650000000000004</c:v>
                </c:pt>
                <c:pt idx="27">
                  <c:v>4.3849999999999998</c:v>
                </c:pt>
                <c:pt idx="28">
                  <c:v>4.2149999999999999</c:v>
                </c:pt>
                <c:pt idx="29">
                  <c:v>5.5650000000000004</c:v>
                </c:pt>
                <c:pt idx="30">
                  <c:v>4.5550000000000006</c:v>
                </c:pt>
                <c:pt idx="31">
                  <c:v>5.0250000000000004</c:v>
                </c:pt>
                <c:pt idx="32">
                  <c:v>9.4749999999999996</c:v>
                </c:pt>
                <c:pt idx="33">
                  <c:v>11.975</c:v>
                </c:pt>
                <c:pt idx="34">
                  <c:v>7.7050000000000001</c:v>
                </c:pt>
                <c:pt idx="35">
                  <c:v>6.9750000000000005</c:v>
                </c:pt>
                <c:pt idx="36">
                  <c:v>5.2650000000000006</c:v>
                </c:pt>
              </c:numCache>
            </c:numRef>
          </c:xVal>
          <c:yVal>
            <c:numRef>
              <c:f>('Tooth size Developmental st'!$W$6:$W$11,'Tooth size Developmental st'!$W$17:$W$31,'Tooth size Developmental st'!$W$37:$W$52)</c:f>
              <c:numCache>
                <c:formatCode>General</c:formatCode>
                <c:ptCount val="37"/>
                <c:pt idx="0">
                  <c:v>27.254999999999999</c:v>
                </c:pt>
                <c:pt idx="1">
                  <c:v>23.265000000000001</c:v>
                </c:pt>
                <c:pt idx="2">
                  <c:v>39.015000000000001</c:v>
                </c:pt>
                <c:pt idx="4">
                  <c:v>37.615000000000002</c:v>
                </c:pt>
                <c:pt idx="6">
                  <c:v>27.004999999999999</c:v>
                </c:pt>
                <c:pt idx="7">
                  <c:v>20.824999999999999</c:v>
                </c:pt>
                <c:pt idx="8">
                  <c:v>42.415000000000006</c:v>
                </c:pt>
                <c:pt idx="9">
                  <c:v>62.495000000000005</c:v>
                </c:pt>
                <c:pt idx="10">
                  <c:v>35.205000000000005</c:v>
                </c:pt>
                <c:pt idx="11">
                  <c:v>31.684999999999999</c:v>
                </c:pt>
                <c:pt idx="12">
                  <c:v>28.484999999999999</c:v>
                </c:pt>
                <c:pt idx="13">
                  <c:v>31.395</c:v>
                </c:pt>
                <c:pt idx="15">
                  <c:v>42.205000000000005</c:v>
                </c:pt>
                <c:pt idx="16">
                  <c:v>42.234999999999999</c:v>
                </c:pt>
                <c:pt idx="17">
                  <c:v>31.695</c:v>
                </c:pt>
                <c:pt idx="18">
                  <c:v>26.395</c:v>
                </c:pt>
                <c:pt idx="19">
                  <c:v>21.164999999999999</c:v>
                </c:pt>
                <c:pt idx="20">
                  <c:v>16.945</c:v>
                </c:pt>
                <c:pt idx="22">
                  <c:v>32.575000000000003</c:v>
                </c:pt>
                <c:pt idx="24">
                  <c:v>43.715000000000003</c:v>
                </c:pt>
                <c:pt idx="25">
                  <c:v>30.015000000000001</c:v>
                </c:pt>
                <c:pt idx="26">
                  <c:v>24.314999999999998</c:v>
                </c:pt>
                <c:pt idx="27">
                  <c:v>21.195</c:v>
                </c:pt>
                <c:pt idx="28">
                  <c:v>20.044999999999998</c:v>
                </c:pt>
                <c:pt idx="29">
                  <c:v>18.265000000000001</c:v>
                </c:pt>
                <c:pt idx="30">
                  <c:v>21.314999999999998</c:v>
                </c:pt>
                <c:pt idx="31">
                  <c:v>25.984999999999999</c:v>
                </c:pt>
                <c:pt idx="32">
                  <c:v>36.585000000000001</c:v>
                </c:pt>
                <c:pt idx="33">
                  <c:v>45.025000000000006</c:v>
                </c:pt>
                <c:pt idx="34">
                  <c:v>38.215000000000003</c:v>
                </c:pt>
                <c:pt idx="35">
                  <c:v>28.035</c:v>
                </c:pt>
                <c:pt idx="36">
                  <c:v>26.125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84A-4C60-940A-D442DB10BE16}"/>
            </c:ext>
          </c:extLst>
        </c:ser>
        <c:ser>
          <c:idx val="5"/>
          <c:order val="4"/>
          <c:tx>
            <c:v>large replacement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008808912131438"/>
                  <c:y val="5.49086603689031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st'!$AD$6:$AD$10,'Tooth size Developmental st'!$AD$17:$AD$31,'Tooth size Developmental st'!$AD$37:$AD$52)</c:f>
              <c:numCache>
                <c:formatCode>General</c:formatCode>
                <c:ptCount val="36"/>
                <c:pt idx="1">
                  <c:v>3.145</c:v>
                </c:pt>
                <c:pt idx="2">
                  <c:v>4.7949999999999999</c:v>
                </c:pt>
                <c:pt idx="4">
                  <c:v>2.9650000000000003</c:v>
                </c:pt>
                <c:pt idx="5">
                  <c:v>3.915</c:v>
                </c:pt>
                <c:pt idx="10">
                  <c:v>2.0550000000000002</c:v>
                </c:pt>
                <c:pt idx="11">
                  <c:v>1.7849999999999999</c:v>
                </c:pt>
                <c:pt idx="12">
                  <c:v>0.95499999999999985</c:v>
                </c:pt>
                <c:pt idx="14">
                  <c:v>4.2250000000000005</c:v>
                </c:pt>
                <c:pt idx="15">
                  <c:v>1.4350000000000001</c:v>
                </c:pt>
                <c:pt idx="16">
                  <c:v>2.9050000000000002</c:v>
                </c:pt>
                <c:pt idx="17">
                  <c:v>1.6850000000000001</c:v>
                </c:pt>
                <c:pt idx="21">
                  <c:v>1.175</c:v>
                </c:pt>
                <c:pt idx="23">
                  <c:v>4.5650000000000004</c:v>
                </c:pt>
                <c:pt idx="24">
                  <c:v>2.5050000000000003</c:v>
                </c:pt>
                <c:pt idx="25">
                  <c:v>3.1150000000000002</c:v>
                </c:pt>
                <c:pt idx="26">
                  <c:v>1.135</c:v>
                </c:pt>
                <c:pt idx="27">
                  <c:v>1.8749999999999998</c:v>
                </c:pt>
                <c:pt idx="28">
                  <c:v>3.3650000000000002</c:v>
                </c:pt>
                <c:pt idx="29">
                  <c:v>1.5449999999999999</c:v>
                </c:pt>
                <c:pt idx="31">
                  <c:v>2.3450000000000002</c:v>
                </c:pt>
                <c:pt idx="32">
                  <c:v>3.9249999999999998</c:v>
                </c:pt>
                <c:pt idx="34">
                  <c:v>3.4750000000000001</c:v>
                </c:pt>
                <c:pt idx="35">
                  <c:v>0.98499999999999988</c:v>
                </c:pt>
              </c:numCache>
            </c:numRef>
          </c:xVal>
          <c:yVal>
            <c:numRef>
              <c:f>('Tooth size Developmental st'!$AC$6:$AC$10,'Tooth size Developmental st'!$AC$17:$AC$31,'Tooth size Developmental st'!$AC$37:$AC$52)</c:f>
              <c:numCache>
                <c:formatCode>General</c:formatCode>
                <c:ptCount val="36"/>
                <c:pt idx="1">
                  <c:v>7.955000000000001</c:v>
                </c:pt>
                <c:pt idx="2">
                  <c:v>13.364999999999998</c:v>
                </c:pt>
                <c:pt idx="4">
                  <c:v>6.5049999999999999</c:v>
                </c:pt>
                <c:pt idx="5">
                  <c:v>8.9849999999999994</c:v>
                </c:pt>
                <c:pt idx="10">
                  <c:v>7.4649999999999999</c:v>
                </c:pt>
                <c:pt idx="11">
                  <c:v>3.0050000000000003</c:v>
                </c:pt>
                <c:pt idx="12">
                  <c:v>1.2349999999999999</c:v>
                </c:pt>
                <c:pt idx="14">
                  <c:v>11.604999999999999</c:v>
                </c:pt>
                <c:pt idx="15">
                  <c:v>2.1750000000000003</c:v>
                </c:pt>
                <c:pt idx="16">
                  <c:v>5.3250000000000002</c:v>
                </c:pt>
                <c:pt idx="17">
                  <c:v>2.2050000000000001</c:v>
                </c:pt>
                <c:pt idx="21">
                  <c:v>1.9349999999999998</c:v>
                </c:pt>
                <c:pt idx="23">
                  <c:v>28.654999999999998</c:v>
                </c:pt>
                <c:pt idx="24">
                  <c:v>5.8050000000000006</c:v>
                </c:pt>
                <c:pt idx="25">
                  <c:v>6.2250000000000005</c:v>
                </c:pt>
                <c:pt idx="26">
                  <c:v>2.0150000000000001</c:v>
                </c:pt>
                <c:pt idx="27">
                  <c:v>3.5450000000000004</c:v>
                </c:pt>
                <c:pt idx="28">
                  <c:v>7.3849999999999998</c:v>
                </c:pt>
                <c:pt idx="29">
                  <c:v>2.5050000000000003</c:v>
                </c:pt>
                <c:pt idx="31">
                  <c:v>5.3550000000000004</c:v>
                </c:pt>
                <c:pt idx="32">
                  <c:v>13.045</c:v>
                </c:pt>
                <c:pt idx="34">
                  <c:v>8.8649999999999984</c:v>
                </c:pt>
                <c:pt idx="35">
                  <c:v>1.4849999999999999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84A-4C60-940A-D442DB10BE16}"/>
            </c:ext>
          </c:extLst>
        </c:ser>
        <c:ser>
          <c:idx val="3"/>
          <c:order val="5"/>
          <c:tx>
            <c:v>medium replacement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0102997861448569E-3"/>
                  <c:y val="-5.71285631037358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92D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st'!$J$6:$J$10,'Tooth size Developmental st'!$J$17:$J$31,'Tooth size Developmental st'!$J$37:$J$56)</c:f>
              <c:numCache>
                <c:formatCode>0.00</c:formatCode>
                <c:ptCount val="40"/>
                <c:pt idx="0">
                  <c:v>0.62749999999999995</c:v>
                </c:pt>
                <c:pt idx="1">
                  <c:v>0.91749999999999998</c:v>
                </c:pt>
                <c:pt idx="2">
                  <c:v>1.0375000000000001</c:v>
                </c:pt>
                <c:pt idx="3">
                  <c:v>0.91749999999999998</c:v>
                </c:pt>
                <c:pt idx="4">
                  <c:v>1.3774999999999999</c:v>
                </c:pt>
                <c:pt idx="5">
                  <c:v>0.67749999999999999</c:v>
                </c:pt>
                <c:pt idx="6">
                  <c:v>2.0074999999999998</c:v>
                </c:pt>
                <c:pt idx="7">
                  <c:v>1.0375000000000001</c:v>
                </c:pt>
                <c:pt idx="8">
                  <c:v>0.48749999999999993</c:v>
                </c:pt>
                <c:pt idx="9">
                  <c:v>0.92749999999999999</c:v>
                </c:pt>
                <c:pt idx="10">
                  <c:v>1.3574999999999999</c:v>
                </c:pt>
                <c:pt idx="11">
                  <c:v>0.58750000000000002</c:v>
                </c:pt>
                <c:pt idx="12">
                  <c:v>1.2875000000000001</c:v>
                </c:pt>
                <c:pt idx="13">
                  <c:v>0.5575</c:v>
                </c:pt>
                <c:pt idx="14">
                  <c:v>1.2375</c:v>
                </c:pt>
                <c:pt idx="15">
                  <c:v>0.2475</c:v>
                </c:pt>
                <c:pt idx="16">
                  <c:v>0.8175</c:v>
                </c:pt>
                <c:pt idx="17">
                  <c:v>1.1074999999999999</c:v>
                </c:pt>
                <c:pt idx="18">
                  <c:v>0.41749999999999998</c:v>
                </c:pt>
                <c:pt idx="19">
                  <c:v>0.41749999999999998</c:v>
                </c:pt>
                <c:pt idx="21">
                  <c:v>0.42749999999999999</c:v>
                </c:pt>
                <c:pt idx="22">
                  <c:v>1.4775</c:v>
                </c:pt>
                <c:pt idx="23">
                  <c:v>0.76749999999999996</c:v>
                </c:pt>
                <c:pt idx="24">
                  <c:v>0.94750000000000001</c:v>
                </c:pt>
                <c:pt idx="25">
                  <c:v>0.38749999999999996</c:v>
                </c:pt>
                <c:pt idx="26">
                  <c:v>1.0474999999999999</c:v>
                </c:pt>
                <c:pt idx="27">
                  <c:v>0.59750000000000003</c:v>
                </c:pt>
                <c:pt idx="28">
                  <c:v>0.16749999999999998</c:v>
                </c:pt>
                <c:pt idx="29">
                  <c:v>0.66749999999999998</c:v>
                </c:pt>
                <c:pt idx="30">
                  <c:v>0.32749999999999996</c:v>
                </c:pt>
                <c:pt idx="31">
                  <c:v>1.1875</c:v>
                </c:pt>
                <c:pt idx="32">
                  <c:v>0.19750000000000001</c:v>
                </c:pt>
                <c:pt idx="33">
                  <c:v>0.8175</c:v>
                </c:pt>
                <c:pt idx="34">
                  <c:v>1.3674999999999999</c:v>
                </c:pt>
                <c:pt idx="35">
                  <c:v>0.39749999999999996</c:v>
                </c:pt>
                <c:pt idx="36">
                  <c:v>0.72750000000000004</c:v>
                </c:pt>
                <c:pt idx="37">
                  <c:v>1.3274999999999999</c:v>
                </c:pt>
                <c:pt idx="38">
                  <c:v>0.51749999999999996</c:v>
                </c:pt>
                <c:pt idx="39">
                  <c:v>1.0275000000000001</c:v>
                </c:pt>
              </c:numCache>
            </c:numRef>
          </c:xVal>
          <c:yVal>
            <c:numRef>
              <c:f>('Tooth size Developmental st'!$I$6:$I$10,'Tooth size Developmental st'!$I$17:$I$31,'Tooth size Developmental st'!$I$37:$I$56)</c:f>
              <c:numCache>
                <c:formatCode>0.00</c:formatCode>
                <c:ptCount val="40"/>
                <c:pt idx="0">
                  <c:v>1.2775000000000001</c:v>
                </c:pt>
                <c:pt idx="1">
                  <c:v>2.1875</c:v>
                </c:pt>
                <c:pt idx="2">
                  <c:v>3.0175000000000001</c:v>
                </c:pt>
                <c:pt idx="3">
                  <c:v>2.2675000000000001</c:v>
                </c:pt>
                <c:pt idx="4">
                  <c:v>2.8275000000000001</c:v>
                </c:pt>
                <c:pt idx="5">
                  <c:v>2.0074999999999998</c:v>
                </c:pt>
                <c:pt idx="6">
                  <c:v>5.7975000000000003</c:v>
                </c:pt>
                <c:pt idx="7">
                  <c:v>3.3075000000000001</c:v>
                </c:pt>
                <c:pt idx="8">
                  <c:v>1.6375</c:v>
                </c:pt>
                <c:pt idx="9">
                  <c:v>2.4175</c:v>
                </c:pt>
                <c:pt idx="10">
                  <c:v>3.1274999999999999</c:v>
                </c:pt>
                <c:pt idx="11">
                  <c:v>1.2375</c:v>
                </c:pt>
                <c:pt idx="12">
                  <c:v>2.7675000000000001</c:v>
                </c:pt>
                <c:pt idx="13">
                  <c:v>1.2775000000000001</c:v>
                </c:pt>
                <c:pt idx="14">
                  <c:v>2.8875000000000002</c:v>
                </c:pt>
                <c:pt idx="15">
                  <c:v>0.77749999999999997</c:v>
                </c:pt>
                <c:pt idx="16">
                  <c:v>1.6675</c:v>
                </c:pt>
                <c:pt idx="17">
                  <c:v>2.0674999999999999</c:v>
                </c:pt>
                <c:pt idx="18">
                  <c:v>0.77749999999999997</c:v>
                </c:pt>
                <c:pt idx="19">
                  <c:v>1.6074999999999999</c:v>
                </c:pt>
                <c:pt idx="20">
                  <c:v>3.1675</c:v>
                </c:pt>
                <c:pt idx="21">
                  <c:v>1.7175</c:v>
                </c:pt>
                <c:pt idx="22">
                  <c:v>4.5175000000000001</c:v>
                </c:pt>
                <c:pt idx="23">
                  <c:v>2.2675000000000001</c:v>
                </c:pt>
                <c:pt idx="24">
                  <c:v>2.0674999999999999</c:v>
                </c:pt>
                <c:pt idx="25">
                  <c:v>0.87749999999999995</c:v>
                </c:pt>
                <c:pt idx="26">
                  <c:v>2.2075</c:v>
                </c:pt>
                <c:pt idx="27">
                  <c:v>1.1475</c:v>
                </c:pt>
                <c:pt idx="28">
                  <c:v>0.28749999999999998</c:v>
                </c:pt>
                <c:pt idx="29">
                  <c:v>1.3975</c:v>
                </c:pt>
                <c:pt idx="30">
                  <c:v>0.75749999999999995</c:v>
                </c:pt>
                <c:pt idx="31">
                  <c:v>2.5874999999999999</c:v>
                </c:pt>
                <c:pt idx="32">
                  <c:v>0.5675</c:v>
                </c:pt>
                <c:pt idx="33">
                  <c:v>1.6174999999999999</c:v>
                </c:pt>
                <c:pt idx="34">
                  <c:v>2.6274999999999999</c:v>
                </c:pt>
                <c:pt idx="35">
                  <c:v>0.61749999999999994</c:v>
                </c:pt>
                <c:pt idx="36">
                  <c:v>1.1875</c:v>
                </c:pt>
                <c:pt idx="37">
                  <c:v>2.7075</c:v>
                </c:pt>
                <c:pt idx="38">
                  <c:v>0.90749999999999997</c:v>
                </c:pt>
                <c:pt idx="39">
                  <c:v>1.6274999999999999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84A-4C60-940A-D442DB10B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. central axis </a:t>
                </a:r>
                <a:r>
                  <a:rPr lang="en-US" sz="1000" b="0" i="0" baseline="0">
                    <a:effectLst/>
                  </a:rPr>
                  <a:t>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crown height from sampled </a:t>
            </a:r>
            <a:r>
              <a:rPr lang="en-US" baseline="0"/>
              <a:t>teeth</a:t>
            </a:r>
            <a:endParaRPr lang="en-US"/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Crown height by apicobasal height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206098555678548"/>
                  <c:y val="0.119955652423132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'Tooth size Developmental st'!#REF!</c:f>
            </c:numRef>
          </c:xVal>
          <c:yVal>
            <c:numRef>
              <c:f>'Tooth size Developmental st'!#REF!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A5-45DB-B76C-CED72E1CF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crown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</a:t>
            </a:r>
            <a:r>
              <a:rPr lang="en-US" sz="1400" b="0" i="0" u="none" strike="noStrike" baseline="0">
                <a:effectLst/>
              </a:rPr>
              <a:t>. central axis</a:t>
            </a:r>
            <a:r>
              <a:rPr lang="en-US"/>
              <a:t> height all teeth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Crown height by apicobasal height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9582155863091158"/>
                  <c:y val="1.905832488764476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'Tooth size Developmental st'!$D$237:$D$459</c:f>
              <c:numCache>
                <c:formatCode>General</c:formatCode>
                <c:ptCount val="223"/>
                <c:pt idx="0">
                  <c:v>2.4474999999999998</c:v>
                </c:pt>
                <c:pt idx="1">
                  <c:v>2.1575000000000002</c:v>
                </c:pt>
                <c:pt idx="2">
                  <c:v>2.9474999999999998</c:v>
                </c:pt>
                <c:pt idx="3">
                  <c:v>2.5375000000000001</c:v>
                </c:pt>
                <c:pt idx="4">
                  <c:v>2.6074999999999999</c:v>
                </c:pt>
                <c:pt idx="5">
                  <c:v>2.6074999999999999</c:v>
                </c:pt>
                <c:pt idx="6">
                  <c:v>3.5274999999999999</c:v>
                </c:pt>
                <c:pt idx="7">
                  <c:v>2.9474999999999998</c:v>
                </c:pt>
                <c:pt idx="8">
                  <c:v>2.6375000000000002</c:v>
                </c:pt>
                <c:pt idx="9">
                  <c:v>2.8174999999999999</c:v>
                </c:pt>
                <c:pt idx="10">
                  <c:v>3.3174999999999999</c:v>
                </c:pt>
                <c:pt idx="11">
                  <c:v>2.3174999999999999</c:v>
                </c:pt>
                <c:pt idx="12">
                  <c:v>2.7374999999999998</c:v>
                </c:pt>
                <c:pt idx="13">
                  <c:v>2.2974999999999999</c:v>
                </c:pt>
                <c:pt idx="14">
                  <c:v>3.2574999999999998</c:v>
                </c:pt>
                <c:pt idx="15">
                  <c:v>2.2974999999999999</c:v>
                </c:pt>
                <c:pt idx="16">
                  <c:v>3.0175000000000001</c:v>
                </c:pt>
                <c:pt idx="17">
                  <c:v>2.8174999999999999</c:v>
                </c:pt>
                <c:pt idx="18">
                  <c:v>2.1974999999999998</c:v>
                </c:pt>
                <c:pt idx="19">
                  <c:v>3.0674999999999999</c:v>
                </c:pt>
                <c:pt idx="20">
                  <c:v>2.1175000000000002</c:v>
                </c:pt>
                <c:pt idx="21">
                  <c:v>2.3875000000000002</c:v>
                </c:pt>
                <c:pt idx="22">
                  <c:v>3.1575000000000002</c:v>
                </c:pt>
                <c:pt idx="23">
                  <c:v>2.6575000000000002</c:v>
                </c:pt>
                <c:pt idx="24">
                  <c:v>2.1675</c:v>
                </c:pt>
                <c:pt idx="25">
                  <c:v>1.9175</c:v>
                </c:pt>
                <c:pt idx="26">
                  <c:v>1.7675000000000001</c:v>
                </c:pt>
                <c:pt idx="27">
                  <c:v>2.2774999999999999</c:v>
                </c:pt>
                <c:pt idx="28">
                  <c:v>0.95750000000000002</c:v>
                </c:pt>
                <c:pt idx="29">
                  <c:v>2.3075000000000001</c:v>
                </c:pt>
                <c:pt idx="30">
                  <c:v>1.6675</c:v>
                </c:pt>
                <c:pt idx="31">
                  <c:v>2.7974999999999999</c:v>
                </c:pt>
                <c:pt idx="32">
                  <c:v>2.1175000000000002</c:v>
                </c:pt>
                <c:pt idx="33">
                  <c:v>2.6575000000000002</c:v>
                </c:pt>
                <c:pt idx="34">
                  <c:v>3.0575000000000001</c:v>
                </c:pt>
                <c:pt idx="35">
                  <c:v>2.1575000000000002</c:v>
                </c:pt>
                <c:pt idx="36">
                  <c:v>2.7574999999999998</c:v>
                </c:pt>
                <c:pt idx="37">
                  <c:v>2.4874999999999998</c:v>
                </c:pt>
                <c:pt idx="38">
                  <c:v>2.5874999999999999</c:v>
                </c:pt>
                <c:pt idx="39">
                  <c:v>2.5175000000000001</c:v>
                </c:pt>
                <c:pt idx="40">
                  <c:v>0.62749999999999995</c:v>
                </c:pt>
                <c:pt idx="41">
                  <c:v>0.91749999999999998</c:v>
                </c:pt>
                <c:pt idx="42">
                  <c:v>1.0375000000000001</c:v>
                </c:pt>
                <c:pt idx="43">
                  <c:v>0.91749999999999998</c:v>
                </c:pt>
                <c:pt idx="44">
                  <c:v>1.3774999999999999</c:v>
                </c:pt>
                <c:pt idx="45">
                  <c:v>0.67749999999999999</c:v>
                </c:pt>
                <c:pt idx="46">
                  <c:v>2.0074999999999998</c:v>
                </c:pt>
                <c:pt idx="47">
                  <c:v>1.0375000000000001</c:v>
                </c:pt>
                <c:pt idx="48">
                  <c:v>0.48749999999999993</c:v>
                </c:pt>
                <c:pt idx="49">
                  <c:v>0.92749999999999999</c:v>
                </c:pt>
                <c:pt idx="50">
                  <c:v>1.3574999999999999</c:v>
                </c:pt>
                <c:pt idx="51">
                  <c:v>0.58750000000000002</c:v>
                </c:pt>
                <c:pt idx="52">
                  <c:v>1.2875000000000001</c:v>
                </c:pt>
                <c:pt idx="53">
                  <c:v>0.5575</c:v>
                </c:pt>
                <c:pt idx="54">
                  <c:v>1.2375</c:v>
                </c:pt>
                <c:pt idx="55">
                  <c:v>0.2475</c:v>
                </c:pt>
                <c:pt idx="56">
                  <c:v>0.8175</c:v>
                </c:pt>
                <c:pt idx="57">
                  <c:v>1.1074999999999999</c:v>
                </c:pt>
                <c:pt idx="58">
                  <c:v>0.41749999999999998</c:v>
                </c:pt>
                <c:pt idx="59">
                  <c:v>0.41749999999999998</c:v>
                </c:pt>
                <c:pt idx="61">
                  <c:v>0.42749999999999999</c:v>
                </c:pt>
                <c:pt idx="62">
                  <c:v>1.4775</c:v>
                </c:pt>
                <c:pt idx="63">
                  <c:v>0.76749999999999996</c:v>
                </c:pt>
                <c:pt idx="64">
                  <c:v>0.94750000000000001</c:v>
                </c:pt>
                <c:pt idx="65">
                  <c:v>0.38749999999999996</c:v>
                </c:pt>
                <c:pt idx="66">
                  <c:v>1.0474999999999999</c:v>
                </c:pt>
                <c:pt idx="67">
                  <c:v>0.59750000000000003</c:v>
                </c:pt>
                <c:pt idx="68">
                  <c:v>0.16749999999999998</c:v>
                </c:pt>
                <c:pt idx="69">
                  <c:v>0.66749999999999998</c:v>
                </c:pt>
                <c:pt idx="70">
                  <c:v>0.32749999999999996</c:v>
                </c:pt>
                <c:pt idx="71">
                  <c:v>1.1875</c:v>
                </c:pt>
                <c:pt idx="72">
                  <c:v>0.19750000000000001</c:v>
                </c:pt>
                <c:pt idx="73">
                  <c:v>0.8175</c:v>
                </c:pt>
                <c:pt idx="74">
                  <c:v>1.3674999999999999</c:v>
                </c:pt>
                <c:pt idx="75">
                  <c:v>0.39749999999999996</c:v>
                </c:pt>
                <c:pt idx="76">
                  <c:v>0.72750000000000004</c:v>
                </c:pt>
                <c:pt idx="77">
                  <c:v>1.3274999999999999</c:v>
                </c:pt>
                <c:pt idx="78">
                  <c:v>0.51749999999999996</c:v>
                </c:pt>
                <c:pt idx="79">
                  <c:v>1.0275000000000001</c:v>
                </c:pt>
                <c:pt idx="80">
                  <c:v>0.11750000000000001</c:v>
                </c:pt>
                <c:pt idx="81">
                  <c:v>0.32749999999999996</c:v>
                </c:pt>
                <c:pt idx="82">
                  <c:v>5.7500000000000009E-2</c:v>
                </c:pt>
                <c:pt idx="83">
                  <c:v>0.1075</c:v>
                </c:pt>
                <c:pt idx="84">
                  <c:v>5.6550000000000002</c:v>
                </c:pt>
                <c:pt idx="85">
                  <c:v>8.0549999999999997</c:v>
                </c:pt>
                <c:pt idx="86">
                  <c:v>11.455</c:v>
                </c:pt>
                <c:pt idx="87">
                  <c:v>8.6449999999999996</c:v>
                </c:pt>
                <c:pt idx="88">
                  <c:v>7.2050000000000001</c:v>
                </c:pt>
                <c:pt idx="89">
                  <c:v>1.1850000000000001</c:v>
                </c:pt>
                <c:pt idx="90">
                  <c:v>5.4550000000000001</c:v>
                </c:pt>
                <c:pt idx="91">
                  <c:v>12.725</c:v>
                </c:pt>
                <c:pt idx="92">
                  <c:v>6.0250000000000004</c:v>
                </c:pt>
                <c:pt idx="93">
                  <c:v>8.8249999999999993</c:v>
                </c:pt>
                <c:pt idx="94">
                  <c:v>6.2250000000000005</c:v>
                </c:pt>
                <c:pt idx="95">
                  <c:v>6.2149999999999999</c:v>
                </c:pt>
                <c:pt idx="96">
                  <c:v>10.434999999999999</c:v>
                </c:pt>
                <c:pt idx="97">
                  <c:v>6.8550000000000004</c:v>
                </c:pt>
                <c:pt idx="98">
                  <c:v>7.7650000000000006</c:v>
                </c:pt>
                <c:pt idx="99">
                  <c:v>6.415</c:v>
                </c:pt>
                <c:pt idx="100">
                  <c:v>6.1749999999999998</c:v>
                </c:pt>
                <c:pt idx="101">
                  <c:v>4.5550000000000006</c:v>
                </c:pt>
                <c:pt idx="102">
                  <c:v>4.625</c:v>
                </c:pt>
                <c:pt idx="103">
                  <c:v>12.864999999999998</c:v>
                </c:pt>
                <c:pt idx="104">
                  <c:v>7.4249999999999998</c:v>
                </c:pt>
                <c:pt idx="105">
                  <c:v>5.5650000000000004</c:v>
                </c:pt>
                <c:pt idx="106">
                  <c:v>4.3849999999999998</c:v>
                </c:pt>
                <c:pt idx="107">
                  <c:v>4.2149999999999999</c:v>
                </c:pt>
                <c:pt idx="108">
                  <c:v>5.5650000000000004</c:v>
                </c:pt>
                <c:pt idx="109">
                  <c:v>4.5550000000000006</c:v>
                </c:pt>
                <c:pt idx="110">
                  <c:v>5.0250000000000004</c:v>
                </c:pt>
                <c:pt idx="111">
                  <c:v>9.4749999999999996</c:v>
                </c:pt>
                <c:pt idx="112">
                  <c:v>11.975</c:v>
                </c:pt>
                <c:pt idx="113">
                  <c:v>7.7050000000000001</c:v>
                </c:pt>
                <c:pt idx="114">
                  <c:v>6.9750000000000005</c:v>
                </c:pt>
                <c:pt idx="115">
                  <c:v>5.2650000000000006</c:v>
                </c:pt>
                <c:pt idx="116">
                  <c:v>3.145</c:v>
                </c:pt>
                <c:pt idx="117">
                  <c:v>4.7949999999999999</c:v>
                </c:pt>
                <c:pt idx="118">
                  <c:v>2.9650000000000003</c:v>
                </c:pt>
                <c:pt idx="119">
                  <c:v>3.915</c:v>
                </c:pt>
                <c:pt idx="120">
                  <c:v>2.0550000000000002</c:v>
                </c:pt>
                <c:pt idx="121">
                  <c:v>1.7849999999999999</c:v>
                </c:pt>
                <c:pt idx="122">
                  <c:v>0.95499999999999985</c:v>
                </c:pt>
                <c:pt idx="123">
                  <c:v>4.2250000000000005</c:v>
                </c:pt>
                <c:pt idx="124">
                  <c:v>1.4350000000000001</c:v>
                </c:pt>
                <c:pt idx="125">
                  <c:v>2.9050000000000002</c:v>
                </c:pt>
                <c:pt idx="126">
                  <c:v>1.6850000000000001</c:v>
                </c:pt>
                <c:pt idx="127">
                  <c:v>1.175</c:v>
                </c:pt>
                <c:pt idx="128">
                  <c:v>4.5650000000000004</c:v>
                </c:pt>
                <c:pt idx="129">
                  <c:v>2.5050000000000003</c:v>
                </c:pt>
                <c:pt idx="130">
                  <c:v>3.1150000000000002</c:v>
                </c:pt>
                <c:pt idx="131">
                  <c:v>1.135</c:v>
                </c:pt>
                <c:pt idx="132">
                  <c:v>1.8749999999999998</c:v>
                </c:pt>
                <c:pt idx="133">
                  <c:v>3.3650000000000002</c:v>
                </c:pt>
                <c:pt idx="134">
                  <c:v>1.5449999999999999</c:v>
                </c:pt>
                <c:pt idx="135">
                  <c:v>2.3450000000000002</c:v>
                </c:pt>
                <c:pt idx="136">
                  <c:v>3.9249999999999998</c:v>
                </c:pt>
                <c:pt idx="137">
                  <c:v>3.4750000000000001</c:v>
                </c:pt>
                <c:pt idx="138">
                  <c:v>0.98499999999999988</c:v>
                </c:pt>
                <c:pt idx="139">
                  <c:v>0.57499999999999996</c:v>
                </c:pt>
                <c:pt idx="140">
                  <c:v>1.595</c:v>
                </c:pt>
                <c:pt idx="141">
                  <c:v>0.42499999999999999</c:v>
                </c:pt>
                <c:pt idx="142">
                  <c:v>1.4328000000000001</c:v>
                </c:pt>
                <c:pt idx="143">
                  <c:v>1.7728000000000002</c:v>
                </c:pt>
                <c:pt idx="144">
                  <c:v>1.7928000000000002</c:v>
                </c:pt>
                <c:pt idx="145">
                  <c:v>1.4328000000000001</c:v>
                </c:pt>
                <c:pt idx="146">
                  <c:v>1.7628000000000001</c:v>
                </c:pt>
                <c:pt idx="147">
                  <c:v>1.6928000000000001</c:v>
                </c:pt>
                <c:pt idx="148">
                  <c:v>2.4327999999999999</c:v>
                </c:pt>
                <c:pt idx="149">
                  <c:v>1.7928000000000002</c:v>
                </c:pt>
                <c:pt idx="150">
                  <c:v>2.5127999999999999</c:v>
                </c:pt>
                <c:pt idx="151">
                  <c:v>1.8328000000000002</c:v>
                </c:pt>
                <c:pt idx="152">
                  <c:v>2.1928000000000001</c:v>
                </c:pt>
                <c:pt idx="153">
                  <c:v>2.0627999999999997</c:v>
                </c:pt>
                <c:pt idx="154">
                  <c:v>2.1027999999999998</c:v>
                </c:pt>
                <c:pt idx="155">
                  <c:v>2.2827999999999999</c:v>
                </c:pt>
                <c:pt idx="156">
                  <c:v>1.3528</c:v>
                </c:pt>
                <c:pt idx="157">
                  <c:v>2.3028</c:v>
                </c:pt>
                <c:pt idx="158">
                  <c:v>1.5628000000000002</c:v>
                </c:pt>
                <c:pt idx="159">
                  <c:v>2.0528</c:v>
                </c:pt>
                <c:pt idx="160">
                  <c:v>1.3528</c:v>
                </c:pt>
                <c:pt idx="161">
                  <c:v>1.7528000000000001</c:v>
                </c:pt>
                <c:pt idx="162">
                  <c:v>0.68279999999999996</c:v>
                </c:pt>
                <c:pt idx="163">
                  <c:v>2.1427999999999998</c:v>
                </c:pt>
                <c:pt idx="164">
                  <c:v>1.6228</c:v>
                </c:pt>
                <c:pt idx="165">
                  <c:v>1.8428000000000002</c:v>
                </c:pt>
                <c:pt idx="166">
                  <c:v>1.2328000000000001</c:v>
                </c:pt>
                <c:pt idx="167">
                  <c:v>1.5728000000000002</c:v>
                </c:pt>
                <c:pt idx="168">
                  <c:v>1.9228000000000001</c:v>
                </c:pt>
                <c:pt idx="169">
                  <c:v>1.0828000000000002</c:v>
                </c:pt>
                <c:pt idx="170">
                  <c:v>1.7028000000000001</c:v>
                </c:pt>
                <c:pt idx="171">
                  <c:v>1.1128</c:v>
                </c:pt>
                <c:pt idx="172">
                  <c:v>1.8128000000000002</c:v>
                </c:pt>
                <c:pt idx="173">
                  <c:v>1.4928000000000001</c:v>
                </c:pt>
                <c:pt idx="174">
                  <c:v>2.1328</c:v>
                </c:pt>
                <c:pt idx="175">
                  <c:v>1.8128000000000002</c:v>
                </c:pt>
                <c:pt idx="176">
                  <c:v>2.2827999999999999</c:v>
                </c:pt>
                <c:pt idx="177">
                  <c:v>1.5728000000000002</c:v>
                </c:pt>
                <c:pt idx="178">
                  <c:v>2.0427999999999997</c:v>
                </c:pt>
                <c:pt idx="179">
                  <c:v>1.4128000000000001</c:v>
                </c:pt>
                <c:pt idx="180">
                  <c:v>1.8628</c:v>
                </c:pt>
                <c:pt idx="181">
                  <c:v>1.6428</c:v>
                </c:pt>
                <c:pt idx="182">
                  <c:v>2.8327999999999998</c:v>
                </c:pt>
                <c:pt idx="183">
                  <c:v>0.1628</c:v>
                </c:pt>
                <c:pt idx="184">
                  <c:v>0.77280000000000004</c:v>
                </c:pt>
                <c:pt idx="185">
                  <c:v>0.53280000000000005</c:v>
                </c:pt>
                <c:pt idx="186">
                  <c:v>0.31280000000000002</c:v>
                </c:pt>
                <c:pt idx="187">
                  <c:v>0.56279999999999997</c:v>
                </c:pt>
                <c:pt idx="188">
                  <c:v>0.4728</c:v>
                </c:pt>
                <c:pt idx="189">
                  <c:v>0.95279999999999998</c:v>
                </c:pt>
                <c:pt idx="190">
                  <c:v>0.6028</c:v>
                </c:pt>
                <c:pt idx="191">
                  <c:v>1.2228000000000001</c:v>
                </c:pt>
                <c:pt idx="192">
                  <c:v>0.50280000000000002</c:v>
                </c:pt>
                <c:pt idx="193">
                  <c:v>0.93279999999999996</c:v>
                </c:pt>
                <c:pt idx="194">
                  <c:v>0.42280000000000001</c:v>
                </c:pt>
                <c:pt idx="195">
                  <c:v>1.0628000000000002</c:v>
                </c:pt>
                <c:pt idx="196">
                  <c:v>0.61280000000000001</c:v>
                </c:pt>
                <c:pt idx="197">
                  <c:v>0.2828</c:v>
                </c:pt>
                <c:pt idx="198">
                  <c:v>0.75280000000000002</c:v>
                </c:pt>
                <c:pt idx="199">
                  <c:v>0.20280000000000001</c:v>
                </c:pt>
                <c:pt idx="200">
                  <c:v>0.45279999999999998</c:v>
                </c:pt>
                <c:pt idx="201">
                  <c:v>0.33279999999999998</c:v>
                </c:pt>
                <c:pt idx="202">
                  <c:v>0.66279999999999994</c:v>
                </c:pt>
                <c:pt idx="203">
                  <c:v>0.82279999999999998</c:v>
                </c:pt>
                <c:pt idx="204">
                  <c:v>0.54279999999999995</c:v>
                </c:pt>
                <c:pt idx="205">
                  <c:v>0.1928</c:v>
                </c:pt>
                <c:pt idx="206">
                  <c:v>0.32279999999999998</c:v>
                </c:pt>
                <c:pt idx="207">
                  <c:v>0.56279999999999997</c:v>
                </c:pt>
                <c:pt idx="208">
                  <c:v>0.17280000000000001</c:v>
                </c:pt>
                <c:pt idx="209">
                  <c:v>0.45279999999999998</c:v>
                </c:pt>
                <c:pt idx="210">
                  <c:v>0.1628</c:v>
                </c:pt>
                <c:pt idx="211">
                  <c:v>0.46279999999999999</c:v>
                </c:pt>
                <c:pt idx="212">
                  <c:v>0.2828</c:v>
                </c:pt>
                <c:pt idx="213">
                  <c:v>0.92279999999999995</c:v>
                </c:pt>
                <c:pt idx="214">
                  <c:v>0.45279999999999998</c:v>
                </c:pt>
                <c:pt idx="215">
                  <c:v>0.83279999999999998</c:v>
                </c:pt>
                <c:pt idx="216">
                  <c:v>0.23280000000000001</c:v>
                </c:pt>
                <c:pt idx="217">
                  <c:v>0.53280000000000005</c:v>
                </c:pt>
                <c:pt idx="218">
                  <c:v>0.15279999999999999</c:v>
                </c:pt>
                <c:pt idx="219">
                  <c:v>0.43280000000000002</c:v>
                </c:pt>
                <c:pt idx="220">
                  <c:v>0.11280000000000001</c:v>
                </c:pt>
                <c:pt idx="221">
                  <c:v>0.30280000000000001</c:v>
                </c:pt>
                <c:pt idx="222">
                  <c:v>0.1628</c:v>
                </c:pt>
              </c:numCache>
            </c:numRef>
          </c:xVal>
          <c:yVal>
            <c:numRef>
              <c:f>'Tooth size Developmental st'!$C$237:$C$459</c:f>
              <c:numCache>
                <c:formatCode>0.0000</c:formatCode>
                <c:ptCount val="223"/>
                <c:pt idx="0">
                  <c:v>5.7075000000000005</c:v>
                </c:pt>
                <c:pt idx="1">
                  <c:v>5.1275000000000004</c:v>
                </c:pt>
                <c:pt idx="2">
                  <c:v>9.0274999999999999</c:v>
                </c:pt>
                <c:pt idx="3">
                  <c:v>11.4175</c:v>
                </c:pt>
                <c:pt idx="4">
                  <c:v>7.8175000000000008</c:v>
                </c:pt>
                <c:pt idx="5">
                  <c:v>8.0075000000000003</c:v>
                </c:pt>
                <c:pt idx="6">
                  <c:v>7.2875000000000005</c:v>
                </c:pt>
                <c:pt idx="7">
                  <c:v>12.297500000000001</c:v>
                </c:pt>
                <c:pt idx="8">
                  <c:v>9.9875000000000007</c:v>
                </c:pt>
                <c:pt idx="9">
                  <c:v>11.1875</c:v>
                </c:pt>
                <c:pt idx="10">
                  <c:v>9.6375000000000011</c:v>
                </c:pt>
                <c:pt idx="11">
                  <c:v>8.2475000000000005</c:v>
                </c:pt>
                <c:pt idx="12">
                  <c:v>9.0675000000000008</c:v>
                </c:pt>
                <c:pt idx="13">
                  <c:v>8.8674999999999997</c:v>
                </c:pt>
                <c:pt idx="14">
                  <c:v>10.307500000000001</c:v>
                </c:pt>
                <c:pt idx="15">
                  <c:v>6.9075000000000006</c:v>
                </c:pt>
                <c:pt idx="16">
                  <c:v>8.6974999999999998</c:v>
                </c:pt>
                <c:pt idx="17">
                  <c:v>7.4375</c:v>
                </c:pt>
                <c:pt idx="18">
                  <c:v>6.1675000000000004</c:v>
                </c:pt>
                <c:pt idx="19">
                  <c:v>5.7775000000000007</c:v>
                </c:pt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4.4975000000000005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  <c:pt idx="40" formatCode="General">
                  <c:v>1.2775000000000001</c:v>
                </c:pt>
                <c:pt idx="41" formatCode="General">
                  <c:v>2.1875</c:v>
                </c:pt>
                <c:pt idx="42" formatCode="General">
                  <c:v>3.0175000000000001</c:v>
                </c:pt>
                <c:pt idx="43" formatCode="General">
                  <c:v>2.2675000000000001</c:v>
                </c:pt>
                <c:pt idx="44" formatCode="General">
                  <c:v>2.8275000000000001</c:v>
                </c:pt>
                <c:pt idx="45" formatCode="General">
                  <c:v>2.0074999999999998</c:v>
                </c:pt>
                <c:pt idx="46" formatCode="General">
                  <c:v>5.7975000000000003</c:v>
                </c:pt>
                <c:pt idx="47" formatCode="General">
                  <c:v>3.3075000000000001</c:v>
                </c:pt>
                <c:pt idx="48" formatCode="General">
                  <c:v>1.6375</c:v>
                </c:pt>
                <c:pt idx="49" formatCode="General">
                  <c:v>2.4175</c:v>
                </c:pt>
                <c:pt idx="50" formatCode="General">
                  <c:v>3.1274999999999999</c:v>
                </c:pt>
                <c:pt idx="51" formatCode="General">
                  <c:v>1.2375</c:v>
                </c:pt>
                <c:pt idx="52" formatCode="General">
                  <c:v>2.7675000000000001</c:v>
                </c:pt>
                <c:pt idx="53" formatCode="General">
                  <c:v>1.2775000000000001</c:v>
                </c:pt>
                <c:pt idx="54" formatCode="General">
                  <c:v>2.8875000000000002</c:v>
                </c:pt>
                <c:pt idx="55" formatCode="General">
                  <c:v>0.77749999999999997</c:v>
                </c:pt>
                <c:pt idx="56" formatCode="General">
                  <c:v>1.6675</c:v>
                </c:pt>
                <c:pt idx="57" formatCode="General">
                  <c:v>2.0674999999999999</c:v>
                </c:pt>
                <c:pt idx="58" formatCode="General">
                  <c:v>0.77749999999999997</c:v>
                </c:pt>
                <c:pt idx="59" formatCode="General">
                  <c:v>1.6074999999999999</c:v>
                </c:pt>
                <c:pt idx="60" formatCode="General">
                  <c:v>3.1675</c:v>
                </c:pt>
                <c:pt idx="61" formatCode="General">
                  <c:v>1.7175</c:v>
                </c:pt>
                <c:pt idx="62" formatCode="General">
                  <c:v>4.5175000000000001</c:v>
                </c:pt>
                <c:pt idx="63" formatCode="General">
                  <c:v>2.2675000000000001</c:v>
                </c:pt>
                <c:pt idx="64" formatCode="General">
                  <c:v>2.0674999999999999</c:v>
                </c:pt>
                <c:pt idx="65" formatCode="General">
                  <c:v>0.87749999999999995</c:v>
                </c:pt>
                <c:pt idx="66" formatCode="General">
                  <c:v>2.2075</c:v>
                </c:pt>
                <c:pt idx="67" formatCode="General">
                  <c:v>1.1475</c:v>
                </c:pt>
                <c:pt idx="68" formatCode="General">
                  <c:v>0.28749999999999998</c:v>
                </c:pt>
                <c:pt idx="69" formatCode="General">
                  <c:v>1.3975</c:v>
                </c:pt>
                <c:pt idx="70" formatCode="General">
                  <c:v>0.75749999999999995</c:v>
                </c:pt>
                <c:pt idx="71" formatCode="General">
                  <c:v>2.5874999999999999</c:v>
                </c:pt>
                <c:pt idx="72" formatCode="General">
                  <c:v>0.5675</c:v>
                </c:pt>
                <c:pt idx="73" formatCode="General">
                  <c:v>1.6174999999999999</c:v>
                </c:pt>
                <c:pt idx="74" formatCode="General">
                  <c:v>2.6274999999999999</c:v>
                </c:pt>
                <c:pt idx="75" formatCode="General">
                  <c:v>0.61749999999999994</c:v>
                </c:pt>
                <c:pt idx="76" formatCode="General">
                  <c:v>1.1875</c:v>
                </c:pt>
                <c:pt idx="77" formatCode="General">
                  <c:v>2.7075</c:v>
                </c:pt>
                <c:pt idx="78" formatCode="General">
                  <c:v>0.90749999999999997</c:v>
                </c:pt>
                <c:pt idx="79" formatCode="General">
                  <c:v>1.6274999999999999</c:v>
                </c:pt>
                <c:pt idx="80" formatCode="General">
                  <c:v>0.3775</c:v>
                </c:pt>
                <c:pt idx="81" formatCode="General">
                  <c:v>1.0075000000000001</c:v>
                </c:pt>
                <c:pt idx="82" formatCode="General">
                  <c:v>0.3075</c:v>
                </c:pt>
                <c:pt idx="83" formatCode="0.00">
                  <c:v>0.51749999999999996</c:v>
                </c:pt>
                <c:pt idx="84" formatCode="General">
                  <c:v>27.254999999999999</c:v>
                </c:pt>
                <c:pt idx="85" formatCode="General">
                  <c:v>23.265000000000001</c:v>
                </c:pt>
                <c:pt idx="86" formatCode="General">
                  <c:v>39.015000000000001</c:v>
                </c:pt>
                <c:pt idx="87" formatCode="General">
                  <c:v>37.615000000000002</c:v>
                </c:pt>
                <c:pt idx="88" formatCode="General">
                  <c:v>27.004999999999999</c:v>
                </c:pt>
                <c:pt idx="89" formatCode="General">
                  <c:v>20.824999999999999</c:v>
                </c:pt>
                <c:pt idx="90" formatCode="General">
                  <c:v>42.415000000000006</c:v>
                </c:pt>
                <c:pt idx="91" formatCode="General">
                  <c:v>62.495000000000005</c:v>
                </c:pt>
                <c:pt idx="92" formatCode="General">
                  <c:v>35.205000000000005</c:v>
                </c:pt>
                <c:pt idx="93" formatCode="General">
                  <c:v>31.684999999999999</c:v>
                </c:pt>
                <c:pt idx="94" formatCode="General">
                  <c:v>28.484999999999999</c:v>
                </c:pt>
                <c:pt idx="95" formatCode="General">
                  <c:v>31.395</c:v>
                </c:pt>
                <c:pt idx="96" formatCode="General">
                  <c:v>42.205000000000005</c:v>
                </c:pt>
                <c:pt idx="97" formatCode="General">
                  <c:v>42.234999999999999</c:v>
                </c:pt>
                <c:pt idx="98" formatCode="General">
                  <c:v>31.695</c:v>
                </c:pt>
                <c:pt idx="99" formatCode="General">
                  <c:v>26.395</c:v>
                </c:pt>
                <c:pt idx="100" formatCode="General">
                  <c:v>21.164999999999999</c:v>
                </c:pt>
                <c:pt idx="101" formatCode="General">
                  <c:v>16.945</c:v>
                </c:pt>
                <c:pt idx="102" formatCode="General">
                  <c:v>32.575000000000003</c:v>
                </c:pt>
                <c:pt idx="103" formatCode="General">
                  <c:v>43.715000000000003</c:v>
                </c:pt>
                <c:pt idx="104" formatCode="General">
                  <c:v>30.015000000000001</c:v>
                </c:pt>
                <c:pt idx="105" formatCode="General">
                  <c:v>24.314999999999998</c:v>
                </c:pt>
                <c:pt idx="106" formatCode="General">
                  <c:v>21.195</c:v>
                </c:pt>
                <c:pt idx="107" formatCode="General">
                  <c:v>20.044999999999998</c:v>
                </c:pt>
                <c:pt idx="108" formatCode="General">
                  <c:v>18.265000000000001</c:v>
                </c:pt>
                <c:pt idx="109" formatCode="General">
                  <c:v>21.314999999999998</c:v>
                </c:pt>
                <c:pt idx="110" formatCode="General">
                  <c:v>25.984999999999999</c:v>
                </c:pt>
                <c:pt idx="111" formatCode="General">
                  <c:v>36.585000000000001</c:v>
                </c:pt>
                <c:pt idx="112" formatCode="General">
                  <c:v>45.025000000000006</c:v>
                </c:pt>
                <c:pt idx="113" formatCode="General">
                  <c:v>38.215000000000003</c:v>
                </c:pt>
                <c:pt idx="114" formatCode="General">
                  <c:v>28.035</c:v>
                </c:pt>
                <c:pt idx="115" formatCode="General">
                  <c:v>26.125</c:v>
                </c:pt>
                <c:pt idx="116" formatCode="General">
                  <c:v>7.955000000000001</c:v>
                </c:pt>
                <c:pt idx="117" formatCode="General">
                  <c:v>13.364999999999998</c:v>
                </c:pt>
                <c:pt idx="118" formatCode="General">
                  <c:v>6.5049999999999999</c:v>
                </c:pt>
                <c:pt idx="119" formatCode="General">
                  <c:v>8.9849999999999994</c:v>
                </c:pt>
                <c:pt idx="120" formatCode="General">
                  <c:v>7.4649999999999999</c:v>
                </c:pt>
                <c:pt idx="121" formatCode="General">
                  <c:v>3.0050000000000003</c:v>
                </c:pt>
                <c:pt idx="122" formatCode="General">
                  <c:v>1.2349999999999999</c:v>
                </c:pt>
                <c:pt idx="123" formatCode="General">
                  <c:v>11.604999999999999</c:v>
                </c:pt>
                <c:pt idx="124" formatCode="General">
                  <c:v>2.1750000000000003</c:v>
                </c:pt>
                <c:pt idx="125" formatCode="General">
                  <c:v>5.3250000000000002</c:v>
                </c:pt>
                <c:pt idx="126" formatCode="General">
                  <c:v>2.2050000000000001</c:v>
                </c:pt>
                <c:pt idx="127" formatCode="General">
                  <c:v>1.9349999999999998</c:v>
                </c:pt>
                <c:pt idx="128" formatCode="General">
                  <c:v>28.654999999999998</c:v>
                </c:pt>
                <c:pt idx="129" formatCode="General">
                  <c:v>5.8050000000000006</c:v>
                </c:pt>
                <c:pt idx="130" formatCode="General">
                  <c:v>6.2250000000000005</c:v>
                </c:pt>
                <c:pt idx="131" formatCode="General">
                  <c:v>2.0150000000000001</c:v>
                </c:pt>
                <c:pt idx="132" formatCode="General">
                  <c:v>3.5450000000000004</c:v>
                </c:pt>
                <c:pt idx="133" formatCode="General">
                  <c:v>7.3849999999999998</c:v>
                </c:pt>
                <c:pt idx="134" formatCode="General">
                  <c:v>2.5050000000000003</c:v>
                </c:pt>
                <c:pt idx="135" formatCode="General">
                  <c:v>5.3550000000000004</c:v>
                </c:pt>
                <c:pt idx="136" formatCode="General">
                  <c:v>13.045</c:v>
                </c:pt>
                <c:pt idx="137" formatCode="General">
                  <c:v>8.8649999999999984</c:v>
                </c:pt>
                <c:pt idx="138" formatCode="General">
                  <c:v>1.4849999999999999</c:v>
                </c:pt>
                <c:pt idx="139" formatCode="General">
                  <c:v>0.89500000000000002</c:v>
                </c:pt>
                <c:pt idx="140" formatCode="General">
                  <c:v>3.5450000000000004</c:v>
                </c:pt>
                <c:pt idx="141" formatCode="General">
                  <c:v>0.58499999999999996</c:v>
                </c:pt>
                <c:pt idx="142" formatCode="General">
                  <c:v>3.2027999999999999</c:v>
                </c:pt>
                <c:pt idx="143" formatCode="General">
                  <c:v>2.5327999999999999</c:v>
                </c:pt>
                <c:pt idx="144" formatCode="General">
                  <c:v>4.9228000000000005</c:v>
                </c:pt>
                <c:pt idx="145" formatCode="General">
                  <c:v>4.1328000000000005</c:v>
                </c:pt>
                <c:pt idx="146" formatCode="General">
                  <c:v>4.5928000000000004</c:v>
                </c:pt>
                <c:pt idx="147" formatCode="General">
                  <c:v>4.5528000000000004</c:v>
                </c:pt>
                <c:pt idx="148" formatCode="General">
                  <c:v>4.2228000000000003</c:v>
                </c:pt>
                <c:pt idx="149" formatCode="General">
                  <c:v>6.3228</c:v>
                </c:pt>
                <c:pt idx="150" formatCode="General">
                  <c:v>4.9028</c:v>
                </c:pt>
                <c:pt idx="151" formatCode="General">
                  <c:v>5.8728000000000007</c:v>
                </c:pt>
                <c:pt idx="152" formatCode="General">
                  <c:v>4.0428000000000006</c:v>
                </c:pt>
                <c:pt idx="153" formatCode="General">
                  <c:v>4.0528000000000004</c:v>
                </c:pt>
                <c:pt idx="154" formatCode="General">
                  <c:v>3.1027999999999998</c:v>
                </c:pt>
                <c:pt idx="155" formatCode="General">
                  <c:v>4.7628000000000004</c:v>
                </c:pt>
                <c:pt idx="156" formatCode="General">
                  <c:v>3.9327999999999999</c:v>
                </c:pt>
                <c:pt idx="157" formatCode="General">
                  <c:v>4.7328000000000001</c:v>
                </c:pt>
                <c:pt idx="158" formatCode="General">
                  <c:v>4.5628000000000002</c:v>
                </c:pt>
                <c:pt idx="159" formatCode="General">
                  <c:v>3.8828</c:v>
                </c:pt>
                <c:pt idx="160" formatCode="General">
                  <c:v>3.2227999999999999</c:v>
                </c:pt>
                <c:pt idx="161" formatCode="General">
                  <c:v>2.8727999999999998</c:v>
                </c:pt>
                <c:pt idx="162" formatCode="General">
                  <c:v>1.1528</c:v>
                </c:pt>
                <c:pt idx="163" formatCode="General">
                  <c:v>5.1628000000000007</c:v>
                </c:pt>
                <c:pt idx="164" formatCode="General">
                  <c:v>2.1728000000000001</c:v>
                </c:pt>
                <c:pt idx="165" formatCode="General">
                  <c:v>4.4428000000000001</c:v>
                </c:pt>
                <c:pt idx="166" formatCode="General">
                  <c:v>3.7527999999999997</c:v>
                </c:pt>
                <c:pt idx="167" formatCode="General">
                  <c:v>4.1828000000000003</c:v>
                </c:pt>
                <c:pt idx="168" formatCode="General">
                  <c:v>3.2427999999999999</c:v>
                </c:pt>
                <c:pt idx="169" formatCode="General">
                  <c:v>3.1928000000000001</c:v>
                </c:pt>
                <c:pt idx="170" formatCode="General">
                  <c:v>3.0427999999999997</c:v>
                </c:pt>
                <c:pt idx="171" formatCode="General">
                  <c:v>3.1027999999999998</c:v>
                </c:pt>
                <c:pt idx="172" formatCode="General">
                  <c:v>3.1827999999999999</c:v>
                </c:pt>
                <c:pt idx="173" formatCode="General">
                  <c:v>3.8828</c:v>
                </c:pt>
                <c:pt idx="174" formatCode="General">
                  <c:v>3.5627999999999997</c:v>
                </c:pt>
                <c:pt idx="175" formatCode="General">
                  <c:v>5.3928000000000003</c:v>
                </c:pt>
                <c:pt idx="176" formatCode="General">
                  <c:v>4.1228000000000007</c:v>
                </c:pt>
                <c:pt idx="177" formatCode="General">
                  <c:v>4.2528000000000006</c:v>
                </c:pt>
                <c:pt idx="178" formatCode="General">
                  <c:v>3.7128000000000001</c:v>
                </c:pt>
                <c:pt idx="179" formatCode="General">
                  <c:v>3.3428</c:v>
                </c:pt>
                <c:pt idx="180" formatCode="General">
                  <c:v>3.3828</c:v>
                </c:pt>
                <c:pt idx="181" formatCode="General">
                  <c:v>3.4827999999999997</c:v>
                </c:pt>
                <c:pt idx="182" formatCode="General">
                  <c:v>2.8327999999999998</c:v>
                </c:pt>
                <c:pt idx="183" formatCode="General">
                  <c:v>0.25280000000000002</c:v>
                </c:pt>
                <c:pt idx="184" formatCode="General">
                  <c:v>1.1528</c:v>
                </c:pt>
                <c:pt idx="185" formatCode="General">
                  <c:v>1.0528000000000002</c:v>
                </c:pt>
                <c:pt idx="186" formatCode="General">
                  <c:v>0.53280000000000005</c:v>
                </c:pt>
                <c:pt idx="187" formatCode="General">
                  <c:v>0.99280000000000002</c:v>
                </c:pt>
                <c:pt idx="188" formatCode="General">
                  <c:v>0.69279999999999997</c:v>
                </c:pt>
                <c:pt idx="189" formatCode="General">
                  <c:v>1.8028000000000002</c:v>
                </c:pt>
                <c:pt idx="190" formatCode="General">
                  <c:v>1.1028</c:v>
                </c:pt>
                <c:pt idx="191" formatCode="General">
                  <c:v>2.8028</c:v>
                </c:pt>
                <c:pt idx="192" formatCode="General">
                  <c:v>0.89280000000000004</c:v>
                </c:pt>
                <c:pt idx="193" formatCode="General">
                  <c:v>1.8428000000000002</c:v>
                </c:pt>
                <c:pt idx="194" formatCode="General">
                  <c:v>0.71279999999999999</c:v>
                </c:pt>
                <c:pt idx="195" formatCode="General">
                  <c:v>2.1128</c:v>
                </c:pt>
                <c:pt idx="196" formatCode="General">
                  <c:v>1.0028000000000001</c:v>
                </c:pt>
                <c:pt idx="197" formatCode="General">
                  <c:v>0.46279999999999999</c:v>
                </c:pt>
                <c:pt idx="198" formatCode="General">
                  <c:v>1.3928</c:v>
                </c:pt>
                <c:pt idx="199" formatCode="General">
                  <c:v>0.36280000000000001</c:v>
                </c:pt>
                <c:pt idx="200" formatCode="General">
                  <c:v>0.7228</c:v>
                </c:pt>
                <c:pt idx="202" formatCode="General">
                  <c:v>1.4828000000000001</c:v>
                </c:pt>
                <c:pt idx="203" formatCode="General">
                  <c:v>2.0728</c:v>
                </c:pt>
                <c:pt idx="204" formatCode="General">
                  <c:v>1.0928000000000002</c:v>
                </c:pt>
                <c:pt idx="205" formatCode="General">
                  <c:v>0.36280000000000001</c:v>
                </c:pt>
                <c:pt idx="206" formatCode="General">
                  <c:v>0.63280000000000003</c:v>
                </c:pt>
                <c:pt idx="207" formatCode="General">
                  <c:v>0.95279999999999998</c:v>
                </c:pt>
                <c:pt idx="208" formatCode="General">
                  <c:v>0.17280000000000001</c:v>
                </c:pt>
                <c:pt idx="209" formatCode="General">
                  <c:v>0.95279999999999998</c:v>
                </c:pt>
                <c:pt idx="210" formatCode="General">
                  <c:v>0.1628</c:v>
                </c:pt>
                <c:pt idx="211" formatCode="General">
                  <c:v>0.7228</c:v>
                </c:pt>
                <c:pt idx="212" formatCode="General">
                  <c:v>0.45279999999999998</c:v>
                </c:pt>
                <c:pt idx="213" formatCode="General">
                  <c:v>1.6128</c:v>
                </c:pt>
                <c:pt idx="214" formatCode="General">
                  <c:v>0.80279999999999996</c:v>
                </c:pt>
                <c:pt idx="215" formatCode="General">
                  <c:v>1.6928000000000001</c:v>
                </c:pt>
                <c:pt idx="216" formatCode="General">
                  <c:v>0.30280000000000001</c:v>
                </c:pt>
                <c:pt idx="217" formatCode="General">
                  <c:v>0.84279999999999999</c:v>
                </c:pt>
                <c:pt idx="218" formatCode="General">
                  <c:v>0.15279999999999999</c:v>
                </c:pt>
                <c:pt idx="219" formatCode="General">
                  <c:v>0.68279999999999996</c:v>
                </c:pt>
                <c:pt idx="220" formatCode="General">
                  <c:v>0.11280000000000001</c:v>
                </c:pt>
                <c:pt idx="221" formatCode="General">
                  <c:v>0.42280000000000001</c:v>
                </c:pt>
                <c:pt idx="222" formatCode="General">
                  <c:v>0.1628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CE-444D-A27D-1D2B3ABA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crown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crown height all teeth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Crown height by apicobasal height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7628231552366727E-3"/>
                  <c:y val="0.164151094723889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'Tooth size Developmental st'!$F$237:$F$459</c:f>
              <c:numCache>
                <c:formatCode>General</c:formatCode>
                <c:ptCount val="223"/>
                <c:pt idx="0">
                  <c:v>0.38872270047517538</c:v>
                </c:pt>
                <c:pt idx="1">
                  <c:v>0.33395080438724722</c:v>
                </c:pt>
                <c:pt idx="2">
                  <c:v>0.46945381376712669</c:v>
                </c:pt>
                <c:pt idx="3">
                  <c:v>0.40440605092126936</c:v>
                </c:pt>
                <c:pt idx="4">
                  <c:v>0.41622431709856844</c:v>
                </c:pt>
                <c:pt idx="5">
                  <c:v>0.41622431709856844</c:v>
                </c:pt>
                <c:pt idx="6">
                  <c:v>0.54746702242638545</c:v>
                </c:pt>
                <c:pt idx="7">
                  <c:v>0.46945381376712669</c:v>
                </c:pt>
                <c:pt idx="8">
                  <c:v>0.42119246830574913</c:v>
                </c:pt>
                <c:pt idx="9">
                  <c:v>0.44986392471814413</c:v>
                </c:pt>
                <c:pt idx="10">
                  <c:v>0.52081093153647307</c:v>
                </c:pt>
                <c:pt idx="11">
                  <c:v>0.36501974281653465</c:v>
                </c:pt>
                <c:pt idx="12">
                  <c:v>0.43735412784817473</c:v>
                </c:pt>
                <c:pt idx="13">
                  <c:v>0.36125552005814887</c:v>
                </c:pt>
                <c:pt idx="14">
                  <c:v>0.51288442438462223</c:v>
                </c:pt>
                <c:pt idx="15">
                  <c:v>0.36125552005814887</c:v>
                </c:pt>
                <c:pt idx="16">
                  <c:v>0.47964727876938684</c:v>
                </c:pt>
                <c:pt idx="17">
                  <c:v>0.44986392471814413</c:v>
                </c:pt>
                <c:pt idx="18">
                  <c:v>0.34192888374580949</c:v>
                </c:pt>
                <c:pt idx="19">
                  <c:v>0.48678457139904185</c:v>
                </c:pt>
                <c:pt idx="20">
                  <c:v>0.32582341900274453</c:v>
                </c:pt>
                <c:pt idx="21">
                  <c:v>0.377943380255784</c:v>
                </c:pt>
                <c:pt idx="22">
                  <c:v>0.49934335922736839</c:v>
                </c:pt>
                <c:pt idx="23">
                  <c:v>0.4244732731953344</c:v>
                </c:pt>
                <c:pt idx="24">
                  <c:v>0.33595910614824792</c:v>
                </c:pt>
                <c:pt idx="25">
                  <c:v>0.28273537262101855</c:v>
                </c:pt>
                <c:pt idx="26">
                  <c:v>0.24735942246893702</c:v>
                </c:pt>
                <c:pt idx="27">
                  <c:v>0.35745838564503585</c:v>
                </c:pt>
                <c:pt idx="28">
                  <c:v>-1.8861217359339641E-2</c:v>
                </c:pt>
                <c:pt idx="29">
                  <c:v>0.36314170969794968</c:v>
                </c:pt>
                <c:pt idx="30">
                  <c:v>0.22206584258858658</c:v>
                </c:pt>
                <c:pt idx="31">
                  <c:v>0.44677009520038763</c:v>
                </c:pt>
                <c:pt idx="32">
                  <c:v>0.32582341900274453</c:v>
                </c:pt>
                <c:pt idx="33">
                  <c:v>0.4244732731953344</c:v>
                </c:pt>
                <c:pt idx="34">
                  <c:v>0.48536646570832309</c:v>
                </c:pt>
                <c:pt idx="35">
                  <c:v>0.33395080438724722</c:v>
                </c:pt>
                <c:pt idx="36">
                  <c:v>0.44051552111222819</c:v>
                </c:pt>
                <c:pt idx="37">
                  <c:v>0.39576308941776306</c:v>
                </c:pt>
                <c:pt idx="38">
                  <c:v>0.41288035846497417</c:v>
                </c:pt>
                <c:pt idx="39">
                  <c:v>0.40096947922565562</c:v>
                </c:pt>
                <c:pt idx="40">
                  <c:v>-0.20238626984692429</c:v>
                </c:pt>
                <c:pt idx="41">
                  <c:v>-3.7393927075873058E-2</c:v>
                </c:pt>
                <c:pt idx="42">
                  <c:v>1.5988105384130355E-2</c:v>
                </c:pt>
                <c:pt idx="43">
                  <c:v>-3.7393927075873058E-2</c:v>
                </c:pt>
                <c:pt idx="44">
                  <c:v>0.13909160752382263</c:v>
                </c:pt>
                <c:pt idx="45">
                  <c:v>-0.16909070045355667</c:v>
                </c:pt>
                <c:pt idx="46">
                  <c:v>0.30265555395071853</c:v>
                </c:pt>
                <c:pt idx="47">
                  <c:v>1.5988105384130355E-2</c:v>
                </c:pt>
                <c:pt idx="48">
                  <c:v>-0.31202537996544444</c:v>
                </c:pt>
                <c:pt idx="49">
                  <c:v>-3.2686081712916516E-2</c:v>
                </c:pt>
                <c:pt idx="50">
                  <c:v>0.13273983826088454</c:v>
                </c:pt>
                <c:pt idx="51">
                  <c:v>-0.2309921290562261</c:v>
                </c:pt>
                <c:pt idx="52">
                  <c:v>0.10974723771322865</c:v>
                </c:pt>
                <c:pt idx="53">
                  <c:v>-0.25375512827980173</c:v>
                </c:pt>
                <c:pt idx="54">
                  <c:v>9.2545207605606347E-2</c:v>
                </c:pt>
                <c:pt idx="55">
                  <c:v>-0.6064247967304125</c:v>
                </c:pt>
                <c:pt idx="56">
                  <c:v>-8.7512238667676309E-2</c:v>
                </c:pt>
                <c:pt idx="57">
                  <c:v>4.4343734895107144E-2</c:v>
                </c:pt>
                <c:pt idx="58">
                  <c:v>-0.37934352018037915</c:v>
                </c:pt>
                <c:pt idx="59">
                  <c:v>-0.37934352018037915</c:v>
                </c:pt>
                <c:pt idx="61">
                  <c:v>-0.36906388093580855</c:v>
                </c:pt>
                <c:pt idx="62">
                  <c:v>0.169527489553293</c:v>
                </c:pt>
                <c:pt idx="63">
                  <c:v>-0.11492161585077593</c:v>
                </c:pt>
                <c:pt idx="64">
                  <c:v>-2.3420781359890043E-2</c:v>
                </c:pt>
                <c:pt idx="65">
                  <c:v>-0.41172829315767095</c:v>
                </c:pt>
                <c:pt idx="66">
                  <c:v>2.0154031638332869E-2</c:v>
                </c:pt>
                <c:pt idx="67">
                  <c:v>-0.22366209037982468</c:v>
                </c:pt>
                <c:pt idx="68">
                  <c:v>-0.77598518862713606</c:v>
                </c:pt>
                <c:pt idx="69">
                  <c:v>-0.17554872996338719</c:v>
                </c:pt>
                <c:pt idx="70">
                  <c:v>-0.48478869567219818</c:v>
                </c:pt>
                <c:pt idx="71">
                  <c:v>7.4633618296904181E-2</c:v>
                </c:pt>
                <c:pt idx="72">
                  <c:v>-0.7044329000375209</c:v>
                </c:pt>
                <c:pt idx="73">
                  <c:v>-8.7512238667676309E-2</c:v>
                </c:pt>
                <c:pt idx="74">
                  <c:v>0.13592733500546836</c:v>
                </c:pt>
                <c:pt idx="75">
                  <c:v>-0.40066286700751097</c:v>
                </c:pt>
                <c:pt idx="76">
                  <c:v>-0.13816700234205509</c:v>
                </c:pt>
                <c:pt idx="77">
                  <c:v>0.12303452975350664</c:v>
                </c:pt>
                <c:pt idx="78">
                  <c:v>-0.28608964587104468</c:v>
                </c:pt>
                <c:pt idx="79">
                  <c:v>1.178183054810685E-2</c:v>
                </c:pt>
                <c:pt idx="80">
                  <c:v>-0.92996213339224487</c:v>
                </c:pt>
                <c:pt idx="81">
                  <c:v>-0.48478869567219818</c:v>
                </c:pt>
                <c:pt idx="82">
                  <c:v>-1.2403321553103694</c:v>
                </c:pt>
                <c:pt idx="83">
                  <c:v>-0.96859153574837586</c:v>
                </c:pt>
                <c:pt idx="84">
                  <c:v>0.75243260926147415</c:v>
                </c:pt>
                <c:pt idx="85">
                  <c:v>0.90606554475523682</c:v>
                </c:pt>
                <c:pt idx="86">
                  <c:v>1.0589950935254164</c:v>
                </c:pt>
                <c:pt idx="87">
                  <c:v>0.93676499760994136</c:v>
                </c:pt>
                <c:pt idx="88">
                  <c:v>0.8576339851500081</c:v>
                </c:pt>
                <c:pt idx="89">
                  <c:v>7.3718350346122688E-2</c:v>
                </c:pt>
                <c:pt idx="90">
                  <c:v>0.73679475492436064</c:v>
                </c:pt>
                <c:pt idx="91">
                  <c:v>1.1046577910087962</c:v>
                </c:pt>
                <c:pt idx="92">
                  <c:v>0.77995705124690606</c:v>
                </c:pt>
                <c:pt idx="93">
                  <c:v>0.94571471405986018</c:v>
                </c:pt>
                <c:pt idx="94">
                  <c:v>0.79413935576777395</c:v>
                </c:pt>
                <c:pt idx="95">
                  <c:v>0.79344113297766361</c:v>
                </c:pt>
                <c:pt idx="96">
                  <c:v>1.0184924534014728</c:v>
                </c:pt>
                <c:pt idx="97">
                  <c:v>0.83600745912553154</c:v>
                </c:pt>
                <c:pt idx="98">
                  <c:v>0.89014146006457739</c:v>
                </c:pt>
                <c:pt idx="99">
                  <c:v>0.80719666071094731</c:v>
                </c:pt>
                <c:pt idx="100">
                  <c:v>0.7906369619317033</c:v>
                </c:pt>
                <c:pt idx="101">
                  <c:v>0.6584883813090171</c:v>
                </c:pt>
                <c:pt idx="102">
                  <c:v>0.66511173707505145</c:v>
                </c:pt>
                <c:pt idx="103">
                  <c:v>1.1094097905463653</c:v>
                </c:pt>
                <c:pt idx="104">
                  <c:v>0.87069645798924999</c:v>
                </c:pt>
                <c:pt idx="105">
                  <c:v>0.7454651686707271</c:v>
                </c:pt>
                <c:pt idx="106">
                  <c:v>0.6419695977020593</c:v>
                </c:pt>
                <c:pt idx="107">
                  <c:v>0.62479757896076116</c:v>
                </c:pt>
                <c:pt idx="108">
                  <c:v>0.7454651686707271</c:v>
                </c:pt>
                <c:pt idx="109">
                  <c:v>0.6584883813090171</c:v>
                </c:pt>
                <c:pt idx="110">
                  <c:v>0.70113606609252654</c:v>
                </c:pt>
                <c:pt idx="111">
                  <c:v>0.97657921864010988</c:v>
                </c:pt>
                <c:pt idx="112">
                  <c:v>1.0782755220866007</c:v>
                </c:pt>
                <c:pt idx="113">
                  <c:v>0.88677264305443815</c:v>
                </c:pt>
                <c:pt idx="114">
                  <c:v>0.84354421194563523</c:v>
                </c:pt>
                <c:pt idx="115">
                  <c:v>0.72139837552150532</c:v>
                </c:pt>
                <c:pt idx="116">
                  <c:v>0.49762064978128773</c:v>
                </c:pt>
                <c:pt idx="117">
                  <c:v>0.68078861150668235</c:v>
                </c:pt>
                <c:pt idx="118">
                  <c:v>0.47202469770028144</c:v>
                </c:pt>
                <c:pt idx="119">
                  <c:v>0.59273176639396219</c:v>
                </c:pt>
                <c:pt idx="120">
                  <c:v>0.31281182621208803</c:v>
                </c:pt>
                <c:pt idx="121">
                  <c:v>0.25163822044821199</c:v>
                </c:pt>
                <c:pt idx="122">
                  <c:v>-1.9996628416253725E-2</c:v>
                </c:pt>
                <c:pt idx="123">
                  <c:v>0.62582671328571116</c:v>
                </c:pt>
                <c:pt idx="124">
                  <c:v>0.15685190107001115</c:v>
                </c:pt>
                <c:pt idx="125">
                  <c:v>0.46314613672634958</c:v>
                </c:pt>
                <c:pt idx="126">
                  <c:v>0.22659990520735745</c:v>
                </c:pt>
                <c:pt idx="127">
                  <c:v>7.0037866607755087E-2</c:v>
                </c:pt>
                <c:pt idx="128">
                  <c:v>0.65944078187031774</c:v>
                </c:pt>
                <c:pt idx="129">
                  <c:v>0.3988077302032646</c:v>
                </c:pt>
                <c:pt idx="130">
                  <c:v>0.49345805099518847</c:v>
                </c:pt>
                <c:pt idx="131">
                  <c:v>5.4995861529141529E-2</c:v>
                </c:pt>
                <c:pt idx="132">
                  <c:v>0.27300127206373759</c:v>
                </c:pt>
                <c:pt idx="133">
                  <c:v>0.52698506855999572</c:v>
                </c:pt>
                <c:pt idx="134">
                  <c:v>0.18892848376085342</c:v>
                </c:pt>
                <c:pt idx="135">
                  <c:v>0.37014284705110212</c:v>
                </c:pt>
                <c:pt idx="136">
                  <c:v>0.59383966108127129</c:v>
                </c:pt>
                <c:pt idx="137">
                  <c:v>0.54095480892613268</c:v>
                </c:pt>
                <c:pt idx="138">
                  <c:v>-6.5637695023883225E-3</c:v>
                </c:pt>
                <c:pt idx="139">
                  <c:v>-0.24033215531036956</c:v>
                </c:pt>
                <c:pt idx="140">
                  <c:v>0.20276068739319991</c:v>
                </c:pt>
                <c:pt idx="141">
                  <c:v>-0.37161106994968846</c:v>
                </c:pt>
                <c:pt idx="142">
                  <c:v>0.15618557284097515</c:v>
                </c:pt>
                <c:pt idx="143">
                  <c:v>0.24865974304833577</c:v>
                </c:pt>
                <c:pt idx="144">
                  <c:v>0.25353184352700486</c:v>
                </c:pt>
                <c:pt idx="145">
                  <c:v>0.15618557284097515</c:v>
                </c:pt>
                <c:pt idx="146">
                  <c:v>0.24620304183788136</c:v>
                </c:pt>
                <c:pt idx="147">
                  <c:v>0.22860565035509176</c:v>
                </c:pt>
                <c:pt idx="148">
                  <c:v>0.38610640713607575</c:v>
                </c:pt>
                <c:pt idx="149">
                  <c:v>0.25353184352700486</c:v>
                </c:pt>
                <c:pt idx="150">
                  <c:v>0.40015792339044837</c:v>
                </c:pt>
                <c:pt idx="151">
                  <c:v>0.26311507618134117</c:v>
                </c:pt>
                <c:pt idx="152">
                  <c:v>0.34099902253144199</c:v>
                </c:pt>
                <c:pt idx="153">
                  <c:v>0.31445712273467719</c:v>
                </c:pt>
                <c:pt idx="154">
                  <c:v>0.32279796834638758</c:v>
                </c:pt>
                <c:pt idx="155">
                  <c:v>0.35846786387692053</c:v>
                </c:pt>
                <c:pt idx="156">
                  <c:v>0.13123359458968534</c:v>
                </c:pt>
                <c:pt idx="157">
                  <c:v>0.36225622078309638</c:v>
                </c:pt>
                <c:pt idx="158">
                  <c:v>0.19390340255274691</c:v>
                </c:pt>
                <c:pt idx="159">
                  <c:v>0.3123466390308533</c:v>
                </c:pt>
                <c:pt idx="160">
                  <c:v>0.13123359458968534</c:v>
                </c:pt>
                <c:pt idx="161">
                  <c:v>0.24373236455264893</c:v>
                </c:pt>
                <c:pt idx="162">
                  <c:v>-0.16570648755730402</c:v>
                </c:pt>
                <c:pt idx="163">
                  <c:v>0.33098163770082173</c:v>
                </c:pt>
                <c:pt idx="164">
                  <c:v>0.21026499903228857</c:v>
                </c:pt>
                <c:pt idx="165">
                  <c:v>0.26547820358064211</c:v>
                </c:pt>
                <c:pt idx="166">
                  <c:v>9.089262571036294E-2</c:v>
                </c:pt>
                <c:pt idx="167">
                  <c:v>0.19667350048806045</c:v>
                </c:pt>
                <c:pt idx="168">
                  <c:v>0.28393411345660929</c:v>
                </c:pt>
                <c:pt idx="169">
                  <c:v>3.454824709846889E-2</c:v>
                </c:pt>
                <c:pt idx="170">
                  <c:v>0.23116364150509885</c:v>
                </c:pt>
                <c:pt idx="171">
                  <c:v>4.6417116983990002E-2</c:v>
                </c:pt>
                <c:pt idx="172">
                  <c:v>0.25834989251932206</c:v>
                </c:pt>
                <c:pt idx="173">
                  <c:v>0.17400162640242475</c:v>
                </c:pt>
                <c:pt idx="174">
                  <c:v>0.32895013206978402</c:v>
                </c:pt>
                <c:pt idx="175">
                  <c:v>0.25834989251932206</c:v>
                </c:pt>
                <c:pt idx="176">
                  <c:v>0.35846786387692053</c:v>
                </c:pt>
                <c:pt idx="177">
                  <c:v>0.19667350048806045</c:v>
                </c:pt>
                <c:pt idx="178">
                  <c:v>0.31022584918350238</c:v>
                </c:pt>
                <c:pt idx="179">
                  <c:v>0.15008068623349338</c:v>
                </c:pt>
                <c:pt idx="180">
                  <c:v>0.27016622926069372</c:v>
                </c:pt>
                <c:pt idx="181">
                  <c:v>0.21558469418161483</c:v>
                </c:pt>
                <c:pt idx="182">
                  <c:v>0.4522159137500546</c:v>
                </c:pt>
                <c:pt idx="183">
                  <c:v>-0.78834559944681759</c:v>
                </c:pt>
                <c:pt idx="184">
                  <c:v>-0.11193288659256305</c:v>
                </c:pt>
                <c:pt idx="185">
                  <c:v>-0.2734357838377553</c:v>
                </c:pt>
                <c:pt idx="186">
                  <c:v>-0.50473325561218962</c:v>
                </c:pt>
                <c:pt idx="187">
                  <c:v>-0.24964591123729193</c:v>
                </c:pt>
                <c:pt idx="188">
                  <c:v>-0.32532253212680107</c:v>
                </c:pt>
                <c:pt idx="189">
                  <c:v>-2.099825152527892E-2</c:v>
                </c:pt>
                <c:pt idx="190">
                  <c:v>-0.21982675635740581</c:v>
                </c:pt>
                <c:pt idx="191">
                  <c:v>8.7355430054051261E-2</c:v>
                </c:pt>
                <c:pt idx="192">
                  <c:v>-0.29860473098607981</c:v>
                </c:pt>
                <c:pt idx="193">
                  <c:v>-3.021146258506115E-2</c:v>
                </c:pt>
                <c:pt idx="194">
                  <c:v>-0.37386502136461131</c:v>
                </c:pt>
                <c:pt idx="195">
                  <c:v>2.6451545738239983E-2</c:v>
                </c:pt>
                <c:pt idx="196">
                  <c:v>-0.21268124337545247</c:v>
                </c:pt>
                <c:pt idx="197">
                  <c:v>-0.54852059487513816</c:v>
                </c:pt>
                <c:pt idx="198">
                  <c:v>-0.12332038958079949</c:v>
                </c:pt>
                <c:pt idx="199">
                  <c:v>-0.69293204933870167</c:v>
                </c:pt>
                <c:pt idx="200">
                  <c:v>-0.344093581819785</c:v>
                </c:pt>
                <c:pt idx="201">
                  <c:v>-0.4778166823813137</c:v>
                </c:pt>
                <c:pt idx="202">
                  <c:v>-0.1786175002527009</c:v>
                </c:pt>
                <c:pt idx="203">
                  <c:v>-8.4705716977313605E-2</c:v>
                </c:pt>
                <c:pt idx="204">
                  <c:v>-0.26536016101230059</c:v>
                </c:pt>
                <c:pt idx="205">
                  <c:v>-0.714892970433188</c:v>
                </c:pt>
                <c:pt idx="206">
                  <c:v>-0.49106647394996722</c:v>
                </c:pt>
                <c:pt idx="207">
                  <c:v>-0.24964591123729193</c:v>
                </c:pt>
                <c:pt idx="208">
                  <c:v>-0.76245626185712545</c:v>
                </c:pt>
                <c:pt idx="209">
                  <c:v>-0.344093581819785</c:v>
                </c:pt>
                <c:pt idx="210">
                  <c:v>-0.78834559944681759</c:v>
                </c:pt>
                <c:pt idx="211">
                  <c:v>-0.33460664972028809</c:v>
                </c:pt>
                <c:pt idx="212">
                  <c:v>-0.54852059487513816</c:v>
                </c:pt>
                <c:pt idx="213">
                  <c:v>-3.4892414150944157E-2</c:v>
                </c:pt>
                <c:pt idx="214">
                  <c:v>-0.344093581819785</c:v>
                </c:pt>
                <c:pt idx="215">
                  <c:v>-7.9459283497520267E-2</c:v>
                </c:pt>
                <c:pt idx="216">
                  <c:v>-0.6330170240221491</c:v>
                </c:pt>
                <c:pt idx="217">
                  <c:v>-0.2734357838377553</c:v>
                </c:pt>
                <c:pt idx="218">
                  <c:v>-0.81587664576032892</c:v>
                </c:pt>
                <c:pt idx="219">
                  <c:v>-0.36371274790148694</c:v>
                </c:pt>
                <c:pt idx="220">
                  <c:v>-0.94769090035267645</c:v>
                </c:pt>
                <c:pt idx="221">
                  <c:v>-0.51884412917196487</c:v>
                </c:pt>
                <c:pt idx="222">
                  <c:v>-0.78834559944681759</c:v>
                </c:pt>
              </c:numCache>
            </c:numRef>
          </c:xVal>
          <c:yVal>
            <c:numRef>
              <c:f>'Tooth size Developmental st'!$E$237:$E$459</c:f>
              <c:numCache>
                <c:formatCode>General</c:formatCode>
                <c:ptCount val="223"/>
                <c:pt idx="0">
                  <c:v>0.75644592016227286</c:v>
                </c:pt>
                <c:pt idx="1">
                  <c:v>0.70990566904040397</c:v>
                </c:pt>
                <c:pt idx="2">
                  <c:v>0.95556749709886424</c:v>
                </c:pt>
                <c:pt idx="3">
                  <c:v>1.0575710202790383</c:v>
                </c:pt>
                <c:pt idx="4">
                  <c:v>0.89306788991497088</c:v>
                </c:pt>
                <c:pt idx="5">
                  <c:v>0.90349694733585939</c:v>
                </c:pt>
                <c:pt idx="6">
                  <c:v>0.86257856776707054</c:v>
                </c:pt>
                <c:pt idx="7">
                  <c:v>1.089816831231369</c:v>
                </c:pt>
                <c:pt idx="8">
                  <c:v>0.99945679232204787</c:v>
                </c:pt>
                <c:pt idx="9">
                  <c:v>1.0487330483239683</c:v>
                </c:pt>
                <c:pt idx="10">
                  <c:v>0.98396439105901345</c:v>
                </c:pt>
                <c:pt idx="11">
                  <c:v>0.91632232421738147</c:v>
                </c:pt>
                <c:pt idx="12">
                  <c:v>0.95748756425247195</c:v>
                </c:pt>
                <c:pt idx="13">
                  <c:v>0.94780119714398037</c:v>
                </c:pt>
                <c:pt idx="14">
                  <c:v>1.0131533434733961</c:v>
                </c:pt>
                <c:pt idx="15">
                  <c:v>0.839320893588549</c:v>
                </c:pt>
                <c:pt idx="16">
                  <c:v>0.93939443741962658</c:v>
                </c:pt>
                <c:pt idx="17">
                  <c:v>0.87142697873660602</c:v>
                </c:pt>
                <c:pt idx="18">
                  <c:v>0.79010915816177363</c:v>
                </c:pt>
                <c:pt idx="19">
                  <c:v>0.76173995415114704</c:v>
                </c:pt>
                <c:pt idx="20">
                  <c:v>0.97254995001222488</c:v>
                </c:pt>
                <c:pt idx="21">
                  <c:v>0.90995697816816434</c:v>
                </c:pt>
                <c:pt idx="22">
                  <c:v>0.93031214223991499</c:v>
                </c:pt>
                <c:pt idx="23">
                  <c:v>1.0463976029545601</c:v>
                </c:pt>
                <c:pt idx="24">
                  <c:v>0.87895242962861064</c:v>
                </c:pt>
                <c:pt idx="25">
                  <c:v>0.82656068134397664</c:v>
                </c:pt>
                <c:pt idx="26">
                  <c:v>0.71829404148970943</c:v>
                </c:pt>
                <c:pt idx="27">
                  <c:v>0.77941609894706765</c:v>
                </c:pt>
                <c:pt idx="28">
                  <c:v>0.65297117201758903</c:v>
                </c:pt>
                <c:pt idx="29">
                  <c:v>0.76473639195876764</c:v>
                </c:pt>
                <c:pt idx="30">
                  <c:v>0.74566022570607582</c:v>
                </c:pt>
                <c:pt idx="31">
                  <c:v>0.93234690780991469</c:v>
                </c:pt>
                <c:pt idx="32">
                  <c:v>0.87837815584985468</c:v>
                </c:pt>
                <c:pt idx="33">
                  <c:v>0.93689057068639914</c:v>
                </c:pt>
                <c:pt idx="34">
                  <c:v>0.8601882240270351</c:v>
                </c:pt>
                <c:pt idx="35">
                  <c:v>0.77213826660112039</c:v>
                </c:pt>
                <c:pt idx="36">
                  <c:v>0.81073643738858103</c:v>
                </c:pt>
                <c:pt idx="37">
                  <c:v>0.78657397802382689</c:v>
                </c:pt>
                <c:pt idx="38">
                  <c:v>0.78157587703391729</c:v>
                </c:pt>
                <c:pt idx="39">
                  <c:v>0.73539926996269378</c:v>
                </c:pt>
                <c:pt idx="40">
                  <c:v>0.10636090880675036</c:v>
                </c:pt>
                <c:pt idx="41">
                  <c:v>0.33994806169435088</c:v>
                </c:pt>
                <c:pt idx="42">
                  <c:v>0.47964727876938684</c:v>
                </c:pt>
                <c:pt idx="43">
                  <c:v>0.3555472957321329</c:v>
                </c:pt>
                <c:pt idx="44">
                  <c:v>0.4514026135974929</c:v>
                </c:pt>
                <c:pt idx="45">
                  <c:v>0.30265555395071853</c:v>
                </c:pt>
                <c:pt idx="46">
                  <c:v>0.76324075731002494</c:v>
                </c:pt>
                <c:pt idx="47">
                  <c:v>0.51949985285953859</c:v>
                </c:pt>
                <c:pt idx="48">
                  <c:v>0.21418130866382065</c:v>
                </c:pt>
                <c:pt idx="49">
                  <c:v>0.38336648275503926</c:v>
                </c:pt>
                <c:pt idx="50">
                  <c:v>0.49519731836545755</c:v>
                </c:pt>
                <c:pt idx="51">
                  <c:v>9.2545207605606347E-2</c:v>
                </c:pt>
                <c:pt idx="52">
                  <c:v>0.44208762955076042</c:v>
                </c:pt>
                <c:pt idx="53">
                  <c:v>0.10636090880675036</c:v>
                </c:pt>
                <c:pt idx="54">
                  <c:v>0.46052199290020074</c:v>
                </c:pt>
                <c:pt idx="55">
                  <c:v>-0.1092996023011249</c:v>
                </c:pt>
                <c:pt idx="56">
                  <c:v>0.22206584258858658</c:v>
                </c:pt>
                <c:pt idx="57">
                  <c:v>0.31544551822458428</c:v>
                </c:pt>
                <c:pt idx="58">
                  <c:v>-0.1092996023011249</c:v>
                </c:pt>
                <c:pt idx="59">
                  <c:v>0.20615098159625966</c:v>
                </c:pt>
                <c:pt idx="60">
                  <c:v>0.50071662355547897</c:v>
                </c:pt>
                <c:pt idx="61">
                  <c:v>0.23489674573158806</c:v>
                </c:pt>
                <c:pt idx="62">
                  <c:v>0.65489816123296951</c:v>
                </c:pt>
                <c:pt idx="63">
                  <c:v>0.3555472957321329</c:v>
                </c:pt>
                <c:pt idx="64">
                  <c:v>0.31544551822458428</c:v>
                </c:pt>
                <c:pt idx="65">
                  <c:v>-5.6752874862138335E-2</c:v>
                </c:pt>
                <c:pt idx="66">
                  <c:v>0.34390071224960622</c:v>
                </c:pt>
                <c:pt idx="67">
                  <c:v>5.9752694209298837E-2</c:v>
                </c:pt>
                <c:pt idx="68">
                  <c:v>-0.5413621509743507</c:v>
                </c:pt>
                <c:pt idx="69">
                  <c:v>0.14535181655846088</c:v>
                </c:pt>
                <c:pt idx="70">
                  <c:v>-0.12061736282565741</c:v>
                </c:pt>
                <c:pt idx="71">
                  <c:v>0.41288035846497417</c:v>
                </c:pt>
                <c:pt idx="72">
                  <c:v>-0.24603413413483965</c:v>
                </c:pt>
                <c:pt idx="73">
                  <c:v>0.20884428934073798</c:v>
                </c:pt>
                <c:pt idx="74">
                  <c:v>0.41954272470027981</c:v>
                </c:pt>
                <c:pt idx="75">
                  <c:v>-0.2093630380682967</c:v>
                </c:pt>
                <c:pt idx="76">
                  <c:v>7.4633618296904181E-2</c:v>
                </c:pt>
                <c:pt idx="77">
                  <c:v>0.43256846529735798</c:v>
                </c:pt>
                <c:pt idx="78">
                  <c:v>-4.2153366291849882E-2</c:v>
                </c:pt>
                <c:pt idx="79">
                  <c:v>0.21152099724022955</c:v>
                </c:pt>
                <c:pt idx="80">
                  <c:v>-0.42308304403479297</c:v>
                </c:pt>
                <c:pt idx="81">
                  <c:v>3.2450548131470851E-3</c:v>
                </c:pt>
                <c:pt idx="82">
                  <c:v>-0.51215487988856445</c:v>
                </c:pt>
                <c:pt idx="83">
                  <c:v>-0.28608964587104468</c:v>
                </c:pt>
                <c:pt idx="84">
                  <c:v>1.4354461863637156</c:v>
                </c:pt>
                <c:pt idx="85">
                  <c:v>1.3667030568692862</c:v>
                </c:pt>
                <c:pt idx="86">
                  <c:v>1.5912316112515539</c:v>
                </c:pt>
                <c:pt idx="87">
                  <c:v>1.5753610661552064</c:v>
                </c:pt>
                <c:pt idx="88">
                  <c:v>1.4314441816172123</c:v>
                </c:pt>
                <c:pt idx="89">
                  <c:v>1.3185850100788252</c:v>
                </c:pt>
                <c:pt idx="90">
                  <c:v>1.6275194713376828</c:v>
                </c:pt>
                <c:pt idx="91">
                  <c:v>1.7958452723957066</c:v>
                </c:pt>
                <c:pt idx="92">
                  <c:v>1.546604348654274</c:v>
                </c:pt>
                <c:pt idx="93">
                  <c:v>1.5008537114612583</c:v>
                </c:pt>
                <c:pt idx="94">
                  <c:v>1.4546162237926987</c:v>
                </c:pt>
                <c:pt idx="95">
                  <c:v>1.4968604873943676</c:v>
                </c:pt>
                <c:pt idx="96">
                  <c:v>1.6253639046057011</c:v>
                </c:pt>
                <c:pt idx="97">
                  <c:v>1.6256724985186637</c:v>
                </c:pt>
                <c:pt idx="98">
                  <c:v>1.5009907561079947</c:v>
                </c:pt>
                <c:pt idx="99">
                  <c:v>1.4215216663369772</c:v>
                </c:pt>
                <c:pt idx="100">
                  <c:v>1.325618272810029</c:v>
                </c:pt>
                <c:pt idx="101">
                  <c:v>1.229041573173397</c:v>
                </c:pt>
                <c:pt idx="102">
                  <c:v>1.5128844243846222</c:v>
                </c:pt>
                <c:pt idx="103">
                  <c:v>1.6406304827244111</c:v>
                </c:pt>
                <c:pt idx="104">
                  <c:v>1.4773383476918927</c:v>
                </c:pt>
                <c:pt idx="105">
                  <c:v>1.385874273904196</c:v>
                </c:pt>
                <c:pt idx="106">
                  <c:v>1.3262334209042399</c:v>
                </c:pt>
                <c:pt idx="107">
                  <c:v>1.3020060605865404</c:v>
                </c:pt>
                <c:pt idx="108">
                  <c:v>1.2616196765479355</c:v>
                </c:pt>
                <c:pt idx="109">
                  <c:v>1.3286853369831511</c:v>
                </c:pt>
                <c:pt idx="110">
                  <c:v>1.4147227211588782</c:v>
                </c:pt>
                <c:pt idx="111">
                  <c:v>1.5633030593694119</c:v>
                </c:pt>
                <c:pt idx="112">
                  <c:v>1.653453721491571</c:v>
                </c:pt>
                <c:pt idx="113">
                  <c:v>1.5822338639209927</c:v>
                </c:pt>
                <c:pt idx="114">
                  <c:v>1.4477005604345132</c:v>
                </c:pt>
                <c:pt idx="115">
                  <c:v>1.4170562991191105</c:v>
                </c:pt>
                <c:pt idx="116">
                  <c:v>0.90064018398260037</c:v>
                </c:pt>
                <c:pt idx="117">
                  <c:v>1.125968963092556</c:v>
                </c:pt>
                <c:pt idx="118">
                  <c:v>0.813247300897605</c:v>
                </c:pt>
                <c:pt idx="119">
                  <c:v>0.95351808144499262</c:v>
                </c:pt>
                <c:pt idx="120">
                  <c:v>0.87302981206104424</c:v>
                </c:pt>
                <c:pt idx="121">
                  <c:v>0.47784447633875837</c:v>
                </c:pt>
                <c:pt idx="122">
                  <c:v>9.1666957595684495E-2</c:v>
                </c:pt>
                <c:pt idx="123">
                  <c:v>1.0646451447919365</c:v>
                </c:pt>
                <c:pt idx="124">
                  <c:v>0.33745926129065618</c:v>
                </c:pt>
                <c:pt idx="125">
                  <c:v>0.72631961211077534</c:v>
                </c:pt>
                <c:pt idx="126">
                  <c:v>0.34340859380385735</c:v>
                </c:pt>
                <c:pt idx="127">
                  <c:v>0.28668096935493015</c:v>
                </c:pt>
                <c:pt idx="128">
                  <c:v>1.4572004127937683</c:v>
                </c:pt>
                <c:pt idx="129">
                  <c:v>0.76380222407459264</c:v>
                </c:pt>
                <c:pt idx="130">
                  <c:v>0.79413935576777395</c:v>
                </c:pt>
                <c:pt idx="131">
                  <c:v>0.30427505047712827</c:v>
                </c:pt>
                <c:pt idx="132">
                  <c:v>0.54961623951908545</c:v>
                </c:pt>
                <c:pt idx="133">
                  <c:v>0.86835049964796829</c:v>
                </c:pt>
                <c:pt idx="134">
                  <c:v>0.3988077302032646</c:v>
                </c:pt>
                <c:pt idx="135">
                  <c:v>0.72875947516787443</c:v>
                </c:pt>
                <c:pt idx="136">
                  <c:v>1.1154440834362396</c:v>
                </c:pt>
                <c:pt idx="137">
                  <c:v>0.94767873993693652</c:v>
                </c:pt>
                <c:pt idx="138">
                  <c:v>0.17172645365323111</c:v>
                </c:pt>
                <c:pt idx="139">
                  <c:v>-4.8176964684088018E-2</c:v>
                </c:pt>
                <c:pt idx="140">
                  <c:v>0.54961623951908545</c:v>
                </c:pt>
                <c:pt idx="141">
                  <c:v>-0.23284413391781958</c:v>
                </c:pt>
                <c:pt idx="142">
                  <c:v>0.50552981983513245</c:v>
                </c:pt>
                <c:pt idx="143">
                  <c:v>0.40360089751828065</c:v>
                </c:pt>
                <c:pt idx="144">
                  <c:v>0.69221219192535022</c:v>
                </c:pt>
                <c:pt idx="145">
                  <c:v>0.61624438882924204</c:v>
                </c:pt>
                <c:pt idx="146">
                  <c:v>0.66207753385956292</c:v>
                </c:pt>
                <c:pt idx="147">
                  <c:v>0.65827857260026867</c:v>
                </c:pt>
                <c:pt idx="148">
                  <c:v>0.6256005128828166</c:v>
                </c:pt>
                <c:pt idx="149">
                  <c:v>0.80090944462041314</c:v>
                </c:pt>
                <c:pt idx="150">
                  <c:v>0.69044417742566533</c:v>
                </c:pt>
                <c:pt idx="151">
                  <c:v>0.76884521106339532</c:v>
                </c:pt>
                <c:pt idx="152">
                  <c:v>0.60668225702874512</c:v>
                </c:pt>
                <c:pt idx="153">
                  <c:v>0.60775517244647281</c:v>
                </c:pt>
                <c:pt idx="154">
                  <c:v>0.49175378277214765</c:v>
                </c:pt>
                <c:pt idx="155">
                  <c:v>0.67786234495478825</c:v>
                </c:pt>
                <c:pt idx="156">
                  <c:v>0.59470186120636004</c:v>
                </c:pt>
                <c:pt idx="157">
                  <c:v>0.67511815231679839</c:v>
                </c:pt>
                <c:pt idx="158">
                  <c:v>0.65923143287522845</c:v>
                </c:pt>
                <c:pt idx="159">
                  <c:v>0.58914502095208432</c:v>
                </c:pt>
                <c:pt idx="160">
                  <c:v>0.50823335497201105</c:v>
                </c:pt>
                <c:pt idx="161">
                  <c:v>0.45830539211801669</c:v>
                </c:pt>
                <c:pt idx="162">
                  <c:v>6.1753967805932904E-2</c:v>
                </c:pt>
                <c:pt idx="163">
                  <c:v>0.71288530138292716</c:v>
                </c:pt>
                <c:pt idx="164">
                  <c:v>0.33701975260040767</c:v>
                </c:pt>
                <c:pt idx="165">
                  <c:v>0.64765676319554122</c:v>
                </c:pt>
                <c:pt idx="166">
                  <c:v>0.57435541993910189</c:v>
                </c:pt>
                <c:pt idx="167">
                  <c:v>0.62146709934684574</c:v>
                </c:pt>
                <c:pt idx="168">
                  <c:v>0.5109201643452389</c:v>
                </c:pt>
                <c:pt idx="169">
                  <c:v>0.50417171477596689</c:v>
                </c:pt>
                <c:pt idx="170">
                  <c:v>0.4832734075829816</c:v>
                </c:pt>
                <c:pt idx="171">
                  <c:v>0.49175378277214765</c:v>
                </c:pt>
                <c:pt idx="172">
                  <c:v>0.50280934938904187</c:v>
                </c:pt>
                <c:pt idx="173">
                  <c:v>0.58914502095208432</c:v>
                </c:pt>
                <c:pt idx="174">
                  <c:v>0.55179144364366939</c:v>
                </c:pt>
                <c:pt idx="175">
                  <c:v>0.73181431413073494</c:v>
                </c:pt>
                <c:pt idx="176">
                  <c:v>0.61519226737396582</c:v>
                </c:pt>
                <c:pt idx="177">
                  <c:v>0.62867495926263806</c:v>
                </c:pt>
                <c:pt idx="178">
                  <c:v>0.56970155541097356</c:v>
                </c:pt>
                <c:pt idx="179">
                  <c:v>0.52411039349513622</c:v>
                </c:pt>
                <c:pt idx="180">
                  <c:v>0.52927632191922713</c:v>
                </c:pt>
                <c:pt idx="181">
                  <c:v>0.54192853578747202</c:v>
                </c:pt>
                <c:pt idx="182">
                  <c:v>0.4522159137500546</c:v>
                </c:pt>
                <c:pt idx="183">
                  <c:v>-0.59722293038965257</c:v>
                </c:pt>
                <c:pt idx="184">
                  <c:v>6.1753967805932904E-2</c:v>
                </c:pt>
                <c:pt idx="185">
                  <c:v>2.2345876269880344E-2</c:v>
                </c:pt>
                <c:pt idx="186">
                  <c:v>-0.2734357838377553</c:v>
                </c:pt>
                <c:pt idx="187">
                  <c:v>-3.1382315093265779E-3</c:v>
                </c:pt>
                <c:pt idx="188">
                  <c:v>-0.15939212099070979</c:v>
                </c:pt>
                <c:pt idx="189">
                  <c:v>0.25594754939893993</c:v>
                </c:pt>
                <c:pt idx="190">
                  <c:v>4.2496757433736092E-2</c:v>
                </c:pt>
                <c:pt idx="191">
                  <c:v>0.44759210882153788</c:v>
                </c:pt>
                <c:pt idx="192">
                  <c:v>-4.9245818406496451E-2</c:v>
                </c:pt>
                <c:pt idx="193">
                  <c:v>0.26547820358064211</c:v>
                </c:pt>
                <c:pt idx="194">
                  <c:v>-0.14703230897118164</c:v>
                </c:pt>
                <c:pt idx="195">
                  <c:v>0.32485838819886764</c:v>
                </c:pt>
                <c:pt idx="196">
                  <c:v>1.2143252861789634E-3</c:v>
                </c:pt>
                <c:pt idx="197">
                  <c:v>-0.33460664972028809</c:v>
                </c:pt>
                <c:pt idx="198">
                  <c:v>0.14388875810927479</c:v>
                </c:pt>
                <c:pt idx="199">
                  <c:v>-0.44033272161194231</c:v>
                </c:pt>
                <c:pt idx="200">
                  <c:v>-0.14098185611110575</c:v>
                </c:pt>
                <c:pt idx="202">
                  <c:v>0.17108257735752611</c:v>
                </c:pt>
                <c:pt idx="203">
                  <c:v>0.31655739997776838</c:v>
                </c:pt>
                <c:pt idx="204">
                  <c:v>3.8540686337457428E-2</c:v>
                </c:pt>
                <c:pt idx="205">
                  <c:v>-0.44033272161194231</c:v>
                </c:pt>
                <c:pt idx="206">
                  <c:v>-0.19873352951037984</c:v>
                </c:pt>
                <c:pt idx="207">
                  <c:v>-2.099825152527892E-2</c:v>
                </c:pt>
                <c:pt idx="208">
                  <c:v>-0.76245626185712545</c:v>
                </c:pt>
                <c:pt idx="209">
                  <c:v>-2.099825152527892E-2</c:v>
                </c:pt>
                <c:pt idx="210">
                  <c:v>-0.78834559944681759</c:v>
                </c:pt>
                <c:pt idx="211">
                  <c:v>-0.14098185611110575</c:v>
                </c:pt>
                <c:pt idx="212">
                  <c:v>-0.344093581819785</c:v>
                </c:pt>
                <c:pt idx="213">
                  <c:v>0.20758051476543127</c:v>
                </c:pt>
                <c:pt idx="214">
                  <c:v>-9.5392636184552085E-2</c:v>
                </c:pt>
                <c:pt idx="215">
                  <c:v>0.22860565035509176</c:v>
                </c:pt>
                <c:pt idx="216">
                  <c:v>-0.51884412917196487</c:v>
                </c:pt>
                <c:pt idx="217">
                  <c:v>-7.4275473063937419E-2</c:v>
                </c:pt>
                <c:pt idx="218">
                  <c:v>-0.81587664576032892</c:v>
                </c:pt>
                <c:pt idx="219">
                  <c:v>-0.16570648755730402</c:v>
                </c:pt>
                <c:pt idx="220">
                  <c:v>-0.94769090035267645</c:v>
                </c:pt>
                <c:pt idx="221">
                  <c:v>-0.37386502136461131</c:v>
                </c:pt>
                <c:pt idx="222">
                  <c:v>-0.78834559944681759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77-4F5A-8D1D-47590F53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crown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crown height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Small functional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4488204790074968"/>
                  <c:y val="4.922710031234558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st'!$AR$6:$AR$10,'Tooth size Developmental st'!$AR$16:$AR$31,'Tooth size Developmental st'!$AR$36:$AR$55)</c:f>
              <c:numCache>
                <c:formatCode>General</c:formatCode>
                <c:ptCount val="41"/>
                <c:pt idx="0">
                  <c:v>1.4328000000000001</c:v>
                </c:pt>
                <c:pt idx="1">
                  <c:v>1.7728000000000002</c:v>
                </c:pt>
                <c:pt idx="2">
                  <c:v>1.7928000000000002</c:v>
                </c:pt>
                <c:pt idx="3">
                  <c:v>1.4328000000000001</c:v>
                </c:pt>
                <c:pt idx="4">
                  <c:v>1.7628000000000001</c:v>
                </c:pt>
                <c:pt idx="5">
                  <c:v>1.6928000000000001</c:v>
                </c:pt>
                <c:pt idx="6">
                  <c:v>2.4327999999999999</c:v>
                </c:pt>
                <c:pt idx="7">
                  <c:v>1.7928000000000002</c:v>
                </c:pt>
                <c:pt idx="8">
                  <c:v>2.5127999999999999</c:v>
                </c:pt>
                <c:pt idx="9">
                  <c:v>1.8328000000000002</c:v>
                </c:pt>
                <c:pt idx="10">
                  <c:v>2.1928000000000001</c:v>
                </c:pt>
                <c:pt idx="11">
                  <c:v>2.0627999999999997</c:v>
                </c:pt>
                <c:pt idx="12">
                  <c:v>2.1027999999999998</c:v>
                </c:pt>
                <c:pt idx="13">
                  <c:v>2.2827999999999999</c:v>
                </c:pt>
                <c:pt idx="14">
                  <c:v>1.3528</c:v>
                </c:pt>
                <c:pt idx="15">
                  <c:v>2.3028</c:v>
                </c:pt>
                <c:pt idx="16">
                  <c:v>1.5628000000000002</c:v>
                </c:pt>
                <c:pt idx="17">
                  <c:v>2.0528</c:v>
                </c:pt>
                <c:pt idx="18">
                  <c:v>1.3528</c:v>
                </c:pt>
                <c:pt idx="19">
                  <c:v>1.7528000000000001</c:v>
                </c:pt>
                <c:pt idx="20">
                  <c:v>0.68279999999999996</c:v>
                </c:pt>
                <c:pt idx="21">
                  <c:v>2.1427999999999998</c:v>
                </c:pt>
                <c:pt idx="22">
                  <c:v>1.6228</c:v>
                </c:pt>
                <c:pt idx="23">
                  <c:v>1.8428000000000002</c:v>
                </c:pt>
                <c:pt idx="24">
                  <c:v>1.2328000000000001</c:v>
                </c:pt>
                <c:pt idx="25">
                  <c:v>1.5728000000000002</c:v>
                </c:pt>
                <c:pt idx="26">
                  <c:v>1.9228000000000001</c:v>
                </c:pt>
                <c:pt idx="27">
                  <c:v>1.0828000000000002</c:v>
                </c:pt>
                <c:pt idx="28">
                  <c:v>1.7028000000000001</c:v>
                </c:pt>
                <c:pt idx="29">
                  <c:v>1.1128</c:v>
                </c:pt>
                <c:pt idx="30">
                  <c:v>1.8128000000000002</c:v>
                </c:pt>
                <c:pt idx="31">
                  <c:v>1.4928000000000001</c:v>
                </c:pt>
                <c:pt idx="32">
                  <c:v>2.1328</c:v>
                </c:pt>
                <c:pt idx="33">
                  <c:v>1.8128000000000002</c:v>
                </c:pt>
                <c:pt idx="34">
                  <c:v>2.2827999999999999</c:v>
                </c:pt>
                <c:pt idx="35">
                  <c:v>1.5728000000000002</c:v>
                </c:pt>
                <c:pt idx="36">
                  <c:v>2.0427999999999997</c:v>
                </c:pt>
                <c:pt idx="37">
                  <c:v>1.4128000000000001</c:v>
                </c:pt>
                <c:pt idx="38">
                  <c:v>1.8628</c:v>
                </c:pt>
                <c:pt idx="39">
                  <c:v>1.6428</c:v>
                </c:pt>
                <c:pt idx="40">
                  <c:v>2.8327999999999998</c:v>
                </c:pt>
              </c:numCache>
            </c:numRef>
          </c:xVal>
          <c:yVal>
            <c:numRef>
              <c:f>('Tooth size Developmental st'!$AQ$6:$AQ$10,'Tooth size Developmental st'!$AQ$16:$AQ$31,'Tooth size Developmental st'!$AQ$36:$AQ$55)</c:f>
              <c:numCache>
                <c:formatCode>0.00</c:formatCode>
                <c:ptCount val="41"/>
                <c:pt idx="0">
                  <c:v>3.2027999999999999</c:v>
                </c:pt>
                <c:pt idx="1">
                  <c:v>2.5327999999999999</c:v>
                </c:pt>
                <c:pt idx="2">
                  <c:v>4.9228000000000005</c:v>
                </c:pt>
                <c:pt idx="3">
                  <c:v>4.1328000000000005</c:v>
                </c:pt>
                <c:pt idx="4">
                  <c:v>4.5928000000000004</c:v>
                </c:pt>
                <c:pt idx="5">
                  <c:v>4.5528000000000004</c:v>
                </c:pt>
                <c:pt idx="6">
                  <c:v>4.2228000000000003</c:v>
                </c:pt>
                <c:pt idx="7">
                  <c:v>6.3228</c:v>
                </c:pt>
                <c:pt idx="8">
                  <c:v>4.9028</c:v>
                </c:pt>
                <c:pt idx="9">
                  <c:v>5.8728000000000007</c:v>
                </c:pt>
                <c:pt idx="10">
                  <c:v>4.0428000000000006</c:v>
                </c:pt>
                <c:pt idx="11">
                  <c:v>4.0528000000000004</c:v>
                </c:pt>
                <c:pt idx="12">
                  <c:v>3.1027999999999998</c:v>
                </c:pt>
                <c:pt idx="13">
                  <c:v>4.7628000000000004</c:v>
                </c:pt>
                <c:pt idx="14">
                  <c:v>3.9327999999999999</c:v>
                </c:pt>
                <c:pt idx="15">
                  <c:v>4.7328000000000001</c:v>
                </c:pt>
                <c:pt idx="16">
                  <c:v>4.5628000000000002</c:v>
                </c:pt>
                <c:pt idx="17">
                  <c:v>3.8828</c:v>
                </c:pt>
                <c:pt idx="18">
                  <c:v>3.2227999999999999</c:v>
                </c:pt>
                <c:pt idx="19">
                  <c:v>2.8727999999999998</c:v>
                </c:pt>
                <c:pt idx="20">
                  <c:v>1.1528</c:v>
                </c:pt>
                <c:pt idx="21">
                  <c:v>5.1628000000000007</c:v>
                </c:pt>
                <c:pt idx="22">
                  <c:v>2.1728000000000001</c:v>
                </c:pt>
                <c:pt idx="23">
                  <c:v>4.4428000000000001</c:v>
                </c:pt>
                <c:pt idx="24">
                  <c:v>3.7527999999999997</c:v>
                </c:pt>
                <c:pt idx="25">
                  <c:v>4.1828000000000003</c:v>
                </c:pt>
                <c:pt idx="26">
                  <c:v>3.2427999999999999</c:v>
                </c:pt>
                <c:pt idx="27">
                  <c:v>3.1928000000000001</c:v>
                </c:pt>
                <c:pt idx="28">
                  <c:v>3.0427999999999997</c:v>
                </c:pt>
                <c:pt idx="29">
                  <c:v>3.1027999999999998</c:v>
                </c:pt>
                <c:pt idx="30">
                  <c:v>3.1827999999999999</c:v>
                </c:pt>
                <c:pt idx="31">
                  <c:v>3.8828</c:v>
                </c:pt>
                <c:pt idx="32">
                  <c:v>3.5627999999999997</c:v>
                </c:pt>
                <c:pt idx="33">
                  <c:v>5.3928000000000003</c:v>
                </c:pt>
                <c:pt idx="34">
                  <c:v>4.1228000000000007</c:v>
                </c:pt>
                <c:pt idx="35">
                  <c:v>4.2528000000000006</c:v>
                </c:pt>
                <c:pt idx="36">
                  <c:v>3.7128000000000001</c:v>
                </c:pt>
                <c:pt idx="37">
                  <c:v>3.3428</c:v>
                </c:pt>
                <c:pt idx="38">
                  <c:v>3.3828</c:v>
                </c:pt>
                <c:pt idx="39">
                  <c:v>3.4827999999999997</c:v>
                </c:pt>
                <c:pt idx="40">
                  <c:v>2.8327999999999998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9D-449D-B670-68C42E7617E1}"/>
            </c:ext>
          </c:extLst>
        </c:ser>
        <c:ser>
          <c:idx val="1"/>
          <c:order val="1"/>
          <c:tx>
            <c:v>Small replacement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3626760810064631"/>
                  <c:y val="2.98481009960397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st'!$AX$6:$AX$10,'Tooth size Developmental st'!$AX$16:$AX$30,'Tooth size Developmental st'!$AX$36:$AX$55)</c:f>
              <c:numCache>
                <c:formatCode>General</c:formatCode>
                <c:ptCount val="40"/>
                <c:pt idx="0">
                  <c:v>0.1628</c:v>
                </c:pt>
                <c:pt idx="1">
                  <c:v>0.77280000000000004</c:v>
                </c:pt>
                <c:pt idx="2">
                  <c:v>0.53280000000000005</c:v>
                </c:pt>
                <c:pt idx="3">
                  <c:v>0.31280000000000002</c:v>
                </c:pt>
                <c:pt idx="4">
                  <c:v>0.56279999999999997</c:v>
                </c:pt>
                <c:pt idx="5">
                  <c:v>0.4728</c:v>
                </c:pt>
                <c:pt idx="6">
                  <c:v>0.95279999999999998</c:v>
                </c:pt>
                <c:pt idx="7">
                  <c:v>0.6028</c:v>
                </c:pt>
                <c:pt idx="8">
                  <c:v>1.2228000000000001</c:v>
                </c:pt>
                <c:pt idx="9">
                  <c:v>0.50280000000000002</c:v>
                </c:pt>
                <c:pt idx="10">
                  <c:v>0.93279999999999996</c:v>
                </c:pt>
                <c:pt idx="11">
                  <c:v>0.42280000000000001</c:v>
                </c:pt>
                <c:pt idx="12">
                  <c:v>1.0628000000000002</c:v>
                </c:pt>
                <c:pt idx="13">
                  <c:v>0.61280000000000001</c:v>
                </c:pt>
                <c:pt idx="14">
                  <c:v>0.2828</c:v>
                </c:pt>
                <c:pt idx="15">
                  <c:v>0.75280000000000002</c:v>
                </c:pt>
                <c:pt idx="16">
                  <c:v>0.20280000000000001</c:v>
                </c:pt>
                <c:pt idx="17">
                  <c:v>0.45279999999999998</c:v>
                </c:pt>
                <c:pt idx="19">
                  <c:v>0.33279999999999998</c:v>
                </c:pt>
                <c:pt idx="20">
                  <c:v>0.66279999999999994</c:v>
                </c:pt>
                <c:pt idx="21">
                  <c:v>0.82279999999999998</c:v>
                </c:pt>
                <c:pt idx="22">
                  <c:v>0.54279999999999995</c:v>
                </c:pt>
                <c:pt idx="23">
                  <c:v>0.1928</c:v>
                </c:pt>
                <c:pt idx="24">
                  <c:v>0.32279999999999998</c:v>
                </c:pt>
                <c:pt idx="25">
                  <c:v>0.56279999999999997</c:v>
                </c:pt>
                <c:pt idx="26">
                  <c:v>0.17280000000000001</c:v>
                </c:pt>
                <c:pt idx="27">
                  <c:v>0.45279999999999998</c:v>
                </c:pt>
                <c:pt idx="28">
                  <c:v>0.1628</c:v>
                </c:pt>
                <c:pt idx="29">
                  <c:v>0.46279999999999999</c:v>
                </c:pt>
                <c:pt idx="30">
                  <c:v>0.2828</c:v>
                </c:pt>
                <c:pt idx="31">
                  <c:v>0.92279999999999995</c:v>
                </c:pt>
                <c:pt idx="32">
                  <c:v>0.45279999999999998</c:v>
                </c:pt>
                <c:pt idx="33">
                  <c:v>0.83279999999999998</c:v>
                </c:pt>
                <c:pt idx="34">
                  <c:v>0.23280000000000001</c:v>
                </c:pt>
                <c:pt idx="35">
                  <c:v>0.53280000000000005</c:v>
                </c:pt>
                <c:pt idx="36">
                  <c:v>0.15279999999999999</c:v>
                </c:pt>
                <c:pt idx="37">
                  <c:v>0.43280000000000002</c:v>
                </c:pt>
                <c:pt idx="38">
                  <c:v>0.11280000000000001</c:v>
                </c:pt>
                <c:pt idx="39">
                  <c:v>0.30280000000000001</c:v>
                </c:pt>
              </c:numCache>
            </c:numRef>
          </c:xVal>
          <c:yVal>
            <c:numRef>
              <c:f>('Tooth size Developmental st'!$AW$6:$AW$10,'Tooth size Developmental st'!$AW$16:$AW$30,'Tooth size Developmental st'!$AW$36:$AW$55)</c:f>
              <c:numCache>
                <c:formatCode>0.00</c:formatCode>
                <c:ptCount val="40"/>
                <c:pt idx="0">
                  <c:v>0.25280000000000002</c:v>
                </c:pt>
                <c:pt idx="1">
                  <c:v>1.1528</c:v>
                </c:pt>
                <c:pt idx="2">
                  <c:v>1.0528000000000002</c:v>
                </c:pt>
                <c:pt idx="3">
                  <c:v>0.53280000000000005</c:v>
                </c:pt>
                <c:pt idx="4">
                  <c:v>0.99280000000000002</c:v>
                </c:pt>
                <c:pt idx="5">
                  <c:v>0.69279999999999997</c:v>
                </c:pt>
                <c:pt idx="6">
                  <c:v>1.8028000000000002</c:v>
                </c:pt>
                <c:pt idx="7">
                  <c:v>1.1028</c:v>
                </c:pt>
                <c:pt idx="8">
                  <c:v>2.8028</c:v>
                </c:pt>
                <c:pt idx="9">
                  <c:v>0.89280000000000004</c:v>
                </c:pt>
                <c:pt idx="10">
                  <c:v>1.8428000000000002</c:v>
                </c:pt>
                <c:pt idx="11">
                  <c:v>0.71279999999999999</c:v>
                </c:pt>
                <c:pt idx="12">
                  <c:v>2.1128</c:v>
                </c:pt>
                <c:pt idx="13">
                  <c:v>1.0028000000000001</c:v>
                </c:pt>
                <c:pt idx="14">
                  <c:v>0.46279999999999999</c:v>
                </c:pt>
                <c:pt idx="15">
                  <c:v>1.3928</c:v>
                </c:pt>
                <c:pt idx="16">
                  <c:v>0.36280000000000001</c:v>
                </c:pt>
                <c:pt idx="17">
                  <c:v>0.7228</c:v>
                </c:pt>
                <c:pt idx="19" formatCode="General">
                  <c:v>0.33279999999999998</c:v>
                </c:pt>
                <c:pt idx="20">
                  <c:v>1.4828000000000001</c:v>
                </c:pt>
                <c:pt idx="21">
                  <c:v>2.0728</c:v>
                </c:pt>
                <c:pt idx="22">
                  <c:v>1.0928000000000002</c:v>
                </c:pt>
                <c:pt idx="23">
                  <c:v>0.36280000000000001</c:v>
                </c:pt>
                <c:pt idx="24">
                  <c:v>0.63280000000000003</c:v>
                </c:pt>
                <c:pt idx="25">
                  <c:v>0.95279999999999998</c:v>
                </c:pt>
                <c:pt idx="26">
                  <c:v>0.17280000000000001</c:v>
                </c:pt>
                <c:pt idx="27">
                  <c:v>0.95279999999999998</c:v>
                </c:pt>
                <c:pt idx="28">
                  <c:v>0.1628</c:v>
                </c:pt>
                <c:pt idx="29">
                  <c:v>0.7228</c:v>
                </c:pt>
                <c:pt idx="30">
                  <c:v>0.45279999999999998</c:v>
                </c:pt>
                <c:pt idx="31">
                  <c:v>1.6128</c:v>
                </c:pt>
                <c:pt idx="32">
                  <c:v>0.80279999999999996</c:v>
                </c:pt>
                <c:pt idx="33">
                  <c:v>1.6928000000000001</c:v>
                </c:pt>
                <c:pt idx="34">
                  <c:v>0.30280000000000001</c:v>
                </c:pt>
                <c:pt idx="35">
                  <c:v>0.84279999999999999</c:v>
                </c:pt>
                <c:pt idx="36">
                  <c:v>0.15279999999999999</c:v>
                </c:pt>
                <c:pt idx="37">
                  <c:v>0.68279999999999996</c:v>
                </c:pt>
                <c:pt idx="38">
                  <c:v>0.11280000000000001</c:v>
                </c:pt>
                <c:pt idx="39">
                  <c:v>0.42280000000000001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9D-449D-B670-68C42E7617E1}"/>
            </c:ext>
          </c:extLst>
        </c:ser>
        <c:ser>
          <c:idx val="2"/>
          <c:order val="2"/>
          <c:tx>
            <c:v>medium functional teeth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7.2004689239254039E-3"/>
                  <c:y val="-7.403106405580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st'!$D$6:$D$10,'Tooth size Developmental st'!$D$17:$D$31,'Tooth size Developmental st'!$D$37:$D$56)</c:f>
              <c:numCache>
                <c:formatCode>0.00</c:formatCode>
                <c:ptCount val="40"/>
                <c:pt idx="0">
                  <c:v>2.4474999999999998</c:v>
                </c:pt>
                <c:pt idx="1">
                  <c:v>2.1575000000000002</c:v>
                </c:pt>
                <c:pt idx="2">
                  <c:v>2.9474999999999998</c:v>
                </c:pt>
                <c:pt idx="3">
                  <c:v>2.5375000000000001</c:v>
                </c:pt>
                <c:pt idx="4">
                  <c:v>2.6074999999999999</c:v>
                </c:pt>
                <c:pt idx="5">
                  <c:v>2.6074999999999999</c:v>
                </c:pt>
                <c:pt idx="6">
                  <c:v>3.5274999999999999</c:v>
                </c:pt>
                <c:pt idx="7">
                  <c:v>2.9474999999999998</c:v>
                </c:pt>
                <c:pt idx="8">
                  <c:v>2.6375000000000002</c:v>
                </c:pt>
                <c:pt idx="9">
                  <c:v>2.8174999999999999</c:v>
                </c:pt>
                <c:pt idx="10">
                  <c:v>3.3174999999999999</c:v>
                </c:pt>
                <c:pt idx="11">
                  <c:v>2.3174999999999999</c:v>
                </c:pt>
                <c:pt idx="12">
                  <c:v>2.7374999999999998</c:v>
                </c:pt>
                <c:pt idx="13">
                  <c:v>2.2974999999999999</c:v>
                </c:pt>
                <c:pt idx="14">
                  <c:v>3.2574999999999998</c:v>
                </c:pt>
                <c:pt idx="15">
                  <c:v>2.2974999999999999</c:v>
                </c:pt>
                <c:pt idx="16">
                  <c:v>3.0175000000000001</c:v>
                </c:pt>
                <c:pt idx="17">
                  <c:v>2.8174999999999999</c:v>
                </c:pt>
                <c:pt idx="18">
                  <c:v>2.1974999999999998</c:v>
                </c:pt>
                <c:pt idx="19">
                  <c:v>3.0674999999999999</c:v>
                </c:pt>
                <c:pt idx="20">
                  <c:v>2.1175000000000002</c:v>
                </c:pt>
                <c:pt idx="21">
                  <c:v>2.3875000000000002</c:v>
                </c:pt>
                <c:pt idx="22">
                  <c:v>3.1575000000000002</c:v>
                </c:pt>
                <c:pt idx="23">
                  <c:v>2.6575000000000002</c:v>
                </c:pt>
                <c:pt idx="24">
                  <c:v>2.1675</c:v>
                </c:pt>
                <c:pt idx="25">
                  <c:v>1.9175</c:v>
                </c:pt>
                <c:pt idx="26">
                  <c:v>1.7675000000000001</c:v>
                </c:pt>
                <c:pt idx="27">
                  <c:v>2.2774999999999999</c:v>
                </c:pt>
                <c:pt idx="28">
                  <c:v>0.95750000000000002</c:v>
                </c:pt>
                <c:pt idx="29">
                  <c:v>2.3075000000000001</c:v>
                </c:pt>
                <c:pt idx="30">
                  <c:v>1.6675</c:v>
                </c:pt>
                <c:pt idx="31">
                  <c:v>2.7974999999999999</c:v>
                </c:pt>
                <c:pt idx="32">
                  <c:v>2.1175000000000002</c:v>
                </c:pt>
                <c:pt idx="33">
                  <c:v>2.6575000000000002</c:v>
                </c:pt>
                <c:pt idx="34">
                  <c:v>3.0575000000000001</c:v>
                </c:pt>
                <c:pt idx="35">
                  <c:v>2.1575000000000002</c:v>
                </c:pt>
                <c:pt idx="36">
                  <c:v>2.7574999999999998</c:v>
                </c:pt>
                <c:pt idx="37">
                  <c:v>2.4874999999999998</c:v>
                </c:pt>
                <c:pt idx="38">
                  <c:v>2.5874999999999999</c:v>
                </c:pt>
                <c:pt idx="39">
                  <c:v>2.5175000000000001</c:v>
                </c:pt>
              </c:numCache>
            </c:numRef>
          </c:xVal>
          <c:yVal>
            <c:numRef>
              <c:f>('Tooth size Developmental st'!$C$6:$C$10,'Tooth size Developmental st'!$C$17:$C$31,'Tooth size Developmental st'!$C$37:$C$56)</c:f>
              <c:numCache>
                <c:formatCode>0.00</c:formatCode>
                <c:ptCount val="40"/>
                <c:pt idx="0">
                  <c:v>5.7075000000000005</c:v>
                </c:pt>
                <c:pt idx="1">
                  <c:v>5.1275000000000004</c:v>
                </c:pt>
                <c:pt idx="2">
                  <c:v>9.0274999999999999</c:v>
                </c:pt>
                <c:pt idx="3">
                  <c:v>11.4175</c:v>
                </c:pt>
                <c:pt idx="4">
                  <c:v>7.8175000000000008</c:v>
                </c:pt>
                <c:pt idx="5">
                  <c:v>8.0075000000000003</c:v>
                </c:pt>
                <c:pt idx="6">
                  <c:v>7.2875000000000005</c:v>
                </c:pt>
                <c:pt idx="7">
                  <c:v>12.297500000000001</c:v>
                </c:pt>
                <c:pt idx="8">
                  <c:v>9.9875000000000007</c:v>
                </c:pt>
                <c:pt idx="9">
                  <c:v>11.1875</c:v>
                </c:pt>
                <c:pt idx="10">
                  <c:v>9.6375000000000011</c:v>
                </c:pt>
                <c:pt idx="11">
                  <c:v>8.2475000000000005</c:v>
                </c:pt>
                <c:pt idx="12">
                  <c:v>9.0675000000000008</c:v>
                </c:pt>
                <c:pt idx="13">
                  <c:v>8.8674999999999997</c:v>
                </c:pt>
                <c:pt idx="14">
                  <c:v>10.307500000000001</c:v>
                </c:pt>
                <c:pt idx="15">
                  <c:v>6.9075000000000006</c:v>
                </c:pt>
                <c:pt idx="16">
                  <c:v>8.6974999999999998</c:v>
                </c:pt>
                <c:pt idx="17">
                  <c:v>7.4375</c:v>
                </c:pt>
                <c:pt idx="18">
                  <c:v>6.1675000000000004</c:v>
                </c:pt>
                <c:pt idx="19">
                  <c:v>5.7775000000000007</c:v>
                </c:pt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4.4975000000000005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E9D-449D-B670-68C42E7617E1}"/>
            </c:ext>
          </c:extLst>
        </c:ser>
        <c:ser>
          <c:idx val="4"/>
          <c:order val="3"/>
          <c:tx>
            <c:v>large functional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417042089529908"/>
                  <c:y val="0.16142823651218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st'!$X$6:$X$11,'Tooth size Developmental st'!$X$17:$X$31,'Tooth size Developmental st'!$X$37:$X$52)</c:f>
              <c:numCache>
                <c:formatCode>General</c:formatCode>
                <c:ptCount val="37"/>
                <c:pt idx="0">
                  <c:v>5.6550000000000002</c:v>
                </c:pt>
                <c:pt idx="1">
                  <c:v>8.0549999999999997</c:v>
                </c:pt>
                <c:pt idx="2">
                  <c:v>11.455</c:v>
                </c:pt>
                <c:pt idx="4">
                  <c:v>8.6449999999999996</c:v>
                </c:pt>
                <c:pt idx="6">
                  <c:v>7.2050000000000001</c:v>
                </c:pt>
                <c:pt idx="7">
                  <c:v>1.1850000000000001</c:v>
                </c:pt>
                <c:pt idx="8">
                  <c:v>5.4550000000000001</c:v>
                </c:pt>
                <c:pt idx="9">
                  <c:v>12.725</c:v>
                </c:pt>
                <c:pt idx="10">
                  <c:v>6.0250000000000004</c:v>
                </c:pt>
                <c:pt idx="11">
                  <c:v>8.8249999999999993</c:v>
                </c:pt>
                <c:pt idx="12">
                  <c:v>6.2250000000000005</c:v>
                </c:pt>
                <c:pt idx="13">
                  <c:v>6.2149999999999999</c:v>
                </c:pt>
                <c:pt idx="15">
                  <c:v>10.434999999999999</c:v>
                </c:pt>
                <c:pt idx="16">
                  <c:v>6.8550000000000004</c:v>
                </c:pt>
                <c:pt idx="17">
                  <c:v>7.7650000000000006</c:v>
                </c:pt>
                <c:pt idx="18">
                  <c:v>6.415</c:v>
                </c:pt>
                <c:pt idx="19">
                  <c:v>6.1749999999999998</c:v>
                </c:pt>
                <c:pt idx="20">
                  <c:v>4.5550000000000006</c:v>
                </c:pt>
                <c:pt idx="22">
                  <c:v>4.625</c:v>
                </c:pt>
                <c:pt idx="24">
                  <c:v>12.864999999999998</c:v>
                </c:pt>
                <c:pt idx="25">
                  <c:v>7.4249999999999998</c:v>
                </c:pt>
                <c:pt idx="26">
                  <c:v>5.5650000000000004</c:v>
                </c:pt>
                <c:pt idx="27">
                  <c:v>4.3849999999999998</c:v>
                </c:pt>
                <c:pt idx="28">
                  <c:v>4.2149999999999999</c:v>
                </c:pt>
                <c:pt idx="29">
                  <c:v>5.5650000000000004</c:v>
                </c:pt>
                <c:pt idx="30">
                  <c:v>4.5550000000000006</c:v>
                </c:pt>
                <c:pt idx="31">
                  <c:v>5.0250000000000004</c:v>
                </c:pt>
                <c:pt idx="32">
                  <c:v>9.4749999999999996</c:v>
                </c:pt>
                <c:pt idx="33">
                  <c:v>11.975</c:v>
                </c:pt>
                <c:pt idx="34">
                  <c:v>7.7050000000000001</c:v>
                </c:pt>
                <c:pt idx="35">
                  <c:v>6.9750000000000005</c:v>
                </c:pt>
                <c:pt idx="36">
                  <c:v>5.2650000000000006</c:v>
                </c:pt>
              </c:numCache>
            </c:numRef>
          </c:xVal>
          <c:yVal>
            <c:numRef>
              <c:f>('Tooth size Developmental st'!$W$6:$W$11,'Tooth size Developmental st'!$W$17:$W$31,'Tooth size Developmental st'!$W$37:$W$52)</c:f>
              <c:numCache>
                <c:formatCode>General</c:formatCode>
                <c:ptCount val="37"/>
                <c:pt idx="0">
                  <c:v>27.254999999999999</c:v>
                </c:pt>
                <c:pt idx="1">
                  <c:v>23.265000000000001</c:v>
                </c:pt>
                <c:pt idx="2">
                  <c:v>39.015000000000001</c:v>
                </c:pt>
                <c:pt idx="4">
                  <c:v>37.615000000000002</c:v>
                </c:pt>
                <c:pt idx="6">
                  <c:v>27.004999999999999</c:v>
                </c:pt>
                <c:pt idx="7">
                  <c:v>20.824999999999999</c:v>
                </c:pt>
                <c:pt idx="8">
                  <c:v>42.415000000000006</c:v>
                </c:pt>
                <c:pt idx="9">
                  <c:v>62.495000000000005</c:v>
                </c:pt>
                <c:pt idx="10">
                  <c:v>35.205000000000005</c:v>
                </c:pt>
                <c:pt idx="11">
                  <c:v>31.684999999999999</c:v>
                </c:pt>
                <c:pt idx="12">
                  <c:v>28.484999999999999</c:v>
                </c:pt>
                <c:pt idx="13">
                  <c:v>31.395</c:v>
                </c:pt>
                <c:pt idx="15">
                  <c:v>42.205000000000005</c:v>
                </c:pt>
                <c:pt idx="16">
                  <c:v>42.234999999999999</c:v>
                </c:pt>
                <c:pt idx="17">
                  <c:v>31.695</c:v>
                </c:pt>
                <c:pt idx="18">
                  <c:v>26.395</c:v>
                </c:pt>
                <c:pt idx="19">
                  <c:v>21.164999999999999</c:v>
                </c:pt>
                <c:pt idx="20">
                  <c:v>16.945</c:v>
                </c:pt>
                <c:pt idx="22">
                  <c:v>32.575000000000003</c:v>
                </c:pt>
                <c:pt idx="24">
                  <c:v>43.715000000000003</c:v>
                </c:pt>
                <c:pt idx="25">
                  <c:v>30.015000000000001</c:v>
                </c:pt>
                <c:pt idx="26">
                  <c:v>24.314999999999998</c:v>
                </c:pt>
                <c:pt idx="27">
                  <c:v>21.195</c:v>
                </c:pt>
                <c:pt idx="28">
                  <c:v>20.044999999999998</c:v>
                </c:pt>
                <c:pt idx="29">
                  <c:v>18.265000000000001</c:v>
                </c:pt>
                <c:pt idx="30">
                  <c:v>21.314999999999998</c:v>
                </c:pt>
                <c:pt idx="31">
                  <c:v>25.984999999999999</c:v>
                </c:pt>
                <c:pt idx="32">
                  <c:v>36.585000000000001</c:v>
                </c:pt>
                <c:pt idx="33">
                  <c:v>45.025000000000006</c:v>
                </c:pt>
                <c:pt idx="34">
                  <c:v>38.215000000000003</c:v>
                </c:pt>
                <c:pt idx="35">
                  <c:v>28.035</c:v>
                </c:pt>
                <c:pt idx="36">
                  <c:v>26.125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E9D-449D-B670-68C42E7617E1}"/>
            </c:ext>
          </c:extLst>
        </c:ser>
        <c:ser>
          <c:idx val="5"/>
          <c:order val="4"/>
          <c:tx>
            <c:v>large replacement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0779033611824687"/>
                  <c:y val="1.57322566225509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st'!$AD$6:$AD$10,'Tooth size Developmental st'!$AD$17:$AD$31,'Tooth size Developmental st'!$AD$37:$AD$52)</c:f>
              <c:numCache>
                <c:formatCode>General</c:formatCode>
                <c:ptCount val="36"/>
                <c:pt idx="1">
                  <c:v>3.145</c:v>
                </c:pt>
                <c:pt idx="2">
                  <c:v>4.7949999999999999</c:v>
                </c:pt>
                <c:pt idx="4">
                  <c:v>2.9650000000000003</c:v>
                </c:pt>
                <c:pt idx="5">
                  <c:v>3.915</c:v>
                </c:pt>
                <c:pt idx="10">
                  <c:v>2.0550000000000002</c:v>
                </c:pt>
                <c:pt idx="11">
                  <c:v>1.7849999999999999</c:v>
                </c:pt>
                <c:pt idx="12">
                  <c:v>0.95499999999999985</c:v>
                </c:pt>
                <c:pt idx="14">
                  <c:v>4.2250000000000005</c:v>
                </c:pt>
                <c:pt idx="15">
                  <c:v>1.4350000000000001</c:v>
                </c:pt>
                <c:pt idx="16">
                  <c:v>2.9050000000000002</c:v>
                </c:pt>
                <c:pt idx="17">
                  <c:v>1.6850000000000001</c:v>
                </c:pt>
                <c:pt idx="21">
                  <c:v>1.175</c:v>
                </c:pt>
                <c:pt idx="23">
                  <c:v>4.5650000000000004</c:v>
                </c:pt>
                <c:pt idx="24">
                  <c:v>2.5050000000000003</c:v>
                </c:pt>
                <c:pt idx="25">
                  <c:v>3.1150000000000002</c:v>
                </c:pt>
                <c:pt idx="26">
                  <c:v>1.135</c:v>
                </c:pt>
                <c:pt idx="27">
                  <c:v>1.8749999999999998</c:v>
                </c:pt>
                <c:pt idx="28">
                  <c:v>3.3650000000000002</c:v>
                </c:pt>
                <c:pt idx="29">
                  <c:v>1.5449999999999999</c:v>
                </c:pt>
                <c:pt idx="31">
                  <c:v>2.3450000000000002</c:v>
                </c:pt>
                <c:pt idx="32">
                  <c:v>3.9249999999999998</c:v>
                </c:pt>
                <c:pt idx="34">
                  <c:v>3.4750000000000001</c:v>
                </c:pt>
                <c:pt idx="35">
                  <c:v>0.98499999999999988</c:v>
                </c:pt>
              </c:numCache>
            </c:numRef>
          </c:xVal>
          <c:yVal>
            <c:numRef>
              <c:f>('Tooth size Developmental st'!$AC$6:$AC$10,'Tooth size Developmental st'!$AC$17:$AC$31,'Tooth size Developmental st'!$AC$37:$AC$52)</c:f>
              <c:numCache>
                <c:formatCode>General</c:formatCode>
                <c:ptCount val="36"/>
                <c:pt idx="1">
                  <c:v>7.955000000000001</c:v>
                </c:pt>
                <c:pt idx="2">
                  <c:v>13.364999999999998</c:v>
                </c:pt>
                <c:pt idx="4">
                  <c:v>6.5049999999999999</c:v>
                </c:pt>
                <c:pt idx="5">
                  <c:v>8.9849999999999994</c:v>
                </c:pt>
                <c:pt idx="10">
                  <c:v>7.4649999999999999</c:v>
                </c:pt>
                <c:pt idx="11">
                  <c:v>3.0050000000000003</c:v>
                </c:pt>
                <c:pt idx="12">
                  <c:v>1.2349999999999999</c:v>
                </c:pt>
                <c:pt idx="14">
                  <c:v>11.604999999999999</c:v>
                </c:pt>
                <c:pt idx="15">
                  <c:v>2.1750000000000003</c:v>
                </c:pt>
                <c:pt idx="16">
                  <c:v>5.3250000000000002</c:v>
                </c:pt>
                <c:pt idx="17">
                  <c:v>2.2050000000000001</c:v>
                </c:pt>
                <c:pt idx="21">
                  <c:v>1.9349999999999998</c:v>
                </c:pt>
                <c:pt idx="23">
                  <c:v>28.654999999999998</c:v>
                </c:pt>
                <c:pt idx="24">
                  <c:v>5.8050000000000006</c:v>
                </c:pt>
                <c:pt idx="25">
                  <c:v>6.2250000000000005</c:v>
                </c:pt>
                <c:pt idx="26">
                  <c:v>2.0150000000000001</c:v>
                </c:pt>
                <c:pt idx="27">
                  <c:v>3.5450000000000004</c:v>
                </c:pt>
                <c:pt idx="28">
                  <c:v>7.3849999999999998</c:v>
                </c:pt>
                <c:pt idx="29">
                  <c:v>2.5050000000000003</c:v>
                </c:pt>
                <c:pt idx="31">
                  <c:v>5.3550000000000004</c:v>
                </c:pt>
                <c:pt idx="32">
                  <c:v>13.045</c:v>
                </c:pt>
                <c:pt idx="34">
                  <c:v>8.8649999999999984</c:v>
                </c:pt>
                <c:pt idx="35">
                  <c:v>1.4849999999999999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E9D-449D-B670-68C42E7617E1}"/>
            </c:ext>
          </c:extLst>
        </c:ser>
        <c:ser>
          <c:idx val="3"/>
          <c:order val="5"/>
          <c:tx>
            <c:v>medium replacement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1.9819589266383528E-2"/>
                  <c:y val="-5.19177088001364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92D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('Tooth size Developmental st'!$J$6:$J$10,'Tooth size Developmental st'!$J$17:$J$31,'Tooth size Developmental st'!$J$37:$J$56)</c:f>
              <c:numCache>
                <c:formatCode>0.00</c:formatCode>
                <c:ptCount val="40"/>
                <c:pt idx="0">
                  <c:v>0.62749999999999995</c:v>
                </c:pt>
                <c:pt idx="1">
                  <c:v>0.91749999999999998</c:v>
                </c:pt>
                <c:pt idx="2">
                  <c:v>1.0375000000000001</c:v>
                </c:pt>
                <c:pt idx="3">
                  <c:v>0.91749999999999998</c:v>
                </c:pt>
                <c:pt idx="4">
                  <c:v>1.3774999999999999</c:v>
                </c:pt>
                <c:pt idx="5">
                  <c:v>0.67749999999999999</c:v>
                </c:pt>
                <c:pt idx="6">
                  <c:v>2.0074999999999998</c:v>
                </c:pt>
                <c:pt idx="7">
                  <c:v>1.0375000000000001</c:v>
                </c:pt>
                <c:pt idx="8">
                  <c:v>0.48749999999999993</c:v>
                </c:pt>
                <c:pt idx="9">
                  <c:v>0.92749999999999999</c:v>
                </c:pt>
                <c:pt idx="10">
                  <c:v>1.3574999999999999</c:v>
                </c:pt>
                <c:pt idx="11">
                  <c:v>0.58750000000000002</c:v>
                </c:pt>
                <c:pt idx="12">
                  <c:v>1.2875000000000001</c:v>
                </c:pt>
                <c:pt idx="13">
                  <c:v>0.5575</c:v>
                </c:pt>
                <c:pt idx="14">
                  <c:v>1.2375</c:v>
                </c:pt>
                <c:pt idx="15">
                  <c:v>0.2475</c:v>
                </c:pt>
                <c:pt idx="16">
                  <c:v>0.8175</c:v>
                </c:pt>
                <c:pt idx="17">
                  <c:v>1.1074999999999999</c:v>
                </c:pt>
                <c:pt idx="18">
                  <c:v>0.41749999999999998</c:v>
                </c:pt>
                <c:pt idx="19">
                  <c:v>0.41749999999999998</c:v>
                </c:pt>
                <c:pt idx="21">
                  <c:v>0.42749999999999999</c:v>
                </c:pt>
                <c:pt idx="22">
                  <c:v>1.4775</c:v>
                </c:pt>
                <c:pt idx="23">
                  <c:v>0.76749999999999996</c:v>
                </c:pt>
                <c:pt idx="24">
                  <c:v>0.94750000000000001</c:v>
                </c:pt>
                <c:pt idx="25">
                  <c:v>0.38749999999999996</c:v>
                </c:pt>
                <c:pt idx="26">
                  <c:v>1.0474999999999999</c:v>
                </c:pt>
                <c:pt idx="27">
                  <c:v>0.59750000000000003</c:v>
                </c:pt>
                <c:pt idx="28">
                  <c:v>0.16749999999999998</c:v>
                </c:pt>
                <c:pt idx="29">
                  <c:v>0.66749999999999998</c:v>
                </c:pt>
                <c:pt idx="30">
                  <c:v>0.32749999999999996</c:v>
                </c:pt>
                <c:pt idx="31">
                  <c:v>1.1875</c:v>
                </c:pt>
                <c:pt idx="32">
                  <c:v>0.19750000000000001</c:v>
                </c:pt>
                <c:pt idx="33">
                  <c:v>0.8175</c:v>
                </c:pt>
                <c:pt idx="34">
                  <c:v>1.3674999999999999</c:v>
                </c:pt>
                <c:pt idx="35">
                  <c:v>0.39749999999999996</c:v>
                </c:pt>
                <c:pt idx="36">
                  <c:v>0.72750000000000004</c:v>
                </c:pt>
                <c:pt idx="37">
                  <c:v>1.3274999999999999</c:v>
                </c:pt>
                <c:pt idx="38">
                  <c:v>0.51749999999999996</c:v>
                </c:pt>
                <c:pt idx="39">
                  <c:v>1.0275000000000001</c:v>
                </c:pt>
              </c:numCache>
            </c:numRef>
          </c:xVal>
          <c:yVal>
            <c:numRef>
              <c:f>('Tooth size Developmental st'!$I$6:$I$10,'Tooth size Developmental st'!$I$17:$I$31,'Tooth size Developmental st'!$I$37:$I$56)</c:f>
              <c:numCache>
                <c:formatCode>0.00</c:formatCode>
                <c:ptCount val="40"/>
                <c:pt idx="0">
                  <c:v>1.2775000000000001</c:v>
                </c:pt>
                <c:pt idx="1">
                  <c:v>2.1875</c:v>
                </c:pt>
                <c:pt idx="2">
                  <c:v>3.0175000000000001</c:v>
                </c:pt>
                <c:pt idx="3">
                  <c:v>2.2675000000000001</c:v>
                </c:pt>
                <c:pt idx="4">
                  <c:v>2.8275000000000001</c:v>
                </c:pt>
                <c:pt idx="5">
                  <c:v>2.0074999999999998</c:v>
                </c:pt>
                <c:pt idx="6">
                  <c:v>5.7975000000000003</c:v>
                </c:pt>
                <c:pt idx="7">
                  <c:v>3.3075000000000001</c:v>
                </c:pt>
                <c:pt idx="8">
                  <c:v>1.6375</c:v>
                </c:pt>
                <c:pt idx="9">
                  <c:v>2.4175</c:v>
                </c:pt>
                <c:pt idx="10">
                  <c:v>3.1274999999999999</c:v>
                </c:pt>
                <c:pt idx="11">
                  <c:v>1.2375</c:v>
                </c:pt>
                <c:pt idx="12">
                  <c:v>2.7675000000000001</c:v>
                </c:pt>
                <c:pt idx="13">
                  <c:v>1.2775000000000001</c:v>
                </c:pt>
                <c:pt idx="14">
                  <c:v>2.8875000000000002</c:v>
                </c:pt>
                <c:pt idx="15">
                  <c:v>0.77749999999999997</c:v>
                </c:pt>
                <c:pt idx="16">
                  <c:v>1.6675</c:v>
                </c:pt>
                <c:pt idx="17">
                  <c:v>2.0674999999999999</c:v>
                </c:pt>
                <c:pt idx="18">
                  <c:v>0.77749999999999997</c:v>
                </c:pt>
                <c:pt idx="19">
                  <c:v>1.6074999999999999</c:v>
                </c:pt>
                <c:pt idx="20">
                  <c:v>3.1675</c:v>
                </c:pt>
                <c:pt idx="21">
                  <c:v>1.7175</c:v>
                </c:pt>
                <c:pt idx="22">
                  <c:v>4.5175000000000001</c:v>
                </c:pt>
                <c:pt idx="23">
                  <c:v>2.2675000000000001</c:v>
                </c:pt>
                <c:pt idx="24">
                  <c:v>2.0674999999999999</c:v>
                </c:pt>
                <c:pt idx="25">
                  <c:v>0.87749999999999995</c:v>
                </c:pt>
                <c:pt idx="26">
                  <c:v>2.2075</c:v>
                </c:pt>
                <c:pt idx="27">
                  <c:v>1.1475</c:v>
                </c:pt>
                <c:pt idx="28">
                  <c:v>0.28749999999999998</c:v>
                </c:pt>
                <c:pt idx="29">
                  <c:v>1.3975</c:v>
                </c:pt>
                <c:pt idx="30">
                  <c:v>0.75749999999999995</c:v>
                </c:pt>
                <c:pt idx="31">
                  <c:v>2.5874999999999999</c:v>
                </c:pt>
                <c:pt idx="32">
                  <c:v>0.5675</c:v>
                </c:pt>
                <c:pt idx="33">
                  <c:v>1.6174999999999999</c:v>
                </c:pt>
                <c:pt idx="34">
                  <c:v>2.6274999999999999</c:v>
                </c:pt>
                <c:pt idx="35">
                  <c:v>0.61749999999999994</c:v>
                </c:pt>
                <c:pt idx="36">
                  <c:v>1.1875</c:v>
                </c:pt>
                <c:pt idx="37">
                  <c:v>2.7075</c:v>
                </c:pt>
                <c:pt idx="38">
                  <c:v>0.90749999999999997</c:v>
                </c:pt>
                <c:pt idx="39">
                  <c:v>1.6274999999999999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E9D-449D-B670-68C42E76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crown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crown height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Small functional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1.6171401068059761E-2"/>
                  <c:y val="0.10528735625737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st'!$AR$6:$AR$10,'Tooth size Developmental st'!$AR$16:$AR$31,'Tooth size Developmental st'!$AR$36:$AR$55)</c:f>
              <c:numCache>
                <c:formatCode>General</c:formatCode>
                <c:ptCount val="41"/>
                <c:pt idx="0">
                  <c:v>1.4328000000000001</c:v>
                </c:pt>
                <c:pt idx="1">
                  <c:v>1.7728000000000002</c:v>
                </c:pt>
                <c:pt idx="2">
                  <c:v>1.7928000000000002</c:v>
                </c:pt>
                <c:pt idx="3">
                  <c:v>1.4328000000000001</c:v>
                </c:pt>
                <c:pt idx="4">
                  <c:v>1.7628000000000001</c:v>
                </c:pt>
                <c:pt idx="5">
                  <c:v>1.6928000000000001</c:v>
                </c:pt>
                <c:pt idx="6">
                  <c:v>2.4327999999999999</c:v>
                </c:pt>
                <c:pt idx="7">
                  <c:v>1.7928000000000002</c:v>
                </c:pt>
                <c:pt idx="8">
                  <c:v>2.5127999999999999</c:v>
                </c:pt>
                <c:pt idx="9">
                  <c:v>1.8328000000000002</c:v>
                </c:pt>
                <c:pt idx="10">
                  <c:v>2.1928000000000001</c:v>
                </c:pt>
                <c:pt idx="11">
                  <c:v>2.0627999999999997</c:v>
                </c:pt>
                <c:pt idx="12">
                  <c:v>2.1027999999999998</c:v>
                </c:pt>
                <c:pt idx="13">
                  <c:v>2.2827999999999999</c:v>
                </c:pt>
                <c:pt idx="14">
                  <c:v>1.3528</c:v>
                </c:pt>
                <c:pt idx="15">
                  <c:v>2.3028</c:v>
                </c:pt>
                <c:pt idx="16">
                  <c:v>1.5628000000000002</c:v>
                </c:pt>
                <c:pt idx="17">
                  <c:v>2.0528</c:v>
                </c:pt>
                <c:pt idx="18">
                  <c:v>1.3528</c:v>
                </c:pt>
                <c:pt idx="19">
                  <c:v>1.7528000000000001</c:v>
                </c:pt>
                <c:pt idx="20">
                  <c:v>0.68279999999999996</c:v>
                </c:pt>
                <c:pt idx="21">
                  <c:v>2.1427999999999998</c:v>
                </c:pt>
                <c:pt idx="22">
                  <c:v>1.6228</c:v>
                </c:pt>
                <c:pt idx="23">
                  <c:v>1.8428000000000002</c:v>
                </c:pt>
                <c:pt idx="24">
                  <c:v>1.2328000000000001</c:v>
                </c:pt>
                <c:pt idx="25">
                  <c:v>1.5728000000000002</c:v>
                </c:pt>
                <c:pt idx="26">
                  <c:v>1.9228000000000001</c:v>
                </c:pt>
                <c:pt idx="27">
                  <c:v>1.0828000000000002</c:v>
                </c:pt>
                <c:pt idx="28">
                  <c:v>1.7028000000000001</c:v>
                </c:pt>
                <c:pt idx="29">
                  <c:v>1.1128</c:v>
                </c:pt>
                <c:pt idx="30">
                  <c:v>1.8128000000000002</c:v>
                </c:pt>
                <c:pt idx="31">
                  <c:v>1.4928000000000001</c:v>
                </c:pt>
                <c:pt idx="32">
                  <c:v>2.1328</c:v>
                </c:pt>
                <c:pt idx="33">
                  <c:v>1.8128000000000002</c:v>
                </c:pt>
                <c:pt idx="34">
                  <c:v>2.2827999999999999</c:v>
                </c:pt>
                <c:pt idx="35">
                  <c:v>1.5728000000000002</c:v>
                </c:pt>
                <c:pt idx="36">
                  <c:v>2.0427999999999997</c:v>
                </c:pt>
                <c:pt idx="37">
                  <c:v>1.4128000000000001</c:v>
                </c:pt>
                <c:pt idx="38">
                  <c:v>1.8628</c:v>
                </c:pt>
                <c:pt idx="39">
                  <c:v>1.6428</c:v>
                </c:pt>
                <c:pt idx="40">
                  <c:v>2.8327999999999998</c:v>
                </c:pt>
              </c:numCache>
            </c:numRef>
          </c:xVal>
          <c:yVal>
            <c:numRef>
              <c:f>('Tooth size Developmental st'!$AQ$6:$AQ$10,'Tooth size Developmental st'!$AQ$16:$AQ$31,'Tooth size Developmental st'!$AQ$36:$AQ$55)</c:f>
              <c:numCache>
                <c:formatCode>0.00</c:formatCode>
                <c:ptCount val="41"/>
                <c:pt idx="0">
                  <c:v>3.2027999999999999</c:v>
                </c:pt>
                <c:pt idx="1">
                  <c:v>2.5327999999999999</c:v>
                </c:pt>
                <c:pt idx="2">
                  <c:v>4.9228000000000005</c:v>
                </c:pt>
                <c:pt idx="3">
                  <c:v>4.1328000000000005</c:v>
                </c:pt>
                <c:pt idx="4">
                  <c:v>4.5928000000000004</c:v>
                </c:pt>
                <c:pt idx="5">
                  <c:v>4.5528000000000004</c:v>
                </c:pt>
                <c:pt idx="6">
                  <c:v>4.2228000000000003</c:v>
                </c:pt>
                <c:pt idx="7">
                  <c:v>6.3228</c:v>
                </c:pt>
                <c:pt idx="8">
                  <c:v>4.9028</c:v>
                </c:pt>
                <c:pt idx="9">
                  <c:v>5.8728000000000007</c:v>
                </c:pt>
                <c:pt idx="10">
                  <c:v>4.0428000000000006</c:v>
                </c:pt>
                <c:pt idx="11">
                  <c:v>4.0528000000000004</c:v>
                </c:pt>
                <c:pt idx="12">
                  <c:v>3.1027999999999998</c:v>
                </c:pt>
                <c:pt idx="13">
                  <c:v>4.7628000000000004</c:v>
                </c:pt>
                <c:pt idx="14">
                  <c:v>3.9327999999999999</c:v>
                </c:pt>
                <c:pt idx="15">
                  <c:v>4.7328000000000001</c:v>
                </c:pt>
                <c:pt idx="16">
                  <c:v>4.5628000000000002</c:v>
                </c:pt>
                <c:pt idx="17">
                  <c:v>3.8828</c:v>
                </c:pt>
                <c:pt idx="18">
                  <c:v>3.2227999999999999</c:v>
                </c:pt>
                <c:pt idx="19">
                  <c:v>2.8727999999999998</c:v>
                </c:pt>
                <c:pt idx="20">
                  <c:v>1.1528</c:v>
                </c:pt>
                <c:pt idx="21">
                  <c:v>5.1628000000000007</c:v>
                </c:pt>
                <c:pt idx="22">
                  <c:v>2.1728000000000001</c:v>
                </c:pt>
                <c:pt idx="23">
                  <c:v>4.4428000000000001</c:v>
                </c:pt>
                <c:pt idx="24">
                  <c:v>3.7527999999999997</c:v>
                </c:pt>
                <c:pt idx="25">
                  <c:v>4.1828000000000003</c:v>
                </c:pt>
                <c:pt idx="26">
                  <c:v>3.2427999999999999</c:v>
                </c:pt>
                <c:pt idx="27">
                  <c:v>3.1928000000000001</c:v>
                </c:pt>
                <c:pt idx="28">
                  <c:v>3.0427999999999997</c:v>
                </c:pt>
                <c:pt idx="29">
                  <c:v>3.1027999999999998</c:v>
                </c:pt>
                <c:pt idx="30">
                  <c:v>3.1827999999999999</c:v>
                </c:pt>
                <c:pt idx="31">
                  <c:v>3.8828</c:v>
                </c:pt>
                <c:pt idx="32">
                  <c:v>3.5627999999999997</c:v>
                </c:pt>
                <c:pt idx="33">
                  <c:v>5.3928000000000003</c:v>
                </c:pt>
                <c:pt idx="34">
                  <c:v>4.1228000000000007</c:v>
                </c:pt>
                <c:pt idx="35">
                  <c:v>4.2528000000000006</c:v>
                </c:pt>
                <c:pt idx="36">
                  <c:v>3.7128000000000001</c:v>
                </c:pt>
                <c:pt idx="37">
                  <c:v>3.3428</c:v>
                </c:pt>
                <c:pt idx="38">
                  <c:v>3.3828</c:v>
                </c:pt>
                <c:pt idx="39">
                  <c:v>3.4827999999999997</c:v>
                </c:pt>
                <c:pt idx="40">
                  <c:v>2.8327999999999998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C6-497D-AB5B-C1BC7E1F7CB4}"/>
            </c:ext>
          </c:extLst>
        </c:ser>
        <c:ser>
          <c:idx val="1"/>
          <c:order val="1"/>
          <c:tx>
            <c:v>Small replacement teeth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6502546782272081E-2"/>
                  <c:y val="0.182606069341954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st'!$AX$6:$AX$10,'Tooth size Developmental st'!$AX$16:$AX$30,'Tooth size Developmental st'!$AX$36:$AX$55)</c:f>
              <c:numCache>
                <c:formatCode>General</c:formatCode>
                <c:ptCount val="40"/>
                <c:pt idx="0">
                  <c:v>0.1628</c:v>
                </c:pt>
                <c:pt idx="1">
                  <c:v>0.77280000000000004</c:v>
                </c:pt>
                <c:pt idx="2">
                  <c:v>0.53280000000000005</c:v>
                </c:pt>
                <c:pt idx="3">
                  <c:v>0.31280000000000002</c:v>
                </c:pt>
                <c:pt idx="4">
                  <c:v>0.56279999999999997</c:v>
                </c:pt>
                <c:pt idx="5">
                  <c:v>0.4728</c:v>
                </c:pt>
                <c:pt idx="6">
                  <c:v>0.95279999999999998</c:v>
                </c:pt>
                <c:pt idx="7">
                  <c:v>0.6028</c:v>
                </c:pt>
                <c:pt idx="8">
                  <c:v>1.2228000000000001</c:v>
                </c:pt>
                <c:pt idx="9">
                  <c:v>0.50280000000000002</c:v>
                </c:pt>
                <c:pt idx="10">
                  <c:v>0.93279999999999996</c:v>
                </c:pt>
                <c:pt idx="11">
                  <c:v>0.42280000000000001</c:v>
                </c:pt>
                <c:pt idx="12">
                  <c:v>1.0628000000000002</c:v>
                </c:pt>
                <c:pt idx="13">
                  <c:v>0.61280000000000001</c:v>
                </c:pt>
                <c:pt idx="14">
                  <c:v>0.2828</c:v>
                </c:pt>
                <c:pt idx="15">
                  <c:v>0.75280000000000002</c:v>
                </c:pt>
                <c:pt idx="16">
                  <c:v>0.20280000000000001</c:v>
                </c:pt>
                <c:pt idx="17">
                  <c:v>0.45279999999999998</c:v>
                </c:pt>
                <c:pt idx="19">
                  <c:v>0.33279999999999998</c:v>
                </c:pt>
                <c:pt idx="20">
                  <c:v>0.66279999999999994</c:v>
                </c:pt>
                <c:pt idx="21">
                  <c:v>0.82279999999999998</c:v>
                </c:pt>
                <c:pt idx="22">
                  <c:v>0.54279999999999995</c:v>
                </c:pt>
                <c:pt idx="23">
                  <c:v>0.1928</c:v>
                </c:pt>
                <c:pt idx="24">
                  <c:v>0.32279999999999998</c:v>
                </c:pt>
                <c:pt idx="25">
                  <c:v>0.56279999999999997</c:v>
                </c:pt>
                <c:pt idx="26">
                  <c:v>0.17280000000000001</c:v>
                </c:pt>
                <c:pt idx="27">
                  <c:v>0.45279999999999998</c:v>
                </c:pt>
                <c:pt idx="28">
                  <c:v>0.1628</c:v>
                </c:pt>
                <c:pt idx="29">
                  <c:v>0.46279999999999999</c:v>
                </c:pt>
                <c:pt idx="30">
                  <c:v>0.2828</c:v>
                </c:pt>
                <c:pt idx="31">
                  <c:v>0.92279999999999995</c:v>
                </c:pt>
                <c:pt idx="32">
                  <c:v>0.45279999999999998</c:v>
                </c:pt>
                <c:pt idx="33">
                  <c:v>0.83279999999999998</c:v>
                </c:pt>
                <c:pt idx="34">
                  <c:v>0.23280000000000001</c:v>
                </c:pt>
                <c:pt idx="35">
                  <c:v>0.53280000000000005</c:v>
                </c:pt>
                <c:pt idx="36">
                  <c:v>0.15279999999999999</c:v>
                </c:pt>
                <c:pt idx="37">
                  <c:v>0.43280000000000002</c:v>
                </c:pt>
                <c:pt idx="38">
                  <c:v>0.11280000000000001</c:v>
                </c:pt>
                <c:pt idx="39">
                  <c:v>0.30280000000000001</c:v>
                </c:pt>
              </c:numCache>
            </c:numRef>
          </c:xVal>
          <c:yVal>
            <c:numRef>
              <c:f>('Tooth size Developmental st'!$AW$6:$AW$10,'Tooth size Developmental st'!$AW$16:$AW$30,'Tooth size Developmental st'!$AW$36:$AW$55)</c:f>
              <c:numCache>
                <c:formatCode>0.00</c:formatCode>
                <c:ptCount val="40"/>
                <c:pt idx="0">
                  <c:v>0.25280000000000002</c:v>
                </c:pt>
                <c:pt idx="1">
                  <c:v>1.1528</c:v>
                </c:pt>
                <c:pt idx="2">
                  <c:v>1.0528000000000002</c:v>
                </c:pt>
                <c:pt idx="3">
                  <c:v>0.53280000000000005</c:v>
                </c:pt>
                <c:pt idx="4">
                  <c:v>0.99280000000000002</c:v>
                </c:pt>
                <c:pt idx="5">
                  <c:v>0.69279999999999997</c:v>
                </c:pt>
                <c:pt idx="6">
                  <c:v>1.8028000000000002</c:v>
                </c:pt>
                <c:pt idx="7">
                  <c:v>1.1028</c:v>
                </c:pt>
                <c:pt idx="8">
                  <c:v>2.8028</c:v>
                </c:pt>
                <c:pt idx="9">
                  <c:v>0.89280000000000004</c:v>
                </c:pt>
                <c:pt idx="10">
                  <c:v>1.8428000000000002</c:v>
                </c:pt>
                <c:pt idx="11">
                  <c:v>0.71279999999999999</c:v>
                </c:pt>
                <c:pt idx="12">
                  <c:v>2.1128</c:v>
                </c:pt>
                <c:pt idx="13">
                  <c:v>1.0028000000000001</c:v>
                </c:pt>
                <c:pt idx="14">
                  <c:v>0.46279999999999999</c:v>
                </c:pt>
                <c:pt idx="15">
                  <c:v>1.3928</c:v>
                </c:pt>
                <c:pt idx="16">
                  <c:v>0.36280000000000001</c:v>
                </c:pt>
                <c:pt idx="17">
                  <c:v>0.7228</c:v>
                </c:pt>
                <c:pt idx="19" formatCode="General">
                  <c:v>0.33279999999999998</c:v>
                </c:pt>
                <c:pt idx="20">
                  <c:v>1.4828000000000001</c:v>
                </c:pt>
                <c:pt idx="21">
                  <c:v>2.0728</c:v>
                </c:pt>
                <c:pt idx="22">
                  <c:v>1.0928000000000002</c:v>
                </c:pt>
                <c:pt idx="23">
                  <c:v>0.36280000000000001</c:v>
                </c:pt>
                <c:pt idx="24">
                  <c:v>0.63280000000000003</c:v>
                </c:pt>
                <c:pt idx="25">
                  <c:v>0.95279999999999998</c:v>
                </c:pt>
                <c:pt idx="26">
                  <c:v>0.17280000000000001</c:v>
                </c:pt>
                <c:pt idx="27">
                  <c:v>0.95279999999999998</c:v>
                </c:pt>
                <c:pt idx="28">
                  <c:v>0.1628</c:v>
                </c:pt>
                <c:pt idx="29">
                  <c:v>0.7228</c:v>
                </c:pt>
                <c:pt idx="30">
                  <c:v>0.45279999999999998</c:v>
                </c:pt>
                <c:pt idx="31">
                  <c:v>1.6128</c:v>
                </c:pt>
                <c:pt idx="32">
                  <c:v>0.80279999999999996</c:v>
                </c:pt>
                <c:pt idx="33">
                  <c:v>1.6928000000000001</c:v>
                </c:pt>
                <c:pt idx="34">
                  <c:v>0.30280000000000001</c:v>
                </c:pt>
                <c:pt idx="35">
                  <c:v>0.84279999999999999</c:v>
                </c:pt>
                <c:pt idx="36">
                  <c:v>0.15279999999999999</c:v>
                </c:pt>
                <c:pt idx="37">
                  <c:v>0.68279999999999996</c:v>
                </c:pt>
                <c:pt idx="38">
                  <c:v>0.11280000000000001</c:v>
                </c:pt>
                <c:pt idx="39">
                  <c:v>0.42280000000000001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C6-497D-AB5B-C1BC7E1F7CB4}"/>
            </c:ext>
          </c:extLst>
        </c:ser>
        <c:ser>
          <c:idx val="2"/>
          <c:order val="2"/>
          <c:tx>
            <c:v>medium functional teeth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0138845191891044"/>
                  <c:y val="7.7062818536131753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st'!$D$6:$D$10,'Tooth size Developmental st'!$D$17:$D$31,'Tooth size Developmental st'!$D$37:$D$56)</c:f>
              <c:numCache>
                <c:formatCode>0.00</c:formatCode>
                <c:ptCount val="40"/>
                <c:pt idx="0">
                  <c:v>2.4474999999999998</c:v>
                </c:pt>
                <c:pt idx="1">
                  <c:v>2.1575000000000002</c:v>
                </c:pt>
                <c:pt idx="2">
                  <c:v>2.9474999999999998</c:v>
                </c:pt>
                <c:pt idx="3">
                  <c:v>2.5375000000000001</c:v>
                </c:pt>
                <c:pt idx="4">
                  <c:v>2.6074999999999999</c:v>
                </c:pt>
                <c:pt idx="5">
                  <c:v>2.6074999999999999</c:v>
                </c:pt>
                <c:pt idx="6">
                  <c:v>3.5274999999999999</c:v>
                </c:pt>
                <c:pt idx="7">
                  <c:v>2.9474999999999998</c:v>
                </c:pt>
                <c:pt idx="8">
                  <c:v>2.6375000000000002</c:v>
                </c:pt>
                <c:pt idx="9">
                  <c:v>2.8174999999999999</c:v>
                </c:pt>
                <c:pt idx="10">
                  <c:v>3.3174999999999999</c:v>
                </c:pt>
                <c:pt idx="11">
                  <c:v>2.3174999999999999</c:v>
                </c:pt>
                <c:pt idx="12">
                  <c:v>2.7374999999999998</c:v>
                </c:pt>
                <c:pt idx="13">
                  <c:v>2.2974999999999999</c:v>
                </c:pt>
                <c:pt idx="14">
                  <c:v>3.2574999999999998</c:v>
                </c:pt>
                <c:pt idx="15">
                  <c:v>2.2974999999999999</c:v>
                </c:pt>
                <c:pt idx="16">
                  <c:v>3.0175000000000001</c:v>
                </c:pt>
                <c:pt idx="17">
                  <c:v>2.8174999999999999</c:v>
                </c:pt>
                <c:pt idx="18">
                  <c:v>2.1974999999999998</c:v>
                </c:pt>
                <c:pt idx="19">
                  <c:v>3.0674999999999999</c:v>
                </c:pt>
                <c:pt idx="20">
                  <c:v>2.1175000000000002</c:v>
                </c:pt>
                <c:pt idx="21">
                  <c:v>2.3875000000000002</c:v>
                </c:pt>
                <c:pt idx="22">
                  <c:v>3.1575000000000002</c:v>
                </c:pt>
                <c:pt idx="23">
                  <c:v>2.6575000000000002</c:v>
                </c:pt>
                <c:pt idx="24">
                  <c:v>2.1675</c:v>
                </c:pt>
                <c:pt idx="25">
                  <c:v>1.9175</c:v>
                </c:pt>
                <c:pt idx="26">
                  <c:v>1.7675000000000001</c:v>
                </c:pt>
                <c:pt idx="27">
                  <c:v>2.2774999999999999</c:v>
                </c:pt>
                <c:pt idx="28">
                  <c:v>0.95750000000000002</c:v>
                </c:pt>
                <c:pt idx="29">
                  <c:v>2.3075000000000001</c:v>
                </c:pt>
                <c:pt idx="30">
                  <c:v>1.6675</c:v>
                </c:pt>
                <c:pt idx="31">
                  <c:v>2.7974999999999999</c:v>
                </c:pt>
                <c:pt idx="32">
                  <c:v>2.1175000000000002</c:v>
                </c:pt>
                <c:pt idx="33">
                  <c:v>2.6575000000000002</c:v>
                </c:pt>
                <c:pt idx="34">
                  <c:v>3.0575000000000001</c:v>
                </c:pt>
                <c:pt idx="35">
                  <c:v>2.1575000000000002</c:v>
                </c:pt>
                <c:pt idx="36">
                  <c:v>2.7574999999999998</c:v>
                </c:pt>
                <c:pt idx="37">
                  <c:v>2.4874999999999998</c:v>
                </c:pt>
                <c:pt idx="38">
                  <c:v>2.5874999999999999</c:v>
                </c:pt>
                <c:pt idx="39">
                  <c:v>2.5175000000000001</c:v>
                </c:pt>
              </c:numCache>
            </c:numRef>
          </c:xVal>
          <c:yVal>
            <c:numRef>
              <c:f>('Tooth size Developmental st'!$C$6:$C$10,'Tooth size Developmental st'!$C$17:$C$31,'Tooth size Developmental st'!$C$37:$C$56)</c:f>
              <c:numCache>
                <c:formatCode>0.00</c:formatCode>
                <c:ptCount val="40"/>
                <c:pt idx="0">
                  <c:v>5.7075000000000005</c:v>
                </c:pt>
                <c:pt idx="1">
                  <c:v>5.1275000000000004</c:v>
                </c:pt>
                <c:pt idx="2">
                  <c:v>9.0274999999999999</c:v>
                </c:pt>
                <c:pt idx="3">
                  <c:v>11.4175</c:v>
                </c:pt>
                <c:pt idx="4">
                  <c:v>7.8175000000000008</c:v>
                </c:pt>
                <c:pt idx="5">
                  <c:v>8.0075000000000003</c:v>
                </c:pt>
                <c:pt idx="6">
                  <c:v>7.2875000000000005</c:v>
                </c:pt>
                <c:pt idx="7">
                  <c:v>12.297500000000001</c:v>
                </c:pt>
                <c:pt idx="8">
                  <c:v>9.9875000000000007</c:v>
                </c:pt>
                <c:pt idx="9">
                  <c:v>11.1875</c:v>
                </c:pt>
                <c:pt idx="10">
                  <c:v>9.6375000000000011</c:v>
                </c:pt>
                <c:pt idx="11">
                  <c:v>8.2475000000000005</c:v>
                </c:pt>
                <c:pt idx="12">
                  <c:v>9.0675000000000008</c:v>
                </c:pt>
                <c:pt idx="13">
                  <c:v>8.8674999999999997</c:v>
                </c:pt>
                <c:pt idx="14">
                  <c:v>10.307500000000001</c:v>
                </c:pt>
                <c:pt idx="15">
                  <c:v>6.9075000000000006</c:v>
                </c:pt>
                <c:pt idx="16">
                  <c:v>8.6974999999999998</c:v>
                </c:pt>
                <c:pt idx="17">
                  <c:v>7.4375</c:v>
                </c:pt>
                <c:pt idx="18">
                  <c:v>6.1675000000000004</c:v>
                </c:pt>
                <c:pt idx="19">
                  <c:v>5.7775000000000007</c:v>
                </c:pt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4.4975000000000005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0C6-497D-AB5B-C1BC7E1F7CB4}"/>
            </c:ext>
          </c:extLst>
        </c:ser>
        <c:ser>
          <c:idx val="4"/>
          <c:order val="3"/>
          <c:tx>
            <c:v>large functional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3.0637485133737777E-2"/>
                  <c:y val="7.632696396612152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st'!$X$6:$X$11,'Tooth size Developmental st'!$X$17:$X$31,'Tooth size Developmental st'!$X$37:$X$52)</c:f>
              <c:numCache>
                <c:formatCode>General</c:formatCode>
                <c:ptCount val="37"/>
                <c:pt idx="0">
                  <c:v>5.6550000000000002</c:v>
                </c:pt>
                <c:pt idx="1">
                  <c:v>8.0549999999999997</c:v>
                </c:pt>
                <c:pt idx="2">
                  <c:v>11.455</c:v>
                </c:pt>
                <c:pt idx="4">
                  <c:v>8.6449999999999996</c:v>
                </c:pt>
                <c:pt idx="6">
                  <c:v>7.2050000000000001</c:v>
                </c:pt>
                <c:pt idx="7">
                  <c:v>1.1850000000000001</c:v>
                </c:pt>
                <c:pt idx="8">
                  <c:v>5.4550000000000001</c:v>
                </c:pt>
                <c:pt idx="9">
                  <c:v>12.725</c:v>
                </c:pt>
                <c:pt idx="10">
                  <c:v>6.0250000000000004</c:v>
                </c:pt>
                <c:pt idx="11">
                  <c:v>8.8249999999999993</c:v>
                </c:pt>
                <c:pt idx="12">
                  <c:v>6.2250000000000005</c:v>
                </c:pt>
                <c:pt idx="13">
                  <c:v>6.2149999999999999</c:v>
                </c:pt>
                <c:pt idx="15">
                  <c:v>10.434999999999999</c:v>
                </c:pt>
                <c:pt idx="16">
                  <c:v>6.8550000000000004</c:v>
                </c:pt>
                <c:pt idx="17">
                  <c:v>7.7650000000000006</c:v>
                </c:pt>
                <c:pt idx="18">
                  <c:v>6.415</c:v>
                </c:pt>
                <c:pt idx="19">
                  <c:v>6.1749999999999998</c:v>
                </c:pt>
                <c:pt idx="20">
                  <c:v>4.5550000000000006</c:v>
                </c:pt>
                <c:pt idx="22">
                  <c:v>4.625</c:v>
                </c:pt>
                <c:pt idx="24">
                  <c:v>12.864999999999998</c:v>
                </c:pt>
                <c:pt idx="25">
                  <c:v>7.4249999999999998</c:v>
                </c:pt>
                <c:pt idx="26">
                  <c:v>5.5650000000000004</c:v>
                </c:pt>
                <c:pt idx="27">
                  <c:v>4.3849999999999998</c:v>
                </c:pt>
                <c:pt idx="28">
                  <c:v>4.2149999999999999</c:v>
                </c:pt>
                <c:pt idx="29">
                  <c:v>5.5650000000000004</c:v>
                </c:pt>
                <c:pt idx="30">
                  <c:v>4.5550000000000006</c:v>
                </c:pt>
                <c:pt idx="31">
                  <c:v>5.0250000000000004</c:v>
                </c:pt>
                <c:pt idx="32">
                  <c:v>9.4749999999999996</c:v>
                </c:pt>
                <c:pt idx="33">
                  <c:v>11.975</c:v>
                </c:pt>
                <c:pt idx="34">
                  <c:v>7.7050000000000001</c:v>
                </c:pt>
                <c:pt idx="35">
                  <c:v>6.9750000000000005</c:v>
                </c:pt>
                <c:pt idx="36">
                  <c:v>5.2650000000000006</c:v>
                </c:pt>
              </c:numCache>
            </c:numRef>
          </c:xVal>
          <c:yVal>
            <c:numRef>
              <c:f>('Tooth size Developmental st'!$W$6:$W$11,'Tooth size Developmental st'!$W$17:$W$31,'Tooth size Developmental st'!$W$37:$W$52)</c:f>
              <c:numCache>
                <c:formatCode>General</c:formatCode>
                <c:ptCount val="37"/>
                <c:pt idx="0">
                  <c:v>27.254999999999999</c:v>
                </c:pt>
                <c:pt idx="1">
                  <c:v>23.265000000000001</c:v>
                </c:pt>
                <c:pt idx="2">
                  <c:v>39.015000000000001</c:v>
                </c:pt>
                <c:pt idx="4">
                  <c:v>37.615000000000002</c:v>
                </c:pt>
                <c:pt idx="6">
                  <c:v>27.004999999999999</c:v>
                </c:pt>
                <c:pt idx="7">
                  <c:v>20.824999999999999</c:v>
                </c:pt>
                <c:pt idx="8">
                  <c:v>42.415000000000006</c:v>
                </c:pt>
                <c:pt idx="9">
                  <c:v>62.495000000000005</c:v>
                </c:pt>
                <c:pt idx="10">
                  <c:v>35.205000000000005</c:v>
                </c:pt>
                <c:pt idx="11">
                  <c:v>31.684999999999999</c:v>
                </c:pt>
                <c:pt idx="12">
                  <c:v>28.484999999999999</c:v>
                </c:pt>
                <c:pt idx="13">
                  <c:v>31.395</c:v>
                </c:pt>
                <c:pt idx="15">
                  <c:v>42.205000000000005</c:v>
                </c:pt>
                <c:pt idx="16">
                  <c:v>42.234999999999999</c:v>
                </c:pt>
                <c:pt idx="17">
                  <c:v>31.695</c:v>
                </c:pt>
                <c:pt idx="18">
                  <c:v>26.395</c:v>
                </c:pt>
                <c:pt idx="19">
                  <c:v>21.164999999999999</c:v>
                </c:pt>
                <c:pt idx="20">
                  <c:v>16.945</c:v>
                </c:pt>
                <c:pt idx="22">
                  <c:v>32.575000000000003</c:v>
                </c:pt>
                <c:pt idx="24">
                  <c:v>43.715000000000003</c:v>
                </c:pt>
                <c:pt idx="25">
                  <c:v>30.015000000000001</c:v>
                </c:pt>
                <c:pt idx="26">
                  <c:v>24.314999999999998</c:v>
                </c:pt>
                <c:pt idx="27">
                  <c:v>21.195</c:v>
                </c:pt>
                <c:pt idx="28">
                  <c:v>20.044999999999998</c:v>
                </c:pt>
                <c:pt idx="29">
                  <c:v>18.265000000000001</c:v>
                </c:pt>
                <c:pt idx="30">
                  <c:v>21.314999999999998</c:v>
                </c:pt>
                <c:pt idx="31">
                  <c:v>25.984999999999999</c:v>
                </c:pt>
                <c:pt idx="32">
                  <c:v>36.585000000000001</c:v>
                </c:pt>
                <c:pt idx="33">
                  <c:v>45.025000000000006</c:v>
                </c:pt>
                <c:pt idx="34">
                  <c:v>38.215000000000003</c:v>
                </c:pt>
                <c:pt idx="35">
                  <c:v>28.035</c:v>
                </c:pt>
                <c:pt idx="36">
                  <c:v>26.125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0C6-497D-AB5B-C1BC7E1F7CB4}"/>
            </c:ext>
          </c:extLst>
        </c:ser>
        <c:ser>
          <c:idx val="5"/>
          <c:order val="4"/>
          <c:tx>
            <c:v>large replacement teeth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6.565321484505951E-2"/>
                  <c:y val="8.741624185834687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st'!$AD$6:$AD$10,'Tooth size Developmental st'!$AD$17:$AD$31,'Tooth size Developmental st'!$AD$37:$AD$52)</c:f>
              <c:numCache>
                <c:formatCode>General</c:formatCode>
                <c:ptCount val="36"/>
                <c:pt idx="1">
                  <c:v>3.145</c:v>
                </c:pt>
                <c:pt idx="2">
                  <c:v>4.7949999999999999</c:v>
                </c:pt>
                <c:pt idx="4">
                  <c:v>2.9650000000000003</c:v>
                </c:pt>
                <c:pt idx="5">
                  <c:v>3.915</c:v>
                </c:pt>
                <c:pt idx="10">
                  <c:v>2.0550000000000002</c:v>
                </c:pt>
                <c:pt idx="11">
                  <c:v>1.7849999999999999</c:v>
                </c:pt>
                <c:pt idx="12">
                  <c:v>0.95499999999999985</c:v>
                </c:pt>
                <c:pt idx="14">
                  <c:v>4.2250000000000005</c:v>
                </c:pt>
                <c:pt idx="15">
                  <c:v>1.4350000000000001</c:v>
                </c:pt>
                <c:pt idx="16">
                  <c:v>2.9050000000000002</c:v>
                </c:pt>
                <c:pt idx="17">
                  <c:v>1.6850000000000001</c:v>
                </c:pt>
                <c:pt idx="21">
                  <c:v>1.175</c:v>
                </c:pt>
                <c:pt idx="23">
                  <c:v>4.5650000000000004</c:v>
                </c:pt>
                <c:pt idx="24">
                  <c:v>2.5050000000000003</c:v>
                </c:pt>
                <c:pt idx="25">
                  <c:v>3.1150000000000002</c:v>
                </c:pt>
                <c:pt idx="26">
                  <c:v>1.135</c:v>
                </c:pt>
                <c:pt idx="27">
                  <c:v>1.8749999999999998</c:v>
                </c:pt>
                <c:pt idx="28">
                  <c:v>3.3650000000000002</c:v>
                </c:pt>
                <c:pt idx="29">
                  <c:v>1.5449999999999999</c:v>
                </c:pt>
                <c:pt idx="31">
                  <c:v>2.3450000000000002</c:v>
                </c:pt>
                <c:pt idx="32">
                  <c:v>3.9249999999999998</c:v>
                </c:pt>
                <c:pt idx="34">
                  <c:v>3.4750000000000001</c:v>
                </c:pt>
                <c:pt idx="35">
                  <c:v>0.98499999999999988</c:v>
                </c:pt>
              </c:numCache>
            </c:numRef>
          </c:xVal>
          <c:yVal>
            <c:numRef>
              <c:f>('Tooth size Developmental st'!$AC$6:$AC$10,'Tooth size Developmental st'!$AC$17:$AC$31,'Tooth size Developmental st'!$AC$37:$AC$52)</c:f>
              <c:numCache>
                <c:formatCode>General</c:formatCode>
                <c:ptCount val="36"/>
                <c:pt idx="1">
                  <c:v>7.955000000000001</c:v>
                </c:pt>
                <c:pt idx="2">
                  <c:v>13.364999999999998</c:v>
                </c:pt>
                <c:pt idx="4">
                  <c:v>6.5049999999999999</c:v>
                </c:pt>
                <c:pt idx="5">
                  <c:v>8.9849999999999994</c:v>
                </c:pt>
                <c:pt idx="10">
                  <c:v>7.4649999999999999</c:v>
                </c:pt>
                <c:pt idx="11">
                  <c:v>3.0050000000000003</c:v>
                </c:pt>
                <c:pt idx="12">
                  <c:v>1.2349999999999999</c:v>
                </c:pt>
                <c:pt idx="14">
                  <c:v>11.604999999999999</c:v>
                </c:pt>
                <c:pt idx="15">
                  <c:v>2.1750000000000003</c:v>
                </c:pt>
                <c:pt idx="16">
                  <c:v>5.3250000000000002</c:v>
                </c:pt>
                <c:pt idx="17">
                  <c:v>2.2050000000000001</c:v>
                </c:pt>
                <c:pt idx="21">
                  <c:v>1.9349999999999998</c:v>
                </c:pt>
                <c:pt idx="23">
                  <c:v>28.654999999999998</c:v>
                </c:pt>
                <c:pt idx="24">
                  <c:v>5.8050000000000006</c:v>
                </c:pt>
                <c:pt idx="25">
                  <c:v>6.2250000000000005</c:v>
                </c:pt>
                <c:pt idx="26">
                  <c:v>2.0150000000000001</c:v>
                </c:pt>
                <c:pt idx="27">
                  <c:v>3.5450000000000004</c:v>
                </c:pt>
                <c:pt idx="28">
                  <c:v>7.3849999999999998</c:v>
                </c:pt>
                <c:pt idx="29">
                  <c:v>2.5050000000000003</c:v>
                </c:pt>
                <c:pt idx="31">
                  <c:v>5.3550000000000004</c:v>
                </c:pt>
                <c:pt idx="32">
                  <c:v>13.045</c:v>
                </c:pt>
                <c:pt idx="34">
                  <c:v>8.8649999999999984</c:v>
                </c:pt>
                <c:pt idx="35">
                  <c:v>1.4849999999999999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0C6-497D-AB5B-C1BC7E1F7CB4}"/>
            </c:ext>
          </c:extLst>
        </c:ser>
        <c:ser>
          <c:idx val="3"/>
          <c:order val="5"/>
          <c:tx>
            <c:v>medium replacement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9271072607110568"/>
                  <c:y val="8.523223446839281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92D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('Tooth size Developmental st'!$J$6:$J$10,'Tooth size Developmental st'!$J$17:$J$31,'Tooth size Developmental st'!$J$37:$J$56)</c:f>
              <c:numCache>
                <c:formatCode>0.00</c:formatCode>
                <c:ptCount val="40"/>
                <c:pt idx="0">
                  <c:v>0.62749999999999995</c:v>
                </c:pt>
                <c:pt idx="1">
                  <c:v>0.91749999999999998</c:v>
                </c:pt>
                <c:pt idx="2">
                  <c:v>1.0375000000000001</c:v>
                </c:pt>
                <c:pt idx="3">
                  <c:v>0.91749999999999998</c:v>
                </c:pt>
                <c:pt idx="4">
                  <c:v>1.3774999999999999</c:v>
                </c:pt>
                <c:pt idx="5">
                  <c:v>0.67749999999999999</c:v>
                </c:pt>
                <c:pt idx="6">
                  <c:v>2.0074999999999998</c:v>
                </c:pt>
                <c:pt idx="7">
                  <c:v>1.0375000000000001</c:v>
                </c:pt>
                <c:pt idx="8">
                  <c:v>0.48749999999999993</c:v>
                </c:pt>
                <c:pt idx="9">
                  <c:v>0.92749999999999999</c:v>
                </c:pt>
                <c:pt idx="10">
                  <c:v>1.3574999999999999</c:v>
                </c:pt>
                <c:pt idx="11">
                  <c:v>0.58750000000000002</c:v>
                </c:pt>
                <c:pt idx="12">
                  <c:v>1.2875000000000001</c:v>
                </c:pt>
                <c:pt idx="13">
                  <c:v>0.5575</c:v>
                </c:pt>
                <c:pt idx="14">
                  <c:v>1.2375</c:v>
                </c:pt>
                <c:pt idx="15">
                  <c:v>0.2475</c:v>
                </c:pt>
                <c:pt idx="16">
                  <c:v>0.8175</c:v>
                </c:pt>
                <c:pt idx="17">
                  <c:v>1.1074999999999999</c:v>
                </c:pt>
                <c:pt idx="18">
                  <c:v>0.41749999999999998</c:v>
                </c:pt>
                <c:pt idx="19">
                  <c:v>0.41749999999999998</c:v>
                </c:pt>
                <c:pt idx="21">
                  <c:v>0.42749999999999999</c:v>
                </c:pt>
                <c:pt idx="22">
                  <c:v>1.4775</c:v>
                </c:pt>
                <c:pt idx="23">
                  <c:v>0.76749999999999996</c:v>
                </c:pt>
                <c:pt idx="24">
                  <c:v>0.94750000000000001</c:v>
                </c:pt>
                <c:pt idx="25">
                  <c:v>0.38749999999999996</c:v>
                </c:pt>
                <c:pt idx="26">
                  <c:v>1.0474999999999999</c:v>
                </c:pt>
                <c:pt idx="27">
                  <c:v>0.59750000000000003</c:v>
                </c:pt>
                <c:pt idx="28">
                  <c:v>0.16749999999999998</c:v>
                </c:pt>
                <c:pt idx="29">
                  <c:v>0.66749999999999998</c:v>
                </c:pt>
                <c:pt idx="30">
                  <c:v>0.32749999999999996</c:v>
                </c:pt>
                <c:pt idx="31">
                  <c:v>1.1875</c:v>
                </c:pt>
                <c:pt idx="32">
                  <c:v>0.19750000000000001</c:v>
                </c:pt>
                <c:pt idx="33">
                  <c:v>0.8175</c:v>
                </c:pt>
                <c:pt idx="34">
                  <c:v>1.3674999999999999</c:v>
                </c:pt>
                <c:pt idx="35">
                  <c:v>0.39749999999999996</c:v>
                </c:pt>
                <c:pt idx="36">
                  <c:v>0.72750000000000004</c:v>
                </c:pt>
                <c:pt idx="37">
                  <c:v>1.3274999999999999</c:v>
                </c:pt>
                <c:pt idx="38">
                  <c:v>0.51749999999999996</c:v>
                </c:pt>
                <c:pt idx="39">
                  <c:v>1.0275000000000001</c:v>
                </c:pt>
              </c:numCache>
            </c:numRef>
          </c:xVal>
          <c:yVal>
            <c:numRef>
              <c:f>('Tooth size Developmental st'!$I$6:$I$10,'Tooth size Developmental st'!$I$17:$I$31,'Tooth size Developmental st'!$I$37:$I$56)</c:f>
              <c:numCache>
                <c:formatCode>0.00</c:formatCode>
                <c:ptCount val="40"/>
                <c:pt idx="0">
                  <c:v>1.2775000000000001</c:v>
                </c:pt>
                <c:pt idx="1">
                  <c:v>2.1875</c:v>
                </c:pt>
                <c:pt idx="2">
                  <c:v>3.0175000000000001</c:v>
                </c:pt>
                <c:pt idx="3">
                  <c:v>2.2675000000000001</c:v>
                </c:pt>
                <c:pt idx="4">
                  <c:v>2.8275000000000001</c:v>
                </c:pt>
                <c:pt idx="5">
                  <c:v>2.0074999999999998</c:v>
                </c:pt>
                <c:pt idx="6">
                  <c:v>5.7975000000000003</c:v>
                </c:pt>
                <c:pt idx="7">
                  <c:v>3.3075000000000001</c:v>
                </c:pt>
                <c:pt idx="8">
                  <c:v>1.6375</c:v>
                </c:pt>
                <c:pt idx="9">
                  <c:v>2.4175</c:v>
                </c:pt>
                <c:pt idx="10">
                  <c:v>3.1274999999999999</c:v>
                </c:pt>
                <c:pt idx="11">
                  <c:v>1.2375</c:v>
                </c:pt>
                <c:pt idx="12">
                  <c:v>2.7675000000000001</c:v>
                </c:pt>
                <c:pt idx="13">
                  <c:v>1.2775000000000001</c:v>
                </c:pt>
                <c:pt idx="14">
                  <c:v>2.8875000000000002</c:v>
                </c:pt>
                <c:pt idx="15">
                  <c:v>0.77749999999999997</c:v>
                </c:pt>
                <c:pt idx="16">
                  <c:v>1.6675</c:v>
                </c:pt>
                <c:pt idx="17">
                  <c:v>2.0674999999999999</c:v>
                </c:pt>
                <c:pt idx="18">
                  <c:v>0.77749999999999997</c:v>
                </c:pt>
                <c:pt idx="19">
                  <c:v>1.6074999999999999</c:v>
                </c:pt>
                <c:pt idx="20">
                  <c:v>3.1675</c:v>
                </c:pt>
                <c:pt idx="21">
                  <c:v>1.7175</c:v>
                </c:pt>
                <c:pt idx="22">
                  <c:v>4.5175000000000001</c:v>
                </c:pt>
                <c:pt idx="23">
                  <c:v>2.2675000000000001</c:v>
                </c:pt>
                <c:pt idx="24">
                  <c:v>2.0674999999999999</c:v>
                </c:pt>
                <c:pt idx="25">
                  <c:v>0.87749999999999995</c:v>
                </c:pt>
                <c:pt idx="26">
                  <c:v>2.2075</c:v>
                </c:pt>
                <c:pt idx="27">
                  <c:v>1.1475</c:v>
                </c:pt>
                <c:pt idx="28">
                  <c:v>0.28749999999999998</c:v>
                </c:pt>
                <c:pt idx="29">
                  <c:v>1.3975</c:v>
                </c:pt>
                <c:pt idx="30">
                  <c:v>0.75749999999999995</c:v>
                </c:pt>
                <c:pt idx="31">
                  <c:v>2.5874999999999999</c:v>
                </c:pt>
                <c:pt idx="32">
                  <c:v>0.5675</c:v>
                </c:pt>
                <c:pt idx="33">
                  <c:v>1.6174999999999999</c:v>
                </c:pt>
                <c:pt idx="34">
                  <c:v>2.6274999999999999</c:v>
                </c:pt>
                <c:pt idx="35">
                  <c:v>0.61749999999999994</c:v>
                </c:pt>
                <c:pt idx="36">
                  <c:v>1.1875</c:v>
                </c:pt>
                <c:pt idx="37">
                  <c:v>2.7075</c:v>
                </c:pt>
                <c:pt idx="38">
                  <c:v>0.90749999999999997</c:v>
                </c:pt>
                <c:pt idx="39">
                  <c:v>1.6274999999999999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0C6-497D-AB5B-C1BC7E1F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  <c:max val="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crown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tooth height vs. central axis height all teeth</a:t>
            </a:r>
          </a:p>
        </c:rich>
      </c:tx>
      <c:layout>
        <c:manualLayout>
          <c:xMode val="edge"/>
          <c:yMode val="edge"/>
          <c:x val="0.36390411539690193"/>
          <c:y val="1.9087349639167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Crown height by apicobasal height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9582155863091158"/>
                  <c:y val="1.905832488764476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'Tooth size Developmental st'!$D$237:$D$459</c:f>
              <c:numCache>
                <c:formatCode>General</c:formatCode>
                <c:ptCount val="223"/>
                <c:pt idx="0">
                  <c:v>2.4474999999999998</c:v>
                </c:pt>
                <c:pt idx="1">
                  <c:v>2.1575000000000002</c:v>
                </c:pt>
                <c:pt idx="2">
                  <c:v>2.9474999999999998</c:v>
                </c:pt>
                <c:pt idx="3">
                  <c:v>2.5375000000000001</c:v>
                </c:pt>
                <c:pt idx="4">
                  <c:v>2.6074999999999999</c:v>
                </c:pt>
                <c:pt idx="5">
                  <c:v>2.6074999999999999</c:v>
                </c:pt>
                <c:pt idx="6">
                  <c:v>3.5274999999999999</c:v>
                </c:pt>
                <c:pt idx="7">
                  <c:v>2.9474999999999998</c:v>
                </c:pt>
                <c:pt idx="8">
                  <c:v>2.6375000000000002</c:v>
                </c:pt>
                <c:pt idx="9">
                  <c:v>2.8174999999999999</c:v>
                </c:pt>
                <c:pt idx="10">
                  <c:v>3.3174999999999999</c:v>
                </c:pt>
                <c:pt idx="11">
                  <c:v>2.3174999999999999</c:v>
                </c:pt>
                <c:pt idx="12">
                  <c:v>2.7374999999999998</c:v>
                </c:pt>
                <c:pt idx="13">
                  <c:v>2.2974999999999999</c:v>
                </c:pt>
                <c:pt idx="14">
                  <c:v>3.2574999999999998</c:v>
                </c:pt>
                <c:pt idx="15">
                  <c:v>2.2974999999999999</c:v>
                </c:pt>
                <c:pt idx="16">
                  <c:v>3.0175000000000001</c:v>
                </c:pt>
                <c:pt idx="17">
                  <c:v>2.8174999999999999</c:v>
                </c:pt>
                <c:pt idx="18">
                  <c:v>2.1974999999999998</c:v>
                </c:pt>
                <c:pt idx="19">
                  <c:v>3.0674999999999999</c:v>
                </c:pt>
                <c:pt idx="20">
                  <c:v>2.1175000000000002</c:v>
                </c:pt>
                <c:pt idx="21">
                  <c:v>2.3875000000000002</c:v>
                </c:pt>
                <c:pt idx="22">
                  <c:v>3.1575000000000002</c:v>
                </c:pt>
                <c:pt idx="23">
                  <c:v>2.6575000000000002</c:v>
                </c:pt>
                <c:pt idx="24">
                  <c:v>2.1675</c:v>
                </c:pt>
                <c:pt idx="25">
                  <c:v>1.9175</c:v>
                </c:pt>
                <c:pt idx="26">
                  <c:v>1.7675000000000001</c:v>
                </c:pt>
                <c:pt idx="27">
                  <c:v>2.2774999999999999</c:v>
                </c:pt>
                <c:pt idx="28">
                  <c:v>0.95750000000000002</c:v>
                </c:pt>
                <c:pt idx="29">
                  <c:v>2.3075000000000001</c:v>
                </c:pt>
                <c:pt idx="30">
                  <c:v>1.6675</c:v>
                </c:pt>
                <c:pt idx="31">
                  <c:v>2.7974999999999999</c:v>
                </c:pt>
                <c:pt idx="32">
                  <c:v>2.1175000000000002</c:v>
                </c:pt>
                <c:pt idx="33">
                  <c:v>2.6575000000000002</c:v>
                </c:pt>
                <c:pt idx="34">
                  <c:v>3.0575000000000001</c:v>
                </c:pt>
                <c:pt idx="35">
                  <c:v>2.1575000000000002</c:v>
                </c:pt>
                <c:pt idx="36">
                  <c:v>2.7574999999999998</c:v>
                </c:pt>
                <c:pt idx="37">
                  <c:v>2.4874999999999998</c:v>
                </c:pt>
                <c:pt idx="38">
                  <c:v>2.5874999999999999</c:v>
                </c:pt>
                <c:pt idx="39">
                  <c:v>2.5175000000000001</c:v>
                </c:pt>
                <c:pt idx="40">
                  <c:v>0.62749999999999995</c:v>
                </c:pt>
                <c:pt idx="41">
                  <c:v>0.91749999999999998</c:v>
                </c:pt>
                <c:pt idx="42">
                  <c:v>1.0375000000000001</c:v>
                </c:pt>
                <c:pt idx="43">
                  <c:v>0.91749999999999998</c:v>
                </c:pt>
                <c:pt idx="44">
                  <c:v>1.3774999999999999</c:v>
                </c:pt>
                <c:pt idx="45">
                  <c:v>0.67749999999999999</c:v>
                </c:pt>
                <c:pt idx="46">
                  <c:v>2.0074999999999998</c:v>
                </c:pt>
                <c:pt idx="47">
                  <c:v>1.0375000000000001</c:v>
                </c:pt>
                <c:pt idx="48">
                  <c:v>0.48749999999999993</c:v>
                </c:pt>
                <c:pt idx="49">
                  <c:v>0.92749999999999999</c:v>
                </c:pt>
                <c:pt idx="50">
                  <c:v>1.3574999999999999</c:v>
                </c:pt>
                <c:pt idx="51">
                  <c:v>0.58750000000000002</c:v>
                </c:pt>
                <c:pt idx="52">
                  <c:v>1.2875000000000001</c:v>
                </c:pt>
                <c:pt idx="53">
                  <c:v>0.5575</c:v>
                </c:pt>
                <c:pt idx="54">
                  <c:v>1.2375</c:v>
                </c:pt>
                <c:pt idx="55">
                  <c:v>0.2475</c:v>
                </c:pt>
                <c:pt idx="56">
                  <c:v>0.8175</c:v>
                </c:pt>
                <c:pt idx="57">
                  <c:v>1.1074999999999999</c:v>
                </c:pt>
                <c:pt idx="58">
                  <c:v>0.41749999999999998</c:v>
                </c:pt>
                <c:pt idx="59">
                  <c:v>0.41749999999999998</c:v>
                </c:pt>
                <c:pt idx="61">
                  <c:v>0.42749999999999999</c:v>
                </c:pt>
                <c:pt idx="62">
                  <c:v>1.4775</c:v>
                </c:pt>
                <c:pt idx="63">
                  <c:v>0.76749999999999996</c:v>
                </c:pt>
                <c:pt idx="64">
                  <c:v>0.94750000000000001</c:v>
                </c:pt>
                <c:pt idx="65">
                  <c:v>0.38749999999999996</c:v>
                </c:pt>
                <c:pt idx="66">
                  <c:v>1.0474999999999999</c:v>
                </c:pt>
                <c:pt idx="67">
                  <c:v>0.59750000000000003</c:v>
                </c:pt>
                <c:pt idx="68">
                  <c:v>0.16749999999999998</c:v>
                </c:pt>
                <c:pt idx="69">
                  <c:v>0.66749999999999998</c:v>
                </c:pt>
                <c:pt idx="70">
                  <c:v>0.32749999999999996</c:v>
                </c:pt>
                <c:pt idx="71">
                  <c:v>1.1875</c:v>
                </c:pt>
                <c:pt idx="72">
                  <c:v>0.19750000000000001</c:v>
                </c:pt>
                <c:pt idx="73">
                  <c:v>0.8175</c:v>
                </c:pt>
                <c:pt idx="74">
                  <c:v>1.3674999999999999</c:v>
                </c:pt>
                <c:pt idx="75">
                  <c:v>0.39749999999999996</c:v>
                </c:pt>
                <c:pt idx="76">
                  <c:v>0.72750000000000004</c:v>
                </c:pt>
                <c:pt idx="77">
                  <c:v>1.3274999999999999</c:v>
                </c:pt>
                <c:pt idx="78">
                  <c:v>0.51749999999999996</c:v>
                </c:pt>
                <c:pt idx="79">
                  <c:v>1.0275000000000001</c:v>
                </c:pt>
                <c:pt idx="80">
                  <c:v>0.11750000000000001</c:v>
                </c:pt>
                <c:pt idx="81">
                  <c:v>0.32749999999999996</c:v>
                </c:pt>
                <c:pt idx="82">
                  <c:v>5.7500000000000009E-2</c:v>
                </c:pt>
                <c:pt idx="83">
                  <c:v>0.1075</c:v>
                </c:pt>
                <c:pt idx="84">
                  <c:v>5.6550000000000002</c:v>
                </c:pt>
                <c:pt idx="85">
                  <c:v>8.0549999999999997</c:v>
                </c:pt>
                <c:pt idx="86">
                  <c:v>11.455</c:v>
                </c:pt>
                <c:pt idx="87">
                  <c:v>8.6449999999999996</c:v>
                </c:pt>
                <c:pt idx="88">
                  <c:v>7.2050000000000001</c:v>
                </c:pt>
                <c:pt idx="89">
                  <c:v>1.1850000000000001</c:v>
                </c:pt>
                <c:pt idx="90">
                  <c:v>5.4550000000000001</c:v>
                </c:pt>
                <c:pt idx="91">
                  <c:v>12.725</c:v>
                </c:pt>
                <c:pt idx="92">
                  <c:v>6.0250000000000004</c:v>
                </c:pt>
                <c:pt idx="93">
                  <c:v>8.8249999999999993</c:v>
                </c:pt>
                <c:pt idx="94">
                  <c:v>6.2250000000000005</c:v>
                </c:pt>
                <c:pt idx="95">
                  <c:v>6.2149999999999999</c:v>
                </c:pt>
                <c:pt idx="96">
                  <c:v>10.434999999999999</c:v>
                </c:pt>
                <c:pt idx="97">
                  <c:v>6.8550000000000004</c:v>
                </c:pt>
                <c:pt idx="98">
                  <c:v>7.7650000000000006</c:v>
                </c:pt>
                <c:pt idx="99">
                  <c:v>6.415</c:v>
                </c:pt>
                <c:pt idx="100">
                  <c:v>6.1749999999999998</c:v>
                </c:pt>
                <c:pt idx="101">
                  <c:v>4.5550000000000006</c:v>
                </c:pt>
                <c:pt idx="102">
                  <c:v>4.625</c:v>
                </c:pt>
                <c:pt idx="103">
                  <c:v>12.864999999999998</c:v>
                </c:pt>
                <c:pt idx="104">
                  <c:v>7.4249999999999998</c:v>
                </c:pt>
                <c:pt idx="105">
                  <c:v>5.5650000000000004</c:v>
                </c:pt>
                <c:pt idx="106">
                  <c:v>4.3849999999999998</c:v>
                </c:pt>
                <c:pt idx="107">
                  <c:v>4.2149999999999999</c:v>
                </c:pt>
                <c:pt idx="108">
                  <c:v>5.5650000000000004</c:v>
                </c:pt>
                <c:pt idx="109">
                  <c:v>4.5550000000000006</c:v>
                </c:pt>
                <c:pt idx="110">
                  <c:v>5.0250000000000004</c:v>
                </c:pt>
                <c:pt idx="111">
                  <c:v>9.4749999999999996</c:v>
                </c:pt>
                <c:pt idx="112">
                  <c:v>11.975</c:v>
                </c:pt>
                <c:pt idx="113">
                  <c:v>7.7050000000000001</c:v>
                </c:pt>
                <c:pt idx="114">
                  <c:v>6.9750000000000005</c:v>
                </c:pt>
                <c:pt idx="115">
                  <c:v>5.2650000000000006</c:v>
                </c:pt>
                <c:pt idx="116">
                  <c:v>3.145</c:v>
                </c:pt>
                <c:pt idx="117">
                  <c:v>4.7949999999999999</c:v>
                </c:pt>
                <c:pt idx="118">
                  <c:v>2.9650000000000003</c:v>
                </c:pt>
                <c:pt idx="119">
                  <c:v>3.915</c:v>
                </c:pt>
                <c:pt idx="120">
                  <c:v>2.0550000000000002</c:v>
                </c:pt>
                <c:pt idx="121">
                  <c:v>1.7849999999999999</c:v>
                </c:pt>
                <c:pt idx="122">
                  <c:v>0.95499999999999985</c:v>
                </c:pt>
                <c:pt idx="123">
                  <c:v>4.2250000000000005</c:v>
                </c:pt>
                <c:pt idx="124">
                  <c:v>1.4350000000000001</c:v>
                </c:pt>
                <c:pt idx="125">
                  <c:v>2.9050000000000002</c:v>
                </c:pt>
                <c:pt idx="126">
                  <c:v>1.6850000000000001</c:v>
                </c:pt>
                <c:pt idx="127">
                  <c:v>1.175</c:v>
                </c:pt>
                <c:pt idx="128">
                  <c:v>4.5650000000000004</c:v>
                </c:pt>
                <c:pt idx="129">
                  <c:v>2.5050000000000003</c:v>
                </c:pt>
                <c:pt idx="130">
                  <c:v>3.1150000000000002</c:v>
                </c:pt>
                <c:pt idx="131">
                  <c:v>1.135</c:v>
                </c:pt>
                <c:pt idx="132">
                  <c:v>1.8749999999999998</c:v>
                </c:pt>
                <c:pt idx="133">
                  <c:v>3.3650000000000002</c:v>
                </c:pt>
                <c:pt idx="134">
                  <c:v>1.5449999999999999</c:v>
                </c:pt>
                <c:pt idx="135">
                  <c:v>2.3450000000000002</c:v>
                </c:pt>
                <c:pt idx="136">
                  <c:v>3.9249999999999998</c:v>
                </c:pt>
                <c:pt idx="137">
                  <c:v>3.4750000000000001</c:v>
                </c:pt>
                <c:pt idx="138">
                  <c:v>0.98499999999999988</c:v>
                </c:pt>
                <c:pt idx="139">
                  <c:v>0.57499999999999996</c:v>
                </c:pt>
                <c:pt idx="140">
                  <c:v>1.595</c:v>
                </c:pt>
                <c:pt idx="141">
                  <c:v>0.42499999999999999</c:v>
                </c:pt>
                <c:pt idx="142">
                  <c:v>1.4328000000000001</c:v>
                </c:pt>
                <c:pt idx="143">
                  <c:v>1.7728000000000002</c:v>
                </c:pt>
                <c:pt idx="144">
                  <c:v>1.7928000000000002</c:v>
                </c:pt>
                <c:pt idx="145">
                  <c:v>1.4328000000000001</c:v>
                </c:pt>
                <c:pt idx="146">
                  <c:v>1.7628000000000001</c:v>
                </c:pt>
                <c:pt idx="147">
                  <c:v>1.6928000000000001</c:v>
                </c:pt>
                <c:pt idx="148">
                  <c:v>2.4327999999999999</c:v>
                </c:pt>
                <c:pt idx="149">
                  <c:v>1.7928000000000002</c:v>
                </c:pt>
                <c:pt idx="150">
                  <c:v>2.5127999999999999</c:v>
                </c:pt>
                <c:pt idx="151">
                  <c:v>1.8328000000000002</c:v>
                </c:pt>
                <c:pt idx="152">
                  <c:v>2.1928000000000001</c:v>
                </c:pt>
                <c:pt idx="153">
                  <c:v>2.0627999999999997</c:v>
                </c:pt>
                <c:pt idx="154">
                  <c:v>2.1027999999999998</c:v>
                </c:pt>
                <c:pt idx="155">
                  <c:v>2.2827999999999999</c:v>
                </c:pt>
                <c:pt idx="156">
                  <c:v>1.3528</c:v>
                </c:pt>
                <c:pt idx="157">
                  <c:v>2.3028</c:v>
                </c:pt>
                <c:pt idx="158">
                  <c:v>1.5628000000000002</c:v>
                </c:pt>
                <c:pt idx="159">
                  <c:v>2.0528</c:v>
                </c:pt>
                <c:pt idx="160">
                  <c:v>1.3528</c:v>
                </c:pt>
                <c:pt idx="161">
                  <c:v>1.7528000000000001</c:v>
                </c:pt>
                <c:pt idx="162">
                  <c:v>0.68279999999999996</c:v>
                </c:pt>
                <c:pt idx="163">
                  <c:v>2.1427999999999998</c:v>
                </c:pt>
                <c:pt idx="164">
                  <c:v>1.6228</c:v>
                </c:pt>
                <c:pt idx="165">
                  <c:v>1.8428000000000002</c:v>
                </c:pt>
                <c:pt idx="166">
                  <c:v>1.2328000000000001</c:v>
                </c:pt>
                <c:pt idx="167">
                  <c:v>1.5728000000000002</c:v>
                </c:pt>
                <c:pt idx="168">
                  <c:v>1.9228000000000001</c:v>
                </c:pt>
                <c:pt idx="169">
                  <c:v>1.0828000000000002</c:v>
                </c:pt>
                <c:pt idx="170">
                  <c:v>1.7028000000000001</c:v>
                </c:pt>
                <c:pt idx="171">
                  <c:v>1.1128</c:v>
                </c:pt>
                <c:pt idx="172">
                  <c:v>1.8128000000000002</c:v>
                </c:pt>
                <c:pt idx="173">
                  <c:v>1.4928000000000001</c:v>
                </c:pt>
                <c:pt idx="174">
                  <c:v>2.1328</c:v>
                </c:pt>
                <c:pt idx="175">
                  <c:v>1.8128000000000002</c:v>
                </c:pt>
                <c:pt idx="176">
                  <c:v>2.2827999999999999</c:v>
                </c:pt>
                <c:pt idx="177">
                  <c:v>1.5728000000000002</c:v>
                </c:pt>
                <c:pt idx="178">
                  <c:v>2.0427999999999997</c:v>
                </c:pt>
                <c:pt idx="179">
                  <c:v>1.4128000000000001</c:v>
                </c:pt>
                <c:pt idx="180">
                  <c:v>1.8628</c:v>
                </c:pt>
                <c:pt idx="181">
                  <c:v>1.6428</c:v>
                </c:pt>
                <c:pt idx="182">
                  <c:v>2.8327999999999998</c:v>
                </c:pt>
                <c:pt idx="183">
                  <c:v>0.1628</c:v>
                </c:pt>
                <c:pt idx="184">
                  <c:v>0.77280000000000004</c:v>
                </c:pt>
                <c:pt idx="185">
                  <c:v>0.53280000000000005</c:v>
                </c:pt>
                <c:pt idx="186">
                  <c:v>0.31280000000000002</c:v>
                </c:pt>
                <c:pt idx="187">
                  <c:v>0.56279999999999997</c:v>
                </c:pt>
                <c:pt idx="188">
                  <c:v>0.4728</c:v>
                </c:pt>
                <c:pt idx="189">
                  <c:v>0.95279999999999998</c:v>
                </c:pt>
                <c:pt idx="190">
                  <c:v>0.6028</c:v>
                </c:pt>
                <c:pt idx="191">
                  <c:v>1.2228000000000001</c:v>
                </c:pt>
                <c:pt idx="192">
                  <c:v>0.50280000000000002</c:v>
                </c:pt>
                <c:pt idx="193">
                  <c:v>0.93279999999999996</c:v>
                </c:pt>
                <c:pt idx="194">
                  <c:v>0.42280000000000001</c:v>
                </c:pt>
                <c:pt idx="195">
                  <c:v>1.0628000000000002</c:v>
                </c:pt>
                <c:pt idx="196">
                  <c:v>0.61280000000000001</c:v>
                </c:pt>
                <c:pt idx="197">
                  <c:v>0.2828</c:v>
                </c:pt>
                <c:pt idx="198">
                  <c:v>0.75280000000000002</c:v>
                </c:pt>
                <c:pt idx="199">
                  <c:v>0.20280000000000001</c:v>
                </c:pt>
                <c:pt idx="200">
                  <c:v>0.45279999999999998</c:v>
                </c:pt>
                <c:pt idx="201">
                  <c:v>0.33279999999999998</c:v>
                </c:pt>
                <c:pt idx="202">
                  <c:v>0.66279999999999994</c:v>
                </c:pt>
                <c:pt idx="203">
                  <c:v>0.82279999999999998</c:v>
                </c:pt>
                <c:pt idx="204">
                  <c:v>0.54279999999999995</c:v>
                </c:pt>
                <c:pt idx="205">
                  <c:v>0.1928</c:v>
                </c:pt>
                <c:pt idx="206">
                  <c:v>0.32279999999999998</c:v>
                </c:pt>
                <c:pt idx="207">
                  <c:v>0.56279999999999997</c:v>
                </c:pt>
                <c:pt idx="208">
                  <c:v>0.17280000000000001</c:v>
                </c:pt>
                <c:pt idx="209">
                  <c:v>0.45279999999999998</c:v>
                </c:pt>
                <c:pt idx="210">
                  <c:v>0.1628</c:v>
                </c:pt>
                <c:pt idx="211">
                  <c:v>0.46279999999999999</c:v>
                </c:pt>
                <c:pt idx="212">
                  <c:v>0.2828</c:v>
                </c:pt>
                <c:pt idx="213">
                  <c:v>0.92279999999999995</c:v>
                </c:pt>
                <c:pt idx="214">
                  <c:v>0.45279999999999998</c:v>
                </c:pt>
                <c:pt idx="215">
                  <c:v>0.83279999999999998</c:v>
                </c:pt>
                <c:pt idx="216">
                  <c:v>0.23280000000000001</c:v>
                </c:pt>
                <c:pt idx="217">
                  <c:v>0.53280000000000005</c:v>
                </c:pt>
                <c:pt idx="218">
                  <c:v>0.15279999999999999</c:v>
                </c:pt>
                <c:pt idx="219">
                  <c:v>0.43280000000000002</c:v>
                </c:pt>
                <c:pt idx="220">
                  <c:v>0.11280000000000001</c:v>
                </c:pt>
                <c:pt idx="221">
                  <c:v>0.30280000000000001</c:v>
                </c:pt>
                <c:pt idx="222">
                  <c:v>0.1628</c:v>
                </c:pt>
              </c:numCache>
            </c:numRef>
          </c:xVal>
          <c:yVal>
            <c:numRef>
              <c:f>'Tooth size Developmental st'!$C$237:$C$459</c:f>
              <c:numCache>
                <c:formatCode>0.0000</c:formatCode>
                <c:ptCount val="223"/>
                <c:pt idx="0">
                  <c:v>5.7075000000000005</c:v>
                </c:pt>
                <c:pt idx="1">
                  <c:v>5.1275000000000004</c:v>
                </c:pt>
                <c:pt idx="2">
                  <c:v>9.0274999999999999</c:v>
                </c:pt>
                <c:pt idx="3">
                  <c:v>11.4175</c:v>
                </c:pt>
                <c:pt idx="4">
                  <c:v>7.8175000000000008</c:v>
                </c:pt>
                <c:pt idx="5">
                  <c:v>8.0075000000000003</c:v>
                </c:pt>
                <c:pt idx="6">
                  <c:v>7.2875000000000005</c:v>
                </c:pt>
                <c:pt idx="7">
                  <c:v>12.297500000000001</c:v>
                </c:pt>
                <c:pt idx="8">
                  <c:v>9.9875000000000007</c:v>
                </c:pt>
                <c:pt idx="9">
                  <c:v>11.1875</c:v>
                </c:pt>
                <c:pt idx="10">
                  <c:v>9.6375000000000011</c:v>
                </c:pt>
                <c:pt idx="11">
                  <c:v>8.2475000000000005</c:v>
                </c:pt>
                <c:pt idx="12">
                  <c:v>9.0675000000000008</c:v>
                </c:pt>
                <c:pt idx="13">
                  <c:v>8.8674999999999997</c:v>
                </c:pt>
                <c:pt idx="14">
                  <c:v>10.307500000000001</c:v>
                </c:pt>
                <c:pt idx="15">
                  <c:v>6.9075000000000006</c:v>
                </c:pt>
                <c:pt idx="16">
                  <c:v>8.6974999999999998</c:v>
                </c:pt>
                <c:pt idx="17">
                  <c:v>7.4375</c:v>
                </c:pt>
                <c:pt idx="18">
                  <c:v>6.1675000000000004</c:v>
                </c:pt>
                <c:pt idx="19">
                  <c:v>5.7775000000000007</c:v>
                </c:pt>
                <c:pt idx="20">
                  <c:v>9.3875000000000011</c:v>
                </c:pt>
                <c:pt idx="21">
                  <c:v>8.1275000000000013</c:v>
                </c:pt>
                <c:pt idx="22">
                  <c:v>8.5175000000000001</c:v>
                </c:pt>
                <c:pt idx="23">
                  <c:v>11.127500000000001</c:v>
                </c:pt>
                <c:pt idx="24">
                  <c:v>7.5675000000000008</c:v>
                </c:pt>
                <c:pt idx="25">
                  <c:v>6.7075000000000005</c:v>
                </c:pt>
                <c:pt idx="26">
                  <c:v>5.2275</c:v>
                </c:pt>
                <c:pt idx="27">
                  <c:v>6.0175000000000001</c:v>
                </c:pt>
                <c:pt idx="28">
                  <c:v>4.4975000000000005</c:v>
                </c:pt>
                <c:pt idx="29">
                  <c:v>5.8175000000000008</c:v>
                </c:pt>
                <c:pt idx="30">
                  <c:v>5.5675000000000008</c:v>
                </c:pt>
                <c:pt idx="31">
                  <c:v>8.557500000000001</c:v>
                </c:pt>
                <c:pt idx="32">
                  <c:v>7.5575000000000001</c:v>
                </c:pt>
                <c:pt idx="33">
                  <c:v>8.6475000000000009</c:v>
                </c:pt>
                <c:pt idx="34">
                  <c:v>7.2475000000000005</c:v>
                </c:pt>
                <c:pt idx="35">
                  <c:v>5.9175000000000004</c:v>
                </c:pt>
                <c:pt idx="36">
                  <c:v>6.4675000000000002</c:v>
                </c:pt>
                <c:pt idx="37">
                  <c:v>6.1175000000000006</c:v>
                </c:pt>
                <c:pt idx="38">
                  <c:v>6.0475000000000003</c:v>
                </c:pt>
                <c:pt idx="39">
                  <c:v>5.4375</c:v>
                </c:pt>
                <c:pt idx="40" formatCode="General">
                  <c:v>1.2775000000000001</c:v>
                </c:pt>
                <c:pt idx="41" formatCode="General">
                  <c:v>2.1875</c:v>
                </c:pt>
                <c:pt idx="42" formatCode="General">
                  <c:v>3.0175000000000001</c:v>
                </c:pt>
                <c:pt idx="43" formatCode="General">
                  <c:v>2.2675000000000001</c:v>
                </c:pt>
                <c:pt idx="44" formatCode="General">
                  <c:v>2.8275000000000001</c:v>
                </c:pt>
                <c:pt idx="45" formatCode="General">
                  <c:v>2.0074999999999998</c:v>
                </c:pt>
                <c:pt idx="46" formatCode="General">
                  <c:v>5.7975000000000003</c:v>
                </c:pt>
                <c:pt idx="47" formatCode="General">
                  <c:v>3.3075000000000001</c:v>
                </c:pt>
                <c:pt idx="48" formatCode="General">
                  <c:v>1.6375</c:v>
                </c:pt>
                <c:pt idx="49" formatCode="General">
                  <c:v>2.4175</c:v>
                </c:pt>
                <c:pt idx="50" formatCode="General">
                  <c:v>3.1274999999999999</c:v>
                </c:pt>
                <c:pt idx="51" formatCode="General">
                  <c:v>1.2375</c:v>
                </c:pt>
                <c:pt idx="52" formatCode="General">
                  <c:v>2.7675000000000001</c:v>
                </c:pt>
                <c:pt idx="53" formatCode="General">
                  <c:v>1.2775000000000001</c:v>
                </c:pt>
                <c:pt idx="54" formatCode="General">
                  <c:v>2.8875000000000002</c:v>
                </c:pt>
                <c:pt idx="55" formatCode="General">
                  <c:v>0.77749999999999997</c:v>
                </c:pt>
                <c:pt idx="56" formatCode="General">
                  <c:v>1.6675</c:v>
                </c:pt>
                <c:pt idx="57" formatCode="General">
                  <c:v>2.0674999999999999</c:v>
                </c:pt>
                <c:pt idx="58" formatCode="General">
                  <c:v>0.77749999999999997</c:v>
                </c:pt>
                <c:pt idx="59" formatCode="General">
                  <c:v>1.6074999999999999</c:v>
                </c:pt>
                <c:pt idx="60" formatCode="General">
                  <c:v>3.1675</c:v>
                </c:pt>
                <c:pt idx="61" formatCode="General">
                  <c:v>1.7175</c:v>
                </c:pt>
                <c:pt idx="62" formatCode="General">
                  <c:v>4.5175000000000001</c:v>
                </c:pt>
                <c:pt idx="63" formatCode="General">
                  <c:v>2.2675000000000001</c:v>
                </c:pt>
                <c:pt idx="64" formatCode="General">
                  <c:v>2.0674999999999999</c:v>
                </c:pt>
                <c:pt idx="65" formatCode="General">
                  <c:v>0.87749999999999995</c:v>
                </c:pt>
                <c:pt idx="66" formatCode="General">
                  <c:v>2.2075</c:v>
                </c:pt>
                <c:pt idx="67" formatCode="General">
                  <c:v>1.1475</c:v>
                </c:pt>
                <c:pt idx="68" formatCode="General">
                  <c:v>0.28749999999999998</c:v>
                </c:pt>
                <c:pt idx="69" formatCode="General">
                  <c:v>1.3975</c:v>
                </c:pt>
                <c:pt idx="70" formatCode="General">
                  <c:v>0.75749999999999995</c:v>
                </c:pt>
                <c:pt idx="71" formatCode="General">
                  <c:v>2.5874999999999999</c:v>
                </c:pt>
                <c:pt idx="72" formatCode="General">
                  <c:v>0.5675</c:v>
                </c:pt>
                <c:pt idx="73" formatCode="General">
                  <c:v>1.6174999999999999</c:v>
                </c:pt>
                <c:pt idx="74" formatCode="General">
                  <c:v>2.6274999999999999</c:v>
                </c:pt>
                <c:pt idx="75" formatCode="General">
                  <c:v>0.61749999999999994</c:v>
                </c:pt>
                <c:pt idx="76" formatCode="General">
                  <c:v>1.1875</c:v>
                </c:pt>
                <c:pt idx="77" formatCode="General">
                  <c:v>2.7075</c:v>
                </c:pt>
                <c:pt idx="78" formatCode="General">
                  <c:v>0.90749999999999997</c:v>
                </c:pt>
                <c:pt idx="79" formatCode="General">
                  <c:v>1.6274999999999999</c:v>
                </c:pt>
                <c:pt idx="80" formatCode="General">
                  <c:v>0.3775</c:v>
                </c:pt>
                <c:pt idx="81" formatCode="General">
                  <c:v>1.0075000000000001</c:v>
                </c:pt>
                <c:pt idx="82" formatCode="General">
                  <c:v>0.3075</c:v>
                </c:pt>
                <c:pt idx="83" formatCode="0.00">
                  <c:v>0.51749999999999996</c:v>
                </c:pt>
                <c:pt idx="84" formatCode="General">
                  <c:v>27.254999999999999</c:v>
                </c:pt>
                <c:pt idx="85" formatCode="General">
                  <c:v>23.265000000000001</c:v>
                </c:pt>
                <c:pt idx="86" formatCode="General">
                  <c:v>39.015000000000001</c:v>
                </c:pt>
                <c:pt idx="87" formatCode="General">
                  <c:v>37.615000000000002</c:v>
                </c:pt>
                <c:pt idx="88" formatCode="General">
                  <c:v>27.004999999999999</c:v>
                </c:pt>
                <c:pt idx="89" formatCode="General">
                  <c:v>20.824999999999999</c:v>
                </c:pt>
                <c:pt idx="90" formatCode="General">
                  <c:v>42.415000000000006</c:v>
                </c:pt>
                <c:pt idx="91" formatCode="General">
                  <c:v>62.495000000000005</c:v>
                </c:pt>
                <c:pt idx="92" formatCode="General">
                  <c:v>35.205000000000005</c:v>
                </c:pt>
                <c:pt idx="93" formatCode="General">
                  <c:v>31.684999999999999</c:v>
                </c:pt>
                <c:pt idx="94" formatCode="General">
                  <c:v>28.484999999999999</c:v>
                </c:pt>
                <c:pt idx="95" formatCode="General">
                  <c:v>31.395</c:v>
                </c:pt>
                <c:pt idx="96" formatCode="General">
                  <c:v>42.205000000000005</c:v>
                </c:pt>
                <c:pt idx="97" formatCode="General">
                  <c:v>42.234999999999999</c:v>
                </c:pt>
                <c:pt idx="98" formatCode="General">
                  <c:v>31.695</c:v>
                </c:pt>
                <c:pt idx="99" formatCode="General">
                  <c:v>26.395</c:v>
                </c:pt>
                <c:pt idx="100" formatCode="General">
                  <c:v>21.164999999999999</c:v>
                </c:pt>
                <c:pt idx="101" formatCode="General">
                  <c:v>16.945</c:v>
                </c:pt>
                <c:pt idx="102" formatCode="General">
                  <c:v>32.575000000000003</c:v>
                </c:pt>
                <c:pt idx="103" formatCode="General">
                  <c:v>43.715000000000003</c:v>
                </c:pt>
                <c:pt idx="104" formatCode="General">
                  <c:v>30.015000000000001</c:v>
                </c:pt>
                <c:pt idx="105" formatCode="General">
                  <c:v>24.314999999999998</c:v>
                </c:pt>
                <c:pt idx="106" formatCode="General">
                  <c:v>21.195</c:v>
                </c:pt>
                <c:pt idx="107" formatCode="General">
                  <c:v>20.044999999999998</c:v>
                </c:pt>
                <c:pt idx="108" formatCode="General">
                  <c:v>18.265000000000001</c:v>
                </c:pt>
                <c:pt idx="109" formatCode="General">
                  <c:v>21.314999999999998</c:v>
                </c:pt>
                <c:pt idx="110" formatCode="General">
                  <c:v>25.984999999999999</c:v>
                </c:pt>
                <c:pt idx="111" formatCode="General">
                  <c:v>36.585000000000001</c:v>
                </c:pt>
                <c:pt idx="112" formatCode="General">
                  <c:v>45.025000000000006</c:v>
                </c:pt>
                <c:pt idx="113" formatCode="General">
                  <c:v>38.215000000000003</c:v>
                </c:pt>
                <c:pt idx="114" formatCode="General">
                  <c:v>28.035</c:v>
                </c:pt>
                <c:pt idx="115" formatCode="General">
                  <c:v>26.125</c:v>
                </c:pt>
                <c:pt idx="116" formatCode="General">
                  <c:v>7.955000000000001</c:v>
                </c:pt>
                <c:pt idx="117" formatCode="General">
                  <c:v>13.364999999999998</c:v>
                </c:pt>
                <c:pt idx="118" formatCode="General">
                  <c:v>6.5049999999999999</c:v>
                </c:pt>
                <c:pt idx="119" formatCode="General">
                  <c:v>8.9849999999999994</c:v>
                </c:pt>
                <c:pt idx="120" formatCode="General">
                  <c:v>7.4649999999999999</c:v>
                </c:pt>
                <c:pt idx="121" formatCode="General">
                  <c:v>3.0050000000000003</c:v>
                </c:pt>
                <c:pt idx="122" formatCode="General">
                  <c:v>1.2349999999999999</c:v>
                </c:pt>
                <c:pt idx="123" formatCode="General">
                  <c:v>11.604999999999999</c:v>
                </c:pt>
                <c:pt idx="124" formatCode="General">
                  <c:v>2.1750000000000003</c:v>
                </c:pt>
                <c:pt idx="125" formatCode="General">
                  <c:v>5.3250000000000002</c:v>
                </c:pt>
                <c:pt idx="126" formatCode="General">
                  <c:v>2.2050000000000001</c:v>
                </c:pt>
                <c:pt idx="127" formatCode="General">
                  <c:v>1.9349999999999998</c:v>
                </c:pt>
                <c:pt idx="128" formatCode="General">
                  <c:v>28.654999999999998</c:v>
                </c:pt>
                <c:pt idx="129" formatCode="General">
                  <c:v>5.8050000000000006</c:v>
                </c:pt>
                <c:pt idx="130" formatCode="General">
                  <c:v>6.2250000000000005</c:v>
                </c:pt>
                <c:pt idx="131" formatCode="General">
                  <c:v>2.0150000000000001</c:v>
                </c:pt>
                <c:pt idx="132" formatCode="General">
                  <c:v>3.5450000000000004</c:v>
                </c:pt>
                <c:pt idx="133" formatCode="General">
                  <c:v>7.3849999999999998</c:v>
                </c:pt>
                <c:pt idx="134" formatCode="General">
                  <c:v>2.5050000000000003</c:v>
                </c:pt>
                <c:pt idx="135" formatCode="General">
                  <c:v>5.3550000000000004</c:v>
                </c:pt>
                <c:pt idx="136" formatCode="General">
                  <c:v>13.045</c:v>
                </c:pt>
                <c:pt idx="137" formatCode="General">
                  <c:v>8.8649999999999984</c:v>
                </c:pt>
                <c:pt idx="138" formatCode="General">
                  <c:v>1.4849999999999999</c:v>
                </c:pt>
                <c:pt idx="139" formatCode="General">
                  <c:v>0.89500000000000002</c:v>
                </c:pt>
                <c:pt idx="140" formatCode="General">
                  <c:v>3.5450000000000004</c:v>
                </c:pt>
                <c:pt idx="141" formatCode="General">
                  <c:v>0.58499999999999996</c:v>
                </c:pt>
                <c:pt idx="142" formatCode="General">
                  <c:v>3.2027999999999999</c:v>
                </c:pt>
                <c:pt idx="143" formatCode="General">
                  <c:v>2.5327999999999999</c:v>
                </c:pt>
                <c:pt idx="144" formatCode="General">
                  <c:v>4.9228000000000005</c:v>
                </c:pt>
                <c:pt idx="145" formatCode="General">
                  <c:v>4.1328000000000005</c:v>
                </c:pt>
                <c:pt idx="146" formatCode="General">
                  <c:v>4.5928000000000004</c:v>
                </c:pt>
                <c:pt idx="147" formatCode="General">
                  <c:v>4.5528000000000004</c:v>
                </c:pt>
                <c:pt idx="148" formatCode="General">
                  <c:v>4.2228000000000003</c:v>
                </c:pt>
                <c:pt idx="149" formatCode="General">
                  <c:v>6.3228</c:v>
                </c:pt>
                <c:pt idx="150" formatCode="General">
                  <c:v>4.9028</c:v>
                </c:pt>
                <c:pt idx="151" formatCode="General">
                  <c:v>5.8728000000000007</c:v>
                </c:pt>
                <c:pt idx="152" formatCode="General">
                  <c:v>4.0428000000000006</c:v>
                </c:pt>
                <c:pt idx="153" formatCode="General">
                  <c:v>4.0528000000000004</c:v>
                </c:pt>
                <c:pt idx="154" formatCode="General">
                  <c:v>3.1027999999999998</c:v>
                </c:pt>
                <c:pt idx="155" formatCode="General">
                  <c:v>4.7628000000000004</c:v>
                </c:pt>
                <c:pt idx="156" formatCode="General">
                  <c:v>3.9327999999999999</c:v>
                </c:pt>
                <c:pt idx="157" formatCode="General">
                  <c:v>4.7328000000000001</c:v>
                </c:pt>
                <c:pt idx="158" formatCode="General">
                  <c:v>4.5628000000000002</c:v>
                </c:pt>
                <c:pt idx="159" formatCode="General">
                  <c:v>3.8828</c:v>
                </c:pt>
                <c:pt idx="160" formatCode="General">
                  <c:v>3.2227999999999999</c:v>
                </c:pt>
                <c:pt idx="161" formatCode="General">
                  <c:v>2.8727999999999998</c:v>
                </c:pt>
                <c:pt idx="162" formatCode="General">
                  <c:v>1.1528</c:v>
                </c:pt>
                <c:pt idx="163" formatCode="General">
                  <c:v>5.1628000000000007</c:v>
                </c:pt>
                <c:pt idx="164" formatCode="General">
                  <c:v>2.1728000000000001</c:v>
                </c:pt>
                <c:pt idx="165" formatCode="General">
                  <c:v>4.4428000000000001</c:v>
                </c:pt>
                <c:pt idx="166" formatCode="General">
                  <c:v>3.7527999999999997</c:v>
                </c:pt>
                <c:pt idx="167" formatCode="General">
                  <c:v>4.1828000000000003</c:v>
                </c:pt>
                <c:pt idx="168" formatCode="General">
                  <c:v>3.2427999999999999</c:v>
                </c:pt>
                <c:pt idx="169" formatCode="General">
                  <c:v>3.1928000000000001</c:v>
                </c:pt>
                <c:pt idx="170" formatCode="General">
                  <c:v>3.0427999999999997</c:v>
                </c:pt>
                <c:pt idx="171" formatCode="General">
                  <c:v>3.1027999999999998</c:v>
                </c:pt>
                <c:pt idx="172" formatCode="General">
                  <c:v>3.1827999999999999</c:v>
                </c:pt>
                <c:pt idx="173" formatCode="General">
                  <c:v>3.8828</c:v>
                </c:pt>
                <c:pt idx="174" formatCode="General">
                  <c:v>3.5627999999999997</c:v>
                </c:pt>
                <c:pt idx="175" formatCode="General">
                  <c:v>5.3928000000000003</c:v>
                </c:pt>
                <c:pt idx="176" formatCode="General">
                  <c:v>4.1228000000000007</c:v>
                </c:pt>
                <c:pt idx="177" formatCode="General">
                  <c:v>4.2528000000000006</c:v>
                </c:pt>
                <c:pt idx="178" formatCode="General">
                  <c:v>3.7128000000000001</c:v>
                </c:pt>
                <c:pt idx="179" formatCode="General">
                  <c:v>3.3428</c:v>
                </c:pt>
                <c:pt idx="180" formatCode="General">
                  <c:v>3.3828</c:v>
                </c:pt>
                <c:pt idx="181" formatCode="General">
                  <c:v>3.4827999999999997</c:v>
                </c:pt>
                <c:pt idx="182" formatCode="General">
                  <c:v>2.8327999999999998</c:v>
                </c:pt>
                <c:pt idx="183" formatCode="General">
                  <c:v>0.25280000000000002</c:v>
                </c:pt>
                <c:pt idx="184" formatCode="General">
                  <c:v>1.1528</c:v>
                </c:pt>
                <c:pt idx="185" formatCode="General">
                  <c:v>1.0528000000000002</c:v>
                </c:pt>
                <c:pt idx="186" formatCode="General">
                  <c:v>0.53280000000000005</c:v>
                </c:pt>
                <c:pt idx="187" formatCode="General">
                  <c:v>0.99280000000000002</c:v>
                </c:pt>
                <c:pt idx="188" formatCode="General">
                  <c:v>0.69279999999999997</c:v>
                </c:pt>
                <c:pt idx="189" formatCode="General">
                  <c:v>1.8028000000000002</c:v>
                </c:pt>
                <c:pt idx="190" formatCode="General">
                  <c:v>1.1028</c:v>
                </c:pt>
                <c:pt idx="191" formatCode="General">
                  <c:v>2.8028</c:v>
                </c:pt>
                <c:pt idx="192" formatCode="General">
                  <c:v>0.89280000000000004</c:v>
                </c:pt>
                <c:pt idx="193" formatCode="General">
                  <c:v>1.8428000000000002</c:v>
                </c:pt>
                <c:pt idx="194" formatCode="General">
                  <c:v>0.71279999999999999</c:v>
                </c:pt>
                <c:pt idx="195" formatCode="General">
                  <c:v>2.1128</c:v>
                </c:pt>
                <c:pt idx="196" formatCode="General">
                  <c:v>1.0028000000000001</c:v>
                </c:pt>
                <c:pt idx="197" formatCode="General">
                  <c:v>0.46279999999999999</c:v>
                </c:pt>
                <c:pt idx="198" formatCode="General">
                  <c:v>1.3928</c:v>
                </c:pt>
                <c:pt idx="199" formatCode="General">
                  <c:v>0.36280000000000001</c:v>
                </c:pt>
                <c:pt idx="200" formatCode="General">
                  <c:v>0.7228</c:v>
                </c:pt>
                <c:pt idx="202" formatCode="General">
                  <c:v>1.4828000000000001</c:v>
                </c:pt>
                <c:pt idx="203" formatCode="General">
                  <c:v>2.0728</c:v>
                </c:pt>
                <c:pt idx="204" formatCode="General">
                  <c:v>1.0928000000000002</c:v>
                </c:pt>
                <c:pt idx="205" formatCode="General">
                  <c:v>0.36280000000000001</c:v>
                </c:pt>
                <c:pt idx="206" formatCode="General">
                  <c:v>0.63280000000000003</c:v>
                </c:pt>
                <c:pt idx="207" formatCode="General">
                  <c:v>0.95279999999999998</c:v>
                </c:pt>
                <c:pt idx="208" formatCode="General">
                  <c:v>0.17280000000000001</c:v>
                </c:pt>
                <c:pt idx="209" formatCode="General">
                  <c:v>0.95279999999999998</c:v>
                </c:pt>
                <c:pt idx="210" formatCode="General">
                  <c:v>0.1628</c:v>
                </c:pt>
                <c:pt idx="211" formatCode="General">
                  <c:v>0.7228</c:v>
                </c:pt>
                <c:pt idx="212" formatCode="General">
                  <c:v>0.45279999999999998</c:v>
                </c:pt>
                <c:pt idx="213" formatCode="General">
                  <c:v>1.6128</c:v>
                </c:pt>
                <c:pt idx="214" formatCode="General">
                  <c:v>0.80279999999999996</c:v>
                </c:pt>
                <c:pt idx="215" formatCode="General">
                  <c:v>1.6928000000000001</c:v>
                </c:pt>
                <c:pt idx="216" formatCode="General">
                  <c:v>0.30280000000000001</c:v>
                </c:pt>
                <c:pt idx="217" formatCode="General">
                  <c:v>0.84279999999999999</c:v>
                </c:pt>
                <c:pt idx="218" formatCode="General">
                  <c:v>0.15279999999999999</c:v>
                </c:pt>
                <c:pt idx="219" formatCode="General">
                  <c:v>0.68279999999999996</c:v>
                </c:pt>
                <c:pt idx="220" formatCode="General">
                  <c:v>0.11280000000000001</c:v>
                </c:pt>
                <c:pt idx="221" formatCode="General">
                  <c:v>0.42280000000000001</c:v>
                </c:pt>
                <c:pt idx="222" formatCode="General">
                  <c:v>0.1628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33-42C6-A69F-70696592D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  <c:max val="15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. central axis </a:t>
                </a:r>
                <a:r>
                  <a:rPr lang="en-US" sz="1000" b="0" i="0" baseline="0">
                    <a:effectLst/>
                  </a:rPr>
                  <a:t> height (mm)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tooth</a:t>
                </a:r>
                <a:r>
                  <a:rPr lang="en-US" baseline="0"/>
                  <a:t> </a:t>
                </a:r>
                <a:r>
                  <a:rPr lang="en-US"/>
                  <a:t> height </a:t>
                </a:r>
                <a:r>
                  <a:rPr lang="en-US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TFT vs. </a:t>
            </a:r>
            <a:r>
              <a:rPr lang="en-US" baseline="0"/>
              <a:t>CAH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'TH, CAH, TFT relations'!$G$2</c:f>
              <c:strCache>
                <c:ptCount val="1"/>
                <c:pt idx="0">
                  <c:v>TFT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866891575122014"/>
                  <c:y val="0.12217636190092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'TH, CAH, TFT relations'!$F$3:$F$50</c:f>
              <c:numCache>
                <c:formatCode>0.000</c:formatCode>
                <c:ptCount val="48"/>
                <c:pt idx="0">
                  <c:v>2.4474999999999998</c:v>
                </c:pt>
                <c:pt idx="1">
                  <c:v>2.9474999999999998</c:v>
                </c:pt>
                <c:pt idx="2">
                  <c:v>1.0375000000000001</c:v>
                </c:pt>
                <c:pt idx="3">
                  <c:v>3.3174999999999999</c:v>
                </c:pt>
                <c:pt idx="4">
                  <c:v>1.3574999999999999</c:v>
                </c:pt>
                <c:pt idx="5">
                  <c:v>2.3174999999999999</c:v>
                </c:pt>
                <c:pt idx="6">
                  <c:v>3.0175000000000001</c:v>
                </c:pt>
                <c:pt idx="7">
                  <c:v>2.8174999999999999</c:v>
                </c:pt>
                <c:pt idx="8">
                  <c:v>1.1074999999999999</c:v>
                </c:pt>
                <c:pt idx="9">
                  <c:v>2.3875000000000002</c:v>
                </c:pt>
                <c:pt idx="10">
                  <c:v>0.42749999999999999</c:v>
                </c:pt>
                <c:pt idx="11">
                  <c:v>2.6575000000000002</c:v>
                </c:pt>
                <c:pt idx="12">
                  <c:v>1.6675</c:v>
                </c:pt>
                <c:pt idx="13">
                  <c:v>0.32749999999999996</c:v>
                </c:pt>
                <c:pt idx="14">
                  <c:v>2.7974999999999999</c:v>
                </c:pt>
                <c:pt idx="15">
                  <c:v>2.4874999999999998</c:v>
                </c:pt>
                <c:pt idx="16">
                  <c:v>2.5874999999999999</c:v>
                </c:pt>
                <c:pt idx="17">
                  <c:v>0.51749999999999996</c:v>
                </c:pt>
                <c:pt idx="18" formatCode="General">
                  <c:v>5.6550000000000002</c:v>
                </c:pt>
                <c:pt idx="19" formatCode="General">
                  <c:v>11.455</c:v>
                </c:pt>
                <c:pt idx="20" formatCode="General">
                  <c:v>8.8249999999999993</c:v>
                </c:pt>
                <c:pt idx="21" formatCode="General">
                  <c:v>2.0550000000000002</c:v>
                </c:pt>
                <c:pt idx="22" formatCode="General">
                  <c:v>6.2250000000000005</c:v>
                </c:pt>
                <c:pt idx="23" formatCode="General">
                  <c:v>1.7849999999999999</c:v>
                </c:pt>
                <c:pt idx="24" formatCode="General">
                  <c:v>7.7650000000000006</c:v>
                </c:pt>
                <c:pt idx="25" formatCode="General">
                  <c:v>6.415</c:v>
                </c:pt>
                <c:pt idx="26" formatCode="General">
                  <c:v>4.625</c:v>
                </c:pt>
                <c:pt idx="27" formatCode="General">
                  <c:v>1.175</c:v>
                </c:pt>
                <c:pt idx="28" formatCode="General">
                  <c:v>12.864999999999998</c:v>
                </c:pt>
                <c:pt idx="29" formatCode="General">
                  <c:v>4.5650000000000004</c:v>
                </c:pt>
                <c:pt idx="30" formatCode="General">
                  <c:v>5.0250000000000004</c:v>
                </c:pt>
                <c:pt idx="31" formatCode="General">
                  <c:v>9.4749999999999996</c:v>
                </c:pt>
                <c:pt idx="32" formatCode="General">
                  <c:v>6.9750000000000005</c:v>
                </c:pt>
                <c:pt idx="33" formatCode="General">
                  <c:v>3.4750000000000001</c:v>
                </c:pt>
                <c:pt idx="34" formatCode="General">
                  <c:v>5.2650000000000006</c:v>
                </c:pt>
                <c:pt idx="35" formatCode="General">
                  <c:v>1.7928000000000002</c:v>
                </c:pt>
                <c:pt idx="36" formatCode="General">
                  <c:v>2.1928000000000001</c:v>
                </c:pt>
                <c:pt idx="37" formatCode="General">
                  <c:v>2.0627999999999997</c:v>
                </c:pt>
                <c:pt idx="38" formatCode="General">
                  <c:v>1.5628000000000002</c:v>
                </c:pt>
                <c:pt idx="39" formatCode="General">
                  <c:v>0.20280000000000001</c:v>
                </c:pt>
                <c:pt idx="40" formatCode="General">
                  <c:v>2.0528</c:v>
                </c:pt>
                <c:pt idx="41" formatCode="General">
                  <c:v>1.6228</c:v>
                </c:pt>
                <c:pt idx="42" formatCode="General">
                  <c:v>1.2328000000000001</c:v>
                </c:pt>
                <c:pt idx="43" formatCode="General">
                  <c:v>0.1928</c:v>
                </c:pt>
                <c:pt idx="44" formatCode="General">
                  <c:v>2.1328</c:v>
                </c:pt>
                <c:pt idx="45" formatCode="General">
                  <c:v>0.92279999999999995</c:v>
                </c:pt>
                <c:pt idx="46" formatCode="General">
                  <c:v>1.8628</c:v>
                </c:pt>
                <c:pt idx="47" formatCode="General">
                  <c:v>1.6428</c:v>
                </c:pt>
              </c:numCache>
            </c:numRef>
          </c:xVal>
          <c:yVal>
            <c:numRef>
              <c:f>'TH, CAH, TFT relations'!$G$3:$G$50</c:f>
              <c:numCache>
                <c:formatCode>0.000</c:formatCode>
                <c:ptCount val="48"/>
                <c:pt idx="0">
                  <c:v>105.41666666666666</c:v>
                </c:pt>
                <c:pt idx="1">
                  <c:v>158.63874345549738</c:v>
                </c:pt>
                <c:pt idx="3">
                  <c:v>295.6521739130435</c:v>
                </c:pt>
                <c:pt idx="5">
                  <c:v>240</c:v>
                </c:pt>
                <c:pt idx="6">
                  <c:v>287.03703703703701</c:v>
                </c:pt>
                <c:pt idx="7">
                  <c:v>215.1098901098901</c:v>
                </c:pt>
                <c:pt idx="8">
                  <c:v>78.141025641025635</c:v>
                </c:pt>
                <c:pt idx="9">
                  <c:v>308.75</c:v>
                </c:pt>
                <c:pt idx="11">
                  <c:v>195.71428571428572</c:v>
                </c:pt>
                <c:pt idx="12">
                  <c:v>155.20833333333334</c:v>
                </c:pt>
                <c:pt idx="14">
                  <c:v>205.04201680672267</c:v>
                </c:pt>
                <c:pt idx="15">
                  <c:v>187.03657106782103</c:v>
                </c:pt>
                <c:pt idx="16">
                  <c:v>287.61255411255416</c:v>
                </c:pt>
                <c:pt idx="18">
                  <c:v>408.79518072289153</c:v>
                </c:pt>
                <c:pt idx="19" formatCode="General">
                  <c:v>1041.3636363636363</c:v>
                </c:pt>
                <c:pt idx="20" formatCode="General">
                  <c:v>756.42857142857133</c:v>
                </c:pt>
                <c:pt idx="21" formatCode="General">
                  <c:v>205.5</c:v>
                </c:pt>
                <c:pt idx="22" formatCode="General">
                  <c:v>346.90402476780184</c:v>
                </c:pt>
                <c:pt idx="23" formatCode="General">
                  <c:v>89.25</c:v>
                </c:pt>
                <c:pt idx="24" formatCode="General">
                  <c:v>228.38235294117646</c:v>
                </c:pt>
                <c:pt idx="25" formatCode="General">
                  <c:v>342.13333333333333</c:v>
                </c:pt>
                <c:pt idx="26" formatCode="General">
                  <c:v>210.22727272727272</c:v>
                </c:pt>
                <c:pt idx="27" formatCode="General">
                  <c:v>90.384615384615387</c:v>
                </c:pt>
                <c:pt idx="28" formatCode="General">
                  <c:v>796.94690265486713</c:v>
                </c:pt>
                <c:pt idx="29" formatCode="General">
                  <c:v>243.46666666666664</c:v>
                </c:pt>
                <c:pt idx="30" formatCode="General">
                  <c:v>296.65041067761803</c:v>
                </c:pt>
                <c:pt idx="31" formatCode="General">
                  <c:v>551.94175293147327</c:v>
                </c:pt>
                <c:pt idx="32" formatCode="General">
                  <c:v>422.72727272727275</c:v>
                </c:pt>
                <c:pt idx="33" formatCode="General">
                  <c:v>133.65384615384616</c:v>
                </c:pt>
                <c:pt idx="34" formatCode="General">
                  <c:v>224.04255319148939</c:v>
                </c:pt>
                <c:pt idx="35">
                  <c:v>109.2</c:v>
                </c:pt>
                <c:pt idx="36">
                  <c:v>175.26315789473685</c:v>
                </c:pt>
                <c:pt idx="37">
                  <c:v>136.30434782608697</c:v>
                </c:pt>
                <c:pt idx="38">
                  <c:v>132.5</c:v>
                </c:pt>
                <c:pt idx="39">
                  <c:v>20</c:v>
                </c:pt>
                <c:pt idx="40">
                  <c:v>178.28571428571431</c:v>
                </c:pt>
                <c:pt idx="41">
                  <c:v>123.74999999999999</c:v>
                </c:pt>
                <c:pt idx="42">
                  <c:v>72</c:v>
                </c:pt>
                <c:pt idx="43">
                  <c:v>18.333333333333332</c:v>
                </c:pt>
                <c:pt idx="44">
                  <c:v>150</c:v>
                </c:pt>
                <c:pt idx="45">
                  <c:v>73.07692307692308</c:v>
                </c:pt>
                <c:pt idx="46">
                  <c:v>130.34482758620689</c:v>
                </c:pt>
                <c:pt idx="47">
                  <c:v>133.6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A5-43B8-BCFB-04F054EA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266664"/>
        <c:axId val="535272240"/>
      </c:scatterChart>
      <c:valAx>
        <c:axId val="535266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central axis</a:t>
                </a:r>
                <a:r>
                  <a:rPr lang="en-US" sz="1100" baseline="0"/>
                  <a:t> height (mm)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72240"/>
        <c:crosses val="autoZero"/>
        <c:crossBetween val="midCat"/>
      </c:valAx>
      <c:valAx>
        <c:axId val="53527224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TFT (days)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26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Small sized </a:t>
            </a:r>
            <a:r>
              <a:rPr lang="en-US" i="1"/>
              <a:t>Alligator</a:t>
            </a:r>
          </a:p>
          <a:p>
            <a:pPr>
              <a:defRPr/>
            </a:pPr>
            <a:r>
              <a:rPr lang="en-US"/>
              <a:t>Length of the teeth of the lower tooth row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teeth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measurements'!$C$103:$AQ$103</c:f>
              <c:numCache>
                <c:formatCode>General</c:formatCode>
                <c:ptCount val="41"/>
                <c:pt idx="20">
                  <c:v>5.1628000000000007</c:v>
                </c:pt>
                <c:pt idx="21">
                  <c:v>2.1728000000000001</c:v>
                </c:pt>
                <c:pt idx="22">
                  <c:v>4.4428000000000001</c:v>
                </c:pt>
                <c:pt idx="23">
                  <c:v>3.7527999999999997</c:v>
                </c:pt>
                <c:pt idx="24">
                  <c:v>4.1828000000000003</c:v>
                </c:pt>
                <c:pt idx="25">
                  <c:v>3.2427999999999999</c:v>
                </c:pt>
                <c:pt idx="26">
                  <c:v>3.1928000000000001</c:v>
                </c:pt>
                <c:pt idx="27">
                  <c:v>3.0427999999999997</c:v>
                </c:pt>
                <c:pt idx="28">
                  <c:v>3.1027999999999998</c:v>
                </c:pt>
                <c:pt idx="29">
                  <c:v>3.1827999999999999</c:v>
                </c:pt>
                <c:pt idx="30">
                  <c:v>3.8828</c:v>
                </c:pt>
                <c:pt idx="31">
                  <c:v>3.5627999999999997</c:v>
                </c:pt>
                <c:pt idx="32">
                  <c:v>5.3928000000000003</c:v>
                </c:pt>
                <c:pt idx="33">
                  <c:v>4.1228000000000007</c:v>
                </c:pt>
                <c:pt idx="34">
                  <c:v>4.2528000000000006</c:v>
                </c:pt>
                <c:pt idx="35">
                  <c:v>3.7128000000000001</c:v>
                </c:pt>
                <c:pt idx="36">
                  <c:v>3.3428</c:v>
                </c:pt>
                <c:pt idx="37">
                  <c:v>3.3828</c:v>
                </c:pt>
                <c:pt idx="38">
                  <c:v>3.4827999999999997</c:v>
                </c:pt>
                <c:pt idx="39">
                  <c:v>2.8327999999999998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9-4394-B6F1-8B559CAC8699}"/>
            </c:ext>
          </c:extLst>
        </c:ser>
        <c:ser>
          <c:idx val="1"/>
          <c:order val="1"/>
          <c:tx>
            <c:v>Replacement tooth 1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measurements'!$C$105:$AQ$105</c:f>
              <c:numCache>
                <c:formatCode>General</c:formatCode>
                <c:ptCount val="41"/>
                <c:pt idx="20">
                  <c:v>1.4828000000000001</c:v>
                </c:pt>
                <c:pt idx="21">
                  <c:v>2.0728</c:v>
                </c:pt>
                <c:pt idx="22">
                  <c:v>1.0928000000000002</c:v>
                </c:pt>
                <c:pt idx="23">
                  <c:v>0.36280000000000001</c:v>
                </c:pt>
                <c:pt idx="24">
                  <c:v>0.63280000000000003</c:v>
                </c:pt>
                <c:pt idx="25">
                  <c:v>0.95279999999999998</c:v>
                </c:pt>
                <c:pt idx="26">
                  <c:v>0.17280000000000001</c:v>
                </c:pt>
                <c:pt idx="27">
                  <c:v>0.95279999999999998</c:v>
                </c:pt>
                <c:pt idx="28">
                  <c:v>0.1628</c:v>
                </c:pt>
                <c:pt idx="29">
                  <c:v>0.7228</c:v>
                </c:pt>
                <c:pt idx="30">
                  <c:v>0.45279999999999998</c:v>
                </c:pt>
                <c:pt idx="31">
                  <c:v>1.6128</c:v>
                </c:pt>
                <c:pt idx="32">
                  <c:v>0.80279999999999996</c:v>
                </c:pt>
                <c:pt idx="33">
                  <c:v>1.6928000000000001</c:v>
                </c:pt>
                <c:pt idx="34">
                  <c:v>0.30280000000000001</c:v>
                </c:pt>
                <c:pt idx="35">
                  <c:v>0.84279999999999999</c:v>
                </c:pt>
                <c:pt idx="36">
                  <c:v>0.15279999999999999</c:v>
                </c:pt>
                <c:pt idx="37">
                  <c:v>0.68279999999999996</c:v>
                </c:pt>
                <c:pt idx="38">
                  <c:v>0.11280000000000001</c:v>
                </c:pt>
                <c:pt idx="39">
                  <c:v>0.42280000000000001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9-4394-B6F1-8B559CAC8699}"/>
            </c:ext>
          </c:extLst>
        </c:ser>
        <c:ser>
          <c:idx val="2"/>
          <c:order val="2"/>
          <c:tx>
            <c:v>Replacement tooth 2</c:v>
          </c:tx>
          <c:invertIfNegative val="0"/>
          <c:val>
            <c:numRef>
              <c:f>'Tooth measurements'!$C$107:$AQ$107</c:f>
              <c:numCache>
                <c:formatCode>General</c:formatCode>
                <c:ptCount val="41"/>
              </c:numCache>
            </c:numRef>
          </c:val>
          <c:extLst>
            <c:ext xmlns:c16="http://schemas.microsoft.com/office/drawing/2014/chart" uri="{C3380CC4-5D6E-409C-BE32-E72D297353CC}">
              <c16:uniqueId val="{00000002-6DC9-4394-B6F1-8B559CAC8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54208"/>
        <c:axId val="79455744"/>
      </c:barChart>
      <c:catAx>
        <c:axId val="794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9455744"/>
        <c:crosses val="autoZero"/>
        <c:auto val="1"/>
        <c:lblAlgn val="ctr"/>
        <c:lblOffset val="100"/>
        <c:noMultiLvlLbl val="0"/>
      </c:catAx>
      <c:valAx>
        <c:axId val="7945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4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chemeClr val="tx1"/>
                </a:solidFill>
              </a:rPr>
              <a:t>TFT differences </a:t>
            </a:r>
          </a:p>
          <a:p>
            <a:pPr>
              <a:defRPr sz="2400">
                <a:solidFill>
                  <a:schemeClr val="tx1"/>
                </a:solidFill>
              </a:defRPr>
            </a:pPr>
            <a:r>
              <a:rPr lang="en-US" sz="2400">
                <a:solidFill>
                  <a:schemeClr val="tx1"/>
                </a:solidFill>
              </a:rPr>
              <a:t>for exteme VEIW values</a:t>
            </a:r>
          </a:p>
        </c:rich>
      </c:tx>
      <c:layout>
        <c:manualLayout>
          <c:xMode val="edge"/>
          <c:yMode val="edge"/>
          <c:x val="0.80796439362976857"/>
          <c:y val="2.5277844790265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32012778701894E-2"/>
          <c:y val="9.8788430174907335E-2"/>
          <c:w val="0.72744179058216507"/>
          <c:h val="0.78687090884759969"/>
        </c:manualLayout>
      </c:layout>
      <c:barChart>
        <c:barDir val="col"/>
        <c:grouping val="stacked"/>
        <c:varyColors val="0"/>
        <c:ser>
          <c:idx val="2"/>
          <c:order val="0"/>
          <c:tx>
            <c:v>TFT + SD</c:v>
          </c:tx>
          <c:spPr>
            <a:solidFill>
              <a:srgbClr val="FFC000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numRef>
              <c:f>'Collected fig and table illus'!$DR$107:$EP$107</c:f>
              <c:numCache>
                <c:formatCode>0.0000</c:formatCode>
                <c:ptCount val="25"/>
                <c:pt idx="0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'Collected fig and table illus'!$DR$114:$EP$114</c:f>
              <c:numCache>
                <c:formatCode>0.0000</c:formatCode>
                <c:ptCount val="25"/>
                <c:pt idx="0">
                  <c:v>66.427811936572539</c:v>
                </c:pt>
                <c:pt idx="1">
                  <c:v>71.377477522229441</c:v>
                </c:pt>
                <c:pt idx="2">
                  <c:v>58.337054930778322</c:v>
                </c:pt>
                <c:pt idx="3">
                  <c:v>58.337054930778351</c:v>
                </c:pt>
                <c:pt idx="4">
                  <c:v>37.68324984920406</c:v>
                </c:pt>
                <c:pt idx="5">
                  <c:v>66.427811936572539</c:v>
                </c:pt>
                <c:pt idx="6">
                  <c:v>56.06101985876478</c:v>
                </c:pt>
                <c:pt idx="7">
                  <c:v>62.120098569020001</c:v>
                </c:pt>
                <c:pt idx="8">
                  <c:v>31.489557537638888</c:v>
                </c:pt>
                <c:pt idx="9">
                  <c:v>34.934720770221958</c:v>
                </c:pt>
                <c:pt idx="10">
                  <c:v>49.325460849267131</c:v>
                </c:pt>
                <c:pt idx="11">
                  <c:v>69.647617662740572</c:v>
                </c:pt>
                <c:pt idx="12">
                  <c:v>91.926300300684574</c:v>
                </c:pt>
                <c:pt idx="13">
                  <c:v>45.426954569884003</c:v>
                </c:pt>
                <c:pt idx="14">
                  <c:v>49.838715271756115</c:v>
                </c:pt>
                <c:pt idx="15">
                  <c:v>60.805721298294628</c:v>
                </c:pt>
                <c:pt idx="16">
                  <c:v>22.581760462667575</c:v>
                </c:pt>
                <c:pt idx="17">
                  <c:v>35.364623071054126</c:v>
                </c:pt>
                <c:pt idx="18">
                  <c:v>40.327243130981458</c:v>
                </c:pt>
                <c:pt idx="19">
                  <c:v>21.565037294952802</c:v>
                </c:pt>
                <c:pt idx="20">
                  <c:v>50.628941897748518</c:v>
                </c:pt>
                <c:pt idx="21">
                  <c:v>38.907692724269594</c:v>
                </c:pt>
                <c:pt idx="22">
                  <c:v>34.309113918005806</c:v>
                </c:pt>
                <c:pt idx="23">
                  <c:v>39.226338347301464</c:v>
                </c:pt>
                <c:pt idx="24">
                  <c:v>26.301916494298098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1-449F-BA7A-C86DFF860A8E}"/>
            </c:ext>
          </c:extLst>
        </c:ser>
        <c:ser>
          <c:idx val="4"/>
          <c:order val="1"/>
          <c:tx>
            <c:v>TFT - SD</c:v>
          </c:tx>
          <c:spPr>
            <a:solidFill>
              <a:srgbClr val="7030A0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numRef>
              <c:f>'Collected fig and table illus'!$DR$107:$EP$107</c:f>
              <c:numCache>
                <c:formatCode>0.0000</c:formatCode>
                <c:ptCount val="25"/>
                <c:pt idx="0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'Collected fig and table illus'!$DR$115:$EP$115</c:f>
              <c:numCache>
                <c:formatCode>0.0000</c:formatCode>
                <c:ptCount val="25"/>
                <c:pt idx="0">
                  <c:v>-28.527467291389556</c:v>
                </c:pt>
                <c:pt idx="1">
                  <c:v>-29.403098078536487</c:v>
                </c:pt>
                <c:pt idx="2">
                  <c:v>-26.92386966216344</c:v>
                </c:pt>
                <c:pt idx="3">
                  <c:v>-26.92386966216344</c:v>
                </c:pt>
                <c:pt idx="4">
                  <c:v>-21.488283060910135</c:v>
                </c:pt>
                <c:pt idx="5">
                  <c:v>-28.527467291389556</c:v>
                </c:pt>
                <c:pt idx="6">
                  <c:v>-26.42866339274218</c:v>
                </c:pt>
                <c:pt idx="7">
                  <c:v>-27.702481250843476</c:v>
                </c:pt>
                <c:pt idx="8">
                  <c:v>-19.321222552407605</c:v>
                </c:pt>
                <c:pt idx="9">
                  <c:v>-20.565629964648124</c:v>
                </c:pt>
                <c:pt idx="10">
                  <c:v>-24.830219979609126</c:v>
                </c:pt>
                <c:pt idx="11">
                  <c:v>-29.105308999574646</c:v>
                </c:pt>
                <c:pt idx="12">
                  <c:v>-32.385223917600129</c:v>
                </c:pt>
                <c:pt idx="13">
                  <c:v>-23.801951332637628</c:v>
                </c:pt>
                <c:pt idx="14">
                  <c:v>-24.959613680974144</c:v>
                </c:pt>
                <c:pt idx="15">
                  <c:v>-27.437988122744372</c:v>
                </c:pt>
                <c:pt idx="16">
                  <c:v>-15.556084833656328</c:v>
                </c:pt>
                <c:pt idx="17">
                  <c:v>-20.71386354135133</c:v>
                </c:pt>
                <c:pt idx="18">
                  <c:v>-22.322857276017942</c:v>
                </c:pt>
                <c:pt idx="19">
                  <c:v>-15.066740764818746</c:v>
                </c:pt>
                <c:pt idx="20">
                  <c:v>-25.156252735517086</c:v>
                </c:pt>
                <c:pt idx="21">
                  <c:v>-21.880948392696723</c:v>
                </c:pt>
                <c:pt idx="22">
                  <c:v>-20.347215338648255</c:v>
                </c:pt>
                <c:pt idx="23">
                  <c:v>-21.981367314782233</c:v>
                </c:pt>
                <c:pt idx="24">
                  <c:v>-17.23542323885377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1-449F-BA7A-C86DFF860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95139856"/>
        <c:axId val="595138216"/>
      </c:barChart>
      <c:catAx>
        <c:axId val="59513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chemeClr val="tx1"/>
                    </a:solidFill>
                  </a:rPr>
                  <a:t>Central axis height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3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8216"/>
        <c:crosses val="autoZero"/>
        <c:auto val="1"/>
        <c:lblAlgn val="ctr"/>
        <c:lblOffset val="1000"/>
        <c:noMultiLvlLbl val="0"/>
      </c:catAx>
      <c:valAx>
        <c:axId val="595138216"/>
        <c:scaling>
          <c:orientation val="minMax"/>
          <c:max val="100"/>
          <c:min val="-1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chemeClr val="tx1"/>
                    </a:solidFill>
                  </a:rPr>
                  <a:t>relative TFT difference to Control [%] </a:t>
                </a:r>
              </a:p>
            </c:rich>
          </c:tx>
          <c:layout>
            <c:manualLayout>
              <c:xMode val="edge"/>
              <c:yMode val="edge"/>
              <c:x val="0.80381658159641856"/>
              <c:y val="0.2230451250814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985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155398579755127"/>
          <c:y val="0.5001192061671843"/>
          <c:w val="6.9531961479707388E-2"/>
          <c:h val="0.16535008673478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chemeClr val="tx1"/>
                </a:solidFill>
              </a:rPr>
              <a:t>TFT differences </a:t>
            </a:r>
          </a:p>
          <a:p>
            <a:pPr>
              <a:defRPr sz="2400">
                <a:solidFill>
                  <a:schemeClr val="tx1"/>
                </a:solidFill>
              </a:defRPr>
            </a:pPr>
            <a:r>
              <a:rPr lang="en-US" sz="2400">
                <a:solidFill>
                  <a:schemeClr val="tx1"/>
                </a:solidFill>
              </a:rPr>
              <a:t>for exteme VEIW values</a:t>
            </a:r>
          </a:p>
        </c:rich>
      </c:tx>
      <c:layout>
        <c:manualLayout>
          <c:xMode val="edge"/>
          <c:yMode val="edge"/>
          <c:x val="0.80796439362976857"/>
          <c:y val="2.5277844790265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32012778701894E-2"/>
          <c:y val="9.8788430174907335E-2"/>
          <c:w val="0.72744179058216507"/>
          <c:h val="0.78687090884759969"/>
        </c:manualLayout>
      </c:layout>
      <c:barChart>
        <c:barDir val="col"/>
        <c:grouping val="stacked"/>
        <c:varyColors val="0"/>
        <c:ser>
          <c:idx val="2"/>
          <c:order val="0"/>
          <c:tx>
            <c:v>TFT (tooth specific SD) +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'Collected fig and table illus'!$EW$107:$FU$107</c:f>
              <c:numCache>
                <c:formatCode>0.0000</c:formatCode>
                <c:ptCount val="25"/>
                <c:pt idx="0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'Collected fig and table illus'!$EW$115:$FU$115</c:f>
              <c:numCache>
                <c:formatCode>0.0000</c:formatCode>
                <c:ptCount val="25"/>
                <c:pt idx="0">
                  <c:v>33.333333333333314</c:v>
                </c:pt>
                <c:pt idx="1">
                  <c:v>27.777777777777786</c:v>
                </c:pt>
                <c:pt idx="2">
                  <c:v>30.000000000000028</c:v>
                </c:pt>
                <c:pt idx="3">
                  <c:v>39.784946236559136</c:v>
                </c:pt>
                <c:pt idx="4">
                  <c:v>37.795275590551171</c:v>
                </c:pt>
                <c:pt idx="5">
                  <c:v>33.333333333333314</c:v>
                </c:pt>
                <c:pt idx="6">
                  <c:v>29.032258064516157</c:v>
                </c:pt>
                <c:pt idx="7">
                  <c:v>28.865979381443339</c:v>
                </c:pt>
                <c:pt idx="8">
                  <c:v>36.986301369863014</c:v>
                </c:pt>
                <c:pt idx="9">
                  <c:v>27.586206896551715</c:v>
                </c:pt>
                <c:pt idx="10">
                  <c:v>26.08695652173914</c:v>
                </c:pt>
                <c:pt idx="11">
                  <c:v>34.615384615384613</c:v>
                </c:pt>
                <c:pt idx="12">
                  <c:v>25</c:v>
                </c:pt>
                <c:pt idx="13">
                  <c:v>24.324324324324323</c:v>
                </c:pt>
                <c:pt idx="14">
                  <c:v>34.579439252336471</c:v>
                </c:pt>
                <c:pt idx="15">
                  <c:v>31.034482758620669</c:v>
                </c:pt>
                <c:pt idx="16">
                  <c:v>44.444444444444429</c:v>
                </c:pt>
                <c:pt idx="17">
                  <c:v>30.921209235896242</c:v>
                </c:pt>
                <c:pt idx="18">
                  <c:v>26.582278481012651</c:v>
                </c:pt>
                <c:pt idx="19">
                  <c:v>31.707317073170742</c:v>
                </c:pt>
                <c:pt idx="20">
                  <c:v>127.99999999999997</c:v>
                </c:pt>
                <c:pt idx="21">
                  <c:v>180.32786885245906</c:v>
                </c:pt>
                <c:pt idx="22">
                  <c:v>39.40520446096653</c:v>
                </c:pt>
                <c:pt idx="23">
                  <c:v>21.428571428571416</c:v>
                </c:pt>
                <c:pt idx="24">
                  <c:v>27.777777777777771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2-460C-884F-55F056F6EE4B}"/>
            </c:ext>
          </c:extLst>
        </c:ser>
        <c:ser>
          <c:idx val="4"/>
          <c:order val="1"/>
          <c:tx>
            <c:v>TFT (tooth specific SD) -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'Collected fig and table illus'!$EW$107:$FU$107</c:f>
              <c:numCache>
                <c:formatCode>0.0000</c:formatCode>
                <c:ptCount val="25"/>
                <c:pt idx="0">
                  <c:v>0.1928</c:v>
                </c:pt>
                <c:pt idx="1">
                  <c:v>0.20280000000000001</c:v>
                </c:pt>
                <c:pt idx="2">
                  <c:v>0.92279999999999995</c:v>
                </c:pt>
                <c:pt idx="3">
                  <c:v>1.175</c:v>
                </c:pt>
                <c:pt idx="4">
                  <c:v>1.2328000000000001</c:v>
                </c:pt>
                <c:pt idx="5">
                  <c:v>1.5628000000000002</c:v>
                </c:pt>
                <c:pt idx="6">
                  <c:v>1.6228</c:v>
                </c:pt>
                <c:pt idx="7">
                  <c:v>1.6428</c:v>
                </c:pt>
                <c:pt idx="8">
                  <c:v>1.7849999999999999</c:v>
                </c:pt>
                <c:pt idx="9">
                  <c:v>1.7928000000000002</c:v>
                </c:pt>
                <c:pt idx="10">
                  <c:v>1.8628</c:v>
                </c:pt>
                <c:pt idx="11">
                  <c:v>2.0528</c:v>
                </c:pt>
                <c:pt idx="12">
                  <c:v>2.0550000000000002</c:v>
                </c:pt>
                <c:pt idx="13">
                  <c:v>2.0627999999999997</c:v>
                </c:pt>
                <c:pt idx="14">
                  <c:v>2.1328</c:v>
                </c:pt>
                <c:pt idx="15">
                  <c:v>2.1928000000000001</c:v>
                </c:pt>
                <c:pt idx="16">
                  <c:v>3.4750000000000001</c:v>
                </c:pt>
                <c:pt idx="17">
                  <c:v>4.5650000000000004</c:v>
                </c:pt>
                <c:pt idx="18">
                  <c:v>5.0250000000000004</c:v>
                </c:pt>
                <c:pt idx="19">
                  <c:v>5.2650000000000006</c:v>
                </c:pt>
                <c:pt idx="20">
                  <c:v>5.6550000000000002</c:v>
                </c:pt>
                <c:pt idx="21">
                  <c:v>6.2250000000000005</c:v>
                </c:pt>
                <c:pt idx="22">
                  <c:v>6.415</c:v>
                </c:pt>
                <c:pt idx="23">
                  <c:v>8.8249999999999993</c:v>
                </c:pt>
                <c:pt idx="24">
                  <c:v>12.864999999999998</c:v>
                </c:pt>
              </c:numCache>
            </c:numRef>
          </c:cat>
          <c:val>
            <c:numRef>
              <c:f>'Collected fig and table illus'!$EW$116:$FU$116</c:f>
              <c:numCache>
                <c:formatCode>0.0000</c:formatCode>
                <c:ptCount val="25"/>
                <c:pt idx="0">
                  <c:v>-20</c:v>
                </c:pt>
                <c:pt idx="1">
                  <c:v>-17.857142857142847</c:v>
                </c:pt>
                <c:pt idx="2">
                  <c:v>-18.75</c:v>
                </c:pt>
                <c:pt idx="3">
                  <c:v>-22.155688622754482</c:v>
                </c:pt>
                <c:pt idx="4">
                  <c:v>-21.524663677130036</c:v>
                </c:pt>
                <c:pt idx="5">
                  <c:v>-20</c:v>
                </c:pt>
                <c:pt idx="6">
                  <c:v>-18.367346938775512</c:v>
                </c:pt>
                <c:pt idx="7">
                  <c:v>-18.300653594771248</c:v>
                </c:pt>
                <c:pt idx="8">
                  <c:v>-21.259842519685051</c:v>
                </c:pt>
                <c:pt idx="9">
                  <c:v>-17.777777777777786</c:v>
                </c:pt>
                <c:pt idx="10">
                  <c:v>-17.142857142857153</c:v>
                </c:pt>
                <c:pt idx="11">
                  <c:v>-20.454545454545453</c:v>
                </c:pt>
                <c:pt idx="12">
                  <c:v>-16.666666666666657</c:v>
                </c:pt>
                <c:pt idx="13">
                  <c:v>-16.363636363636374</c:v>
                </c:pt>
                <c:pt idx="14">
                  <c:v>-20.44198895027624</c:v>
                </c:pt>
                <c:pt idx="15">
                  <c:v>-19.148936170212778</c:v>
                </c:pt>
                <c:pt idx="16">
                  <c:v>-23.529411764705884</c:v>
                </c:pt>
                <c:pt idx="17">
                  <c:v>-19.105750845712606</c:v>
                </c:pt>
                <c:pt idx="18">
                  <c:v>-17.355371900826427</c:v>
                </c:pt>
                <c:pt idx="19">
                  <c:v>-19.402985074626869</c:v>
                </c:pt>
                <c:pt idx="20">
                  <c:v>-35.955056179775283</c:v>
                </c:pt>
                <c:pt idx="21">
                  <c:v>-39.145907473309613</c:v>
                </c:pt>
                <c:pt idx="22">
                  <c:v>-22.037422037422033</c:v>
                </c:pt>
                <c:pt idx="23">
                  <c:v>-14.999999999999986</c:v>
                </c:pt>
                <c:pt idx="24">
                  <c:v>-17.857142857142861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2-460C-884F-55F056F6E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95139856"/>
        <c:axId val="595138216"/>
      </c:barChart>
      <c:catAx>
        <c:axId val="59513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chemeClr val="tx1"/>
                    </a:solidFill>
                  </a:rPr>
                  <a:t>Crown height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3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8216"/>
        <c:crosses val="autoZero"/>
        <c:auto val="1"/>
        <c:lblAlgn val="ctr"/>
        <c:lblOffset val="1000"/>
        <c:noMultiLvlLbl val="0"/>
      </c:catAx>
      <c:valAx>
        <c:axId val="595138216"/>
        <c:scaling>
          <c:orientation val="minMax"/>
          <c:max val="190"/>
          <c:min val="-1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chemeClr val="tx1"/>
                    </a:solidFill>
                  </a:rPr>
                  <a:t>relative TFT difference to Control [%] </a:t>
                </a:r>
              </a:p>
            </c:rich>
          </c:tx>
          <c:layout>
            <c:manualLayout>
              <c:xMode val="edge"/>
              <c:yMode val="edge"/>
              <c:x val="0.80381658159641856"/>
              <c:y val="0.2230451250814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985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570785005314663"/>
          <c:y val="0.34820357202833674"/>
          <c:w val="0.15955335694355066"/>
          <c:h val="0.164301365763755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teeth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measurements'!$C$183:$AQ$183</c:f>
              <c:numCache>
                <c:formatCode>General</c:formatCode>
                <c:ptCount val="41"/>
                <c:pt idx="20">
                  <c:v>27.254999999999999</c:v>
                </c:pt>
                <c:pt idx="21">
                  <c:v>23.265000000000001</c:v>
                </c:pt>
                <c:pt idx="22">
                  <c:v>39.015000000000001</c:v>
                </c:pt>
                <c:pt idx="24">
                  <c:v>37.615000000000002</c:v>
                </c:pt>
                <c:pt idx="25">
                  <c:v>27.004999999999999</c:v>
                </c:pt>
                <c:pt idx="26">
                  <c:v>20.824999999999999</c:v>
                </c:pt>
                <c:pt idx="27">
                  <c:v>42.415000000000006</c:v>
                </c:pt>
                <c:pt idx="28">
                  <c:v>62.495000000000005</c:v>
                </c:pt>
                <c:pt idx="29">
                  <c:v>35.205000000000005</c:v>
                </c:pt>
                <c:pt idx="30">
                  <c:v>31.684999999999999</c:v>
                </c:pt>
                <c:pt idx="31">
                  <c:v>28.484999999999999</c:v>
                </c:pt>
                <c:pt idx="32">
                  <c:v>31.395</c:v>
                </c:pt>
                <c:pt idx="34">
                  <c:v>42.205000000000005</c:v>
                </c:pt>
                <c:pt idx="35">
                  <c:v>42.234999999999999</c:v>
                </c:pt>
                <c:pt idx="36">
                  <c:v>31.695</c:v>
                </c:pt>
                <c:pt idx="37">
                  <c:v>26.395</c:v>
                </c:pt>
                <c:pt idx="38">
                  <c:v>21.164999999999999</c:v>
                </c:pt>
                <c:pt idx="39">
                  <c:v>16.945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A-4F6F-9AD8-DAA549C9C5F0}"/>
            </c:ext>
          </c:extLst>
        </c:ser>
        <c:ser>
          <c:idx val="1"/>
          <c:order val="1"/>
          <c:tx>
            <c:v>Functional teeth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measurements'!$C$184:$AQ$184</c:f>
              <c:numCache>
                <c:formatCode>General</c:formatCode>
                <c:ptCount val="41"/>
                <c:pt idx="20">
                  <c:v>32.575000000000003</c:v>
                </c:pt>
                <c:pt idx="22">
                  <c:v>43.715000000000003</c:v>
                </c:pt>
                <c:pt idx="23">
                  <c:v>30.015000000000001</c:v>
                </c:pt>
                <c:pt idx="24">
                  <c:v>24.314999999999998</c:v>
                </c:pt>
                <c:pt idx="25">
                  <c:v>21.195</c:v>
                </c:pt>
                <c:pt idx="26">
                  <c:v>20.044999999999998</c:v>
                </c:pt>
                <c:pt idx="27">
                  <c:v>18.265000000000001</c:v>
                </c:pt>
                <c:pt idx="28">
                  <c:v>21.314999999999998</c:v>
                </c:pt>
                <c:pt idx="29">
                  <c:v>25.984999999999999</c:v>
                </c:pt>
                <c:pt idx="30">
                  <c:v>36.585000000000001</c:v>
                </c:pt>
                <c:pt idx="31">
                  <c:v>45.025000000000006</c:v>
                </c:pt>
                <c:pt idx="32">
                  <c:v>38.215000000000003</c:v>
                </c:pt>
                <c:pt idx="33">
                  <c:v>28.035</c:v>
                </c:pt>
                <c:pt idx="34">
                  <c:v>26.125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A-4F6F-9AD8-DAA549C9C5F0}"/>
            </c:ext>
          </c:extLst>
        </c:ser>
        <c:ser>
          <c:idx val="2"/>
          <c:order val="2"/>
          <c:tx>
            <c:v>Replacement teeth 1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measurements'!$C$185:$AQ$185</c:f>
              <c:numCache>
                <c:formatCode>General</c:formatCode>
                <c:ptCount val="41"/>
                <c:pt idx="21">
                  <c:v>7.955000000000001</c:v>
                </c:pt>
                <c:pt idx="22">
                  <c:v>13.364999999999998</c:v>
                </c:pt>
                <c:pt idx="24">
                  <c:v>6.5049999999999999</c:v>
                </c:pt>
                <c:pt idx="25">
                  <c:v>8.9849999999999994</c:v>
                </c:pt>
                <c:pt idx="30">
                  <c:v>7.4649999999999999</c:v>
                </c:pt>
                <c:pt idx="31">
                  <c:v>3.0050000000000003</c:v>
                </c:pt>
                <c:pt idx="32">
                  <c:v>1.2349999999999999</c:v>
                </c:pt>
                <c:pt idx="34">
                  <c:v>11.604999999999999</c:v>
                </c:pt>
                <c:pt idx="35">
                  <c:v>2.1750000000000003</c:v>
                </c:pt>
                <c:pt idx="36">
                  <c:v>5.3250000000000002</c:v>
                </c:pt>
                <c:pt idx="37">
                  <c:v>2.2050000000000001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A-4F6F-9AD8-DAA549C9C5F0}"/>
            </c:ext>
          </c:extLst>
        </c:ser>
        <c:ser>
          <c:idx val="3"/>
          <c:order val="3"/>
          <c:tx>
            <c:v>Replacemetn teeth 1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measurements'!$C$186:$AQ$186</c:f>
              <c:numCache>
                <c:formatCode>General</c:formatCode>
                <c:ptCount val="41"/>
                <c:pt idx="20">
                  <c:v>1.9349999999999998</c:v>
                </c:pt>
                <c:pt idx="22">
                  <c:v>28.654999999999998</c:v>
                </c:pt>
                <c:pt idx="23">
                  <c:v>5.8050000000000006</c:v>
                </c:pt>
                <c:pt idx="24">
                  <c:v>6.2250000000000005</c:v>
                </c:pt>
                <c:pt idx="25">
                  <c:v>2.0150000000000001</c:v>
                </c:pt>
                <c:pt idx="26">
                  <c:v>3.5450000000000004</c:v>
                </c:pt>
                <c:pt idx="27">
                  <c:v>7.3849999999999998</c:v>
                </c:pt>
                <c:pt idx="28">
                  <c:v>2.5050000000000003</c:v>
                </c:pt>
                <c:pt idx="30">
                  <c:v>5.3550000000000004</c:v>
                </c:pt>
                <c:pt idx="31">
                  <c:v>13.045</c:v>
                </c:pt>
                <c:pt idx="33">
                  <c:v>8.8649999999999984</c:v>
                </c:pt>
                <c:pt idx="34">
                  <c:v>1.4849999999999999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BA-4F6F-9AD8-DAA549C9C5F0}"/>
            </c:ext>
          </c:extLst>
        </c:ser>
        <c:ser>
          <c:idx val="4"/>
          <c:order val="4"/>
          <c:tx>
            <c:v>Replacement teeth 2 upper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measurements'!$C$187:$AQ$187</c:f>
              <c:numCache>
                <c:formatCode>General</c:formatCode>
                <c:ptCount val="41"/>
                <c:pt idx="25">
                  <c:v>0.89500000000000002</c:v>
                </c:pt>
                <c:pt idx="33">
                  <c:v>31.695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BA-4F6F-9AD8-DAA549C9C5F0}"/>
            </c:ext>
          </c:extLst>
        </c:ser>
        <c:ser>
          <c:idx val="5"/>
          <c:order val="5"/>
          <c:tx>
            <c:v>Replacement teeth 2 lower jaw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measurements'!$C$188:$AQ$188</c:f>
              <c:numCache>
                <c:formatCode>General</c:formatCode>
                <c:ptCount val="41"/>
                <c:pt idx="22">
                  <c:v>3.1150000000000002</c:v>
                </c:pt>
                <c:pt idx="23">
                  <c:v>5.625</c:v>
                </c:pt>
                <c:pt idx="27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BA-4F6F-9AD8-DAA549C9C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80736"/>
        <c:axId val="76582272"/>
      </c:barChart>
      <c:catAx>
        <c:axId val="765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6582272"/>
        <c:crosses val="autoZero"/>
        <c:auto val="1"/>
        <c:lblAlgn val="ctr"/>
        <c:lblOffset val="100"/>
        <c:noMultiLvlLbl val="0"/>
      </c:catAx>
      <c:valAx>
        <c:axId val="76582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5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sized </a:t>
            </a:r>
            <a:r>
              <a:rPr lang="en-US" i="1"/>
              <a:t>Alligator</a:t>
            </a:r>
          </a:p>
          <a:p>
            <a:pPr>
              <a:defRPr/>
            </a:pPr>
            <a:r>
              <a:rPr lang="en-US"/>
              <a:t>Length of the teeth of the upper tooth row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tooth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measurements'!$C$183:$AQ$183</c:f>
              <c:numCache>
                <c:formatCode>General</c:formatCode>
                <c:ptCount val="41"/>
                <c:pt idx="20">
                  <c:v>27.254999999999999</c:v>
                </c:pt>
                <c:pt idx="21">
                  <c:v>23.265000000000001</c:v>
                </c:pt>
                <c:pt idx="22">
                  <c:v>39.015000000000001</c:v>
                </c:pt>
                <c:pt idx="24">
                  <c:v>37.615000000000002</c:v>
                </c:pt>
                <c:pt idx="25">
                  <c:v>27.004999999999999</c:v>
                </c:pt>
                <c:pt idx="26">
                  <c:v>20.824999999999999</c:v>
                </c:pt>
                <c:pt idx="27">
                  <c:v>42.415000000000006</c:v>
                </c:pt>
                <c:pt idx="28">
                  <c:v>62.495000000000005</c:v>
                </c:pt>
                <c:pt idx="29">
                  <c:v>35.205000000000005</c:v>
                </c:pt>
                <c:pt idx="30">
                  <c:v>31.684999999999999</c:v>
                </c:pt>
                <c:pt idx="31">
                  <c:v>28.484999999999999</c:v>
                </c:pt>
                <c:pt idx="32">
                  <c:v>31.395</c:v>
                </c:pt>
                <c:pt idx="34">
                  <c:v>42.205000000000005</c:v>
                </c:pt>
                <c:pt idx="35">
                  <c:v>42.234999999999999</c:v>
                </c:pt>
                <c:pt idx="36">
                  <c:v>31.695</c:v>
                </c:pt>
                <c:pt idx="37">
                  <c:v>26.395</c:v>
                </c:pt>
                <c:pt idx="38">
                  <c:v>21.164999999999999</c:v>
                </c:pt>
                <c:pt idx="39">
                  <c:v>16.945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7-4379-8D5E-68DD0456EC0B}"/>
            </c:ext>
          </c:extLst>
        </c:ser>
        <c:ser>
          <c:idx val="1"/>
          <c:order val="1"/>
          <c:tx>
            <c:v>Replacement teeth 1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measurements'!$C$185:$AQ$185</c:f>
              <c:numCache>
                <c:formatCode>General</c:formatCode>
                <c:ptCount val="41"/>
                <c:pt idx="21">
                  <c:v>7.955000000000001</c:v>
                </c:pt>
                <c:pt idx="22">
                  <c:v>13.364999999999998</c:v>
                </c:pt>
                <c:pt idx="24">
                  <c:v>6.5049999999999999</c:v>
                </c:pt>
                <c:pt idx="25">
                  <c:v>8.9849999999999994</c:v>
                </c:pt>
                <c:pt idx="30">
                  <c:v>7.4649999999999999</c:v>
                </c:pt>
                <c:pt idx="31">
                  <c:v>3.0050000000000003</c:v>
                </c:pt>
                <c:pt idx="32">
                  <c:v>1.2349999999999999</c:v>
                </c:pt>
                <c:pt idx="34">
                  <c:v>11.604999999999999</c:v>
                </c:pt>
                <c:pt idx="35">
                  <c:v>2.1750000000000003</c:v>
                </c:pt>
                <c:pt idx="36">
                  <c:v>5.3250000000000002</c:v>
                </c:pt>
                <c:pt idx="37">
                  <c:v>2.2050000000000001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7-4379-8D5E-68DD0456EC0B}"/>
            </c:ext>
          </c:extLst>
        </c:ser>
        <c:ser>
          <c:idx val="2"/>
          <c:order val="2"/>
          <c:tx>
            <c:v>Replacement tooth 2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measurements'!$C$187:$AQ$187</c:f>
              <c:numCache>
                <c:formatCode>General</c:formatCode>
                <c:ptCount val="41"/>
                <c:pt idx="25">
                  <c:v>0.89500000000000002</c:v>
                </c:pt>
                <c:pt idx="33">
                  <c:v>31.695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E7-4379-8D5E-68DD0456E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645120"/>
        <c:axId val="76646656"/>
      </c:barChart>
      <c:catAx>
        <c:axId val="7664512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crossAx val="76646656"/>
        <c:crosses val="autoZero"/>
        <c:auto val="1"/>
        <c:lblAlgn val="ctr"/>
        <c:lblOffset val="100"/>
        <c:noMultiLvlLbl val="0"/>
      </c:catAx>
      <c:valAx>
        <c:axId val="7664665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66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sized </a:t>
            </a:r>
            <a:r>
              <a:rPr lang="en-US" i="1"/>
              <a:t>Alligator</a:t>
            </a:r>
          </a:p>
          <a:p>
            <a:pPr>
              <a:defRPr/>
            </a:pPr>
            <a:r>
              <a:rPr lang="en-US"/>
              <a:t>Length of the teeth of the lower tooth row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Functional teeth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measurements'!$C$184:$AQ$184</c:f>
              <c:numCache>
                <c:formatCode>General</c:formatCode>
                <c:ptCount val="41"/>
                <c:pt idx="20">
                  <c:v>32.575000000000003</c:v>
                </c:pt>
                <c:pt idx="22">
                  <c:v>43.715000000000003</c:v>
                </c:pt>
                <c:pt idx="23">
                  <c:v>30.015000000000001</c:v>
                </c:pt>
                <c:pt idx="24">
                  <c:v>24.314999999999998</c:v>
                </c:pt>
                <c:pt idx="25">
                  <c:v>21.195</c:v>
                </c:pt>
                <c:pt idx="26">
                  <c:v>20.044999999999998</c:v>
                </c:pt>
                <c:pt idx="27">
                  <c:v>18.265000000000001</c:v>
                </c:pt>
                <c:pt idx="28">
                  <c:v>21.314999999999998</c:v>
                </c:pt>
                <c:pt idx="29">
                  <c:v>25.984999999999999</c:v>
                </c:pt>
                <c:pt idx="30">
                  <c:v>36.585000000000001</c:v>
                </c:pt>
                <c:pt idx="31">
                  <c:v>45.025000000000006</c:v>
                </c:pt>
                <c:pt idx="32">
                  <c:v>38.215000000000003</c:v>
                </c:pt>
                <c:pt idx="33">
                  <c:v>28.035</c:v>
                </c:pt>
                <c:pt idx="34">
                  <c:v>26.125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D-41AB-9BA7-4100726C52B3}"/>
            </c:ext>
          </c:extLst>
        </c:ser>
        <c:ser>
          <c:idx val="1"/>
          <c:order val="1"/>
          <c:tx>
            <c:v>Replacement tooth 1</c:v>
          </c:tx>
          <c:invertIfNegative val="0"/>
          <c:cat>
            <c:numRef>
              <c:f>'Tooth measurements'!$C$4:$AP$4</c:f>
              <c:numCache>
                <c:formatCode>General</c:formatCode>
                <c:ptCount val="4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</c:numCache>
            </c:numRef>
          </c:cat>
          <c:val>
            <c:numRef>
              <c:f>'Tooth measurements'!$C$186:$AQ$186</c:f>
              <c:numCache>
                <c:formatCode>General</c:formatCode>
                <c:ptCount val="41"/>
                <c:pt idx="20">
                  <c:v>1.9349999999999998</c:v>
                </c:pt>
                <c:pt idx="22">
                  <c:v>28.654999999999998</c:v>
                </c:pt>
                <c:pt idx="23">
                  <c:v>5.8050000000000006</c:v>
                </c:pt>
                <c:pt idx="24">
                  <c:v>6.2250000000000005</c:v>
                </c:pt>
                <c:pt idx="25">
                  <c:v>2.0150000000000001</c:v>
                </c:pt>
                <c:pt idx="26">
                  <c:v>3.5450000000000004</c:v>
                </c:pt>
                <c:pt idx="27">
                  <c:v>7.3849999999999998</c:v>
                </c:pt>
                <c:pt idx="28">
                  <c:v>2.5050000000000003</c:v>
                </c:pt>
                <c:pt idx="30">
                  <c:v>5.3550000000000004</c:v>
                </c:pt>
                <c:pt idx="31">
                  <c:v>13.045</c:v>
                </c:pt>
                <c:pt idx="33">
                  <c:v>8.8649999999999984</c:v>
                </c:pt>
                <c:pt idx="34">
                  <c:v>1.4849999999999999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D-41AB-9BA7-4100726C52B3}"/>
            </c:ext>
          </c:extLst>
        </c:ser>
        <c:ser>
          <c:idx val="2"/>
          <c:order val="2"/>
          <c:tx>
            <c:v>Replacement tooth 2</c:v>
          </c:tx>
          <c:invertIfNegative val="0"/>
          <c:val>
            <c:numRef>
              <c:f>'Tooth measurements'!$C$188:$AQ$188</c:f>
              <c:numCache>
                <c:formatCode>General</c:formatCode>
                <c:ptCount val="41"/>
                <c:pt idx="22">
                  <c:v>3.1150000000000002</c:v>
                </c:pt>
                <c:pt idx="23">
                  <c:v>5.625</c:v>
                </c:pt>
                <c:pt idx="27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4D-41AB-9BA7-4100726C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54208"/>
        <c:axId val="79455744"/>
      </c:barChart>
      <c:catAx>
        <c:axId val="794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9455744"/>
        <c:crosses val="autoZero"/>
        <c:auto val="1"/>
        <c:lblAlgn val="ctr"/>
        <c:lblOffset val="100"/>
        <c:noMultiLvlLbl val="0"/>
      </c:catAx>
      <c:valAx>
        <c:axId val="7945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4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chart" Target="../charts/chart53.xml"/><Relationship Id="rId3" Type="http://schemas.openxmlformats.org/officeDocument/2006/relationships/chart" Target="../charts/chart38.xml"/><Relationship Id="rId21" Type="http://schemas.openxmlformats.org/officeDocument/2006/relationships/chart" Target="../charts/chart56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20" Type="http://schemas.openxmlformats.org/officeDocument/2006/relationships/chart" Target="../charts/chart55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24" Type="http://schemas.openxmlformats.org/officeDocument/2006/relationships/chart" Target="../charts/chart59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23" Type="http://schemas.openxmlformats.org/officeDocument/2006/relationships/chart" Target="../charts/chart58.xml"/><Relationship Id="rId10" Type="http://schemas.openxmlformats.org/officeDocument/2006/relationships/chart" Target="../charts/chart45.xml"/><Relationship Id="rId19" Type="http://schemas.openxmlformats.org/officeDocument/2006/relationships/chart" Target="../charts/chart54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Relationship Id="rId22" Type="http://schemas.openxmlformats.org/officeDocument/2006/relationships/chart" Target="../charts/chart57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image" Target="../media/image20.emf"/><Relationship Id="rId18" Type="http://schemas.openxmlformats.org/officeDocument/2006/relationships/image" Target="../media/image14.emf"/><Relationship Id="rId3" Type="http://schemas.openxmlformats.org/officeDocument/2006/relationships/image" Target="../media/image15.emf"/><Relationship Id="rId21" Type="http://schemas.openxmlformats.org/officeDocument/2006/relationships/image" Target="../media/image24.png"/><Relationship Id="rId7" Type="http://schemas.openxmlformats.org/officeDocument/2006/relationships/chart" Target="../charts/chart60.xml"/><Relationship Id="rId12" Type="http://schemas.openxmlformats.org/officeDocument/2006/relationships/image" Target="../media/image19.png"/><Relationship Id="rId17" Type="http://schemas.openxmlformats.org/officeDocument/2006/relationships/image" Target="../media/image13.emf"/><Relationship Id="rId2" Type="http://schemas.openxmlformats.org/officeDocument/2006/relationships/image" Target="../media/image1.emf"/><Relationship Id="rId16" Type="http://schemas.openxmlformats.org/officeDocument/2006/relationships/image" Target="../media/image5.emf"/><Relationship Id="rId20" Type="http://schemas.openxmlformats.org/officeDocument/2006/relationships/image" Target="../media/image23.png"/><Relationship Id="rId1" Type="http://schemas.openxmlformats.org/officeDocument/2006/relationships/image" Target="../media/image2.emf"/><Relationship Id="rId6" Type="http://schemas.openxmlformats.org/officeDocument/2006/relationships/image" Target="../media/image17.emf"/><Relationship Id="rId11" Type="http://schemas.openxmlformats.org/officeDocument/2006/relationships/image" Target="../media/image18.png"/><Relationship Id="rId5" Type="http://schemas.openxmlformats.org/officeDocument/2006/relationships/image" Target="../media/image4.emf"/><Relationship Id="rId15" Type="http://schemas.openxmlformats.org/officeDocument/2006/relationships/image" Target="../media/image22.emf"/><Relationship Id="rId10" Type="http://schemas.openxmlformats.org/officeDocument/2006/relationships/image" Target="../media/image10.emf"/><Relationship Id="rId19" Type="http://schemas.openxmlformats.org/officeDocument/2006/relationships/image" Target="../media/image6.emf"/><Relationship Id="rId4" Type="http://schemas.openxmlformats.org/officeDocument/2006/relationships/image" Target="../media/image16.emf"/><Relationship Id="rId9" Type="http://schemas.openxmlformats.org/officeDocument/2006/relationships/image" Target="../media/image9.emf"/><Relationship Id="rId14" Type="http://schemas.openxmlformats.org/officeDocument/2006/relationships/image" Target="../media/image21.emf"/><Relationship Id="rId22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7" Type="http://schemas.openxmlformats.org/officeDocument/2006/relationships/image" Target="../media/image8.png"/><Relationship Id="rId2" Type="http://schemas.openxmlformats.org/officeDocument/2006/relationships/chart" Target="../charts/chart10.xml"/><Relationship Id="rId1" Type="http://schemas.openxmlformats.org/officeDocument/2006/relationships/image" Target="../media/image6.emf"/><Relationship Id="rId6" Type="http://schemas.openxmlformats.org/officeDocument/2006/relationships/image" Target="../media/image7.png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2.xml"/><Relationship Id="rId3" Type="http://schemas.openxmlformats.org/officeDocument/2006/relationships/chart" Target="../charts/chart18.xml"/><Relationship Id="rId21" Type="http://schemas.openxmlformats.org/officeDocument/2006/relationships/chart" Target="../charts/chart35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image" Target="../media/image12.png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4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19" Type="http://schemas.openxmlformats.org/officeDocument/2006/relationships/chart" Target="../charts/chart33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17</xdr:row>
      <xdr:rowOff>14287</xdr:rowOff>
    </xdr:from>
    <xdr:to>
      <xdr:col>22</xdr:col>
      <xdr:colOff>742950</xdr:colOff>
      <xdr:row>46</xdr:row>
      <xdr:rowOff>38100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309561</xdr:colOff>
      <xdr:row>17</xdr:row>
      <xdr:rowOff>100010</xdr:rowOff>
    </xdr:from>
    <xdr:to>
      <xdr:col>38</xdr:col>
      <xdr:colOff>0</xdr:colOff>
      <xdr:row>36</xdr:row>
      <xdr:rowOff>161924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295274</xdr:colOff>
      <xdr:row>36</xdr:row>
      <xdr:rowOff>95250</xdr:rowOff>
    </xdr:from>
    <xdr:to>
      <xdr:col>37</xdr:col>
      <xdr:colOff>752474</xdr:colOff>
      <xdr:row>55</xdr:row>
      <xdr:rowOff>9525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4762</xdr:colOff>
      <xdr:row>113</xdr:row>
      <xdr:rowOff>14287</xdr:rowOff>
    </xdr:from>
    <xdr:to>
      <xdr:col>22</xdr:col>
      <xdr:colOff>742950</xdr:colOff>
      <xdr:row>142</xdr:row>
      <xdr:rowOff>38100</xdr:rowOff>
    </xdr:to>
    <xdr:graphicFrame macro="">
      <xdr:nvGraphicFramePr>
        <xdr:cNvPr id="8" name="Diagramm 1">
          <a:extLst>
            <a:ext uri="{FF2B5EF4-FFF2-40B4-BE49-F238E27FC236}">
              <a16:creationId xmlns:a16="http://schemas.microsoft.com/office/drawing/2014/main" id="{93BE9E0D-D557-44A5-89C0-9F5F6A277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309561</xdr:colOff>
      <xdr:row>113</xdr:row>
      <xdr:rowOff>100010</xdr:rowOff>
    </xdr:from>
    <xdr:to>
      <xdr:col>38</xdr:col>
      <xdr:colOff>0</xdr:colOff>
      <xdr:row>132</xdr:row>
      <xdr:rowOff>161924</xdr:rowOff>
    </xdr:to>
    <xdr:graphicFrame macro="">
      <xdr:nvGraphicFramePr>
        <xdr:cNvPr id="9" name="Diagramm 2">
          <a:extLst>
            <a:ext uri="{FF2B5EF4-FFF2-40B4-BE49-F238E27FC236}">
              <a16:creationId xmlns:a16="http://schemas.microsoft.com/office/drawing/2014/main" id="{EECC1958-4599-4D32-A3B0-C4B1229E8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304800</xdr:colOff>
      <xdr:row>132</xdr:row>
      <xdr:rowOff>133350</xdr:rowOff>
    </xdr:from>
    <xdr:to>
      <xdr:col>38</xdr:col>
      <xdr:colOff>0</xdr:colOff>
      <xdr:row>151</xdr:row>
      <xdr:rowOff>47625</xdr:rowOff>
    </xdr:to>
    <xdr:graphicFrame macro="">
      <xdr:nvGraphicFramePr>
        <xdr:cNvPr id="10" name="Diagramm 3">
          <a:extLst>
            <a:ext uri="{FF2B5EF4-FFF2-40B4-BE49-F238E27FC236}">
              <a16:creationId xmlns:a16="http://schemas.microsoft.com/office/drawing/2014/main" id="{C5335808-A2CC-4973-AE1C-CB8750137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4762</xdr:colOff>
      <xdr:row>194</xdr:row>
      <xdr:rowOff>14287</xdr:rowOff>
    </xdr:from>
    <xdr:to>
      <xdr:col>22</xdr:col>
      <xdr:colOff>742950</xdr:colOff>
      <xdr:row>223</xdr:row>
      <xdr:rowOff>38100</xdr:rowOff>
    </xdr:to>
    <xdr:graphicFrame macro="">
      <xdr:nvGraphicFramePr>
        <xdr:cNvPr id="11" name="Diagramm 1">
          <a:extLst>
            <a:ext uri="{FF2B5EF4-FFF2-40B4-BE49-F238E27FC236}">
              <a16:creationId xmlns:a16="http://schemas.microsoft.com/office/drawing/2014/main" id="{EE1A2F10-0905-4369-B24F-BE780DBD1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309561</xdr:colOff>
      <xdr:row>194</xdr:row>
      <xdr:rowOff>100010</xdr:rowOff>
    </xdr:from>
    <xdr:to>
      <xdr:col>38</xdr:col>
      <xdr:colOff>0</xdr:colOff>
      <xdr:row>213</xdr:row>
      <xdr:rowOff>161924</xdr:rowOff>
    </xdr:to>
    <xdr:graphicFrame macro="">
      <xdr:nvGraphicFramePr>
        <xdr:cNvPr id="12" name="Diagramm 2">
          <a:extLst>
            <a:ext uri="{FF2B5EF4-FFF2-40B4-BE49-F238E27FC236}">
              <a16:creationId xmlns:a16="http://schemas.microsoft.com/office/drawing/2014/main" id="{0F9A6965-541A-4C68-B9EE-E43837069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304800</xdr:colOff>
      <xdr:row>213</xdr:row>
      <xdr:rowOff>133350</xdr:rowOff>
    </xdr:from>
    <xdr:to>
      <xdr:col>38</xdr:col>
      <xdr:colOff>0</xdr:colOff>
      <xdr:row>232</xdr:row>
      <xdr:rowOff>47625</xdr:rowOff>
    </xdr:to>
    <xdr:graphicFrame macro="">
      <xdr:nvGraphicFramePr>
        <xdr:cNvPr id="13" name="Diagramm 3">
          <a:extLst>
            <a:ext uri="{FF2B5EF4-FFF2-40B4-BE49-F238E27FC236}">
              <a16:creationId xmlns:a16="http://schemas.microsoft.com/office/drawing/2014/main" id="{8B3A0074-7A7B-4201-8AFC-F556E44A4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0.00636</cdr:x>
      <cdr:y>0.10084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A0E7E3E-DA24-4D49-B9DE-8E0288D9BC8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3399" cy="250938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0.00636</cdr:x>
      <cdr:y>0.10084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A0E7E3E-DA24-4D49-B9DE-8E0288D9BC8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3399" cy="250938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0.00636</cdr:x>
      <cdr:y>0.10084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A0E7E3E-DA24-4D49-B9DE-8E0288D9BC8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3399" cy="250938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0.00636</cdr:x>
      <cdr:y>0.10084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A0E7E3E-DA24-4D49-B9DE-8E0288D9BC8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3399" cy="250938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74</xdr:row>
      <xdr:rowOff>0</xdr:rowOff>
    </xdr:from>
    <xdr:to>
      <xdr:col>13</xdr:col>
      <xdr:colOff>485775</xdr:colOff>
      <xdr:row>114</xdr:row>
      <xdr:rowOff>102053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174BC-6892-4E04-A2CC-F98F9702C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27475" y="100869750"/>
          <a:ext cx="12192000" cy="7722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15</xdr:col>
      <xdr:colOff>519641</xdr:colOff>
      <xdr:row>179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50247-10C6-4A83-B62E-770B221CB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14775" y="123472575"/>
          <a:ext cx="13239750" cy="1861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577451</xdr:colOff>
      <xdr:row>3</xdr:row>
      <xdr:rowOff>3569</xdr:rowOff>
    </xdr:from>
    <xdr:to>
      <xdr:col>24</xdr:col>
      <xdr:colOff>1142999</xdr:colOff>
      <xdr:row>27</xdr:row>
      <xdr:rowOff>178592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145744-945E-412E-BADA-7DB026648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559593</xdr:colOff>
      <xdr:row>29</xdr:row>
      <xdr:rowOff>11906</xdr:rowOff>
    </xdr:from>
    <xdr:to>
      <xdr:col>24</xdr:col>
      <xdr:colOff>1125141</xdr:colOff>
      <xdr:row>53</xdr:row>
      <xdr:rowOff>186929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9F2CD8-90ED-4FCB-858B-B4EEF4E9E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607219</xdr:colOff>
      <xdr:row>3</xdr:row>
      <xdr:rowOff>0</xdr:rowOff>
    </xdr:from>
    <xdr:to>
      <xdr:col>33</xdr:col>
      <xdr:colOff>5954</xdr:colOff>
      <xdr:row>27</xdr:row>
      <xdr:rowOff>175023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8A0666-85BF-46DB-A35B-E264C3A65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595313</xdr:colOff>
      <xdr:row>29</xdr:row>
      <xdr:rowOff>11907</xdr:rowOff>
    </xdr:from>
    <xdr:to>
      <xdr:col>32</xdr:col>
      <xdr:colOff>1137048</xdr:colOff>
      <xdr:row>53</xdr:row>
      <xdr:rowOff>186930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282825-9154-4411-97E7-407A19D16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750091</xdr:colOff>
      <xdr:row>56</xdr:row>
      <xdr:rowOff>178593</xdr:rowOff>
    </xdr:from>
    <xdr:to>
      <xdr:col>23</xdr:col>
      <xdr:colOff>821530</xdr:colOff>
      <xdr:row>76</xdr:row>
      <xdr:rowOff>139304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FA7951-CB06-42A1-9729-CBD83F594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761999</xdr:colOff>
      <xdr:row>77</xdr:row>
      <xdr:rowOff>35719</xdr:rowOff>
    </xdr:from>
    <xdr:to>
      <xdr:col>23</xdr:col>
      <xdr:colOff>821530</xdr:colOff>
      <xdr:row>97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9C8401-40EF-460F-8686-7275EB5C4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11906</xdr:colOff>
      <xdr:row>57</xdr:row>
      <xdr:rowOff>0</xdr:rowOff>
    </xdr:from>
    <xdr:to>
      <xdr:col>28</xdr:col>
      <xdr:colOff>1142999</xdr:colOff>
      <xdr:row>76</xdr:row>
      <xdr:rowOff>142875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FA09D5-5F1A-40F9-8C96-1644CD188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77</xdr:row>
      <xdr:rowOff>1</xdr:rowOff>
    </xdr:from>
    <xdr:to>
      <xdr:col>28</xdr:col>
      <xdr:colOff>1131093</xdr:colOff>
      <xdr:row>97</xdr:row>
      <xdr:rowOff>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6A725DC-1BF8-40FE-A372-B00327370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571500</xdr:colOff>
      <xdr:row>83</xdr:row>
      <xdr:rowOff>0</xdr:rowOff>
    </xdr:from>
    <xdr:to>
      <xdr:col>35</xdr:col>
      <xdr:colOff>1137047</xdr:colOff>
      <xdr:row>107</xdr:row>
      <xdr:rowOff>175023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B690D9-0CF1-47FA-B3C0-599640366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59531</xdr:colOff>
      <xdr:row>83</xdr:row>
      <xdr:rowOff>0</xdr:rowOff>
    </xdr:from>
    <xdr:to>
      <xdr:col>41</xdr:col>
      <xdr:colOff>607219</xdr:colOff>
      <xdr:row>107</xdr:row>
      <xdr:rowOff>175023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B1BD13-7D1F-486C-8505-CB6B757D8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583406</xdr:colOff>
      <xdr:row>57</xdr:row>
      <xdr:rowOff>0</xdr:rowOff>
    </xdr:from>
    <xdr:to>
      <xdr:col>35</xdr:col>
      <xdr:colOff>1137048</xdr:colOff>
      <xdr:row>81</xdr:row>
      <xdr:rowOff>175023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724B7F2-B772-4DD8-A949-714DB0B2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47625</xdr:colOff>
      <xdr:row>57</xdr:row>
      <xdr:rowOff>0</xdr:rowOff>
    </xdr:from>
    <xdr:to>
      <xdr:col>41</xdr:col>
      <xdr:colOff>595313</xdr:colOff>
      <xdr:row>81</xdr:row>
      <xdr:rowOff>175023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1E959C9-8B4A-4DF2-9652-3DAF8AC2D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0</xdr:colOff>
      <xdr:row>5</xdr:row>
      <xdr:rowOff>0</xdr:rowOff>
    </xdr:from>
    <xdr:to>
      <xdr:col>40</xdr:col>
      <xdr:colOff>553642</xdr:colOff>
      <xdr:row>29</xdr:row>
      <xdr:rowOff>175023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6BE3F16-09A6-42CC-B46F-55C81993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0</xdr:colOff>
      <xdr:row>6</xdr:row>
      <xdr:rowOff>0</xdr:rowOff>
    </xdr:from>
    <xdr:to>
      <xdr:col>51</xdr:col>
      <xdr:colOff>541735</xdr:colOff>
      <xdr:row>30</xdr:row>
      <xdr:rowOff>175023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AA53F1B-E985-4F1F-8D27-2BFD5C780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52</xdr:col>
      <xdr:colOff>0</xdr:colOff>
      <xdr:row>6</xdr:row>
      <xdr:rowOff>0</xdr:rowOff>
    </xdr:from>
    <xdr:to>
      <xdr:col>59</xdr:col>
      <xdr:colOff>541735</xdr:colOff>
      <xdr:row>30</xdr:row>
      <xdr:rowOff>175023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892721E-FE14-45B0-AB86-7EB3F41BF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0</xdr:colOff>
      <xdr:row>157</xdr:row>
      <xdr:rowOff>0</xdr:rowOff>
    </xdr:from>
    <xdr:to>
      <xdr:col>15</xdr:col>
      <xdr:colOff>988219</xdr:colOff>
      <xdr:row>194</xdr:row>
      <xdr:rowOff>83344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CE220FD-DB9C-4F36-B70C-CF6725BCD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157</xdr:row>
      <xdr:rowOff>0</xdr:rowOff>
    </xdr:from>
    <xdr:to>
      <xdr:col>26</xdr:col>
      <xdr:colOff>988219</xdr:colOff>
      <xdr:row>194</xdr:row>
      <xdr:rowOff>83344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3F78503-D37C-4BF0-BD6A-CC1698EE3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0</xdr:colOff>
      <xdr:row>118</xdr:row>
      <xdr:rowOff>95250</xdr:rowOff>
    </xdr:from>
    <xdr:to>
      <xdr:col>48</xdr:col>
      <xdr:colOff>988219</xdr:colOff>
      <xdr:row>155</xdr:row>
      <xdr:rowOff>178594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8F0C7D5-8DE8-40FD-8957-DDE2E565B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1104900</xdr:colOff>
      <xdr:row>118</xdr:row>
      <xdr:rowOff>107156</xdr:rowOff>
    </xdr:from>
    <xdr:to>
      <xdr:col>26</xdr:col>
      <xdr:colOff>950119</xdr:colOff>
      <xdr:row>156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1D6F2715-2609-4162-97C7-28FD19182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118</xdr:row>
      <xdr:rowOff>133350</xdr:rowOff>
    </xdr:from>
    <xdr:to>
      <xdr:col>37</xdr:col>
      <xdr:colOff>988219</xdr:colOff>
      <xdr:row>156</xdr:row>
      <xdr:rowOff>26194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42FF166-E159-4311-A0F8-B7FDB3C36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0</xdr:colOff>
      <xdr:row>157</xdr:row>
      <xdr:rowOff>0</xdr:rowOff>
    </xdr:from>
    <xdr:to>
      <xdr:col>37</xdr:col>
      <xdr:colOff>988219</xdr:colOff>
      <xdr:row>194</xdr:row>
      <xdr:rowOff>83344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73BB51B-F17D-4198-97A7-52556FB7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157</xdr:row>
      <xdr:rowOff>0</xdr:rowOff>
    </xdr:from>
    <xdr:to>
      <xdr:col>48</xdr:col>
      <xdr:colOff>988219</xdr:colOff>
      <xdr:row>194</xdr:row>
      <xdr:rowOff>83344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A669609-5BCC-45ED-919B-2CAFB734D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988218</xdr:colOff>
      <xdr:row>118</xdr:row>
      <xdr:rowOff>107156</xdr:rowOff>
    </xdr:from>
    <xdr:to>
      <xdr:col>15</xdr:col>
      <xdr:colOff>833437</xdr:colOff>
      <xdr:row>156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F020B04-9E0C-4C86-B02B-87ACB4BD0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61</xdr:col>
      <xdr:colOff>0</xdr:colOff>
      <xdr:row>6</xdr:row>
      <xdr:rowOff>0</xdr:rowOff>
    </xdr:from>
    <xdr:to>
      <xdr:col>68</xdr:col>
      <xdr:colOff>541735</xdr:colOff>
      <xdr:row>30</xdr:row>
      <xdr:rowOff>175023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1DC2EFC9-0DF6-4F08-A1D9-4546987D7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40</xdr:row>
      <xdr:rowOff>0</xdr:rowOff>
    </xdr:from>
    <xdr:to>
      <xdr:col>32</xdr:col>
      <xdr:colOff>9525</xdr:colOff>
      <xdr:row>50</xdr:row>
      <xdr:rowOff>14060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EDAAAD-A812-444E-B587-2336749B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69350" y="27270075"/>
          <a:ext cx="4800600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13</xdr:col>
      <xdr:colOff>9524</xdr:colOff>
      <xdr:row>26</xdr:row>
      <xdr:rowOff>93569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2E6B6D-1E92-428A-9B1F-964F5BA7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0" y="23269575"/>
          <a:ext cx="90392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0</xdr:colOff>
      <xdr:row>63</xdr:row>
      <xdr:rowOff>0</xdr:rowOff>
    </xdr:from>
    <xdr:to>
      <xdr:col>60</xdr:col>
      <xdr:colOff>9524</xdr:colOff>
      <xdr:row>75</xdr:row>
      <xdr:rowOff>133350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53F9C5-730F-43C4-BBE6-1E8790610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03650" y="32727900"/>
          <a:ext cx="18888075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0</xdr:colOff>
      <xdr:row>63</xdr:row>
      <xdr:rowOff>0</xdr:rowOff>
    </xdr:from>
    <xdr:to>
      <xdr:col>87</xdr:col>
      <xdr:colOff>9526</xdr:colOff>
      <xdr:row>75</xdr:row>
      <xdr:rowOff>133350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3325446-5480-48B5-810C-1E7EFD69D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44350" y="32727900"/>
          <a:ext cx="18649950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30</xdr:row>
      <xdr:rowOff>0</xdr:rowOff>
    </xdr:from>
    <xdr:to>
      <xdr:col>24</xdr:col>
      <xdr:colOff>9525</xdr:colOff>
      <xdr:row>35</xdr:row>
      <xdr:rowOff>59418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AB9F42-F189-465B-9288-03F981EA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39600" y="25184100"/>
          <a:ext cx="82677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198</xdr:col>
      <xdr:colOff>0</xdr:colOff>
      <xdr:row>102</xdr:row>
      <xdr:rowOff>0</xdr:rowOff>
    </xdr:from>
    <xdr:ext cx="6257925" cy="1724025"/>
    <xdr:pic>
      <xdr:nvPicPr>
        <xdr:cNvPr id="17" name="Picture 16">
          <a:extLst>
            <a:ext uri="{FF2B5EF4-FFF2-40B4-BE49-F238E27FC236}">
              <a16:creationId xmlns:a16="http://schemas.microsoft.com/office/drawing/2014/main" id="{F6FF2D50-AE5A-4112-A8EC-8839C7CC3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32000" y="42195750"/>
          <a:ext cx="625792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120</xdr:col>
      <xdr:colOff>555625</xdr:colOff>
      <xdr:row>129</xdr:row>
      <xdr:rowOff>130968</xdr:rowOff>
    </xdr:from>
    <xdr:to>
      <xdr:col>137</xdr:col>
      <xdr:colOff>758402</xdr:colOff>
      <xdr:row>146</xdr:row>
      <xdr:rowOff>218847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A8B876C-DC1C-432B-9E03-9F5511F7B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151</xdr:col>
      <xdr:colOff>0</xdr:colOff>
      <xdr:row>129</xdr:row>
      <xdr:rowOff>0</xdr:rowOff>
    </xdr:from>
    <xdr:to>
      <xdr:col>165</xdr:col>
      <xdr:colOff>492125</xdr:colOff>
      <xdr:row>146</xdr:row>
      <xdr:rowOff>230754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71A41B74-E3AA-4C90-ABA1-A9903BB5F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120</xdr:col>
      <xdr:colOff>0</xdr:colOff>
      <xdr:row>117</xdr:row>
      <xdr:rowOff>0</xdr:rowOff>
    </xdr:from>
    <xdr:to>
      <xdr:col>149</xdr:col>
      <xdr:colOff>619125</xdr:colOff>
      <xdr:row>128</xdr:row>
      <xdr:rowOff>73026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35AF5CF-18BA-489E-9B8B-9E571D2B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66700" y="45110400"/>
          <a:ext cx="25898475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0</xdr:colOff>
      <xdr:row>117</xdr:row>
      <xdr:rowOff>0</xdr:rowOff>
    </xdr:from>
    <xdr:to>
      <xdr:col>175</xdr:col>
      <xdr:colOff>485776</xdr:colOff>
      <xdr:row>129</xdr:row>
      <xdr:rowOff>73025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8643529-5439-4AF2-AFB7-1A458F82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17650" y="45110400"/>
          <a:ext cx="25850850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120</xdr:col>
      <xdr:colOff>0</xdr:colOff>
      <xdr:row>167</xdr:row>
      <xdr:rowOff>0</xdr:rowOff>
    </xdr:from>
    <xdr:to>
      <xdr:col>137</xdr:col>
      <xdr:colOff>490116</xdr:colOff>
      <xdr:row>182</xdr:row>
      <xdr:rowOff>62081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226695-0013-4957-A150-653556CB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789875" y="39163625"/>
          <a:ext cx="15666616" cy="4157831"/>
        </a:xfrm>
        <a:prstGeom prst="rect">
          <a:avLst/>
        </a:prstGeom>
      </xdr:spPr>
    </xdr:pic>
    <xdr:clientData/>
  </xdr:twoCellAnchor>
  <xdr:twoCellAnchor editAs="oneCell">
    <xdr:from>
      <xdr:col>151</xdr:col>
      <xdr:colOff>0</xdr:colOff>
      <xdr:row>161</xdr:row>
      <xdr:rowOff>63500</xdr:rowOff>
    </xdr:from>
    <xdr:to>
      <xdr:col>165</xdr:col>
      <xdr:colOff>532793</xdr:colOff>
      <xdr:row>177</xdr:row>
      <xdr:rowOff>33774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035670-F2A7-47A0-B338-0AC895AA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856875" y="37798375"/>
          <a:ext cx="15931543" cy="4304149"/>
        </a:xfrm>
        <a:prstGeom prst="rect">
          <a:avLst/>
        </a:prstGeom>
      </xdr:spPr>
    </xdr:pic>
    <xdr:clientData/>
  </xdr:twoCellAnchor>
  <xdr:twoCellAnchor editAs="oneCell">
    <xdr:from>
      <xdr:col>340</xdr:col>
      <xdr:colOff>0</xdr:colOff>
      <xdr:row>394</xdr:row>
      <xdr:rowOff>0</xdr:rowOff>
    </xdr:from>
    <xdr:to>
      <xdr:col>347</xdr:col>
      <xdr:colOff>923925</xdr:colOff>
      <xdr:row>399</xdr:row>
      <xdr:rowOff>9525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724E826-A53D-40E5-A82E-256E48AA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47675" y="130025775"/>
          <a:ext cx="779145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340</xdr:col>
      <xdr:colOff>0</xdr:colOff>
      <xdr:row>402</xdr:row>
      <xdr:rowOff>0</xdr:rowOff>
    </xdr:from>
    <xdr:to>
      <xdr:col>347</xdr:col>
      <xdr:colOff>923925</xdr:colOff>
      <xdr:row>407</xdr:row>
      <xdr:rowOff>9527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D422185-1F2C-4738-B88E-578EE8775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47675" y="131940300"/>
          <a:ext cx="779145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340</xdr:col>
      <xdr:colOff>0</xdr:colOff>
      <xdr:row>410</xdr:row>
      <xdr:rowOff>0</xdr:rowOff>
    </xdr:from>
    <xdr:to>
      <xdr:col>347</xdr:col>
      <xdr:colOff>923925</xdr:colOff>
      <xdr:row>419</xdr:row>
      <xdr:rowOff>9523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73DE2C9-5F66-433D-8D92-DD73237BA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47675" y="133711950"/>
          <a:ext cx="7791450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36</xdr:row>
      <xdr:rowOff>0</xdr:rowOff>
    </xdr:from>
    <xdr:to>
      <xdr:col>24</xdr:col>
      <xdr:colOff>9525</xdr:colOff>
      <xdr:row>42</xdr:row>
      <xdr:rowOff>57150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2B9897-9537-4BDE-B099-18D1989CE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60679" y="26642786"/>
          <a:ext cx="8282667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306</xdr:col>
      <xdr:colOff>0</xdr:colOff>
      <xdr:row>208</xdr:row>
      <xdr:rowOff>0</xdr:rowOff>
    </xdr:from>
    <xdr:to>
      <xdr:col>317</xdr:col>
      <xdr:colOff>485775</xdr:colOff>
      <xdr:row>240</xdr:row>
      <xdr:rowOff>203653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9A9F56A-AF23-464B-B7A9-1ECE78FD0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47650" y="91440000"/>
          <a:ext cx="11858625" cy="786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318</xdr:col>
      <xdr:colOff>0</xdr:colOff>
      <xdr:row>305</xdr:row>
      <xdr:rowOff>0</xdr:rowOff>
    </xdr:from>
    <xdr:to>
      <xdr:col>331</xdr:col>
      <xdr:colOff>485775</xdr:colOff>
      <xdr:row>400</xdr:row>
      <xdr:rowOff>219076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1C315C-556E-47F4-9B76-A871D119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058900" y="114042825"/>
          <a:ext cx="12925425" cy="1861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0</xdr:colOff>
      <xdr:row>78</xdr:row>
      <xdr:rowOff>0</xdr:rowOff>
    </xdr:from>
    <xdr:to>
      <xdr:col>118</xdr:col>
      <xdr:colOff>457200</xdr:colOff>
      <xdr:row>91</xdr:row>
      <xdr:rowOff>9525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3284FDF6-167C-4E4D-B6EE-80716FEA0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06475" y="35718750"/>
          <a:ext cx="11849100" cy="561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120</xdr:col>
      <xdr:colOff>538101</xdr:colOff>
      <xdr:row>148</xdr:row>
      <xdr:rowOff>0</xdr:rowOff>
    </xdr:from>
    <xdr:to>
      <xdr:col>137</xdr:col>
      <xdr:colOff>753155</xdr:colOff>
      <xdr:row>165</xdr:row>
      <xdr:rowOff>99810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CEAE3-71AB-46C8-A9DF-22C90AA37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266332" y="34815731"/>
          <a:ext cx="15430313" cy="4200508"/>
        </a:xfrm>
        <a:prstGeom prst="rect">
          <a:avLst/>
        </a:prstGeom>
      </xdr:spPr>
    </xdr:pic>
    <xdr:clientData/>
  </xdr:twoCellAnchor>
  <xdr:twoCellAnchor editAs="oneCell">
    <xdr:from>
      <xdr:col>151</xdr:col>
      <xdr:colOff>0</xdr:colOff>
      <xdr:row>148</xdr:row>
      <xdr:rowOff>0</xdr:rowOff>
    </xdr:from>
    <xdr:to>
      <xdr:col>165</xdr:col>
      <xdr:colOff>503531</xdr:colOff>
      <xdr:row>166</xdr:row>
      <xdr:rowOff>5706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BB8B8B-7907-4758-A3D8-320A8C0F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5138089" y="34630179"/>
          <a:ext cx="15838781" cy="4291956"/>
        </a:xfrm>
        <a:prstGeom prst="rect">
          <a:avLst/>
        </a:prstGeom>
      </xdr:spPr>
    </xdr:pic>
    <xdr:clientData/>
  </xdr:twoCellAnchor>
  <xdr:twoCellAnchor editAs="oneCell">
    <xdr:from>
      <xdr:col>120</xdr:col>
      <xdr:colOff>0</xdr:colOff>
      <xdr:row>184</xdr:row>
      <xdr:rowOff>0</xdr:rowOff>
    </xdr:from>
    <xdr:to>
      <xdr:col>137</xdr:col>
      <xdr:colOff>216554</xdr:colOff>
      <xdr:row>201</xdr:row>
      <xdr:rowOff>103611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D5BCBC-4B49-4C84-8C24-8AB34951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903268" y="43726554"/>
          <a:ext cx="15497375" cy="41517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13</xdr:col>
      <xdr:colOff>9524</xdr:colOff>
      <xdr:row>14</xdr:row>
      <xdr:rowOff>188819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2EA1F8-A091-4920-B78E-01F4B8F98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0" y="23460075"/>
          <a:ext cx="9039224" cy="95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8</xdr:col>
      <xdr:colOff>9525</xdr:colOff>
      <xdr:row>21</xdr:row>
      <xdr:rowOff>182335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31AC8E-8287-47A1-858C-6C5670A1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8850" y="27327225"/>
          <a:ext cx="4800600" cy="190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8</xdr:col>
      <xdr:colOff>9525</xdr:colOff>
      <xdr:row>43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DECDAB-D772-454D-B566-8D88027CC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480060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971550</xdr:colOff>
      <xdr:row>7</xdr:row>
      <xdr:rowOff>9525</xdr:rowOff>
    </xdr:from>
    <xdr:to>
      <xdr:col>11</xdr:col>
      <xdr:colOff>0</xdr:colOff>
      <xdr:row>13</xdr:row>
      <xdr:rowOff>43543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DC6394-3D1A-4032-B968-76746AB7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752600"/>
          <a:ext cx="8267700" cy="11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171450</xdr:rowOff>
    </xdr:from>
    <xdr:to>
      <xdr:col>11</xdr:col>
      <xdr:colOff>9525</xdr:colOff>
      <xdr:row>21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DD5547-873D-42E1-B320-ABCAEE14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4238625"/>
          <a:ext cx="82677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32</xdr:col>
      <xdr:colOff>425450</xdr:colOff>
      <xdr:row>16</xdr:row>
      <xdr:rowOff>73025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A78AF6-3EA7-4826-9DCF-607F652AC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00" y="571500"/>
          <a:ext cx="11791950" cy="556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759618</xdr:colOff>
      <xdr:row>21</xdr:row>
      <xdr:rowOff>178595</xdr:rowOff>
    </xdr:from>
    <xdr:to>
      <xdr:col>41</xdr:col>
      <xdr:colOff>23811</xdr:colOff>
      <xdr:row>45</xdr:row>
      <xdr:rowOff>11907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A75E08-B77F-491D-9782-1CC1DDA7A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0</xdr:colOff>
      <xdr:row>22</xdr:row>
      <xdr:rowOff>0</xdr:rowOff>
    </xdr:from>
    <xdr:to>
      <xdr:col>77</xdr:col>
      <xdr:colOff>228599</xdr:colOff>
      <xdr:row>45</xdr:row>
      <xdr:rowOff>23812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AF55881-EA58-4B4B-8A89-AA94586E8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748891</xdr:colOff>
      <xdr:row>46</xdr:row>
      <xdr:rowOff>147685</xdr:rowOff>
    </xdr:from>
    <xdr:to>
      <xdr:col>40</xdr:col>
      <xdr:colOff>586269</xdr:colOff>
      <xdr:row>67</xdr:row>
      <xdr:rowOff>180250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172750B-B860-4CD8-9B96-2801B4037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68</xdr:col>
      <xdr:colOff>0</xdr:colOff>
      <xdr:row>46</xdr:row>
      <xdr:rowOff>0</xdr:rowOff>
    </xdr:from>
    <xdr:to>
      <xdr:col>76</xdr:col>
      <xdr:colOff>0</xdr:colOff>
      <xdr:row>67</xdr:row>
      <xdr:rowOff>190500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289B75-286B-44EB-B47F-DBB05AB36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42</xdr:col>
      <xdr:colOff>0</xdr:colOff>
      <xdr:row>47</xdr:row>
      <xdr:rowOff>0</xdr:rowOff>
    </xdr:from>
    <xdr:to>
      <xdr:col>50</xdr:col>
      <xdr:colOff>1183</xdr:colOff>
      <xdr:row>68</xdr:row>
      <xdr:rowOff>34754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ED76D0-6796-4696-9F4B-D2EFD923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456563" y="11989594"/>
          <a:ext cx="4858933" cy="4261473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69</xdr:row>
      <xdr:rowOff>0</xdr:rowOff>
    </xdr:from>
    <xdr:to>
      <xdr:col>76</xdr:col>
      <xdr:colOff>13376</xdr:colOff>
      <xdr:row>91</xdr:row>
      <xdr:rowOff>175262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8F6F60E-F0D4-4AAF-AF01-B753BB224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244250" y="16418719"/>
          <a:ext cx="4871126" cy="44138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0</xdr:colOff>
      <xdr:row>3</xdr:row>
      <xdr:rowOff>0</xdr:rowOff>
    </xdr:from>
    <xdr:to>
      <xdr:col>72</xdr:col>
      <xdr:colOff>486258</xdr:colOff>
      <xdr:row>25</xdr:row>
      <xdr:rowOff>4536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8E445F-CCA2-4CCA-96B5-8C27B569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0</xdr:colOff>
      <xdr:row>28</xdr:row>
      <xdr:rowOff>0</xdr:rowOff>
    </xdr:from>
    <xdr:to>
      <xdr:col>72</xdr:col>
      <xdr:colOff>486258</xdr:colOff>
      <xdr:row>50</xdr:row>
      <xdr:rowOff>72572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FD19F3-320B-4BA2-AC8E-D57456EF8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74</xdr:row>
      <xdr:rowOff>0</xdr:rowOff>
    </xdr:from>
    <xdr:to>
      <xdr:col>33</xdr:col>
      <xdr:colOff>676275</xdr:colOff>
      <xdr:row>85</xdr:row>
      <xdr:rowOff>57151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F5D28A-243A-40E4-9F3E-94760C58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00" y="54606825"/>
          <a:ext cx="25755600" cy="2152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0</xdr:colOff>
      <xdr:row>74</xdr:row>
      <xdr:rowOff>0</xdr:rowOff>
    </xdr:from>
    <xdr:to>
      <xdr:col>59</xdr:col>
      <xdr:colOff>616745</xdr:colOff>
      <xdr:row>86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16CD05-51B6-4C89-B737-63DF5527B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54475" y="54606825"/>
          <a:ext cx="25650826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1083470</xdr:colOff>
      <xdr:row>18</xdr:row>
      <xdr:rowOff>154781</xdr:rowOff>
    </xdr:from>
    <xdr:to>
      <xdr:col>16</xdr:col>
      <xdr:colOff>83343</xdr:colOff>
      <xdr:row>31</xdr:row>
      <xdr:rowOff>166686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98F6BD-804C-4BB0-9EA7-BDB2D047B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168388</xdr:colOff>
      <xdr:row>18</xdr:row>
      <xdr:rowOff>154781</xdr:rowOff>
    </xdr:from>
    <xdr:to>
      <xdr:col>19</xdr:col>
      <xdr:colOff>513668</xdr:colOff>
      <xdr:row>31</xdr:row>
      <xdr:rowOff>166686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7A9868-5A76-4314-81E5-5195D01C4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328274</xdr:colOff>
      <xdr:row>18</xdr:row>
      <xdr:rowOff>166123</xdr:rowOff>
    </xdr:from>
    <xdr:to>
      <xdr:col>40</xdr:col>
      <xdr:colOff>285749</xdr:colOff>
      <xdr:row>31</xdr:row>
      <xdr:rowOff>174625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1F62AA-40C1-448E-A840-BB2C4AD56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323170</xdr:colOff>
      <xdr:row>33</xdr:row>
      <xdr:rowOff>69736</xdr:rowOff>
    </xdr:from>
    <xdr:to>
      <xdr:col>40</xdr:col>
      <xdr:colOff>254000</xdr:colOff>
      <xdr:row>46</xdr:row>
      <xdr:rowOff>63499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1F7DDD-C7A5-4A9A-AA71-A9D8EBFCB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10090</xdr:colOff>
      <xdr:row>18</xdr:row>
      <xdr:rowOff>161585</xdr:rowOff>
    </xdr:from>
    <xdr:to>
      <xdr:col>27</xdr:col>
      <xdr:colOff>571500</xdr:colOff>
      <xdr:row>31</xdr:row>
      <xdr:rowOff>173490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351A281-9A6D-4E31-9229-95901AC52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22905</xdr:colOff>
      <xdr:row>33</xdr:row>
      <xdr:rowOff>15875</xdr:rowOff>
    </xdr:from>
    <xdr:to>
      <xdr:col>16</xdr:col>
      <xdr:colOff>47625</xdr:colOff>
      <xdr:row>46</xdr:row>
      <xdr:rowOff>27780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6ACFCE3-1B8D-444C-BFC5-BB34353F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194129</xdr:colOff>
      <xdr:row>33</xdr:row>
      <xdr:rowOff>0</xdr:rowOff>
    </xdr:from>
    <xdr:to>
      <xdr:col>19</xdr:col>
      <xdr:colOff>508000</xdr:colOff>
      <xdr:row>46</xdr:row>
      <xdr:rowOff>11905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C2A27B-2C5E-42B6-AF44-9BDBD6BB4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19843</xdr:colOff>
      <xdr:row>33</xdr:row>
      <xdr:rowOff>83345</xdr:rowOff>
    </xdr:from>
    <xdr:to>
      <xdr:col>47</xdr:col>
      <xdr:colOff>587374</xdr:colOff>
      <xdr:row>46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2CE479-EB0B-4EE5-AB0B-771506F3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595313</xdr:colOff>
      <xdr:row>19</xdr:row>
      <xdr:rowOff>19844</xdr:rowOff>
    </xdr:from>
    <xdr:to>
      <xdr:col>47</xdr:col>
      <xdr:colOff>587375</xdr:colOff>
      <xdr:row>31</xdr:row>
      <xdr:rowOff>142875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4D36D1A-7CF8-400C-8F15-FF5633407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523874</xdr:colOff>
      <xdr:row>5</xdr:row>
      <xdr:rowOff>984249</xdr:rowOff>
    </xdr:from>
    <xdr:to>
      <xdr:col>47</xdr:col>
      <xdr:colOff>476249</xdr:colOff>
      <xdr:row>18</xdr:row>
      <xdr:rowOff>15874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9B6745F-4E2B-4DBE-822E-E8DDB1D4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6349</xdr:colOff>
      <xdr:row>19</xdr:row>
      <xdr:rowOff>15874</xdr:rowOff>
    </xdr:from>
    <xdr:to>
      <xdr:col>55</xdr:col>
      <xdr:colOff>587374</xdr:colOff>
      <xdr:row>31</xdr:row>
      <xdr:rowOff>126999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E12AB11-5CA6-49F8-A7DE-E1B763BBF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19844</xdr:colOff>
      <xdr:row>33</xdr:row>
      <xdr:rowOff>95249</xdr:rowOff>
    </xdr:from>
    <xdr:to>
      <xdr:col>56</xdr:col>
      <xdr:colOff>31750</xdr:colOff>
      <xdr:row>46</xdr:row>
      <xdr:rowOff>15874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DCFB3E2-2870-494C-A751-08EDCF31D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13607</xdr:colOff>
      <xdr:row>33</xdr:row>
      <xdr:rowOff>36285</xdr:rowOff>
    </xdr:from>
    <xdr:to>
      <xdr:col>27</xdr:col>
      <xdr:colOff>555625</xdr:colOff>
      <xdr:row>46</xdr:row>
      <xdr:rowOff>48190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FF9ABD9-E6CB-4FCB-BEE5-E357A63FB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179614</xdr:colOff>
      <xdr:row>33</xdr:row>
      <xdr:rowOff>54429</xdr:rowOff>
    </xdr:from>
    <xdr:to>
      <xdr:col>34</xdr:col>
      <xdr:colOff>126999</xdr:colOff>
      <xdr:row>46</xdr:row>
      <xdr:rowOff>66335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1AA41B2-8C22-4A76-AA89-83BC87681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190500</xdr:colOff>
      <xdr:row>18</xdr:row>
      <xdr:rowOff>158750</xdr:rowOff>
    </xdr:from>
    <xdr:to>
      <xdr:col>34</xdr:col>
      <xdr:colOff>95250</xdr:colOff>
      <xdr:row>31</xdr:row>
      <xdr:rowOff>170656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2060B7A-FA94-44CC-BC2E-62F22FAF4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47</xdr:row>
      <xdr:rowOff>0</xdr:rowOff>
    </xdr:from>
    <xdr:to>
      <xdr:col>16</xdr:col>
      <xdr:colOff>24720</xdr:colOff>
      <xdr:row>60</xdr:row>
      <xdr:rowOff>11905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97DA367-E15B-4D34-A999-306B734A9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13</xdr:col>
      <xdr:colOff>0</xdr:colOff>
      <xdr:row>61</xdr:row>
      <xdr:rowOff>0</xdr:rowOff>
    </xdr:from>
    <xdr:to>
      <xdr:col>16</xdr:col>
      <xdr:colOff>37657</xdr:colOff>
      <xdr:row>74</xdr:row>
      <xdr:rowOff>23077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A5690E-457F-41DE-909A-553FE390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96275" y="12573000"/>
          <a:ext cx="3676207" cy="2499577"/>
        </a:xfrm>
        <a:prstGeom prst="rect">
          <a:avLst/>
        </a:prstGeom>
      </xdr:spPr>
    </xdr:pic>
    <xdr:clientData/>
  </xdr:twoCellAnchor>
  <xdr:twoCellAnchor>
    <xdr:from>
      <xdr:col>34</xdr:col>
      <xdr:colOff>328274</xdr:colOff>
      <xdr:row>51</xdr:row>
      <xdr:rowOff>166123</xdr:rowOff>
    </xdr:from>
    <xdr:to>
      <xdr:col>40</xdr:col>
      <xdr:colOff>285749</xdr:colOff>
      <xdr:row>64</xdr:row>
      <xdr:rowOff>174625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7B33137-0B06-4EA1-88BB-2D29ABDA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323170</xdr:colOff>
      <xdr:row>66</xdr:row>
      <xdr:rowOff>69736</xdr:rowOff>
    </xdr:from>
    <xdr:to>
      <xdr:col>40</xdr:col>
      <xdr:colOff>254000</xdr:colOff>
      <xdr:row>79</xdr:row>
      <xdr:rowOff>63499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46BAFF5-DD3A-4B8E-9225-8F6514FB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179614</xdr:colOff>
      <xdr:row>66</xdr:row>
      <xdr:rowOff>54429</xdr:rowOff>
    </xdr:from>
    <xdr:to>
      <xdr:col>34</xdr:col>
      <xdr:colOff>126999</xdr:colOff>
      <xdr:row>79</xdr:row>
      <xdr:rowOff>66335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9D9945F-38B2-4694-AD98-627E70974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190500</xdr:colOff>
      <xdr:row>51</xdr:row>
      <xdr:rowOff>158750</xdr:rowOff>
    </xdr:from>
    <xdr:to>
      <xdr:col>34</xdr:col>
      <xdr:colOff>95250</xdr:colOff>
      <xdr:row>64</xdr:row>
      <xdr:rowOff>170656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180ED10-6E54-4CB6-94C7-9592A598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0.00636</cdr:x>
      <cdr:y>0.10084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A0E7E3E-DA24-4D49-B9DE-8E0288D9BC8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3399" cy="250938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0.00636</cdr:x>
      <cdr:y>0.10084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A0E7E3E-DA24-4D49-B9DE-8E0288D9BC8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3399" cy="250938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s/AppData/Roaming/Microsoft/AddIns/XRealStat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Prime"/>
    </sheetNames>
    <definedNames>
      <definedName name="QCRIT"/>
      <definedName name="QDIST"/>
      <definedName name="T_DIST_2T"/>
      <definedName name="T_DIST_RT"/>
      <definedName name="T_INV"/>
      <definedName name="T_INV_2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365"/>
  <sheetViews>
    <sheetView zoomScale="70" zoomScaleNormal="70" workbookViewId="0">
      <selection activeCell="A3" sqref="A3"/>
    </sheetView>
  </sheetViews>
  <sheetFormatPr defaultColWidth="11.42578125" defaultRowHeight="14.25" x14ac:dyDescent="0.2"/>
  <cols>
    <col min="1" max="1" width="20.140625" style="1" customWidth="1"/>
    <col min="2" max="3" width="11.42578125" style="1"/>
    <col min="4" max="4" width="22.5703125" style="1" customWidth="1"/>
    <col min="5" max="5" width="11.42578125" style="1"/>
    <col min="6" max="6" width="23.85546875" style="1" customWidth="1"/>
    <col min="7" max="7" width="11.42578125" style="1"/>
    <col min="8" max="8" width="11.42578125" style="63"/>
    <col min="9" max="13" width="11.42578125" style="1"/>
    <col min="14" max="14" width="11.42578125" style="63"/>
    <col min="15" max="18" width="11.42578125" style="1"/>
    <col min="19" max="19" width="18" style="1" customWidth="1"/>
    <col min="20" max="20" width="17.5703125" style="1" customWidth="1"/>
    <col min="21" max="21" width="16.42578125" style="1" customWidth="1"/>
    <col min="22" max="24" width="16.7109375" style="1" customWidth="1"/>
    <col min="25" max="16384" width="11.42578125" style="1"/>
  </cols>
  <sheetData>
    <row r="1" spans="1:25" x14ac:dyDescent="0.2">
      <c r="G1" s="30" t="s">
        <v>266</v>
      </c>
      <c r="H1" s="32"/>
      <c r="I1" s="23"/>
      <c r="J1" s="23"/>
      <c r="K1" s="23"/>
      <c r="L1" s="306"/>
      <c r="M1" s="30" t="s">
        <v>262</v>
      </c>
      <c r="N1" s="32"/>
      <c r="O1" s="23"/>
      <c r="P1" s="23"/>
      <c r="Q1" s="23"/>
      <c r="R1" s="306"/>
    </row>
    <row r="2" spans="1:25" x14ac:dyDescent="0.2">
      <c r="A2" s="20" t="s">
        <v>467</v>
      </c>
      <c r="B2" s="1" t="s">
        <v>7</v>
      </c>
      <c r="C2" s="20" t="s">
        <v>4</v>
      </c>
      <c r="D2" s="21" t="s">
        <v>8</v>
      </c>
      <c r="E2" s="20" t="s">
        <v>5</v>
      </c>
      <c r="F2" s="21" t="s">
        <v>9</v>
      </c>
      <c r="G2" s="38" t="s">
        <v>6</v>
      </c>
      <c r="H2" s="21" t="s">
        <v>77</v>
      </c>
      <c r="I2" s="21" t="s">
        <v>10</v>
      </c>
      <c r="J2" s="5"/>
      <c r="K2" s="5" t="s">
        <v>112</v>
      </c>
      <c r="L2" s="10"/>
      <c r="M2" s="38" t="s">
        <v>6</v>
      </c>
      <c r="N2" s="21" t="s">
        <v>77</v>
      </c>
      <c r="O2" s="21" t="s">
        <v>10</v>
      </c>
      <c r="P2" s="5"/>
      <c r="Q2" s="5" t="s">
        <v>112</v>
      </c>
      <c r="R2" s="10"/>
      <c r="S2" s="1" t="s">
        <v>254</v>
      </c>
      <c r="T2" s="1" t="s">
        <v>252</v>
      </c>
      <c r="U2" s="1" t="s">
        <v>251</v>
      </c>
      <c r="V2" s="1" t="s">
        <v>253</v>
      </c>
      <c r="W2" s="1" t="s">
        <v>268</v>
      </c>
      <c r="X2" s="1" t="s">
        <v>267</v>
      </c>
    </row>
    <row r="3" spans="1:25" ht="15" x14ac:dyDescent="0.25">
      <c r="A3" s="23" t="s">
        <v>41</v>
      </c>
      <c r="B3" s="67">
        <v>1</v>
      </c>
      <c r="C3" s="30"/>
      <c r="D3" s="23"/>
      <c r="E3" s="21"/>
      <c r="F3" s="32"/>
      <c r="G3" s="71">
        <f>W3-0.0825</f>
        <v>5.7075000000000005</v>
      </c>
      <c r="H3" s="23">
        <f>V3</f>
        <v>2.2817257</v>
      </c>
      <c r="I3" s="23" t="s">
        <v>40</v>
      </c>
      <c r="J3" s="23"/>
      <c r="K3" s="23">
        <f t="shared" ref="K3:K46" si="0">X3-0.0825</f>
        <v>2.4474999999999998</v>
      </c>
      <c r="L3" s="306"/>
      <c r="M3" s="71">
        <v>5.79</v>
      </c>
      <c r="N3" s="32">
        <v>2.28173</v>
      </c>
      <c r="O3" s="23" t="s">
        <v>40</v>
      </c>
      <c r="P3" s="23"/>
      <c r="Q3" s="23">
        <v>2.5299999999999998</v>
      </c>
      <c r="R3" s="306"/>
      <c r="T3">
        <v>1.2193833999999999</v>
      </c>
      <c r="U3">
        <v>1.0623423000000001</v>
      </c>
      <c r="V3" s="1">
        <f>U3+T3</f>
        <v>2.2817257</v>
      </c>
      <c r="W3" s="29">
        <v>5.79</v>
      </c>
      <c r="X3" s="23">
        <v>2.5299999999999998</v>
      </c>
      <c r="Y3" s="25" t="s">
        <v>54</v>
      </c>
    </row>
    <row r="4" spans="1:25" ht="15" x14ac:dyDescent="0.25">
      <c r="A4" s="1" t="s">
        <v>3</v>
      </c>
      <c r="B4" s="68"/>
      <c r="C4" s="38"/>
      <c r="D4" s="20"/>
      <c r="E4" s="33"/>
      <c r="F4" s="33"/>
      <c r="G4" s="76">
        <f t="shared" ref="G4:G67" si="1">W4-0.0825</f>
        <v>1.2775000000000001</v>
      </c>
      <c r="H4" s="20">
        <f t="shared" ref="H4:H67" si="2">V4</f>
        <v>0.21732042299999998</v>
      </c>
      <c r="I4" s="20"/>
      <c r="J4" s="20"/>
      <c r="K4" s="20">
        <f t="shared" si="0"/>
        <v>0.62749999999999995</v>
      </c>
      <c r="L4" s="308"/>
      <c r="M4" s="76">
        <v>1.36</v>
      </c>
      <c r="N4" s="33">
        <v>0.21732000000000001</v>
      </c>
      <c r="O4" s="20"/>
      <c r="P4" s="20"/>
      <c r="Q4" s="20">
        <v>0.71</v>
      </c>
      <c r="R4" s="308"/>
      <c r="T4">
        <v>0.12454025000000001</v>
      </c>
      <c r="U4">
        <v>9.2780172999999994E-2</v>
      </c>
      <c r="V4" s="1">
        <f t="shared" ref="V4:V67" si="3">U4+T4</f>
        <v>0.21732042299999998</v>
      </c>
      <c r="W4" s="76">
        <v>1.36</v>
      </c>
      <c r="X4" s="5">
        <v>0.71</v>
      </c>
      <c r="Y4" s="25"/>
    </row>
    <row r="5" spans="1:25" ht="15" x14ac:dyDescent="0.25">
      <c r="A5" s="27" t="s">
        <v>42</v>
      </c>
      <c r="B5" s="31">
        <v>2</v>
      </c>
      <c r="C5" s="72"/>
      <c r="D5" s="25"/>
      <c r="E5" s="25"/>
      <c r="F5" s="25"/>
      <c r="G5" s="72">
        <f t="shared" si="1"/>
        <v>5.1275000000000004</v>
      </c>
      <c r="H5" s="5">
        <f t="shared" si="2"/>
        <v>3.0835981000000001</v>
      </c>
      <c r="I5" s="5" t="s">
        <v>46</v>
      </c>
      <c r="J5" s="5" t="s">
        <v>47</v>
      </c>
      <c r="K5" s="5">
        <f t="shared" si="0"/>
        <v>2.1575000000000002</v>
      </c>
      <c r="L5" s="10"/>
      <c r="M5" s="72">
        <v>5.21</v>
      </c>
      <c r="N5" s="21">
        <v>3.0836000000000001</v>
      </c>
      <c r="O5" s="5" t="s">
        <v>46</v>
      </c>
      <c r="P5" s="5" t="s">
        <v>47</v>
      </c>
      <c r="Q5" s="5">
        <v>2.2400000000000002</v>
      </c>
      <c r="R5" s="10"/>
      <c r="T5">
        <v>1.676247</v>
      </c>
      <c r="U5">
        <v>1.4073511000000001</v>
      </c>
      <c r="V5" s="1">
        <f t="shared" si="3"/>
        <v>3.0835981000000001</v>
      </c>
      <c r="W5" s="72">
        <v>5.21</v>
      </c>
      <c r="X5" s="5">
        <v>2.2400000000000002</v>
      </c>
      <c r="Y5" s="28" t="s">
        <v>50</v>
      </c>
    </row>
    <row r="6" spans="1:25" ht="15" x14ac:dyDescent="0.25">
      <c r="A6" s="1" t="s">
        <v>43</v>
      </c>
      <c r="B6" s="31"/>
      <c r="C6" s="17"/>
      <c r="D6" s="21"/>
      <c r="E6" s="21"/>
      <c r="F6" s="21"/>
      <c r="G6" s="29">
        <f t="shared" si="1"/>
        <v>2.1875</v>
      </c>
      <c r="H6" s="20">
        <f t="shared" si="2"/>
        <v>0.68742519999999996</v>
      </c>
      <c r="I6" s="20"/>
      <c r="J6" s="20"/>
      <c r="K6" s="20">
        <f t="shared" si="0"/>
        <v>0.91749999999999998</v>
      </c>
      <c r="L6" s="308"/>
      <c r="M6" s="76">
        <v>2.27</v>
      </c>
      <c r="N6" s="33">
        <v>0.68742499999999995</v>
      </c>
      <c r="O6" s="20"/>
      <c r="P6" s="20"/>
      <c r="Q6" s="20">
        <v>1</v>
      </c>
      <c r="R6" s="308"/>
      <c r="T6">
        <v>0.44380777999999999</v>
      </c>
      <c r="U6">
        <v>0.24361742</v>
      </c>
      <c r="V6" s="1">
        <f t="shared" si="3"/>
        <v>0.68742519999999996</v>
      </c>
      <c r="W6" s="29">
        <v>2.27</v>
      </c>
      <c r="X6" s="5">
        <v>1</v>
      </c>
      <c r="Y6" s="28"/>
    </row>
    <row r="7" spans="1:25" ht="15" x14ac:dyDescent="0.25">
      <c r="B7" s="67">
        <v>3</v>
      </c>
      <c r="C7" s="30"/>
      <c r="D7" s="23"/>
      <c r="E7" s="32"/>
      <c r="F7" s="32"/>
      <c r="G7" s="71">
        <f t="shared" si="1"/>
        <v>9.0274999999999999</v>
      </c>
      <c r="H7" s="5">
        <f t="shared" si="2"/>
        <v>12.209111700000001</v>
      </c>
      <c r="I7" s="5" t="s">
        <v>40</v>
      </c>
      <c r="J7" s="5"/>
      <c r="K7" s="5">
        <f t="shared" si="0"/>
        <v>2.9474999999999998</v>
      </c>
      <c r="L7" s="10"/>
      <c r="M7" s="29">
        <v>9.11</v>
      </c>
      <c r="N7" s="21">
        <v>12.209099999999999</v>
      </c>
      <c r="O7" s="5" t="s">
        <v>40</v>
      </c>
      <c r="P7" s="5"/>
      <c r="Q7" s="5">
        <v>3.03</v>
      </c>
      <c r="R7" s="10"/>
      <c r="T7">
        <v>8.6366119000000001</v>
      </c>
      <c r="U7">
        <v>3.5724998000000001</v>
      </c>
      <c r="V7" s="1">
        <f t="shared" si="3"/>
        <v>12.209111700000001</v>
      </c>
      <c r="W7" s="71">
        <v>9.11</v>
      </c>
      <c r="X7" s="5">
        <v>3.03</v>
      </c>
    </row>
    <row r="8" spans="1:25" ht="15" x14ac:dyDescent="0.25">
      <c r="A8" s="27"/>
      <c r="B8" s="31"/>
      <c r="C8" s="38"/>
      <c r="D8" s="5"/>
      <c r="E8" s="21"/>
      <c r="F8" s="21"/>
      <c r="G8" s="29">
        <f t="shared" si="1"/>
        <v>3.0175000000000001</v>
      </c>
      <c r="H8" s="20">
        <f t="shared" si="2"/>
        <v>1.60300441</v>
      </c>
      <c r="I8" s="20"/>
      <c r="J8" s="20"/>
      <c r="K8" s="20">
        <f t="shared" si="0"/>
        <v>1.0375000000000001</v>
      </c>
      <c r="L8" s="308"/>
      <c r="M8" s="76">
        <v>3.1</v>
      </c>
      <c r="N8" s="33">
        <v>1.603</v>
      </c>
      <c r="O8" s="20"/>
      <c r="P8" s="20"/>
      <c r="Q8" s="20">
        <v>1.1200000000000001</v>
      </c>
      <c r="R8" s="308"/>
      <c r="T8">
        <v>1.0623423000000001</v>
      </c>
      <c r="U8">
        <v>0.54066210999999997</v>
      </c>
      <c r="V8" s="1">
        <f t="shared" si="3"/>
        <v>1.60300441</v>
      </c>
      <c r="W8" s="29">
        <v>3.1</v>
      </c>
      <c r="X8" s="5">
        <v>1.1200000000000001</v>
      </c>
    </row>
    <row r="9" spans="1:25" ht="15" x14ac:dyDescent="0.25">
      <c r="B9" s="67">
        <v>4</v>
      </c>
      <c r="C9" s="30"/>
      <c r="D9" s="23"/>
      <c r="E9" s="23"/>
      <c r="F9" s="23"/>
      <c r="G9" s="30">
        <f t="shared" si="1"/>
        <v>11.4175</v>
      </c>
      <c r="H9" s="5">
        <f t="shared" si="2"/>
        <v>21.372681099999998</v>
      </c>
      <c r="I9" s="5" t="s">
        <v>46</v>
      </c>
      <c r="J9" s="5"/>
      <c r="K9" s="5">
        <f t="shared" si="0"/>
        <v>2.5375000000000001</v>
      </c>
      <c r="L9" s="10"/>
      <c r="M9" s="17">
        <v>11.5</v>
      </c>
      <c r="N9" s="21">
        <v>21.372699999999998</v>
      </c>
      <c r="O9" s="5" t="s">
        <v>46</v>
      </c>
      <c r="P9" s="5"/>
      <c r="Q9" s="5">
        <v>2.62</v>
      </c>
      <c r="R9" s="10"/>
      <c r="T9">
        <v>18.611405999999999</v>
      </c>
      <c r="U9">
        <v>2.7612751000000002</v>
      </c>
      <c r="V9" s="1">
        <f t="shared" si="3"/>
        <v>21.372681099999998</v>
      </c>
      <c r="W9" s="30">
        <v>11.5</v>
      </c>
      <c r="X9" s="5">
        <v>2.62</v>
      </c>
    </row>
    <row r="10" spans="1:25" ht="15" x14ac:dyDescent="0.25">
      <c r="B10" s="68"/>
      <c r="C10" s="38"/>
      <c r="D10" s="20"/>
      <c r="E10" s="20"/>
      <c r="F10" s="20"/>
      <c r="G10" s="38">
        <f t="shared" si="1"/>
        <v>2.2675000000000001</v>
      </c>
      <c r="H10" s="20">
        <f t="shared" si="2"/>
        <v>0.86492977000000004</v>
      </c>
      <c r="I10" s="20"/>
      <c r="J10" s="20"/>
      <c r="K10" s="20">
        <f t="shared" si="0"/>
        <v>0.91749999999999998</v>
      </c>
      <c r="L10" s="308"/>
      <c r="M10" s="38">
        <v>2.35</v>
      </c>
      <c r="N10" s="33">
        <v>0.86492999999999998</v>
      </c>
      <c r="O10" s="20"/>
      <c r="P10" s="20"/>
      <c r="Q10" s="20">
        <v>1</v>
      </c>
      <c r="R10" s="308"/>
      <c r="T10">
        <v>0.53603237999999997</v>
      </c>
      <c r="U10">
        <v>0.32889739000000001</v>
      </c>
      <c r="V10" s="1">
        <f t="shared" si="3"/>
        <v>0.86492977000000004</v>
      </c>
      <c r="W10" s="38">
        <v>2.35</v>
      </c>
      <c r="X10" s="5">
        <v>1</v>
      </c>
    </row>
    <row r="11" spans="1:25" ht="15" x14ac:dyDescent="0.25">
      <c r="B11" s="31">
        <v>5</v>
      </c>
      <c r="C11" s="72"/>
      <c r="D11" s="25"/>
      <c r="E11" s="25"/>
      <c r="F11" s="25"/>
      <c r="G11" s="72">
        <f t="shared" si="1"/>
        <v>7.8175000000000008</v>
      </c>
      <c r="H11" s="5">
        <f t="shared" si="2"/>
        <v>7.3223187999999997</v>
      </c>
      <c r="I11" s="5" t="s">
        <v>46</v>
      </c>
      <c r="J11" s="5" t="s">
        <v>48</v>
      </c>
      <c r="K11" s="5">
        <f t="shared" si="0"/>
        <v>2.6074999999999999</v>
      </c>
      <c r="L11" s="10"/>
      <c r="M11" s="72">
        <v>7.9</v>
      </c>
      <c r="N11" s="21">
        <v>7.3220400000000003</v>
      </c>
      <c r="O11" s="5" t="s">
        <v>46</v>
      </c>
      <c r="P11" s="5" t="s">
        <v>48</v>
      </c>
      <c r="Q11" s="5">
        <v>2.69</v>
      </c>
      <c r="R11" s="10"/>
      <c r="T11">
        <v>4.6008595999999997</v>
      </c>
      <c r="U11">
        <v>2.7214592</v>
      </c>
      <c r="V11" s="1">
        <f t="shared" si="3"/>
        <v>7.3223187999999997</v>
      </c>
      <c r="W11" s="72">
        <v>7.9</v>
      </c>
      <c r="X11" s="5">
        <v>2.69</v>
      </c>
    </row>
    <row r="12" spans="1:25" ht="15" x14ac:dyDescent="0.25">
      <c r="B12" s="31"/>
      <c r="C12" s="17"/>
      <c r="D12" s="5"/>
      <c r="E12" s="5"/>
      <c r="F12" s="5"/>
      <c r="G12" s="17">
        <f t="shared" si="1"/>
        <v>2.8275000000000001</v>
      </c>
      <c r="H12" s="5">
        <f t="shared" si="2"/>
        <v>1.19799393</v>
      </c>
      <c r="I12" s="5"/>
      <c r="J12" s="5"/>
      <c r="K12" s="5">
        <f t="shared" si="0"/>
        <v>1.3774999999999999</v>
      </c>
      <c r="L12" s="10"/>
      <c r="M12" s="17">
        <v>2.91</v>
      </c>
      <c r="N12" s="21">
        <v>1.1979900000000001</v>
      </c>
      <c r="O12" s="5"/>
      <c r="P12" s="5"/>
      <c r="Q12" s="5">
        <v>1.46</v>
      </c>
      <c r="R12" s="10"/>
      <c r="T12">
        <v>0.69798099999999996</v>
      </c>
      <c r="U12">
        <v>0.50001293000000002</v>
      </c>
      <c r="V12" s="1">
        <f t="shared" si="3"/>
        <v>1.19799393</v>
      </c>
      <c r="W12" s="17">
        <v>2.91</v>
      </c>
      <c r="X12" s="5">
        <v>1.46</v>
      </c>
    </row>
    <row r="13" spans="1:25" ht="15" x14ac:dyDescent="0.25">
      <c r="B13" s="68"/>
      <c r="C13" s="74"/>
      <c r="D13" s="75"/>
      <c r="E13" s="75"/>
      <c r="F13" s="75"/>
      <c r="G13" s="74">
        <f t="shared" si="1"/>
        <v>0.3775</v>
      </c>
      <c r="H13" s="20">
        <f t="shared" si="2"/>
        <v>1.46300072E-2</v>
      </c>
      <c r="I13" s="20"/>
      <c r="J13" s="20" t="s">
        <v>49</v>
      </c>
      <c r="K13" s="20">
        <f t="shared" si="0"/>
        <v>0.11750000000000001</v>
      </c>
      <c r="L13" s="308"/>
      <c r="M13" s="74">
        <v>0.46</v>
      </c>
      <c r="N13" s="33">
        <v>1.5093000000000001E-2</v>
      </c>
      <c r="O13" s="20"/>
      <c r="P13" s="20" t="s">
        <v>49</v>
      </c>
      <c r="Q13" s="20">
        <v>0.2</v>
      </c>
      <c r="R13" s="308"/>
      <c r="T13">
        <v>1.0278043000000001E-2</v>
      </c>
      <c r="U13">
        <v>4.3519641999999999E-3</v>
      </c>
      <c r="V13" s="1">
        <f t="shared" si="3"/>
        <v>1.46300072E-2</v>
      </c>
      <c r="W13" s="74">
        <v>0.46</v>
      </c>
      <c r="X13" s="5">
        <v>0.2</v>
      </c>
    </row>
    <row r="14" spans="1:25" ht="15" x14ac:dyDescent="0.25">
      <c r="A14" s="23" t="s">
        <v>41</v>
      </c>
      <c r="B14" s="31">
        <v>1</v>
      </c>
      <c r="C14" s="17"/>
      <c r="D14" s="5"/>
      <c r="E14" s="5"/>
      <c r="F14" s="5"/>
      <c r="G14" s="17">
        <f t="shared" si="1"/>
        <v>8.0075000000000003</v>
      </c>
      <c r="H14" s="5">
        <f t="shared" si="2"/>
        <v>7.7496445999999999</v>
      </c>
      <c r="I14" s="5" t="s">
        <v>46</v>
      </c>
      <c r="J14" s="5"/>
      <c r="K14" s="5">
        <f t="shared" si="0"/>
        <v>2.6074999999999999</v>
      </c>
      <c r="L14" s="10"/>
      <c r="M14" s="17">
        <v>8.09</v>
      </c>
      <c r="N14" s="21">
        <v>7.7496499999999999</v>
      </c>
      <c r="O14" s="5" t="s">
        <v>46</v>
      </c>
      <c r="P14" s="5"/>
      <c r="Q14" s="5">
        <v>2.69</v>
      </c>
      <c r="R14" s="10"/>
      <c r="T14">
        <v>5.7694082</v>
      </c>
      <c r="U14">
        <v>1.9802363999999999</v>
      </c>
      <c r="V14" s="1">
        <f t="shared" si="3"/>
        <v>7.7496445999999999</v>
      </c>
      <c r="W14" s="17">
        <v>8.09</v>
      </c>
      <c r="X14" s="5">
        <v>2.69</v>
      </c>
    </row>
    <row r="15" spans="1:25" s="5" customFormat="1" ht="15" x14ac:dyDescent="0.25">
      <c r="A15" s="1" t="s">
        <v>3</v>
      </c>
      <c r="B15" s="31"/>
      <c r="C15" s="38"/>
      <c r="D15" s="20"/>
      <c r="E15" s="20"/>
      <c r="F15" s="20"/>
      <c r="G15" s="38">
        <f t="shared" si="1"/>
        <v>2.0074999999999998</v>
      </c>
      <c r="H15" s="20">
        <f t="shared" si="2"/>
        <v>0.54964383999999999</v>
      </c>
      <c r="I15" s="20"/>
      <c r="J15" s="20"/>
      <c r="K15" s="20">
        <f t="shared" si="0"/>
        <v>0.67749999999999999</v>
      </c>
      <c r="L15" s="308"/>
      <c r="M15" s="38">
        <v>2.09</v>
      </c>
      <c r="N15" s="33">
        <v>0.54964400000000002</v>
      </c>
      <c r="O15" s="20"/>
      <c r="P15" s="20"/>
      <c r="Q15" s="20">
        <v>0.76</v>
      </c>
      <c r="R15" s="308"/>
      <c r="T15">
        <v>0.27778497000000002</v>
      </c>
      <c r="U15">
        <v>0.27185886999999997</v>
      </c>
      <c r="V15" s="1">
        <f t="shared" si="3"/>
        <v>0.54964383999999999</v>
      </c>
      <c r="W15" s="38">
        <v>2.09</v>
      </c>
      <c r="X15" s="5">
        <v>0.76</v>
      </c>
    </row>
    <row r="16" spans="1:25" ht="15" x14ac:dyDescent="0.25">
      <c r="A16" s="27" t="s">
        <v>42</v>
      </c>
      <c r="B16" s="67">
        <v>2</v>
      </c>
      <c r="C16" s="72"/>
      <c r="D16" s="25"/>
      <c r="E16" s="25"/>
      <c r="F16" s="25"/>
      <c r="G16" s="72">
        <f t="shared" si="1"/>
        <v>7.2875000000000005</v>
      </c>
      <c r="H16" s="5">
        <f t="shared" si="2"/>
        <v>7.6163082000000006</v>
      </c>
      <c r="I16" s="5" t="s">
        <v>46</v>
      </c>
      <c r="J16" s="5" t="s">
        <v>51</v>
      </c>
      <c r="K16" s="5">
        <f t="shared" si="0"/>
        <v>3.5274999999999999</v>
      </c>
      <c r="L16" s="10"/>
      <c r="M16" s="72">
        <v>7.37</v>
      </c>
      <c r="N16" s="21">
        <v>7.6163100000000004</v>
      </c>
      <c r="O16" s="5" t="s">
        <v>46</v>
      </c>
      <c r="P16" s="5" t="s">
        <v>51</v>
      </c>
      <c r="Q16" s="5">
        <v>3.61</v>
      </c>
      <c r="R16" s="10"/>
      <c r="T16">
        <v>2.4817309000000001</v>
      </c>
      <c r="U16">
        <v>5.1345773000000001</v>
      </c>
      <c r="V16" s="1">
        <f t="shared" si="3"/>
        <v>7.6163082000000006</v>
      </c>
      <c r="W16" s="72">
        <v>7.37</v>
      </c>
      <c r="X16" s="5">
        <v>3.61</v>
      </c>
    </row>
    <row r="17" spans="1:24" ht="15" x14ac:dyDescent="0.25">
      <c r="A17" s="1" t="s">
        <v>44</v>
      </c>
      <c r="B17" s="31"/>
      <c r="C17" s="17"/>
      <c r="D17" s="5"/>
      <c r="E17" s="5"/>
      <c r="F17" s="5"/>
      <c r="G17" s="17">
        <f t="shared" si="1"/>
        <v>5.7975000000000003</v>
      </c>
      <c r="H17" s="5">
        <f t="shared" si="2"/>
        <v>5.3387492000000005</v>
      </c>
      <c r="I17" s="5"/>
      <c r="J17" s="5"/>
      <c r="K17" s="5">
        <f t="shared" si="0"/>
        <v>2.0074999999999998</v>
      </c>
      <c r="L17" s="10"/>
      <c r="M17" s="17">
        <v>5.88</v>
      </c>
      <c r="N17" s="21">
        <v>5.3387500000000001</v>
      </c>
      <c r="O17" s="5"/>
      <c r="P17" s="5"/>
      <c r="Q17" s="5">
        <v>2.09</v>
      </c>
      <c r="R17" s="10"/>
      <c r="T17">
        <v>3.5908337000000001</v>
      </c>
      <c r="U17">
        <v>1.7479155</v>
      </c>
      <c r="V17" s="1">
        <f t="shared" si="3"/>
        <v>5.3387492000000005</v>
      </c>
      <c r="W17" s="17">
        <v>5.88</v>
      </c>
      <c r="X17" s="5">
        <v>2.09</v>
      </c>
    </row>
    <row r="18" spans="1:24" ht="15" x14ac:dyDescent="0.25">
      <c r="B18" s="31"/>
      <c r="C18" s="72"/>
      <c r="D18" s="25"/>
      <c r="E18" s="25"/>
      <c r="F18" s="25"/>
      <c r="G18" s="72">
        <f t="shared" si="1"/>
        <v>1.0075000000000001</v>
      </c>
      <c r="H18" s="20">
        <f t="shared" si="2"/>
        <v>0.15944856800000001</v>
      </c>
      <c r="I18" s="20"/>
      <c r="J18" s="20" t="s">
        <v>52</v>
      </c>
      <c r="K18" s="20">
        <f t="shared" si="0"/>
        <v>0.32749999999999996</v>
      </c>
      <c r="L18" s="308"/>
      <c r="M18" s="74">
        <v>1.0900000000000001</v>
      </c>
      <c r="N18" s="33">
        <v>0.15944900000000001</v>
      </c>
      <c r="O18" s="20"/>
      <c r="P18" s="20" t="s">
        <v>52</v>
      </c>
      <c r="Q18" s="20">
        <v>0.41</v>
      </c>
      <c r="R18" s="308"/>
      <c r="T18">
        <v>9.8335877000000002E-2</v>
      </c>
      <c r="U18">
        <v>6.1112690999999997E-2</v>
      </c>
      <c r="V18" s="1">
        <f t="shared" si="3"/>
        <v>0.15944856800000001</v>
      </c>
      <c r="W18" s="72">
        <v>1.0900000000000001</v>
      </c>
      <c r="X18" s="5">
        <v>0.41</v>
      </c>
    </row>
    <row r="19" spans="1:24" ht="15" x14ac:dyDescent="0.25">
      <c r="B19" s="67">
        <v>3</v>
      </c>
      <c r="C19" s="30"/>
      <c r="D19" s="23"/>
      <c r="E19" s="23"/>
      <c r="F19" s="23"/>
      <c r="G19" s="30">
        <f t="shared" si="1"/>
        <v>12.297500000000001</v>
      </c>
      <c r="H19" s="5">
        <f t="shared" si="2"/>
        <v>30.171705800000002</v>
      </c>
      <c r="I19" s="5" t="s">
        <v>46</v>
      </c>
      <c r="J19" s="5"/>
      <c r="K19" s="5">
        <f t="shared" si="0"/>
        <v>2.9474999999999998</v>
      </c>
      <c r="L19" s="10"/>
      <c r="M19" s="17">
        <v>12.38</v>
      </c>
      <c r="N19" s="21">
        <v>30.171700000000001</v>
      </c>
      <c r="O19" s="5" t="s">
        <v>46</v>
      </c>
      <c r="P19" s="5"/>
      <c r="Q19" s="5">
        <v>3.03</v>
      </c>
      <c r="R19" s="10"/>
      <c r="T19">
        <v>26.115490000000001</v>
      </c>
      <c r="U19">
        <v>4.0562158000000004</v>
      </c>
      <c r="V19" s="1">
        <f t="shared" si="3"/>
        <v>30.171705800000002</v>
      </c>
      <c r="W19" s="30">
        <v>12.38</v>
      </c>
      <c r="X19" s="5">
        <v>3.03</v>
      </c>
    </row>
    <row r="20" spans="1:24" s="5" customFormat="1" ht="15" x14ac:dyDescent="0.25">
      <c r="A20" s="31"/>
      <c r="B20" s="31"/>
      <c r="C20" s="17"/>
      <c r="G20" s="17">
        <f t="shared" si="1"/>
        <v>3.3075000000000001</v>
      </c>
      <c r="H20" s="20">
        <f t="shared" si="2"/>
        <v>2.04579362</v>
      </c>
      <c r="I20" s="20"/>
      <c r="J20" s="20"/>
      <c r="K20" s="20">
        <f t="shared" si="0"/>
        <v>1.0375000000000001</v>
      </c>
      <c r="L20" s="308"/>
      <c r="M20" s="38">
        <v>3.39</v>
      </c>
      <c r="N20" s="33">
        <v>2.0457900000000002</v>
      </c>
      <c r="O20" s="20"/>
      <c r="P20" s="20"/>
      <c r="Q20" s="20">
        <v>1.1200000000000001</v>
      </c>
      <c r="R20" s="308"/>
      <c r="T20">
        <v>1.2930889999999999</v>
      </c>
      <c r="U20">
        <v>0.75270462000000005</v>
      </c>
      <c r="V20" s="1">
        <f t="shared" si="3"/>
        <v>2.04579362</v>
      </c>
      <c r="W20" s="17">
        <v>3.39</v>
      </c>
      <c r="X20" s="5">
        <v>1.1200000000000001</v>
      </c>
    </row>
    <row r="21" spans="1:24" ht="15" x14ac:dyDescent="0.25">
      <c r="B21" s="67">
        <v>4</v>
      </c>
      <c r="C21" s="30"/>
      <c r="D21" s="23"/>
      <c r="E21" s="23"/>
      <c r="F21" s="23"/>
      <c r="G21" s="30">
        <f t="shared" si="1"/>
        <v>9.9875000000000007</v>
      </c>
      <c r="H21" s="5">
        <f t="shared" si="2"/>
        <v>18.708908600000001</v>
      </c>
      <c r="I21" s="5" t="s">
        <v>46</v>
      </c>
      <c r="J21" s="5"/>
      <c r="K21" s="5">
        <f t="shared" si="0"/>
        <v>2.6375000000000002</v>
      </c>
      <c r="L21" s="10"/>
      <c r="M21" s="17">
        <v>10.07</v>
      </c>
      <c r="N21" s="21">
        <v>18.7089</v>
      </c>
      <c r="O21" s="5" t="s">
        <v>46</v>
      </c>
      <c r="P21" s="5"/>
      <c r="Q21" s="5">
        <v>2.72</v>
      </c>
      <c r="R21" s="10"/>
      <c r="T21">
        <v>15.317247</v>
      </c>
      <c r="U21">
        <v>3.3916615999999999</v>
      </c>
      <c r="V21" s="1">
        <f t="shared" si="3"/>
        <v>18.708908600000001</v>
      </c>
      <c r="W21" s="30">
        <v>10.07</v>
      </c>
      <c r="X21" s="5">
        <v>2.72</v>
      </c>
    </row>
    <row r="22" spans="1:24" s="5" customFormat="1" ht="15" x14ac:dyDescent="0.25">
      <c r="B22" s="31"/>
      <c r="C22" s="72"/>
      <c r="D22" s="25"/>
      <c r="E22" s="25"/>
      <c r="F22" s="25"/>
      <c r="G22" s="74">
        <f t="shared" si="1"/>
        <v>1.6375</v>
      </c>
      <c r="H22" s="20">
        <f t="shared" si="2"/>
        <v>0.46843803000000001</v>
      </c>
      <c r="I22" s="20"/>
      <c r="J22" s="20" t="s">
        <v>53</v>
      </c>
      <c r="K22" s="20">
        <f t="shared" si="0"/>
        <v>0.48749999999999993</v>
      </c>
      <c r="L22" s="308"/>
      <c r="M22" s="74">
        <v>1.72</v>
      </c>
      <c r="N22" s="33">
        <v>0.46843800000000002</v>
      </c>
      <c r="O22" s="20"/>
      <c r="P22" s="20" t="s">
        <v>53</v>
      </c>
      <c r="Q22" s="20">
        <v>0.56999999999999995</v>
      </c>
      <c r="R22" s="308"/>
      <c r="T22">
        <v>0.21574631</v>
      </c>
      <c r="U22">
        <v>0.25269172000000001</v>
      </c>
      <c r="V22" s="1">
        <f t="shared" si="3"/>
        <v>0.46843803000000001</v>
      </c>
      <c r="W22" s="72">
        <v>1.72</v>
      </c>
      <c r="X22" s="5">
        <v>0.56999999999999995</v>
      </c>
    </row>
    <row r="23" spans="1:24" ht="15" x14ac:dyDescent="0.25">
      <c r="B23" s="67">
        <v>5</v>
      </c>
      <c r="C23" s="30"/>
      <c r="D23" s="23"/>
      <c r="E23" s="32"/>
      <c r="F23" s="23"/>
      <c r="G23" s="17">
        <f t="shared" si="1"/>
        <v>11.1875</v>
      </c>
      <c r="H23" s="5">
        <f t="shared" si="2"/>
        <v>22.783181200000001</v>
      </c>
      <c r="I23" s="5" t="s">
        <v>46</v>
      </c>
      <c r="J23" s="5"/>
      <c r="K23" s="5">
        <f t="shared" si="0"/>
        <v>2.8174999999999999</v>
      </c>
      <c r="L23" s="10"/>
      <c r="M23" s="17">
        <v>11.27</v>
      </c>
      <c r="N23" s="21">
        <v>22.783200000000001</v>
      </c>
      <c r="O23" s="5" t="s">
        <v>46</v>
      </c>
      <c r="P23" s="5"/>
      <c r="Q23" s="5">
        <v>2.9</v>
      </c>
      <c r="R23" s="10"/>
      <c r="T23">
        <v>19.445595000000001</v>
      </c>
      <c r="U23">
        <v>3.3375862000000001</v>
      </c>
      <c r="V23" s="1">
        <f t="shared" si="3"/>
        <v>22.783181200000001</v>
      </c>
      <c r="W23" s="30">
        <v>11.27</v>
      </c>
      <c r="X23" s="5">
        <v>2.9</v>
      </c>
    </row>
    <row r="24" spans="1:24" s="5" customFormat="1" ht="15" x14ac:dyDescent="0.25">
      <c r="B24" s="31"/>
      <c r="C24" s="74"/>
      <c r="D24" s="75"/>
      <c r="E24" s="75"/>
      <c r="F24" s="75"/>
      <c r="G24" s="74">
        <f t="shared" si="1"/>
        <v>2.4175</v>
      </c>
      <c r="H24" s="20">
        <f t="shared" si="2"/>
        <v>0.96085817000000007</v>
      </c>
      <c r="I24" s="20"/>
      <c r="J24" s="20" t="s">
        <v>55</v>
      </c>
      <c r="K24" s="20">
        <f t="shared" si="0"/>
        <v>0.92749999999999999</v>
      </c>
      <c r="L24" s="308"/>
      <c r="M24" s="74">
        <v>2.5</v>
      </c>
      <c r="N24" s="33">
        <v>0.96733999999999998</v>
      </c>
      <c r="O24" s="20"/>
      <c r="P24" s="20" t="s">
        <v>55</v>
      </c>
      <c r="Q24" s="20">
        <v>1.01</v>
      </c>
      <c r="R24" s="308"/>
      <c r="T24">
        <v>0.53742129000000005</v>
      </c>
      <c r="U24">
        <v>0.42343688000000002</v>
      </c>
      <c r="V24" s="1">
        <f t="shared" si="3"/>
        <v>0.96085817000000007</v>
      </c>
      <c r="W24" s="74">
        <v>2.5</v>
      </c>
      <c r="X24" s="5">
        <v>1.01</v>
      </c>
    </row>
    <row r="25" spans="1:24" ht="15" x14ac:dyDescent="0.25">
      <c r="B25" s="67">
        <v>6</v>
      </c>
      <c r="C25" s="72"/>
      <c r="D25" s="25"/>
      <c r="E25" s="25"/>
      <c r="F25" s="25"/>
      <c r="G25" s="72">
        <f t="shared" si="1"/>
        <v>9.6375000000000011</v>
      </c>
      <c r="H25" s="5">
        <f t="shared" si="2"/>
        <v>16.497464000000001</v>
      </c>
      <c r="I25" s="5" t="s">
        <v>46</v>
      </c>
      <c r="J25" s="5" t="s">
        <v>56</v>
      </c>
      <c r="K25" s="5">
        <f t="shared" si="0"/>
        <v>3.3174999999999999</v>
      </c>
      <c r="L25" s="10"/>
      <c r="M25" s="72">
        <v>9.7200000000000006</v>
      </c>
      <c r="N25" s="21">
        <v>16.497499999999999</v>
      </c>
      <c r="O25" s="5" t="s">
        <v>46</v>
      </c>
      <c r="P25" s="5" t="s">
        <v>56</v>
      </c>
      <c r="Q25" s="5">
        <v>3.4</v>
      </c>
      <c r="R25" s="10"/>
      <c r="T25">
        <v>11.285107</v>
      </c>
      <c r="U25">
        <v>5.2123569999999999</v>
      </c>
      <c r="V25" s="1">
        <f t="shared" si="3"/>
        <v>16.497464000000001</v>
      </c>
      <c r="W25" s="72">
        <v>9.7200000000000006</v>
      </c>
      <c r="X25" s="5">
        <v>3.4</v>
      </c>
    </row>
    <row r="26" spans="1:24" s="5" customFormat="1" ht="15" x14ac:dyDescent="0.25">
      <c r="B26" s="31"/>
      <c r="C26" s="17"/>
      <c r="G26" s="17">
        <f t="shared" si="1"/>
        <v>3.1274999999999999</v>
      </c>
      <c r="H26" s="5">
        <f t="shared" si="2"/>
        <v>2.1411665200000001</v>
      </c>
      <c r="K26" s="5">
        <f t="shared" si="0"/>
        <v>1.3574999999999999</v>
      </c>
      <c r="L26" s="10"/>
      <c r="M26" s="17">
        <v>3.21</v>
      </c>
      <c r="N26" s="21">
        <v>2.1411699999999998</v>
      </c>
      <c r="Q26" s="5">
        <v>1.44</v>
      </c>
      <c r="R26" s="10"/>
      <c r="T26">
        <v>1.2239206</v>
      </c>
      <c r="U26">
        <v>0.91724592000000005</v>
      </c>
      <c r="V26" s="1">
        <f t="shared" si="3"/>
        <v>2.1411665200000001</v>
      </c>
      <c r="W26" s="17">
        <v>3.21</v>
      </c>
      <c r="X26" s="5">
        <v>1.44</v>
      </c>
    </row>
    <row r="27" spans="1:24" ht="15" x14ac:dyDescent="0.25">
      <c r="B27" s="31"/>
      <c r="C27" s="17"/>
      <c r="D27" s="5"/>
      <c r="E27" s="5"/>
      <c r="F27" s="5"/>
      <c r="G27" s="38">
        <f t="shared" si="1"/>
        <v>0.3075</v>
      </c>
      <c r="H27" s="20">
        <f t="shared" si="2"/>
        <v>1.67596923E-2</v>
      </c>
      <c r="I27" s="20"/>
      <c r="J27" s="20"/>
      <c r="K27" s="20">
        <f t="shared" si="0"/>
        <v>5.7500000000000009E-2</v>
      </c>
      <c r="L27" s="308"/>
      <c r="M27" s="38">
        <v>0.39</v>
      </c>
      <c r="N27" s="33">
        <v>1.6759699999999999E-2</v>
      </c>
      <c r="O27" s="20"/>
      <c r="P27" s="20"/>
      <c r="Q27" s="20">
        <v>0.14000000000000001</v>
      </c>
      <c r="R27" s="308"/>
      <c r="T27">
        <v>1.1018803000000001E-2</v>
      </c>
      <c r="U27">
        <v>5.7408893000000004E-3</v>
      </c>
      <c r="V27" s="1">
        <f t="shared" si="3"/>
        <v>1.67596923E-2</v>
      </c>
      <c r="W27" s="17">
        <v>0.39</v>
      </c>
      <c r="X27" s="5">
        <v>0.14000000000000001</v>
      </c>
    </row>
    <row r="28" spans="1:24" ht="15" x14ac:dyDescent="0.25">
      <c r="B28" s="67">
        <v>7</v>
      </c>
      <c r="C28" s="30"/>
      <c r="D28" s="23"/>
      <c r="E28" s="23"/>
      <c r="F28" s="23"/>
      <c r="G28" s="17">
        <f t="shared" si="1"/>
        <v>8.2475000000000005</v>
      </c>
      <c r="H28" s="5">
        <f t="shared" si="2"/>
        <v>9.2203309000000004</v>
      </c>
      <c r="I28" s="5" t="s">
        <v>46</v>
      </c>
      <c r="J28" s="5"/>
      <c r="K28" s="5">
        <f t="shared" si="0"/>
        <v>2.3174999999999999</v>
      </c>
      <c r="L28" s="10"/>
      <c r="M28" s="17">
        <v>8.33</v>
      </c>
      <c r="N28" s="21">
        <v>9.2203300000000006</v>
      </c>
      <c r="O28" s="5" t="s">
        <v>46</v>
      </c>
      <c r="P28" s="5"/>
      <c r="Q28" s="5">
        <v>2.4</v>
      </c>
      <c r="R28" s="10"/>
      <c r="T28">
        <v>6.7013768999999996</v>
      </c>
      <c r="U28">
        <v>2.5189539999999999</v>
      </c>
      <c r="V28" s="1">
        <f t="shared" si="3"/>
        <v>9.2203309000000004</v>
      </c>
      <c r="W28" s="30">
        <v>8.33</v>
      </c>
      <c r="X28" s="5">
        <v>2.4</v>
      </c>
    </row>
    <row r="29" spans="1:24" s="5" customFormat="1" ht="15" x14ac:dyDescent="0.25">
      <c r="B29" s="31"/>
      <c r="C29" s="38"/>
      <c r="D29" s="20"/>
      <c r="E29" s="20"/>
      <c r="F29" s="20"/>
      <c r="G29" s="38">
        <f t="shared" si="1"/>
        <v>1.2375</v>
      </c>
      <c r="H29" s="20">
        <f t="shared" si="2"/>
        <v>0.31037839</v>
      </c>
      <c r="I29" s="20"/>
      <c r="J29" s="20"/>
      <c r="K29" s="20">
        <f t="shared" si="0"/>
        <v>0.58750000000000002</v>
      </c>
      <c r="L29" s="308"/>
      <c r="M29" s="38">
        <v>1.32</v>
      </c>
      <c r="N29" s="33">
        <v>0.31037799999999999</v>
      </c>
      <c r="O29" s="20"/>
      <c r="P29" s="20"/>
      <c r="Q29" s="20">
        <v>0.67</v>
      </c>
      <c r="R29" s="308"/>
      <c r="T29">
        <v>0.15741147</v>
      </c>
      <c r="U29">
        <v>0.15296692000000001</v>
      </c>
      <c r="V29" s="1">
        <f t="shared" si="3"/>
        <v>0.31037839</v>
      </c>
      <c r="W29" s="38">
        <v>1.32</v>
      </c>
      <c r="X29" s="5">
        <v>0.67</v>
      </c>
    </row>
    <row r="30" spans="1:24" ht="15" x14ac:dyDescent="0.25">
      <c r="B30" s="67">
        <v>8</v>
      </c>
      <c r="C30" s="72"/>
      <c r="D30" s="25"/>
      <c r="E30" s="25"/>
      <c r="F30" s="25"/>
      <c r="G30" s="72">
        <f t="shared" si="1"/>
        <v>9.0675000000000008</v>
      </c>
      <c r="H30" s="5">
        <f t="shared" si="2"/>
        <v>14.835290999999998</v>
      </c>
      <c r="I30" s="5" t="s">
        <v>46</v>
      </c>
      <c r="J30" s="5" t="s">
        <v>57</v>
      </c>
      <c r="K30" s="5">
        <f t="shared" si="0"/>
        <v>2.7374999999999998</v>
      </c>
      <c r="L30" s="10"/>
      <c r="M30" s="72">
        <v>9.15</v>
      </c>
      <c r="N30" s="21">
        <v>14.8317</v>
      </c>
      <c r="O30" s="5" t="s">
        <v>46</v>
      </c>
      <c r="P30" s="5" t="s">
        <v>57</v>
      </c>
      <c r="Q30" s="5">
        <v>2.82</v>
      </c>
      <c r="R30" s="10"/>
      <c r="T30">
        <v>10.744999999999999</v>
      </c>
      <c r="U30">
        <v>4.0902909999999997</v>
      </c>
      <c r="V30" s="1">
        <f t="shared" si="3"/>
        <v>14.835290999999998</v>
      </c>
      <c r="W30" s="72">
        <v>9.15</v>
      </c>
      <c r="X30" s="5">
        <v>2.82</v>
      </c>
    </row>
    <row r="31" spans="1:24" s="5" customFormat="1" ht="15" x14ac:dyDescent="0.25">
      <c r="B31" s="31"/>
      <c r="C31" s="17"/>
      <c r="G31" s="38">
        <f t="shared" si="1"/>
        <v>2.7675000000000001</v>
      </c>
      <c r="H31" s="20">
        <f t="shared" si="2"/>
        <v>1.77560144</v>
      </c>
      <c r="I31" s="20"/>
      <c r="J31" s="20"/>
      <c r="K31" s="20">
        <f t="shared" si="0"/>
        <v>1.2875000000000001</v>
      </c>
      <c r="L31" s="308"/>
      <c r="M31" s="38">
        <v>2.85</v>
      </c>
      <c r="N31" s="33">
        <v>1.77884</v>
      </c>
      <c r="O31" s="20"/>
      <c r="P31" s="20"/>
      <c r="Q31" s="20">
        <v>1.37</v>
      </c>
      <c r="R31" s="308"/>
      <c r="T31">
        <v>0.97706227999999995</v>
      </c>
      <c r="U31">
        <v>0.79853916000000003</v>
      </c>
      <c r="V31" s="1">
        <f t="shared" si="3"/>
        <v>1.77560144</v>
      </c>
      <c r="W31" s="17">
        <v>2.85</v>
      </c>
      <c r="X31" s="5">
        <v>1.37</v>
      </c>
    </row>
    <row r="32" spans="1:24" ht="15" x14ac:dyDescent="0.25">
      <c r="B32" s="67">
        <v>9</v>
      </c>
      <c r="C32" s="30"/>
      <c r="D32" s="23"/>
      <c r="E32" s="23"/>
      <c r="F32" s="23"/>
      <c r="G32" s="17">
        <f t="shared" si="1"/>
        <v>8.8674999999999997</v>
      </c>
      <c r="H32" s="5">
        <f t="shared" si="2"/>
        <v>12.057534199999999</v>
      </c>
      <c r="I32" s="5" t="s">
        <v>46</v>
      </c>
      <c r="J32" s="5"/>
      <c r="K32" s="5">
        <f t="shared" si="0"/>
        <v>2.2974999999999999</v>
      </c>
      <c r="L32" s="10"/>
      <c r="M32" s="17">
        <v>8.9499999999999993</v>
      </c>
      <c r="N32" s="21">
        <v>12.057499999999999</v>
      </c>
      <c r="O32" s="5" t="s">
        <v>46</v>
      </c>
      <c r="P32" s="5"/>
      <c r="Q32" s="5">
        <v>2.38</v>
      </c>
      <c r="R32" s="10"/>
      <c r="T32">
        <v>8.8224505999999998</v>
      </c>
      <c r="U32">
        <v>3.2350835999999998</v>
      </c>
      <c r="V32" s="1">
        <f t="shared" si="3"/>
        <v>12.057534199999999</v>
      </c>
      <c r="W32" s="30">
        <v>8.9499999999999993</v>
      </c>
      <c r="X32" s="5">
        <v>2.38</v>
      </c>
    </row>
    <row r="33" spans="1:24" s="5" customFormat="1" ht="15" x14ac:dyDescent="0.25">
      <c r="B33" s="31"/>
      <c r="C33" s="74"/>
      <c r="D33" s="75"/>
      <c r="E33" s="75"/>
      <c r="F33" s="75"/>
      <c r="G33" s="74">
        <f t="shared" si="1"/>
        <v>1.2775000000000001</v>
      </c>
      <c r="H33" s="20">
        <f t="shared" si="2"/>
        <v>0.31824898000000001</v>
      </c>
      <c r="I33" s="20"/>
      <c r="J33" s="20" t="s">
        <v>58</v>
      </c>
      <c r="K33" s="20">
        <f t="shared" si="0"/>
        <v>0.5575</v>
      </c>
      <c r="L33" s="308"/>
      <c r="M33" s="74">
        <v>1.36</v>
      </c>
      <c r="N33" s="33">
        <v>0.318249</v>
      </c>
      <c r="O33" s="20"/>
      <c r="P33" s="20" t="s">
        <v>58</v>
      </c>
      <c r="Q33" s="20">
        <v>0.64</v>
      </c>
      <c r="R33" s="308"/>
      <c r="T33">
        <v>0.17380080000000001</v>
      </c>
      <c r="U33">
        <v>0.14444818000000001</v>
      </c>
      <c r="V33" s="1">
        <f t="shared" si="3"/>
        <v>0.31824898000000001</v>
      </c>
      <c r="W33" s="74">
        <v>1.36</v>
      </c>
      <c r="X33" s="5">
        <v>0.64</v>
      </c>
    </row>
    <row r="34" spans="1:24" ht="15" x14ac:dyDescent="0.25">
      <c r="B34" s="67">
        <v>10</v>
      </c>
      <c r="C34" s="72"/>
      <c r="D34" s="25"/>
      <c r="E34" s="25"/>
      <c r="F34" s="25"/>
      <c r="G34" s="72">
        <f t="shared" si="1"/>
        <v>10.307500000000001</v>
      </c>
      <c r="H34" s="5">
        <f t="shared" si="2"/>
        <v>26.0169681</v>
      </c>
      <c r="I34" s="5" t="s">
        <v>46</v>
      </c>
      <c r="J34" s="5" t="s">
        <v>59</v>
      </c>
      <c r="K34" s="5">
        <f t="shared" si="0"/>
        <v>3.2574999999999998</v>
      </c>
      <c r="L34" s="10"/>
      <c r="M34" s="72">
        <v>10.39</v>
      </c>
      <c r="N34" s="21">
        <v>26.016999999999999</v>
      </c>
      <c r="O34" s="5" t="s">
        <v>46</v>
      </c>
      <c r="P34" s="5" t="s">
        <v>59</v>
      </c>
      <c r="Q34" s="5">
        <v>3.34</v>
      </c>
      <c r="R34" s="10"/>
      <c r="T34">
        <v>19.242440999999999</v>
      </c>
      <c r="U34">
        <v>6.7745271000000002</v>
      </c>
      <c r="V34" s="1">
        <f t="shared" si="3"/>
        <v>26.0169681</v>
      </c>
      <c r="W34" s="72">
        <v>10.39</v>
      </c>
      <c r="X34" s="5">
        <v>3.34</v>
      </c>
    </row>
    <row r="35" spans="1:24" s="5" customFormat="1" ht="15" x14ac:dyDescent="0.25">
      <c r="B35" s="31"/>
      <c r="C35" s="17"/>
      <c r="G35" s="38">
        <f t="shared" si="1"/>
        <v>2.8875000000000002</v>
      </c>
      <c r="H35" s="20">
        <f t="shared" si="2"/>
        <v>2.04579369</v>
      </c>
      <c r="I35" s="20"/>
      <c r="J35" s="20"/>
      <c r="K35" s="20">
        <f t="shared" si="0"/>
        <v>1.2375</v>
      </c>
      <c r="L35" s="308"/>
      <c r="M35" s="38">
        <v>2.97</v>
      </c>
      <c r="N35" s="33">
        <v>2.0457900000000002</v>
      </c>
      <c r="O35" s="20"/>
      <c r="P35" s="20"/>
      <c r="Q35" s="20">
        <v>1.32</v>
      </c>
      <c r="R35" s="308"/>
      <c r="T35">
        <v>1.1186400999999999</v>
      </c>
      <c r="U35">
        <v>0.92715358999999997</v>
      </c>
      <c r="V35" s="1">
        <f t="shared" si="3"/>
        <v>2.04579369</v>
      </c>
      <c r="W35" s="17">
        <v>2.97</v>
      </c>
      <c r="X35" s="5">
        <v>1.32</v>
      </c>
    </row>
    <row r="36" spans="1:24" ht="15" x14ac:dyDescent="0.25">
      <c r="B36" s="67">
        <v>11</v>
      </c>
      <c r="C36" s="30"/>
      <c r="D36" s="23"/>
      <c r="E36" s="23"/>
      <c r="F36" s="23"/>
      <c r="G36" s="17">
        <f t="shared" si="1"/>
        <v>6.9075000000000006</v>
      </c>
      <c r="H36" s="5">
        <f t="shared" si="2"/>
        <v>11.651227</v>
      </c>
      <c r="I36" s="5" t="s">
        <v>46</v>
      </c>
      <c r="J36" s="5"/>
      <c r="K36" s="5">
        <f t="shared" si="0"/>
        <v>2.2974999999999999</v>
      </c>
      <c r="L36" s="10"/>
      <c r="M36" s="17">
        <v>6.99</v>
      </c>
      <c r="N36" s="21">
        <v>11.651199999999999</v>
      </c>
      <c r="O36" s="5" t="s">
        <v>46</v>
      </c>
      <c r="P36" s="5"/>
      <c r="Q36" s="5">
        <v>2.38</v>
      </c>
      <c r="R36" s="10"/>
      <c r="T36">
        <v>7.6087151000000004</v>
      </c>
      <c r="U36">
        <v>4.0425119</v>
      </c>
      <c r="V36" s="1">
        <f t="shared" si="3"/>
        <v>11.651227</v>
      </c>
      <c r="W36" s="30">
        <v>6.99</v>
      </c>
      <c r="X36" s="5">
        <v>2.38</v>
      </c>
    </row>
    <row r="37" spans="1:24" s="5" customFormat="1" ht="15" x14ac:dyDescent="0.25">
      <c r="B37" s="31"/>
      <c r="C37" s="72"/>
      <c r="D37" s="25"/>
      <c r="E37" s="25"/>
      <c r="F37" s="25"/>
      <c r="G37" s="74">
        <f t="shared" si="1"/>
        <v>0.77749999999999997</v>
      </c>
      <c r="H37" s="20">
        <f t="shared" si="2"/>
        <v>8.4076248000000006E-2</v>
      </c>
      <c r="I37" s="20"/>
      <c r="J37" s="20" t="s">
        <v>60</v>
      </c>
      <c r="K37" s="20">
        <f t="shared" si="0"/>
        <v>0.2475</v>
      </c>
      <c r="L37" s="308"/>
      <c r="M37" s="74">
        <v>0.86</v>
      </c>
      <c r="N37" s="33">
        <v>8.4076200000000004E-2</v>
      </c>
      <c r="O37" s="20"/>
      <c r="P37" s="20" t="s">
        <v>60</v>
      </c>
      <c r="Q37" s="20">
        <v>0.33</v>
      </c>
      <c r="R37" s="308"/>
      <c r="T37">
        <v>5.5742182000000001E-2</v>
      </c>
      <c r="U37">
        <v>2.8334066000000002E-2</v>
      </c>
      <c r="V37" s="1">
        <f t="shared" si="3"/>
        <v>8.4076248000000006E-2</v>
      </c>
      <c r="W37" s="72">
        <v>0.86</v>
      </c>
      <c r="X37" s="5">
        <v>0.33</v>
      </c>
    </row>
    <row r="38" spans="1:24" ht="15" x14ac:dyDescent="0.25">
      <c r="B38" s="67">
        <v>12</v>
      </c>
      <c r="C38" s="30"/>
      <c r="D38" s="23"/>
      <c r="E38" s="23"/>
      <c r="F38" s="23"/>
      <c r="G38" s="17">
        <f t="shared" si="1"/>
        <v>8.6974999999999998</v>
      </c>
      <c r="H38" s="5">
        <f t="shared" si="2"/>
        <v>20.720998000000002</v>
      </c>
      <c r="I38" s="5" t="s">
        <v>46</v>
      </c>
      <c r="J38" s="5"/>
      <c r="K38" s="5">
        <f t="shared" si="0"/>
        <v>3.0175000000000001</v>
      </c>
      <c r="L38" s="10"/>
      <c r="M38" s="17">
        <v>8.7799999999999994</v>
      </c>
      <c r="N38" s="21">
        <v>20.721</v>
      </c>
      <c r="O38" s="5" t="s">
        <v>46</v>
      </c>
      <c r="P38" s="5"/>
      <c r="Q38" s="5">
        <v>3.1</v>
      </c>
      <c r="R38" s="10"/>
      <c r="T38">
        <v>13.817579</v>
      </c>
      <c r="U38">
        <v>6.9034190000000004</v>
      </c>
      <c r="V38" s="1">
        <f t="shared" si="3"/>
        <v>20.720998000000002</v>
      </c>
      <c r="W38" s="30">
        <v>8.7799999999999994</v>
      </c>
      <c r="X38" s="5">
        <v>3.1</v>
      </c>
    </row>
    <row r="39" spans="1:24" s="5" customFormat="1" ht="15" x14ac:dyDescent="0.25">
      <c r="B39" s="31"/>
      <c r="C39" s="38"/>
      <c r="D39" s="20"/>
      <c r="E39" s="20"/>
      <c r="F39" s="20"/>
      <c r="G39" s="38">
        <f t="shared" si="1"/>
        <v>1.6675</v>
      </c>
      <c r="H39" s="20">
        <f t="shared" si="2"/>
        <v>0.89206010000000002</v>
      </c>
      <c r="I39" s="20"/>
      <c r="J39" s="20"/>
      <c r="K39" s="20">
        <f t="shared" si="0"/>
        <v>0.8175</v>
      </c>
      <c r="L39" s="308"/>
      <c r="M39" s="38">
        <v>1.75</v>
      </c>
      <c r="N39" s="33">
        <v>0.89205999999999996</v>
      </c>
      <c r="O39" s="20"/>
      <c r="P39" s="20"/>
      <c r="Q39" s="20">
        <v>0.9</v>
      </c>
      <c r="R39" s="308"/>
      <c r="T39">
        <v>0.41139951000000002</v>
      </c>
      <c r="U39">
        <v>0.48066059</v>
      </c>
      <c r="V39" s="1">
        <f t="shared" si="3"/>
        <v>0.89206010000000002</v>
      </c>
      <c r="W39" s="38">
        <v>1.75</v>
      </c>
      <c r="X39" s="5">
        <v>0.9</v>
      </c>
    </row>
    <row r="40" spans="1:24" ht="15" x14ac:dyDescent="0.25">
      <c r="B40" s="67">
        <v>13</v>
      </c>
      <c r="C40" s="72"/>
      <c r="D40" s="25"/>
      <c r="E40" s="25"/>
      <c r="F40" s="25"/>
      <c r="G40" s="72">
        <f t="shared" si="1"/>
        <v>7.4375</v>
      </c>
      <c r="H40" s="5">
        <f t="shared" si="2"/>
        <v>13.6889653</v>
      </c>
      <c r="I40" s="5" t="s">
        <v>46</v>
      </c>
      <c r="J40" s="5" t="s">
        <v>61</v>
      </c>
      <c r="K40" s="5">
        <f t="shared" si="0"/>
        <v>2.8174999999999999</v>
      </c>
      <c r="L40" s="10"/>
      <c r="M40" s="72">
        <v>7.52</v>
      </c>
      <c r="N40" s="21">
        <v>13.689</v>
      </c>
      <c r="O40" s="5" t="s">
        <v>46</v>
      </c>
      <c r="P40" s="5" t="s">
        <v>61</v>
      </c>
      <c r="Q40" s="5">
        <v>2.9</v>
      </c>
      <c r="R40" s="10"/>
      <c r="T40">
        <v>7.5576029</v>
      </c>
      <c r="U40">
        <v>6.1313624000000004</v>
      </c>
      <c r="V40" s="1">
        <f t="shared" si="3"/>
        <v>13.6889653</v>
      </c>
      <c r="W40" s="72">
        <v>7.52</v>
      </c>
      <c r="X40" s="5">
        <v>2.9</v>
      </c>
    </row>
    <row r="41" spans="1:24" s="5" customFormat="1" ht="15" x14ac:dyDescent="0.25">
      <c r="B41" s="31"/>
      <c r="C41" s="17"/>
      <c r="G41" s="38">
        <f t="shared" si="1"/>
        <v>2.0674999999999999</v>
      </c>
      <c r="H41" s="20">
        <f t="shared" si="2"/>
        <v>1.5249468099999999</v>
      </c>
      <c r="I41" s="20"/>
      <c r="J41" s="20"/>
      <c r="K41" s="20">
        <f t="shared" si="0"/>
        <v>1.1074999999999999</v>
      </c>
      <c r="L41" s="308"/>
      <c r="M41" s="38">
        <v>2.15</v>
      </c>
      <c r="N41" s="33">
        <v>1.52495</v>
      </c>
      <c r="O41" s="20"/>
      <c r="P41" s="20"/>
      <c r="Q41" s="20">
        <v>1.19</v>
      </c>
      <c r="R41" s="308"/>
      <c r="T41">
        <v>0.63381266999999997</v>
      </c>
      <c r="U41">
        <v>0.89113414000000002</v>
      </c>
      <c r="V41" s="1">
        <f t="shared" si="3"/>
        <v>1.5249468099999999</v>
      </c>
      <c r="W41" s="17">
        <v>2.15</v>
      </c>
      <c r="X41" s="5">
        <v>1.19</v>
      </c>
    </row>
    <row r="42" spans="1:24" ht="15" x14ac:dyDescent="0.25">
      <c r="B42" s="67">
        <v>14</v>
      </c>
      <c r="C42" s="30"/>
      <c r="D42" s="23"/>
      <c r="E42" s="23"/>
      <c r="F42" s="23"/>
      <c r="G42" s="17">
        <f t="shared" si="1"/>
        <v>6.1675000000000004</v>
      </c>
      <c r="H42" s="5">
        <f t="shared" si="2"/>
        <v>7.9602056000000001</v>
      </c>
      <c r="I42" s="5" t="s">
        <v>46</v>
      </c>
      <c r="J42" s="5"/>
      <c r="K42" s="5">
        <f t="shared" si="0"/>
        <v>2.1974999999999998</v>
      </c>
      <c r="L42" s="10"/>
      <c r="M42" s="17">
        <v>6.25</v>
      </c>
      <c r="N42" s="21">
        <v>7.96021</v>
      </c>
      <c r="O42" s="5" t="s">
        <v>46</v>
      </c>
      <c r="P42" s="5"/>
      <c r="Q42" s="5">
        <v>2.2799999999999998</v>
      </c>
      <c r="R42" s="10"/>
      <c r="T42">
        <v>4.9813323</v>
      </c>
      <c r="U42">
        <v>2.9788733000000001</v>
      </c>
      <c r="V42" s="1">
        <f t="shared" si="3"/>
        <v>7.9602056000000001</v>
      </c>
      <c r="W42" s="30">
        <v>6.25</v>
      </c>
      <c r="X42" s="5">
        <v>2.2799999999999998</v>
      </c>
    </row>
    <row r="43" spans="1:24" s="5" customFormat="1" ht="15" x14ac:dyDescent="0.25">
      <c r="B43" s="31"/>
      <c r="C43" s="17"/>
      <c r="G43" s="38">
        <f t="shared" si="1"/>
        <v>0.77749999999999997</v>
      </c>
      <c r="H43" s="20">
        <f t="shared" si="2"/>
        <v>0.14741122000000001</v>
      </c>
      <c r="I43" s="20"/>
      <c r="J43" s="20"/>
      <c r="K43" s="20">
        <f t="shared" si="0"/>
        <v>0.41749999999999998</v>
      </c>
      <c r="L43" s="308"/>
      <c r="M43" s="38">
        <v>0.86</v>
      </c>
      <c r="N43" s="33">
        <v>0.14741099999999999</v>
      </c>
      <c r="O43" s="20"/>
      <c r="P43" s="20"/>
      <c r="Q43" s="20">
        <v>0.5</v>
      </c>
      <c r="R43" s="308"/>
      <c r="T43">
        <v>6.6020228E-2</v>
      </c>
      <c r="U43">
        <v>8.1390991999999995E-2</v>
      </c>
      <c r="V43" s="1">
        <f t="shared" si="3"/>
        <v>0.14741122000000001</v>
      </c>
      <c r="W43" s="17">
        <v>0.86</v>
      </c>
      <c r="X43" s="5">
        <v>0.5</v>
      </c>
    </row>
    <row r="44" spans="1:24" ht="15" x14ac:dyDescent="0.25">
      <c r="B44" s="67">
        <v>15</v>
      </c>
      <c r="C44" s="30"/>
      <c r="D44" s="23"/>
      <c r="E44" s="23"/>
      <c r="F44" s="23"/>
      <c r="G44" s="17">
        <f t="shared" si="1"/>
        <v>5.7775000000000007</v>
      </c>
      <c r="H44" s="5">
        <f t="shared" si="2"/>
        <v>5.1615221</v>
      </c>
      <c r="I44" s="5" t="s">
        <v>46</v>
      </c>
      <c r="J44" s="5"/>
      <c r="K44" s="5">
        <f t="shared" si="0"/>
        <v>3.0674999999999999</v>
      </c>
      <c r="L44" s="10"/>
      <c r="M44" s="17">
        <v>5.86</v>
      </c>
      <c r="N44" s="21">
        <v>5.1615200000000003</v>
      </c>
      <c r="O44" s="5" t="s">
        <v>46</v>
      </c>
      <c r="P44" s="5"/>
      <c r="Q44" s="5">
        <v>3.15</v>
      </c>
      <c r="R44" s="10"/>
      <c r="T44">
        <v>2.0565345000000002</v>
      </c>
      <c r="U44">
        <v>3.1049875999999998</v>
      </c>
      <c r="V44" s="1">
        <f t="shared" si="3"/>
        <v>5.1615221</v>
      </c>
      <c r="W44" s="30">
        <v>5.86</v>
      </c>
      <c r="X44" s="5">
        <v>3.15</v>
      </c>
    </row>
    <row r="45" spans="1:24" ht="15" x14ac:dyDescent="0.25">
      <c r="B45" s="31"/>
      <c r="C45" s="17"/>
      <c r="D45" s="5"/>
      <c r="E45" s="5"/>
      <c r="F45" s="5"/>
      <c r="G45" s="38">
        <f t="shared" si="1"/>
        <v>1.6074999999999999</v>
      </c>
      <c r="H45" s="20">
        <f t="shared" si="2"/>
        <v>0.62797919999999996</v>
      </c>
      <c r="I45" s="20"/>
      <c r="J45" s="20"/>
      <c r="K45" s="20">
        <f t="shared" si="0"/>
        <v>0.41749999999999998</v>
      </c>
      <c r="L45" s="308"/>
      <c r="M45" s="38">
        <v>1.69</v>
      </c>
      <c r="N45" s="33">
        <v>0.62797899999999995</v>
      </c>
      <c r="O45" s="20"/>
      <c r="P45" s="20"/>
      <c r="Q45" s="20">
        <v>0.5</v>
      </c>
      <c r="R45" s="308"/>
      <c r="T45">
        <v>0.18778263000000001</v>
      </c>
      <c r="U45">
        <v>0.44019657000000001</v>
      </c>
      <c r="V45" s="1">
        <f t="shared" si="3"/>
        <v>0.62797919999999996</v>
      </c>
      <c r="W45" s="17">
        <v>1.69</v>
      </c>
      <c r="X45" s="5">
        <v>0.5</v>
      </c>
    </row>
    <row r="46" spans="1:24" ht="15" x14ac:dyDescent="0.25">
      <c r="A46" s="23" t="s">
        <v>41</v>
      </c>
      <c r="B46" s="67">
        <v>1</v>
      </c>
      <c r="C46" s="30"/>
      <c r="D46" s="23"/>
      <c r="E46" s="23"/>
      <c r="F46" s="23"/>
      <c r="G46" s="17">
        <f t="shared" si="1"/>
        <v>9.3875000000000011</v>
      </c>
      <c r="H46" s="176">
        <f t="shared" si="2"/>
        <v>14.4567625</v>
      </c>
      <c r="I46" s="5" t="s">
        <v>46</v>
      </c>
      <c r="J46" s="5"/>
      <c r="K46" s="176">
        <f t="shared" si="0"/>
        <v>2.1175000000000002</v>
      </c>
      <c r="L46" s="10"/>
      <c r="M46" s="17">
        <v>9.4700000000000006</v>
      </c>
      <c r="N46" s="21">
        <v>14.456799999999999</v>
      </c>
      <c r="O46" s="5" t="s">
        <v>46</v>
      </c>
      <c r="P46" s="5"/>
      <c r="Q46" s="176">
        <v>2.2000000000000002</v>
      </c>
      <c r="R46" s="10"/>
      <c r="T46">
        <v>11.666320000000001</v>
      </c>
      <c r="U46">
        <v>2.7904425000000002</v>
      </c>
      <c r="V46" s="1">
        <f t="shared" si="3"/>
        <v>14.4567625</v>
      </c>
      <c r="W46" s="30">
        <v>9.4700000000000006</v>
      </c>
      <c r="X46" s="176">
        <v>2.2000000000000002</v>
      </c>
    </row>
    <row r="47" spans="1:24" s="5" customFormat="1" ht="15" x14ac:dyDescent="0.25">
      <c r="A47" s="1" t="s">
        <v>3</v>
      </c>
      <c r="B47" s="31"/>
      <c r="C47" s="17"/>
      <c r="G47" s="38">
        <f t="shared" si="1"/>
        <v>3.1675</v>
      </c>
      <c r="H47" s="20">
        <f t="shared" si="2"/>
        <v>1.4954090600000001</v>
      </c>
      <c r="I47" s="20"/>
      <c r="J47" s="20"/>
      <c r="K47" s="20" t="s">
        <v>94</v>
      </c>
      <c r="L47" s="308"/>
      <c r="M47" s="38">
        <v>3.25</v>
      </c>
      <c r="N47" s="33">
        <v>1.4954099999999999</v>
      </c>
      <c r="O47" s="20"/>
      <c r="P47" s="20"/>
      <c r="Q47" s="20" t="s">
        <v>94</v>
      </c>
      <c r="R47" s="308"/>
      <c r="T47">
        <v>1.0443789000000001</v>
      </c>
      <c r="U47">
        <v>0.45103016000000001</v>
      </c>
      <c r="V47" s="1">
        <f t="shared" si="3"/>
        <v>1.4954090600000001</v>
      </c>
      <c r="W47" s="17">
        <v>3.25</v>
      </c>
      <c r="X47" s="5" t="s">
        <v>94</v>
      </c>
    </row>
    <row r="48" spans="1:24" ht="15" x14ac:dyDescent="0.25">
      <c r="A48" s="1" t="s">
        <v>42</v>
      </c>
      <c r="B48" s="67">
        <v>2</v>
      </c>
      <c r="C48" s="71"/>
      <c r="D48" s="23"/>
      <c r="E48" s="32"/>
      <c r="F48" s="23"/>
      <c r="G48" s="17">
        <f t="shared" si="1"/>
        <v>8.1275000000000013</v>
      </c>
      <c r="H48" s="176">
        <f t="shared" si="2"/>
        <v>9.521449800000001</v>
      </c>
      <c r="I48" s="5" t="s">
        <v>46</v>
      </c>
      <c r="J48" s="5"/>
      <c r="K48" s="176">
        <f t="shared" ref="K48:K67" si="4">X48-0.0825</f>
        <v>2.3875000000000002</v>
      </c>
      <c r="L48" s="10"/>
      <c r="M48" s="17">
        <v>8.2100000000000009</v>
      </c>
      <c r="N48" s="21">
        <v>9.5214499999999997</v>
      </c>
      <c r="O48" s="5" t="s">
        <v>46</v>
      </c>
      <c r="P48" s="5"/>
      <c r="Q48" s="176">
        <v>2.4700000000000002</v>
      </c>
      <c r="R48" s="10"/>
      <c r="T48">
        <v>7.3667645000000004</v>
      </c>
      <c r="U48">
        <v>2.1546853000000001</v>
      </c>
      <c r="V48" s="1">
        <f t="shared" si="3"/>
        <v>9.521449800000001</v>
      </c>
      <c r="W48" s="30">
        <v>8.2100000000000009</v>
      </c>
      <c r="X48" s="176">
        <v>2.4700000000000002</v>
      </c>
    </row>
    <row r="49" spans="1:24" ht="15" x14ac:dyDescent="0.25">
      <c r="A49" s="1" t="s">
        <v>45</v>
      </c>
      <c r="B49" s="31"/>
      <c r="C49" s="76"/>
      <c r="D49" s="20"/>
      <c r="E49" s="33"/>
      <c r="F49" s="20"/>
      <c r="G49" s="38">
        <f t="shared" si="1"/>
        <v>1.7175</v>
      </c>
      <c r="H49" s="75">
        <f t="shared" si="2"/>
        <v>0.36436126999999996</v>
      </c>
      <c r="I49" s="20"/>
      <c r="J49" s="20"/>
      <c r="K49" s="75">
        <f t="shared" si="4"/>
        <v>0.42749999999999999</v>
      </c>
      <c r="L49" s="308"/>
      <c r="M49" s="38">
        <v>1.8</v>
      </c>
      <c r="N49" s="33">
        <v>0.36436099999999999</v>
      </c>
      <c r="O49" s="20"/>
      <c r="P49" s="20"/>
      <c r="Q49" s="75">
        <v>0.51</v>
      </c>
      <c r="R49" s="308"/>
      <c r="T49">
        <v>0.23704317</v>
      </c>
      <c r="U49">
        <v>0.12731809999999999</v>
      </c>
      <c r="V49" s="1">
        <f t="shared" si="3"/>
        <v>0.36436126999999996</v>
      </c>
      <c r="W49" s="38">
        <v>1.8</v>
      </c>
      <c r="X49" s="176">
        <v>0.51</v>
      </c>
    </row>
    <row r="50" spans="1:24" ht="15" x14ac:dyDescent="0.25">
      <c r="B50" s="70">
        <v>3</v>
      </c>
      <c r="C50" s="72"/>
      <c r="D50" s="25"/>
      <c r="E50" s="25"/>
      <c r="F50" s="25"/>
      <c r="G50" s="72">
        <f t="shared" si="1"/>
        <v>8.5175000000000001</v>
      </c>
      <c r="H50" s="5">
        <f t="shared" si="2"/>
        <v>7.5026011000000006</v>
      </c>
      <c r="I50" s="5" t="s">
        <v>46</v>
      </c>
      <c r="J50" s="5" t="s">
        <v>62</v>
      </c>
      <c r="K50" s="5">
        <f t="shared" si="4"/>
        <v>3.1575000000000002</v>
      </c>
      <c r="L50" s="10"/>
      <c r="M50" s="72">
        <v>8.6</v>
      </c>
      <c r="N50" s="21">
        <v>7.5026000000000002</v>
      </c>
      <c r="O50" s="5" t="s">
        <v>46</v>
      </c>
      <c r="P50" s="5" t="s">
        <v>62</v>
      </c>
      <c r="Q50" s="5">
        <v>3.24</v>
      </c>
      <c r="R50" s="10"/>
      <c r="T50">
        <v>4.5387282000000004</v>
      </c>
      <c r="U50">
        <v>2.9638729000000001</v>
      </c>
      <c r="V50" s="1">
        <f t="shared" si="3"/>
        <v>7.5026011000000006</v>
      </c>
      <c r="W50" s="72">
        <v>8.6</v>
      </c>
      <c r="X50" s="5">
        <v>3.24</v>
      </c>
    </row>
    <row r="51" spans="1:24" s="5" customFormat="1" ht="15" x14ac:dyDescent="0.25">
      <c r="B51" s="69"/>
      <c r="C51" s="73"/>
      <c r="D51" s="28"/>
      <c r="E51" s="28"/>
      <c r="F51" s="28"/>
      <c r="G51" s="73">
        <f t="shared" si="1"/>
        <v>4.5175000000000001</v>
      </c>
      <c r="H51" s="5">
        <f t="shared" si="2"/>
        <v>2.3802467200000001</v>
      </c>
      <c r="K51" s="5">
        <f t="shared" si="4"/>
        <v>1.4775</v>
      </c>
      <c r="L51" s="10"/>
      <c r="M51" s="73">
        <v>4.5999999999999996</v>
      </c>
      <c r="N51" s="21">
        <v>2.38015</v>
      </c>
      <c r="Q51" s="5">
        <v>1.56</v>
      </c>
      <c r="R51" s="10"/>
      <c r="T51">
        <v>1.5664294000000001</v>
      </c>
      <c r="U51">
        <v>0.81381731999999996</v>
      </c>
      <c r="V51" s="1">
        <f t="shared" si="3"/>
        <v>2.3802467200000001</v>
      </c>
      <c r="W51" s="73">
        <v>4.5999999999999996</v>
      </c>
      <c r="X51" s="5">
        <v>1.56</v>
      </c>
    </row>
    <row r="52" spans="1:24" ht="15" x14ac:dyDescent="0.25">
      <c r="B52" s="69"/>
      <c r="C52" s="29"/>
      <c r="D52" s="5"/>
      <c r="E52" s="21"/>
      <c r="F52" s="5"/>
      <c r="G52" s="38">
        <f t="shared" si="1"/>
        <v>0.51749999999999996</v>
      </c>
      <c r="H52" s="20">
        <f t="shared" si="2"/>
        <v>3.8334323000000003E-2</v>
      </c>
      <c r="I52" s="20"/>
      <c r="J52" s="20"/>
      <c r="K52" s="20">
        <f t="shared" si="4"/>
        <v>0.1075</v>
      </c>
      <c r="L52" s="308"/>
      <c r="M52" s="38">
        <v>0.6</v>
      </c>
      <c r="N52" s="33">
        <v>3.8334300000000002E-2</v>
      </c>
      <c r="O52" s="20"/>
      <c r="P52" s="20"/>
      <c r="Q52" s="20">
        <v>0.19</v>
      </c>
      <c r="R52" s="308"/>
      <c r="T52">
        <v>1.7222667000000001E-2</v>
      </c>
      <c r="U52">
        <v>2.1111655999999999E-2</v>
      </c>
      <c r="V52" s="1">
        <f t="shared" si="3"/>
        <v>3.8334323000000003E-2</v>
      </c>
      <c r="W52" s="17">
        <v>0.6</v>
      </c>
      <c r="X52" s="5">
        <v>0.19</v>
      </c>
    </row>
    <row r="53" spans="1:24" ht="15" x14ac:dyDescent="0.25">
      <c r="B53" s="70">
        <v>4</v>
      </c>
      <c r="C53" s="71"/>
      <c r="D53" s="23"/>
      <c r="E53" s="32"/>
      <c r="F53" s="23"/>
      <c r="G53" s="17">
        <f t="shared" si="1"/>
        <v>11.127500000000001</v>
      </c>
      <c r="H53" s="5">
        <f t="shared" si="2"/>
        <v>20.134687200000002</v>
      </c>
      <c r="I53" s="5" t="s">
        <v>46</v>
      </c>
      <c r="J53" s="5"/>
      <c r="K53" s="5">
        <f t="shared" si="4"/>
        <v>2.6575000000000002</v>
      </c>
      <c r="L53" s="10"/>
      <c r="M53" s="17">
        <v>11.21</v>
      </c>
      <c r="N53" s="21">
        <v>20.134699999999999</v>
      </c>
      <c r="O53" s="5" t="s">
        <v>46</v>
      </c>
      <c r="P53" s="5"/>
      <c r="Q53" s="5">
        <v>2.74</v>
      </c>
      <c r="R53" s="10"/>
      <c r="T53">
        <v>17.564806000000001</v>
      </c>
      <c r="U53">
        <v>2.5698812000000002</v>
      </c>
      <c r="V53" s="1">
        <f t="shared" si="3"/>
        <v>20.134687200000002</v>
      </c>
      <c r="W53" s="30">
        <v>11.21</v>
      </c>
      <c r="X53" s="5">
        <v>2.74</v>
      </c>
    </row>
    <row r="54" spans="1:24" s="5" customFormat="1" ht="15" x14ac:dyDescent="0.25">
      <c r="B54" s="69"/>
      <c r="C54" s="29"/>
      <c r="E54" s="21"/>
      <c r="G54" s="38">
        <f t="shared" si="1"/>
        <v>2.2675000000000001</v>
      </c>
      <c r="H54" s="20">
        <f t="shared" si="2"/>
        <v>0.85094793999999996</v>
      </c>
      <c r="I54" s="20"/>
      <c r="J54" s="20"/>
      <c r="K54" s="20">
        <f t="shared" si="4"/>
        <v>0.76749999999999996</v>
      </c>
      <c r="L54" s="308"/>
      <c r="M54" s="38">
        <v>2.35</v>
      </c>
      <c r="N54" s="33">
        <v>0.85094800000000004</v>
      </c>
      <c r="O54" s="20"/>
      <c r="P54" s="20"/>
      <c r="Q54" s="20">
        <v>0.85</v>
      </c>
      <c r="R54" s="308"/>
      <c r="T54">
        <v>0.55501436999999998</v>
      </c>
      <c r="U54">
        <v>0.29593356999999998</v>
      </c>
      <c r="V54" s="1">
        <f t="shared" si="3"/>
        <v>0.85094793999999996</v>
      </c>
      <c r="W54" s="17">
        <v>2.35</v>
      </c>
      <c r="X54" s="5">
        <v>0.85</v>
      </c>
    </row>
    <row r="55" spans="1:24" ht="15" x14ac:dyDescent="0.25">
      <c r="B55" s="70">
        <v>5</v>
      </c>
      <c r="C55" s="71"/>
      <c r="D55" s="23"/>
      <c r="E55" s="32"/>
      <c r="F55" s="23"/>
      <c r="G55" s="17">
        <f t="shared" si="1"/>
        <v>7.5675000000000008</v>
      </c>
      <c r="H55" s="5">
        <f t="shared" si="2"/>
        <v>7.5564915999999993</v>
      </c>
      <c r="I55" s="5" t="s">
        <v>46</v>
      </c>
      <c r="J55" s="5"/>
      <c r="K55" s="5">
        <f t="shared" si="4"/>
        <v>2.1675</v>
      </c>
      <c r="L55" s="10"/>
      <c r="M55" s="17">
        <v>7.65</v>
      </c>
      <c r="N55" s="21">
        <v>7.5534400000000002</v>
      </c>
      <c r="O55" s="5" t="s">
        <v>46</v>
      </c>
      <c r="P55" s="5"/>
      <c r="Q55" s="5">
        <v>2.25</v>
      </c>
      <c r="R55" s="10"/>
      <c r="T55">
        <v>5.4192141999999999</v>
      </c>
      <c r="U55">
        <v>2.1372773999999999</v>
      </c>
      <c r="V55" s="1">
        <f t="shared" si="3"/>
        <v>7.5564915999999993</v>
      </c>
      <c r="W55" s="30">
        <v>7.65</v>
      </c>
      <c r="X55" s="5">
        <v>2.25</v>
      </c>
    </row>
    <row r="56" spans="1:24" s="5" customFormat="1" ht="15" x14ac:dyDescent="0.25">
      <c r="B56" s="69"/>
      <c r="C56" s="29"/>
      <c r="E56" s="21"/>
      <c r="G56" s="38">
        <f t="shared" si="1"/>
        <v>2.0674999999999999</v>
      </c>
      <c r="H56" s="20">
        <f t="shared" si="2"/>
        <v>0.60760828999999994</v>
      </c>
      <c r="I56" s="20"/>
      <c r="J56" s="20"/>
      <c r="K56" s="20">
        <f t="shared" si="4"/>
        <v>0.94750000000000001</v>
      </c>
      <c r="L56" s="308"/>
      <c r="M56" s="38">
        <v>2.15</v>
      </c>
      <c r="N56" s="33">
        <v>0.60760800000000004</v>
      </c>
      <c r="O56" s="20"/>
      <c r="P56" s="20"/>
      <c r="Q56" s="20">
        <v>1.03</v>
      </c>
      <c r="R56" s="308"/>
      <c r="T56">
        <v>0.35565733999999999</v>
      </c>
      <c r="U56">
        <v>0.25195095000000001</v>
      </c>
      <c r="V56" s="1">
        <f t="shared" si="3"/>
        <v>0.60760828999999994</v>
      </c>
      <c r="W56" s="17">
        <v>2.15</v>
      </c>
      <c r="X56" s="5">
        <v>1.03</v>
      </c>
    </row>
    <row r="57" spans="1:24" ht="15" x14ac:dyDescent="0.25">
      <c r="B57" s="70">
        <v>6</v>
      </c>
      <c r="C57" s="71"/>
      <c r="D57" s="23"/>
      <c r="E57" s="32"/>
      <c r="F57" s="23"/>
      <c r="G57" s="17">
        <f t="shared" si="1"/>
        <v>6.7075000000000005</v>
      </c>
      <c r="H57" s="5">
        <f t="shared" si="2"/>
        <v>4.5014127000000004</v>
      </c>
      <c r="I57" s="5" t="s">
        <v>46</v>
      </c>
      <c r="J57" s="5"/>
      <c r="K57" s="5">
        <f t="shared" si="4"/>
        <v>1.9175</v>
      </c>
      <c r="L57" s="10"/>
      <c r="M57" s="17">
        <v>6.79</v>
      </c>
      <c r="N57" s="21">
        <v>4.5044700000000004</v>
      </c>
      <c r="O57" s="5" t="s">
        <v>46</v>
      </c>
      <c r="P57" s="5"/>
      <c r="Q57" s="5">
        <v>2</v>
      </c>
      <c r="R57" s="10"/>
      <c r="T57">
        <v>3.4239774000000001</v>
      </c>
      <c r="U57">
        <v>1.0774353000000001</v>
      </c>
      <c r="V57" s="1">
        <f t="shared" si="3"/>
        <v>4.5014127000000004</v>
      </c>
      <c r="W57" s="30">
        <v>6.79</v>
      </c>
      <c r="X57" s="5">
        <v>2</v>
      </c>
    </row>
    <row r="58" spans="1:24" s="5" customFormat="1" ht="15" x14ac:dyDescent="0.25">
      <c r="B58" s="69"/>
      <c r="C58" s="76"/>
      <c r="D58" s="20"/>
      <c r="E58" s="33"/>
      <c r="F58" s="20"/>
      <c r="G58" s="38">
        <f t="shared" si="1"/>
        <v>0.87749999999999995</v>
      </c>
      <c r="H58" s="20">
        <f t="shared" si="2"/>
        <v>0.123336524</v>
      </c>
      <c r="I58" s="20"/>
      <c r="J58" s="20"/>
      <c r="K58" s="20">
        <f t="shared" si="4"/>
        <v>0.38749999999999996</v>
      </c>
      <c r="L58" s="308"/>
      <c r="M58" s="38">
        <v>0.96</v>
      </c>
      <c r="N58" s="33">
        <v>0.123337</v>
      </c>
      <c r="O58" s="20"/>
      <c r="P58" s="20"/>
      <c r="Q58" s="20">
        <v>0.47</v>
      </c>
      <c r="R58" s="308"/>
      <c r="T58">
        <v>6.9353648000000004E-2</v>
      </c>
      <c r="U58">
        <v>5.3982875999999999E-2</v>
      </c>
      <c r="V58" s="1">
        <f t="shared" si="3"/>
        <v>0.123336524</v>
      </c>
      <c r="W58" s="38">
        <v>0.96</v>
      </c>
      <c r="X58" s="5">
        <v>0.47</v>
      </c>
    </row>
    <row r="59" spans="1:24" ht="15" x14ac:dyDescent="0.25">
      <c r="B59" s="70">
        <v>7</v>
      </c>
      <c r="C59" s="72"/>
      <c r="D59" s="25"/>
      <c r="E59" s="25"/>
      <c r="F59" s="25"/>
      <c r="G59" s="72">
        <f t="shared" si="1"/>
        <v>5.2275</v>
      </c>
      <c r="H59" s="5">
        <f t="shared" si="2"/>
        <v>3.9992698999999998</v>
      </c>
      <c r="I59" s="5" t="s">
        <v>46</v>
      </c>
      <c r="J59" s="5" t="s">
        <v>63</v>
      </c>
      <c r="K59" s="5">
        <f t="shared" si="4"/>
        <v>1.7675000000000001</v>
      </c>
      <c r="L59" s="10"/>
      <c r="M59" s="72">
        <v>5.31</v>
      </c>
      <c r="N59" s="21">
        <v>3.9992700000000001</v>
      </c>
      <c r="O59" s="5" t="s">
        <v>46</v>
      </c>
      <c r="P59" s="5" t="s">
        <v>63</v>
      </c>
      <c r="Q59" s="5">
        <v>1.85</v>
      </c>
      <c r="R59" s="10"/>
      <c r="T59">
        <v>2.7334038999999999</v>
      </c>
      <c r="U59">
        <v>1.2658659999999999</v>
      </c>
      <c r="V59" s="1">
        <f t="shared" si="3"/>
        <v>3.9992698999999998</v>
      </c>
      <c r="W59" s="72">
        <v>5.31</v>
      </c>
      <c r="X59" s="5">
        <v>1.85</v>
      </c>
    </row>
    <row r="60" spans="1:24" s="5" customFormat="1" ht="15" x14ac:dyDescent="0.25">
      <c r="B60" s="69"/>
      <c r="C60" s="76"/>
      <c r="D60" s="20"/>
      <c r="E60" s="33"/>
      <c r="F60" s="20"/>
      <c r="G60" s="38">
        <f t="shared" si="1"/>
        <v>2.2075</v>
      </c>
      <c r="H60" s="20">
        <f t="shared" si="2"/>
        <v>0.78298318999999994</v>
      </c>
      <c r="I60" s="20"/>
      <c r="J60" s="20"/>
      <c r="K60" s="20">
        <f t="shared" si="4"/>
        <v>1.0474999999999999</v>
      </c>
      <c r="L60" s="308"/>
      <c r="M60" s="38">
        <v>2.29</v>
      </c>
      <c r="N60" s="33">
        <v>0.78298299999999998</v>
      </c>
      <c r="O60" s="20"/>
      <c r="P60" s="20"/>
      <c r="Q60" s="20">
        <v>1.1299999999999999</v>
      </c>
      <c r="R60" s="308"/>
      <c r="T60">
        <v>0.42769623000000001</v>
      </c>
      <c r="U60">
        <v>0.35528695999999999</v>
      </c>
      <c r="V60" s="1">
        <f t="shared" si="3"/>
        <v>0.78298318999999994</v>
      </c>
      <c r="W60" s="38">
        <v>2.29</v>
      </c>
      <c r="X60" s="5">
        <v>1.1299999999999999</v>
      </c>
    </row>
    <row r="61" spans="1:24" ht="15" x14ac:dyDescent="0.25">
      <c r="B61" s="70">
        <v>8</v>
      </c>
      <c r="C61" s="72"/>
      <c r="D61" s="25"/>
      <c r="E61" s="25"/>
      <c r="F61" s="25"/>
      <c r="G61" s="72">
        <f t="shared" si="1"/>
        <v>6.0175000000000001</v>
      </c>
      <c r="H61" s="5">
        <f t="shared" si="2"/>
        <v>4.4103916999999999</v>
      </c>
      <c r="I61" s="5" t="s">
        <v>46</v>
      </c>
      <c r="J61" s="5" t="s">
        <v>64</v>
      </c>
      <c r="K61" s="5">
        <f t="shared" si="4"/>
        <v>2.2774999999999999</v>
      </c>
      <c r="L61" s="10"/>
      <c r="M61" s="72">
        <v>6.1</v>
      </c>
      <c r="N61" s="21">
        <v>4.4103899999999996</v>
      </c>
      <c r="O61" s="5" t="s">
        <v>46</v>
      </c>
      <c r="P61" s="5" t="s">
        <v>64</v>
      </c>
      <c r="Q61" s="5">
        <v>2.36</v>
      </c>
      <c r="R61" s="10"/>
      <c r="T61">
        <v>2.8497957999999999</v>
      </c>
      <c r="U61">
        <v>1.5605959</v>
      </c>
      <c r="V61" s="1">
        <f t="shared" si="3"/>
        <v>4.4103916999999999</v>
      </c>
      <c r="W61" s="72">
        <v>6.1</v>
      </c>
      <c r="X61" s="5">
        <v>2.36</v>
      </c>
    </row>
    <row r="62" spans="1:24" ht="15" x14ac:dyDescent="0.25">
      <c r="B62" s="69"/>
      <c r="C62" s="29"/>
      <c r="D62" s="5"/>
      <c r="E62" s="21"/>
      <c r="F62" s="5"/>
      <c r="G62" s="38">
        <f t="shared" si="1"/>
        <v>1.1475</v>
      </c>
      <c r="H62" s="20">
        <f t="shared" si="2"/>
        <v>0.23824689900000001</v>
      </c>
      <c r="I62" s="20"/>
      <c r="J62" s="20"/>
      <c r="K62" s="20">
        <f t="shared" si="4"/>
        <v>0.59750000000000003</v>
      </c>
      <c r="L62" s="308"/>
      <c r="M62" s="38">
        <v>1.23</v>
      </c>
      <c r="N62" s="33">
        <v>0.23824699999999999</v>
      </c>
      <c r="O62" s="20"/>
      <c r="P62" s="20"/>
      <c r="Q62" s="20">
        <v>0.68</v>
      </c>
      <c r="R62" s="308"/>
      <c r="T62">
        <v>0.14305925</v>
      </c>
      <c r="U62">
        <v>9.5187648999999999E-2</v>
      </c>
      <c r="V62" s="1">
        <f t="shared" si="3"/>
        <v>0.23824689900000001</v>
      </c>
      <c r="W62" s="17">
        <v>1.23</v>
      </c>
      <c r="X62" s="5">
        <v>0.68</v>
      </c>
    </row>
    <row r="63" spans="1:24" ht="15" x14ac:dyDescent="0.25">
      <c r="B63" s="70">
        <v>9</v>
      </c>
      <c r="C63" s="30"/>
      <c r="D63" s="23"/>
      <c r="E63" s="32"/>
      <c r="F63" s="23"/>
      <c r="G63" s="17">
        <f t="shared" si="1"/>
        <v>4.4975000000000005</v>
      </c>
      <c r="H63" s="5">
        <f t="shared" si="2"/>
        <v>2.8141468000000001</v>
      </c>
      <c r="I63" s="5" t="s">
        <v>46</v>
      </c>
      <c r="J63" s="5"/>
      <c r="K63" s="5">
        <f t="shared" si="4"/>
        <v>0.95750000000000002</v>
      </c>
      <c r="L63" s="10"/>
      <c r="M63" s="17">
        <v>4.58</v>
      </c>
      <c r="N63" s="21">
        <v>2.8141500000000002</v>
      </c>
      <c r="O63" s="5" t="s">
        <v>46</v>
      </c>
      <c r="P63" s="5"/>
      <c r="Q63" s="5">
        <v>1.04</v>
      </c>
      <c r="R63" s="10"/>
      <c r="T63">
        <v>1.8737520999999999</v>
      </c>
      <c r="U63">
        <v>0.94039470000000003</v>
      </c>
      <c r="V63" s="1">
        <f t="shared" si="3"/>
        <v>2.8141468000000001</v>
      </c>
      <c r="W63" s="30">
        <v>4.58</v>
      </c>
      <c r="X63" s="5">
        <v>1.04</v>
      </c>
    </row>
    <row r="64" spans="1:24" s="5" customFormat="1" ht="15" x14ac:dyDescent="0.25">
      <c r="B64" s="69"/>
      <c r="C64" s="38"/>
      <c r="D64" s="20"/>
      <c r="E64" s="33"/>
      <c r="F64" s="20"/>
      <c r="G64" s="38">
        <f t="shared" si="1"/>
        <v>0.28749999999999998</v>
      </c>
      <c r="H64" s="20">
        <f t="shared" si="2"/>
        <v>1.7778237000000002E-2</v>
      </c>
      <c r="I64" s="20"/>
      <c r="J64" s="20"/>
      <c r="K64" s="20">
        <f t="shared" si="4"/>
        <v>0.16749999999999998</v>
      </c>
      <c r="L64" s="308"/>
      <c r="M64" s="38">
        <v>0.37</v>
      </c>
      <c r="N64" s="33">
        <v>1.7778200000000001E-2</v>
      </c>
      <c r="O64" s="20"/>
      <c r="P64" s="20"/>
      <c r="Q64" s="20">
        <v>0.25</v>
      </c>
      <c r="R64" s="308"/>
      <c r="T64">
        <v>1.0278043000000001E-2</v>
      </c>
      <c r="U64">
        <v>7.500194E-3</v>
      </c>
      <c r="V64" s="1">
        <f t="shared" si="3"/>
        <v>1.7778237000000002E-2</v>
      </c>
      <c r="W64" s="38">
        <v>0.37</v>
      </c>
      <c r="X64" s="5">
        <v>0.25</v>
      </c>
    </row>
    <row r="65" spans="1:24" ht="15" x14ac:dyDescent="0.25">
      <c r="B65" s="70">
        <v>10</v>
      </c>
      <c r="C65" s="72"/>
      <c r="D65" s="25"/>
      <c r="E65" s="25"/>
      <c r="F65" s="25"/>
      <c r="G65" s="72">
        <f t="shared" si="1"/>
        <v>5.8175000000000008</v>
      </c>
      <c r="H65" s="5">
        <f t="shared" si="2"/>
        <v>4.5590067999999997</v>
      </c>
      <c r="I65" s="5" t="s">
        <v>46</v>
      </c>
      <c r="J65" s="5" t="s">
        <v>65</v>
      </c>
      <c r="K65" s="5">
        <f t="shared" si="4"/>
        <v>2.3075000000000001</v>
      </c>
      <c r="L65" s="10"/>
      <c r="M65" s="72">
        <v>5.9</v>
      </c>
      <c r="N65" s="21">
        <v>4.5590099999999998</v>
      </c>
      <c r="O65" s="5" t="s">
        <v>46</v>
      </c>
      <c r="P65" s="5" t="s">
        <v>65</v>
      </c>
      <c r="Q65" s="5">
        <v>2.39</v>
      </c>
      <c r="R65" s="10"/>
      <c r="T65">
        <v>2.7122923999999999</v>
      </c>
      <c r="U65">
        <v>1.8467144</v>
      </c>
      <c r="V65" s="1">
        <f t="shared" si="3"/>
        <v>4.5590067999999997</v>
      </c>
      <c r="W65" s="72">
        <v>5.9</v>
      </c>
      <c r="X65" s="5">
        <v>2.39</v>
      </c>
    </row>
    <row r="66" spans="1:24" s="5" customFormat="1" ht="15" x14ac:dyDescent="0.25">
      <c r="B66" s="69"/>
      <c r="C66" s="17"/>
      <c r="E66" s="21"/>
      <c r="G66" s="38">
        <f t="shared" si="1"/>
        <v>1.3975</v>
      </c>
      <c r="H66" s="20">
        <f t="shared" si="2"/>
        <v>0.34843493999999997</v>
      </c>
      <c r="I66" s="20"/>
      <c r="J66" s="20"/>
      <c r="K66" s="20">
        <f t="shared" si="4"/>
        <v>0.66749999999999998</v>
      </c>
      <c r="L66" s="308"/>
      <c r="M66" s="38">
        <v>1.48</v>
      </c>
      <c r="N66" s="33">
        <v>0.34843499999999999</v>
      </c>
      <c r="O66" s="20"/>
      <c r="P66" s="20"/>
      <c r="Q66" s="20">
        <v>0.75</v>
      </c>
      <c r="R66" s="308"/>
      <c r="T66">
        <v>0.19630137</v>
      </c>
      <c r="U66">
        <v>0.15213357</v>
      </c>
      <c r="V66" s="1">
        <f t="shared" si="3"/>
        <v>0.34843493999999997</v>
      </c>
      <c r="W66" s="17">
        <v>1.48</v>
      </c>
      <c r="X66" s="5">
        <v>0.75</v>
      </c>
    </row>
    <row r="67" spans="1:24" ht="15" x14ac:dyDescent="0.25">
      <c r="A67" s="27"/>
      <c r="B67" s="70">
        <v>11</v>
      </c>
      <c r="C67" s="30"/>
      <c r="D67" s="23"/>
      <c r="E67" s="32"/>
      <c r="F67" s="23"/>
      <c r="G67" s="17">
        <f t="shared" si="1"/>
        <v>5.5675000000000008</v>
      </c>
      <c r="H67" s="5">
        <f t="shared" si="2"/>
        <v>4.1650150999999997</v>
      </c>
      <c r="I67" s="5" t="s">
        <v>46</v>
      </c>
      <c r="J67" s="5"/>
      <c r="K67" s="5">
        <f t="shared" si="4"/>
        <v>1.6675</v>
      </c>
      <c r="L67" s="10"/>
      <c r="M67" s="17">
        <v>5.65</v>
      </c>
      <c r="N67" s="21">
        <v>4.1650200000000002</v>
      </c>
      <c r="O67" s="5" t="s">
        <v>46</v>
      </c>
      <c r="P67" s="5"/>
      <c r="Q67" s="5">
        <v>1.75</v>
      </c>
      <c r="R67" s="10"/>
      <c r="T67">
        <v>2.8265544999999999</v>
      </c>
      <c r="U67">
        <v>1.3384605999999999</v>
      </c>
      <c r="V67" s="1">
        <f t="shared" si="3"/>
        <v>4.1650150999999997</v>
      </c>
      <c r="W67" s="30">
        <v>5.65</v>
      </c>
      <c r="X67" s="5">
        <v>1.75</v>
      </c>
    </row>
    <row r="68" spans="1:24" s="5" customFormat="1" ht="15" x14ac:dyDescent="0.25">
      <c r="A68" s="31"/>
      <c r="B68" s="69"/>
      <c r="C68" s="74"/>
      <c r="D68" s="75"/>
      <c r="E68" s="75"/>
      <c r="F68" s="75"/>
      <c r="G68" s="74">
        <f t="shared" ref="G68:G86" si="5">W68-0.0825</f>
        <v>0.75749999999999995</v>
      </c>
      <c r="H68" s="20">
        <f t="shared" ref="H68:H131" si="6">V68</f>
        <v>6.0279335999999996E-2</v>
      </c>
      <c r="I68" s="20"/>
      <c r="J68" s="20" t="s">
        <v>66</v>
      </c>
      <c r="K68" s="20">
        <f t="shared" ref="K68:K86" si="7">X68-0.0825</f>
        <v>0.32749999999999996</v>
      </c>
      <c r="L68" s="308"/>
      <c r="M68" s="74">
        <v>0.84</v>
      </c>
      <c r="N68" s="33">
        <v>6.0279300000000001E-2</v>
      </c>
      <c r="O68" s="20"/>
      <c r="P68" s="20" t="s">
        <v>66</v>
      </c>
      <c r="Q68" s="20">
        <v>0.41</v>
      </c>
      <c r="R68" s="308"/>
      <c r="T68">
        <v>2.6204380999999999E-2</v>
      </c>
      <c r="U68">
        <v>3.4074954999999997E-2</v>
      </c>
      <c r="V68" s="1">
        <f t="shared" ref="V68:V131" si="8">U68+T68</f>
        <v>6.0279335999999996E-2</v>
      </c>
      <c r="W68" s="74">
        <v>0.84</v>
      </c>
      <c r="X68" s="5">
        <v>0.41</v>
      </c>
    </row>
    <row r="69" spans="1:24" ht="15" x14ac:dyDescent="0.25">
      <c r="B69" s="70">
        <v>12</v>
      </c>
      <c r="C69" s="72"/>
      <c r="D69" s="25"/>
      <c r="E69" s="25"/>
      <c r="F69" s="25"/>
      <c r="G69" s="72">
        <f t="shared" si="5"/>
        <v>8.557500000000001</v>
      </c>
      <c r="H69" s="5">
        <f t="shared" si="6"/>
        <v>13.806837999999999</v>
      </c>
      <c r="I69" s="5" t="s">
        <v>46</v>
      </c>
      <c r="J69" s="5" t="s">
        <v>67</v>
      </c>
      <c r="K69" s="5">
        <f t="shared" si="7"/>
        <v>2.7974999999999999</v>
      </c>
      <c r="L69" s="10"/>
      <c r="M69" s="72">
        <v>8.64</v>
      </c>
      <c r="N69" s="21">
        <v>13.806800000000001</v>
      </c>
      <c r="O69" s="5" t="s">
        <v>46</v>
      </c>
      <c r="P69" s="5" t="s">
        <v>67</v>
      </c>
      <c r="Q69" s="5">
        <v>2.88</v>
      </c>
      <c r="R69" s="10"/>
      <c r="T69">
        <v>9.7581223999999995</v>
      </c>
      <c r="U69">
        <v>4.0487156000000004</v>
      </c>
      <c r="V69" s="1">
        <f t="shared" si="8"/>
        <v>13.806837999999999</v>
      </c>
      <c r="W69" s="72">
        <v>8.64</v>
      </c>
      <c r="X69" s="5">
        <v>2.88</v>
      </c>
    </row>
    <row r="70" spans="1:24" s="5" customFormat="1" ht="15" x14ac:dyDescent="0.25">
      <c r="B70" s="69"/>
      <c r="C70" s="17"/>
      <c r="E70" s="21"/>
      <c r="G70" s="38">
        <f t="shared" si="5"/>
        <v>2.5874999999999999</v>
      </c>
      <c r="H70" s="20">
        <f t="shared" si="6"/>
        <v>1.4531856799999998</v>
      </c>
      <c r="I70" s="20"/>
      <c r="J70" s="20"/>
      <c r="K70" s="20">
        <f t="shared" si="7"/>
        <v>1.1875</v>
      </c>
      <c r="L70" s="308"/>
      <c r="M70" s="38">
        <v>2.67</v>
      </c>
      <c r="N70" s="33">
        <v>1.45319</v>
      </c>
      <c r="O70" s="20"/>
      <c r="P70" s="20"/>
      <c r="Q70" s="20">
        <v>1.27</v>
      </c>
      <c r="R70" s="308"/>
      <c r="T70">
        <v>0.86604088999999995</v>
      </c>
      <c r="U70">
        <v>0.58714478999999997</v>
      </c>
      <c r="V70" s="1">
        <f t="shared" si="8"/>
        <v>1.4531856799999998</v>
      </c>
      <c r="W70" s="17">
        <v>2.67</v>
      </c>
      <c r="X70" s="5">
        <v>1.27</v>
      </c>
    </row>
    <row r="71" spans="1:24" ht="15" x14ac:dyDescent="0.25">
      <c r="B71" s="70">
        <v>13</v>
      </c>
      <c r="C71" s="30"/>
      <c r="D71" s="23"/>
      <c r="E71" s="32"/>
      <c r="F71" s="23"/>
      <c r="G71" s="17">
        <f t="shared" si="5"/>
        <v>7.5575000000000001</v>
      </c>
      <c r="H71" s="5">
        <f t="shared" si="6"/>
        <v>9.2884810000000009</v>
      </c>
      <c r="I71" s="5" t="s">
        <v>46</v>
      </c>
      <c r="J71" s="5"/>
      <c r="K71" s="5">
        <f t="shared" si="7"/>
        <v>2.1175000000000002</v>
      </c>
      <c r="L71" s="10"/>
      <c r="M71" s="17">
        <v>7.64</v>
      </c>
      <c r="N71" s="21">
        <v>9.2895900000000005</v>
      </c>
      <c r="O71" s="5" t="s">
        <v>46</v>
      </c>
      <c r="P71" s="5"/>
      <c r="Q71" s="5">
        <v>2.2000000000000002</v>
      </c>
      <c r="R71" s="10"/>
      <c r="T71">
        <v>6.8936967999999998</v>
      </c>
      <c r="U71">
        <v>2.3947842000000001</v>
      </c>
      <c r="V71" s="1">
        <f t="shared" si="8"/>
        <v>9.2884810000000009</v>
      </c>
      <c r="W71" s="30">
        <v>7.64</v>
      </c>
      <c r="X71" s="5">
        <v>2.2000000000000002</v>
      </c>
    </row>
    <row r="72" spans="1:24" s="5" customFormat="1" ht="15" x14ac:dyDescent="0.25">
      <c r="B72" s="69"/>
      <c r="C72" s="38"/>
      <c r="D72" s="20"/>
      <c r="E72" s="33"/>
      <c r="F72" s="20"/>
      <c r="G72" s="38">
        <f t="shared" si="5"/>
        <v>0.5675</v>
      </c>
      <c r="H72" s="20">
        <f t="shared" si="6"/>
        <v>7.0742570000000005E-2</v>
      </c>
      <c r="I72" s="20"/>
      <c r="J72" s="20"/>
      <c r="K72" s="20">
        <f t="shared" si="7"/>
        <v>0.19750000000000001</v>
      </c>
      <c r="L72" s="308"/>
      <c r="M72" s="38">
        <v>0.65</v>
      </c>
      <c r="N72" s="33">
        <v>6.9631399999999996E-2</v>
      </c>
      <c r="O72" s="20"/>
      <c r="P72" s="20"/>
      <c r="Q72" s="20">
        <v>0.28000000000000003</v>
      </c>
      <c r="R72" s="308"/>
      <c r="T72">
        <v>4.7408632999999999E-2</v>
      </c>
      <c r="U72">
        <v>2.3333936999999999E-2</v>
      </c>
      <c r="V72" s="1">
        <f t="shared" si="8"/>
        <v>7.0742570000000005E-2</v>
      </c>
      <c r="W72" s="38">
        <v>0.65</v>
      </c>
      <c r="X72" s="5">
        <v>0.28000000000000003</v>
      </c>
    </row>
    <row r="73" spans="1:24" ht="15" x14ac:dyDescent="0.25">
      <c r="B73" s="70">
        <v>14</v>
      </c>
      <c r="C73" s="72"/>
      <c r="D73" s="25"/>
      <c r="E73" s="25"/>
      <c r="F73" s="25"/>
      <c r="G73" s="72">
        <f t="shared" si="5"/>
        <v>8.6475000000000009</v>
      </c>
      <c r="H73" s="5">
        <f t="shared" si="6"/>
        <v>17.850369799999999</v>
      </c>
      <c r="I73" s="5" t="s">
        <v>46</v>
      </c>
      <c r="J73" s="5" t="s">
        <v>68</v>
      </c>
      <c r="K73" s="5">
        <f t="shared" si="7"/>
        <v>2.6575000000000002</v>
      </c>
      <c r="L73" s="10"/>
      <c r="M73" s="72">
        <v>8.73</v>
      </c>
      <c r="N73" s="21">
        <v>17.8504</v>
      </c>
      <c r="O73" s="5" t="s">
        <v>46</v>
      </c>
      <c r="P73" s="5" t="s">
        <v>68</v>
      </c>
      <c r="Q73" s="5">
        <v>2.74</v>
      </c>
      <c r="R73" s="10"/>
      <c r="T73">
        <v>13.747208000000001</v>
      </c>
      <c r="U73">
        <v>4.1031617999999996</v>
      </c>
      <c r="V73" s="1">
        <f t="shared" si="8"/>
        <v>17.850369799999999</v>
      </c>
      <c r="W73" s="72">
        <v>8.73</v>
      </c>
      <c r="X73" s="5">
        <v>2.74</v>
      </c>
    </row>
    <row r="74" spans="1:24" s="5" customFormat="1" ht="15" x14ac:dyDescent="0.25">
      <c r="B74" s="69"/>
      <c r="C74" s="38"/>
      <c r="D74" s="20"/>
      <c r="E74" s="33"/>
      <c r="F74" s="20"/>
      <c r="G74" s="38">
        <f t="shared" si="5"/>
        <v>1.6174999999999999</v>
      </c>
      <c r="H74" s="20">
        <f t="shared" si="6"/>
        <v>0.74964902</v>
      </c>
      <c r="I74" s="20"/>
      <c r="J74" s="20"/>
      <c r="K74" s="20">
        <f t="shared" si="7"/>
        <v>0.8175</v>
      </c>
      <c r="L74" s="308"/>
      <c r="M74" s="38">
        <v>1.7</v>
      </c>
      <c r="N74" s="33">
        <v>0.74964900000000001</v>
      </c>
      <c r="O74" s="20"/>
      <c r="P74" s="20"/>
      <c r="Q74" s="20">
        <v>0.9</v>
      </c>
      <c r="R74" s="308"/>
      <c r="T74">
        <v>0.42584433999999999</v>
      </c>
      <c r="U74">
        <v>0.32380468000000001</v>
      </c>
      <c r="V74" s="1">
        <f t="shared" si="8"/>
        <v>0.74964902</v>
      </c>
      <c r="W74" s="38">
        <v>1.7</v>
      </c>
      <c r="X74" s="5">
        <v>0.9</v>
      </c>
    </row>
    <row r="75" spans="1:24" ht="15" x14ac:dyDescent="0.25">
      <c r="B75" s="70">
        <v>15</v>
      </c>
      <c r="C75" s="72"/>
      <c r="D75" s="25"/>
      <c r="E75" s="25"/>
      <c r="F75" s="25"/>
      <c r="G75" s="72">
        <f t="shared" si="5"/>
        <v>7.2475000000000005</v>
      </c>
      <c r="H75" s="5">
        <f t="shared" si="6"/>
        <v>11.353256200000001</v>
      </c>
      <c r="I75" s="5" t="s">
        <v>46</v>
      </c>
      <c r="J75" s="5" t="s">
        <v>69</v>
      </c>
      <c r="K75" s="5">
        <f t="shared" si="7"/>
        <v>3.0575000000000001</v>
      </c>
      <c r="L75" s="10"/>
      <c r="M75" s="72">
        <v>7.33</v>
      </c>
      <c r="N75" s="21">
        <v>11.353300000000001</v>
      </c>
      <c r="O75" s="5" t="s">
        <v>46</v>
      </c>
      <c r="P75" s="5" t="s">
        <v>69</v>
      </c>
      <c r="Q75" s="5">
        <v>3.14</v>
      </c>
      <c r="R75" s="10"/>
      <c r="T75">
        <v>6.2303461999999996</v>
      </c>
      <c r="U75">
        <v>5.1229100000000001</v>
      </c>
      <c r="V75" s="1">
        <f t="shared" si="8"/>
        <v>11.353256200000001</v>
      </c>
      <c r="W75" s="72">
        <v>7.33</v>
      </c>
      <c r="X75" s="5">
        <v>3.14</v>
      </c>
    </row>
    <row r="76" spans="1:24" s="5" customFormat="1" ht="15" x14ac:dyDescent="0.25">
      <c r="B76" s="69"/>
      <c r="C76" s="73"/>
      <c r="D76" s="28"/>
      <c r="E76" s="28"/>
      <c r="F76" s="28"/>
      <c r="G76" s="315">
        <f t="shared" si="5"/>
        <v>2.6274999999999999</v>
      </c>
      <c r="H76" s="20">
        <f t="shared" si="6"/>
        <v>2.5144168000000002</v>
      </c>
      <c r="I76" s="20"/>
      <c r="J76" s="20"/>
      <c r="K76" s="20">
        <f t="shared" si="7"/>
        <v>1.3674999999999999</v>
      </c>
      <c r="L76" s="308"/>
      <c r="M76" s="315">
        <v>2.71</v>
      </c>
      <c r="N76" s="33">
        <v>2.5144199999999999</v>
      </c>
      <c r="O76" s="20"/>
      <c r="P76" s="20"/>
      <c r="Q76" s="20">
        <v>1.45</v>
      </c>
      <c r="R76" s="308"/>
      <c r="T76">
        <v>1.2989223999999999</v>
      </c>
      <c r="U76">
        <v>1.2154944000000001</v>
      </c>
      <c r="V76" s="1">
        <f t="shared" si="8"/>
        <v>2.5144168000000002</v>
      </c>
      <c r="W76" s="73">
        <v>2.71</v>
      </c>
      <c r="X76" s="5">
        <v>1.45</v>
      </c>
    </row>
    <row r="77" spans="1:24" ht="15" x14ac:dyDescent="0.25">
      <c r="B77" s="70">
        <v>16</v>
      </c>
      <c r="C77" s="30"/>
      <c r="D77" s="23"/>
      <c r="E77" s="32"/>
      <c r="F77" s="23"/>
      <c r="G77" s="17">
        <f t="shared" si="5"/>
        <v>5.9175000000000004</v>
      </c>
      <c r="H77" s="5">
        <f t="shared" si="6"/>
        <v>9.6607126999999995</v>
      </c>
      <c r="I77" s="5" t="s">
        <v>46</v>
      </c>
      <c r="J77" s="5"/>
      <c r="K77" s="5">
        <f t="shared" si="7"/>
        <v>2.1575000000000002</v>
      </c>
      <c r="L77" s="10"/>
      <c r="M77" s="17">
        <v>6</v>
      </c>
      <c r="N77" s="21">
        <v>9.6607099999999999</v>
      </c>
      <c r="O77" s="5" t="s">
        <v>46</v>
      </c>
      <c r="P77" s="5"/>
      <c r="Q77" s="5">
        <v>2.2400000000000002</v>
      </c>
      <c r="R77" s="10"/>
      <c r="T77">
        <v>6.4147954</v>
      </c>
      <c r="U77">
        <v>3.2459172999999999</v>
      </c>
      <c r="V77" s="1">
        <f t="shared" si="8"/>
        <v>9.6607126999999995</v>
      </c>
      <c r="W77" s="30">
        <v>6</v>
      </c>
      <c r="X77" s="5">
        <v>2.2400000000000002</v>
      </c>
    </row>
    <row r="78" spans="1:24" s="5" customFormat="1" ht="15" x14ac:dyDescent="0.25">
      <c r="B78" s="69"/>
      <c r="C78" s="17"/>
      <c r="E78" s="21"/>
      <c r="G78" s="38">
        <f t="shared" si="5"/>
        <v>0.61749999999999994</v>
      </c>
      <c r="H78" s="20">
        <f t="shared" si="6"/>
        <v>0.120188292</v>
      </c>
      <c r="I78" s="20"/>
      <c r="J78" s="20"/>
      <c r="K78" s="20">
        <f t="shared" si="7"/>
        <v>0.39749999999999996</v>
      </c>
      <c r="L78" s="308"/>
      <c r="M78" s="38">
        <v>0.7</v>
      </c>
      <c r="N78" s="33">
        <v>0.120188</v>
      </c>
      <c r="O78" s="20"/>
      <c r="P78" s="20"/>
      <c r="Q78" s="20">
        <v>0.48</v>
      </c>
      <c r="R78" s="308"/>
      <c r="T78">
        <v>5.9260792999999999E-2</v>
      </c>
      <c r="U78">
        <v>6.0927499000000003E-2</v>
      </c>
      <c r="V78" s="1">
        <f t="shared" si="8"/>
        <v>0.120188292</v>
      </c>
      <c r="W78" s="17">
        <v>0.7</v>
      </c>
      <c r="X78" s="5">
        <v>0.48</v>
      </c>
    </row>
    <row r="79" spans="1:24" ht="15" x14ac:dyDescent="0.25">
      <c r="B79" s="70">
        <v>17</v>
      </c>
      <c r="C79" s="30"/>
      <c r="D79" s="23"/>
      <c r="E79" s="32"/>
      <c r="F79" s="23"/>
      <c r="G79" s="17">
        <f t="shared" si="5"/>
        <v>6.4675000000000002</v>
      </c>
      <c r="H79" s="5">
        <f t="shared" si="6"/>
        <v>11.218901200000001</v>
      </c>
      <c r="I79" s="5" t="s">
        <v>46</v>
      </c>
      <c r="J79" s="5"/>
      <c r="K79" s="5">
        <f t="shared" si="7"/>
        <v>2.7574999999999998</v>
      </c>
      <c r="L79" s="10"/>
      <c r="M79" s="17">
        <v>6.55</v>
      </c>
      <c r="N79" s="21">
        <v>11.2189</v>
      </c>
      <c r="O79" s="5" t="s">
        <v>46</v>
      </c>
      <c r="P79" s="5"/>
      <c r="Q79" s="5">
        <v>2.84</v>
      </c>
      <c r="R79" s="10"/>
      <c r="T79">
        <v>6.4579449000000002</v>
      </c>
      <c r="U79">
        <v>4.7609563000000001</v>
      </c>
      <c r="V79" s="1">
        <f t="shared" si="8"/>
        <v>11.218901200000001</v>
      </c>
      <c r="W79" s="30">
        <v>6.55</v>
      </c>
      <c r="X79" s="5">
        <v>2.84</v>
      </c>
    </row>
    <row r="80" spans="1:24" s="5" customFormat="1" ht="15" x14ac:dyDescent="0.25">
      <c r="B80" s="69"/>
      <c r="C80" s="38"/>
      <c r="D80" s="20"/>
      <c r="E80" s="33"/>
      <c r="F80" s="20"/>
      <c r="G80" s="38">
        <f t="shared" si="5"/>
        <v>1.1875</v>
      </c>
      <c r="H80" s="20">
        <f t="shared" si="6"/>
        <v>0.53964358000000001</v>
      </c>
      <c r="I80" s="20"/>
      <c r="J80" s="20"/>
      <c r="K80" s="20">
        <f t="shared" si="7"/>
        <v>0.72750000000000004</v>
      </c>
      <c r="L80" s="308"/>
      <c r="M80" s="38">
        <v>1.27</v>
      </c>
      <c r="N80" s="33">
        <v>0.53964400000000001</v>
      </c>
      <c r="O80" s="20"/>
      <c r="P80" s="20"/>
      <c r="Q80" s="20">
        <v>0.81</v>
      </c>
      <c r="R80" s="308"/>
      <c r="T80">
        <v>0.20935725999999999</v>
      </c>
      <c r="U80">
        <v>0.33028632000000002</v>
      </c>
      <c r="V80" s="1">
        <f t="shared" si="8"/>
        <v>0.53964358000000001</v>
      </c>
      <c r="W80" s="38">
        <v>1.27</v>
      </c>
      <c r="X80" s="5">
        <v>0.81</v>
      </c>
    </row>
    <row r="81" spans="1:24" ht="15" x14ac:dyDescent="0.25">
      <c r="B81" s="70">
        <v>18</v>
      </c>
      <c r="C81" s="72"/>
      <c r="D81" s="25"/>
      <c r="E81" s="25"/>
      <c r="F81" s="25"/>
      <c r="G81" s="72">
        <f t="shared" si="5"/>
        <v>6.1175000000000006</v>
      </c>
      <c r="H81" s="5">
        <f t="shared" si="6"/>
        <v>7.7495523000000004</v>
      </c>
      <c r="I81" s="5" t="s">
        <v>46</v>
      </c>
      <c r="J81" s="5" t="s">
        <v>70</v>
      </c>
      <c r="K81" s="5">
        <f t="shared" si="7"/>
        <v>2.4874999999999998</v>
      </c>
      <c r="L81" s="10"/>
      <c r="M81" s="72">
        <v>6.2</v>
      </c>
      <c r="N81" s="21">
        <v>7.7495500000000002</v>
      </c>
      <c r="O81" s="5" t="s">
        <v>46</v>
      </c>
      <c r="P81" s="5" t="s">
        <v>70</v>
      </c>
      <c r="Q81" s="5">
        <v>2.57</v>
      </c>
      <c r="R81" s="10"/>
      <c r="T81">
        <v>3.7280593</v>
      </c>
      <c r="U81">
        <v>4.0214930000000004</v>
      </c>
      <c r="V81" s="1">
        <f t="shared" si="8"/>
        <v>7.7495523000000004</v>
      </c>
      <c r="W81" s="72">
        <v>6.2</v>
      </c>
      <c r="X81" s="5">
        <v>2.57</v>
      </c>
    </row>
    <row r="82" spans="1:24" s="5" customFormat="1" ht="15" x14ac:dyDescent="0.25">
      <c r="B82" s="69"/>
      <c r="C82" s="17"/>
      <c r="E82" s="21"/>
      <c r="G82" s="38">
        <f t="shared" si="5"/>
        <v>2.7075</v>
      </c>
      <c r="H82" s="20">
        <f t="shared" si="6"/>
        <v>2.2969113000000001</v>
      </c>
      <c r="I82" s="20"/>
      <c r="J82" s="20"/>
      <c r="K82" s="20">
        <f t="shared" si="7"/>
        <v>1.3274999999999999</v>
      </c>
      <c r="L82" s="308"/>
      <c r="M82" s="38">
        <v>2.79</v>
      </c>
      <c r="N82" s="33">
        <v>2.29691</v>
      </c>
      <c r="O82" s="20"/>
      <c r="P82" s="20"/>
      <c r="Q82" s="20">
        <v>1.41</v>
      </c>
      <c r="R82" s="308"/>
      <c r="T82">
        <v>0.96993249999999998</v>
      </c>
      <c r="U82">
        <v>1.3269788</v>
      </c>
      <c r="V82" s="1">
        <f t="shared" si="8"/>
        <v>2.2969113000000001</v>
      </c>
      <c r="W82" s="17">
        <v>2.79</v>
      </c>
      <c r="X82" s="5">
        <v>1.41</v>
      </c>
    </row>
    <row r="83" spans="1:24" ht="15" x14ac:dyDescent="0.25">
      <c r="B83" s="70">
        <v>19</v>
      </c>
      <c r="C83" s="30"/>
      <c r="D83" s="23"/>
      <c r="E83" s="32"/>
      <c r="F83" s="23"/>
      <c r="G83" s="17">
        <f t="shared" si="5"/>
        <v>6.0475000000000003</v>
      </c>
      <c r="H83" s="5">
        <f t="shared" si="6"/>
        <v>8.3101222999999997</v>
      </c>
      <c r="I83" s="5" t="s">
        <v>46</v>
      </c>
      <c r="J83" s="5"/>
      <c r="K83" s="5">
        <f t="shared" si="7"/>
        <v>2.5874999999999999</v>
      </c>
      <c r="L83" s="10"/>
      <c r="M83" s="17">
        <v>6.13</v>
      </c>
      <c r="N83" s="21">
        <v>8.3101199999999995</v>
      </c>
      <c r="O83" s="5" t="s">
        <v>46</v>
      </c>
      <c r="P83" s="5"/>
      <c r="Q83" s="5">
        <v>2.67</v>
      </c>
      <c r="R83" s="10"/>
      <c r="T83">
        <v>4.4048362000000001</v>
      </c>
      <c r="U83">
        <v>3.9052861000000001</v>
      </c>
      <c r="V83" s="1">
        <f t="shared" si="8"/>
        <v>8.3101222999999997</v>
      </c>
      <c r="W83" s="30">
        <v>6.13</v>
      </c>
      <c r="X83" s="5">
        <v>2.67</v>
      </c>
    </row>
    <row r="84" spans="1:24" s="5" customFormat="1" ht="15" x14ac:dyDescent="0.25">
      <c r="B84" s="69"/>
      <c r="C84" s="17"/>
      <c r="E84" s="21"/>
      <c r="G84" s="38">
        <f t="shared" si="5"/>
        <v>0.90749999999999997</v>
      </c>
      <c r="H84" s="20">
        <f t="shared" si="6"/>
        <v>0.33676795000000004</v>
      </c>
      <c r="I84" s="20"/>
      <c r="J84" s="20"/>
      <c r="K84" s="20">
        <f t="shared" si="7"/>
        <v>0.51749999999999996</v>
      </c>
      <c r="L84" s="308"/>
      <c r="M84" s="38">
        <v>0.99</v>
      </c>
      <c r="N84" s="33">
        <v>0.33676800000000001</v>
      </c>
      <c r="O84" s="20"/>
      <c r="P84" s="20"/>
      <c r="Q84" s="20">
        <v>0.6</v>
      </c>
      <c r="R84" s="308"/>
      <c r="T84">
        <v>0.12935519000000001</v>
      </c>
      <c r="U84">
        <v>0.20741276</v>
      </c>
      <c r="V84" s="1">
        <f t="shared" si="8"/>
        <v>0.33676795000000004</v>
      </c>
      <c r="W84" s="17">
        <v>0.99</v>
      </c>
      <c r="X84" s="5">
        <v>0.6</v>
      </c>
    </row>
    <row r="85" spans="1:24" ht="15" x14ac:dyDescent="0.25">
      <c r="B85" s="70">
        <v>20</v>
      </c>
      <c r="C85" s="30"/>
      <c r="D85" s="23"/>
      <c r="E85" s="32"/>
      <c r="F85" s="23"/>
      <c r="G85" s="17">
        <f t="shared" si="5"/>
        <v>5.4375</v>
      </c>
      <c r="H85" s="5">
        <f t="shared" si="6"/>
        <v>4.8111429000000001</v>
      </c>
      <c r="I85" s="5" t="s">
        <v>46</v>
      </c>
      <c r="J85" s="5"/>
      <c r="K85" s="5">
        <f t="shared" si="7"/>
        <v>2.5175000000000001</v>
      </c>
      <c r="L85" s="10"/>
      <c r="M85" s="17">
        <v>5.52</v>
      </c>
      <c r="N85" s="21">
        <v>4.81114</v>
      </c>
      <c r="O85" s="5" t="s">
        <v>46</v>
      </c>
      <c r="P85" s="5"/>
      <c r="Q85" s="5">
        <v>2.6</v>
      </c>
      <c r="R85" s="10"/>
      <c r="T85">
        <v>2.0634792000000002</v>
      </c>
      <c r="U85">
        <v>2.7476636999999999</v>
      </c>
      <c r="V85" s="1">
        <f t="shared" si="8"/>
        <v>4.8111429000000001</v>
      </c>
      <c r="W85" s="30">
        <v>5.52</v>
      </c>
      <c r="X85" s="5">
        <v>2.6</v>
      </c>
    </row>
    <row r="86" spans="1:24" ht="15.75" thickBot="1" x14ac:dyDescent="0.3">
      <c r="A86" s="179"/>
      <c r="B86" s="183"/>
      <c r="C86" s="180"/>
      <c r="D86" s="179"/>
      <c r="E86" s="182"/>
      <c r="F86" s="179"/>
      <c r="G86" s="180">
        <f t="shared" si="5"/>
        <v>1.6274999999999999</v>
      </c>
      <c r="H86" s="179">
        <f t="shared" si="6"/>
        <v>1.07391667</v>
      </c>
      <c r="I86" s="179"/>
      <c r="J86" s="179"/>
      <c r="K86" s="179">
        <f t="shared" si="7"/>
        <v>1.0275000000000001</v>
      </c>
      <c r="L86" s="307"/>
      <c r="M86" s="180">
        <v>1.71</v>
      </c>
      <c r="N86" s="182">
        <v>1.07392</v>
      </c>
      <c r="O86" s="179"/>
      <c r="P86" s="179"/>
      <c r="Q86" s="179">
        <v>1.1100000000000001</v>
      </c>
      <c r="R86" s="307"/>
      <c r="T86">
        <v>0.30593383000000002</v>
      </c>
      <c r="U86">
        <v>0.76798284000000006</v>
      </c>
      <c r="V86" s="1">
        <f t="shared" si="8"/>
        <v>1.07391667</v>
      </c>
      <c r="W86" s="180">
        <v>1.71</v>
      </c>
      <c r="X86" s="179">
        <v>1.1100000000000001</v>
      </c>
    </row>
    <row r="87" spans="1:24" ht="15.75" thickTop="1" x14ac:dyDescent="0.25">
      <c r="A87" s="5" t="s">
        <v>79</v>
      </c>
      <c r="B87" s="26">
        <v>1</v>
      </c>
      <c r="C87" s="5"/>
      <c r="D87" s="34"/>
      <c r="E87" s="5"/>
      <c r="F87" s="34"/>
      <c r="G87" s="17">
        <f>W87-0.0272</f>
        <v>3.2027999999999999</v>
      </c>
      <c r="H87" s="5">
        <f t="shared" si="6"/>
        <v>0.62902447000000006</v>
      </c>
      <c r="I87" s="5" t="s">
        <v>40</v>
      </c>
      <c r="J87" s="5"/>
      <c r="K87" s="5">
        <f>X87-0.0272</f>
        <v>1.4328000000000001</v>
      </c>
      <c r="L87" s="10"/>
      <c r="M87" s="17">
        <v>3.23</v>
      </c>
      <c r="N87" s="21">
        <v>0.62902444999999996</v>
      </c>
      <c r="O87" s="5" t="s">
        <v>40</v>
      </c>
      <c r="P87" s="5"/>
      <c r="Q87" s="5">
        <v>1.46</v>
      </c>
      <c r="R87" s="10"/>
      <c r="T87">
        <v>0.33157730000000002</v>
      </c>
      <c r="U87">
        <v>0.29744716999999998</v>
      </c>
      <c r="V87" s="1">
        <f t="shared" si="8"/>
        <v>0.62902447000000006</v>
      </c>
      <c r="W87" s="17">
        <v>3.23</v>
      </c>
      <c r="X87" s="5">
        <v>1.46</v>
      </c>
    </row>
    <row r="88" spans="1:24" ht="15" x14ac:dyDescent="0.25">
      <c r="A88" s="1" t="s">
        <v>3</v>
      </c>
      <c r="B88" s="158"/>
      <c r="D88" s="34"/>
      <c r="F88" s="34"/>
      <c r="G88" s="17">
        <f t="shared" ref="G88:G151" si="9">W88-0.0272</f>
        <v>0.25280000000000002</v>
      </c>
      <c r="H88" s="5">
        <f t="shared" si="6"/>
        <v>3.4545965000000001E-3</v>
      </c>
      <c r="I88" s="5"/>
      <c r="J88" s="5"/>
      <c r="K88" s="5">
        <f t="shared" ref="K88:K151" si="10">X88-0.0272</f>
        <v>0.1628</v>
      </c>
      <c r="L88" s="10"/>
      <c r="M88" s="17">
        <v>0.28000000000000003</v>
      </c>
      <c r="N88" s="21">
        <v>3.4545965000000001E-3</v>
      </c>
      <c r="O88" s="5"/>
      <c r="P88" s="5"/>
      <c r="Q88" s="5">
        <v>0.19</v>
      </c>
      <c r="R88" s="10"/>
      <c r="T88">
        <v>1.5993502000000001E-3</v>
      </c>
      <c r="U88">
        <v>1.8552463E-3</v>
      </c>
      <c r="V88" s="1">
        <f t="shared" si="8"/>
        <v>3.4545965000000001E-3</v>
      </c>
      <c r="W88" s="17">
        <v>0.28000000000000003</v>
      </c>
      <c r="X88" s="5">
        <v>0.19</v>
      </c>
    </row>
    <row r="89" spans="1:24" ht="15" x14ac:dyDescent="0.25">
      <c r="A89" s="27" t="s">
        <v>42</v>
      </c>
      <c r="B89" s="26">
        <v>2</v>
      </c>
      <c r="C89" s="163"/>
      <c r="D89" s="24"/>
      <c r="E89" s="24"/>
      <c r="F89" s="24"/>
      <c r="G89" s="163">
        <f t="shared" si="9"/>
        <v>2.5327999999999999</v>
      </c>
      <c r="H89" s="23">
        <f t="shared" si="6"/>
        <v>0.37178497799999999</v>
      </c>
      <c r="I89" s="23" t="s">
        <v>46</v>
      </c>
      <c r="J89" s="23" t="s">
        <v>113</v>
      </c>
      <c r="K89" s="23">
        <f t="shared" si="10"/>
        <v>1.7728000000000002</v>
      </c>
      <c r="L89" s="306"/>
      <c r="M89" s="163">
        <v>2.56</v>
      </c>
      <c r="N89" s="32">
        <v>0.37178496</v>
      </c>
      <c r="O89" s="23" t="s">
        <v>46</v>
      </c>
      <c r="P89" s="23" t="s">
        <v>113</v>
      </c>
      <c r="Q89" s="23">
        <v>1.8</v>
      </c>
      <c r="R89" s="306"/>
      <c r="T89">
        <v>4.7660637999999998E-2</v>
      </c>
      <c r="U89">
        <v>0.32412434000000001</v>
      </c>
      <c r="V89" s="1">
        <f t="shared" si="8"/>
        <v>0.37178497799999999</v>
      </c>
      <c r="W89" s="163">
        <v>2.56</v>
      </c>
      <c r="X89" s="23">
        <v>1.8</v>
      </c>
    </row>
    <row r="90" spans="1:24" ht="15" x14ac:dyDescent="0.25">
      <c r="A90" s="1" t="s">
        <v>43</v>
      </c>
      <c r="B90" s="26"/>
      <c r="D90" s="34"/>
      <c r="F90" s="34"/>
      <c r="G90" s="38">
        <f t="shared" si="9"/>
        <v>1.1528</v>
      </c>
      <c r="H90" s="20">
        <f t="shared" si="6"/>
        <v>0.13914347500000002</v>
      </c>
      <c r="I90" s="20"/>
      <c r="J90" s="20"/>
      <c r="K90" s="20">
        <f t="shared" si="10"/>
        <v>0.77280000000000004</v>
      </c>
      <c r="L90" s="308"/>
      <c r="M90" s="38">
        <v>1.18</v>
      </c>
      <c r="N90" s="21">
        <v>0.13914346999999999</v>
      </c>
      <c r="O90" s="20"/>
      <c r="P90" s="20"/>
      <c r="Q90" s="20">
        <v>0.8</v>
      </c>
      <c r="R90" s="308"/>
      <c r="T90">
        <v>5.9048011999999997E-2</v>
      </c>
      <c r="U90">
        <v>8.0095463000000006E-2</v>
      </c>
      <c r="V90" s="1">
        <f t="shared" si="8"/>
        <v>0.13914347500000002</v>
      </c>
      <c r="W90" s="38">
        <v>1.18</v>
      </c>
      <c r="X90" s="20">
        <v>0.8</v>
      </c>
    </row>
    <row r="91" spans="1:24" ht="15" x14ac:dyDescent="0.25">
      <c r="B91" s="22">
        <v>3</v>
      </c>
      <c r="C91" s="163"/>
      <c r="D91" s="24"/>
      <c r="E91" s="24"/>
      <c r="F91" s="24"/>
      <c r="G91" s="72">
        <f t="shared" si="9"/>
        <v>4.9228000000000005</v>
      </c>
      <c r="H91" s="5">
        <f t="shared" si="6"/>
        <v>1.49836725</v>
      </c>
      <c r="I91" s="5" t="s">
        <v>40</v>
      </c>
      <c r="J91" s="5" t="s">
        <v>114</v>
      </c>
      <c r="K91" s="5">
        <f t="shared" si="10"/>
        <v>1.7928000000000002</v>
      </c>
      <c r="L91" s="10"/>
      <c r="M91" s="72">
        <v>4.95</v>
      </c>
      <c r="N91" s="32">
        <v>1.4983673</v>
      </c>
      <c r="O91" s="5" t="s">
        <v>40</v>
      </c>
      <c r="P91" s="5" t="s">
        <v>114</v>
      </c>
      <c r="Q91" s="5">
        <v>1.82</v>
      </c>
      <c r="R91" s="10"/>
      <c r="T91">
        <v>0.88057023000000001</v>
      </c>
      <c r="U91">
        <v>0.61779702000000003</v>
      </c>
      <c r="V91" s="1">
        <f t="shared" si="8"/>
        <v>1.49836725</v>
      </c>
      <c r="W91" s="72">
        <v>4.95</v>
      </c>
      <c r="X91" s="5">
        <v>1.82</v>
      </c>
    </row>
    <row r="92" spans="1:24" ht="15" x14ac:dyDescent="0.25">
      <c r="A92" s="27"/>
      <c r="B92" s="26"/>
      <c r="D92" s="35"/>
      <c r="F92" s="35"/>
      <c r="G92" s="38">
        <f t="shared" si="9"/>
        <v>1.0528000000000002</v>
      </c>
      <c r="H92" s="20">
        <f t="shared" si="6"/>
        <v>0.10059913300000001</v>
      </c>
      <c r="I92" s="20"/>
      <c r="J92" s="20"/>
      <c r="K92" s="20">
        <f t="shared" si="10"/>
        <v>0.53280000000000005</v>
      </c>
      <c r="L92" s="308"/>
      <c r="M92" s="38">
        <v>1.08</v>
      </c>
      <c r="N92" s="21">
        <v>0.10059912999999999</v>
      </c>
      <c r="O92" s="20"/>
      <c r="P92" s="20"/>
      <c r="Q92" s="20">
        <v>0.56000000000000005</v>
      </c>
      <c r="R92" s="308"/>
      <c r="T92">
        <v>5.4537844000000002E-2</v>
      </c>
      <c r="U92">
        <v>4.6061288999999998E-2</v>
      </c>
      <c r="V92" s="1">
        <f t="shared" si="8"/>
        <v>0.10059913300000001</v>
      </c>
      <c r="W92" s="38">
        <v>1.08</v>
      </c>
      <c r="X92" s="20">
        <v>0.56000000000000005</v>
      </c>
    </row>
    <row r="93" spans="1:24" ht="15" x14ac:dyDescent="0.25">
      <c r="B93" s="22">
        <v>4</v>
      </c>
      <c r="C93" s="24"/>
      <c r="D93" s="25"/>
      <c r="E93" s="24"/>
      <c r="F93" s="25"/>
      <c r="G93" s="72">
        <f t="shared" si="9"/>
        <v>4.1328000000000005</v>
      </c>
      <c r="H93" s="5">
        <f t="shared" si="6"/>
        <v>1.32007173</v>
      </c>
      <c r="I93" s="5" t="s">
        <v>46</v>
      </c>
      <c r="J93" s="5" t="s">
        <v>115</v>
      </c>
      <c r="K93" s="5">
        <f t="shared" si="10"/>
        <v>1.4328000000000001</v>
      </c>
      <c r="L93" s="10"/>
      <c r="M93" s="72">
        <v>4.16</v>
      </c>
      <c r="N93" s="32">
        <v>1.3201357</v>
      </c>
      <c r="O93" s="5" t="s">
        <v>46</v>
      </c>
      <c r="P93" s="5" t="s">
        <v>115</v>
      </c>
      <c r="Q93" s="5">
        <v>1.46</v>
      </c>
      <c r="R93" s="10"/>
      <c r="T93">
        <v>0.90155375000000004</v>
      </c>
      <c r="U93">
        <v>0.41851798000000001</v>
      </c>
      <c r="V93" s="1">
        <f t="shared" si="8"/>
        <v>1.32007173</v>
      </c>
      <c r="W93" s="72">
        <v>4.16</v>
      </c>
      <c r="X93" s="5">
        <v>1.46</v>
      </c>
    </row>
    <row r="94" spans="1:24" ht="15" x14ac:dyDescent="0.25">
      <c r="B94" s="158"/>
      <c r="D94" s="34"/>
      <c r="F94" s="34"/>
      <c r="G94" s="17">
        <f t="shared" si="9"/>
        <v>0.53280000000000005</v>
      </c>
      <c r="H94" s="20">
        <f t="shared" si="6"/>
        <v>2.3126603900000001E-2</v>
      </c>
      <c r="I94" s="20"/>
      <c r="J94" s="20"/>
      <c r="K94" s="20">
        <f t="shared" si="10"/>
        <v>0.31280000000000002</v>
      </c>
      <c r="L94" s="308"/>
      <c r="M94" s="17">
        <v>0.56000000000000005</v>
      </c>
      <c r="N94" s="21">
        <v>2.3062631E-2</v>
      </c>
      <c r="O94" s="20"/>
      <c r="P94" s="20"/>
      <c r="Q94" s="20">
        <v>0.34</v>
      </c>
      <c r="R94" s="308"/>
      <c r="T94">
        <v>1.4266203999999999E-2</v>
      </c>
      <c r="U94">
        <v>8.8603998999999996E-3</v>
      </c>
      <c r="V94" s="1">
        <f t="shared" si="8"/>
        <v>2.3126603900000001E-2</v>
      </c>
      <c r="W94" s="17">
        <v>0.56000000000000005</v>
      </c>
      <c r="X94" s="20">
        <v>0.34</v>
      </c>
    </row>
    <row r="95" spans="1:24" ht="15" x14ac:dyDescent="0.25">
      <c r="B95" s="26">
        <v>5</v>
      </c>
      <c r="C95" s="163"/>
      <c r="D95" s="24"/>
      <c r="E95" s="24"/>
      <c r="F95" s="24"/>
      <c r="G95" s="163">
        <f t="shared" si="9"/>
        <v>4.5928000000000004</v>
      </c>
      <c r="H95" s="5">
        <f t="shared" si="6"/>
        <v>1.21102804</v>
      </c>
      <c r="I95" s="5" t="s">
        <v>46</v>
      </c>
      <c r="J95" s="5" t="s">
        <v>116</v>
      </c>
      <c r="K95" s="5">
        <f t="shared" si="10"/>
        <v>1.7628000000000001</v>
      </c>
      <c r="L95" s="10"/>
      <c r="M95" s="163">
        <v>4.62</v>
      </c>
      <c r="N95" s="32">
        <v>1.211028</v>
      </c>
      <c r="O95" s="5" t="s">
        <v>46</v>
      </c>
      <c r="P95" s="5" t="s">
        <v>116</v>
      </c>
      <c r="Q95" s="5">
        <v>1.79</v>
      </c>
      <c r="R95" s="10"/>
      <c r="T95">
        <v>0.69891608000000005</v>
      </c>
      <c r="U95">
        <v>0.51211196000000003</v>
      </c>
      <c r="V95" s="1">
        <f t="shared" si="8"/>
        <v>1.21102804</v>
      </c>
      <c r="W95" s="163">
        <v>4.62</v>
      </c>
      <c r="X95" s="5">
        <v>1.79</v>
      </c>
    </row>
    <row r="96" spans="1:24" ht="15" x14ac:dyDescent="0.25">
      <c r="B96" s="158"/>
      <c r="C96" s="20"/>
      <c r="D96" s="35"/>
      <c r="E96" s="20"/>
      <c r="F96" s="35"/>
      <c r="G96" s="38">
        <f t="shared" si="9"/>
        <v>0.99280000000000002</v>
      </c>
      <c r="H96" s="20">
        <f t="shared" si="6"/>
        <v>8.8092212000000003E-2</v>
      </c>
      <c r="I96" s="20"/>
      <c r="J96" s="20"/>
      <c r="K96" s="20">
        <f t="shared" si="10"/>
        <v>0.56279999999999997</v>
      </c>
      <c r="L96" s="308"/>
      <c r="M96" s="38">
        <v>1.02</v>
      </c>
      <c r="N96" s="21">
        <v>8.8092215000000001E-2</v>
      </c>
      <c r="O96" s="20"/>
      <c r="P96" s="20"/>
      <c r="Q96" s="20">
        <v>0.59</v>
      </c>
      <c r="R96" s="308"/>
      <c r="T96">
        <v>5.1275168000000003E-2</v>
      </c>
      <c r="U96">
        <v>3.6817044E-2</v>
      </c>
      <c r="V96" s="1">
        <f t="shared" si="8"/>
        <v>8.8092212000000003E-2</v>
      </c>
      <c r="W96" s="38">
        <v>1.02</v>
      </c>
      <c r="X96" s="20">
        <v>0.59</v>
      </c>
    </row>
    <row r="97" spans="1:24" ht="15" x14ac:dyDescent="0.25">
      <c r="A97" s="23" t="s">
        <v>79</v>
      </c>
      <c r="B97" s="22">
        <v>1</v>
      </c>
      <c r="C97" s="23"/>
      <c r="D97" s="23"/>
      <c r="E97" s="23"/>
      <c r="F97" s="23"/>
      <c r="G97" s="30">
        <f t="shared" si="9"/>
        <v>4.5528000000000004</v>
      </c>
      <c r="H97" s="5">
        <f t="shared" si="6"/>
        <v>1.1267422499999999</v>
      </c>
      <c r="I97" s="5" t="s">
        <v>46</v>
      </c>
      <c r="J97" s="5"/>
      <c r="K97" s="5">
        <f t="shared" si="10"/>
        <v>1.6928000000000001</v>
      </c>
      <c r="L97" s="10"/>
      <c r="M97" s="30">
        <v>4.58</v>
      </c>
      <c r="N97" s="32">
        <v>1.1267422</v>
      </c>
      <c r="O97" s="5" t="s">
        <v>46</v>
      </c>
      <c r="P97" s="5"/>
      <c r="Q97" s="5">
        <v>1.72</v>
      </c>
      <c r="R97" s="10"/>
      <c r="T97">
        <v>0.61955631</v>
      </c>
      <c r="U97">
        <v>0.50718593999999995</v>
      </c>
      <c r="V97" s="1">
        <f t="shared" si="8"/>
        <v>1.1267422499999999</v>
      </c>
      <c r="W97" s="30">
        <v>4.58</v>
      </c>
      <c r="X97" s="5">
        <v>1.72</v>
      </c>
    </row>
    <row r="98" spans="1:24" ht="15" x14ac:dyDescent="0.25">
      <c r="A98" s="1" t="s">
        <v>3</v>
      </c>
      <c r="B98" s="68"/>
      <c r="C98" s="38"/>
      <c r="D98" s="35"/>
      <c r="E98" s="20"/>
      <c r="F98" s="35"/>
      <c r="G98" s="38">
        <f t="shared" si="9"/>
        <v>0.69279999999999997</v>
      </c>
      <c r="H98" s="5">
        <f t="shared" si="6"/>
        <v>4.7948521000000001E-2</v>
      </c>
      <c r="I98" s="5"/>
      <c r="J98" s="5"/>
      <c r="K98" s="5">
        <f t="shared" si="10"/>
        <v>0.4728</v>
      </c>
      <c r="L98" s="10"/>
      <c r="M98" s="38">
        <v>0.72</v>
      </c>
      <c r="N98" s="21">
        <v>4.7948521000000001E-2</v>
      </c>
      <c r="O98" s="5"/>
      <c r="P98" s="5"/>
      <c r="Q98" s="5">
        <v>0.5</v>
      </c>
      <c r="R98" s="10"/>
      <c r="T98">
        <v>2.1911098E-2</v>
      </c>
      <c r="U98">
        <v>2.6037423000000001E-2</v>
      </c>
      <c r="V98" s="1">
        <f t="shared" si="8"/>
        <v>4.7948521000000001E-2</v>
      </c>
      <c r="W98" s="38">
        <v>0.72</v>
      </c>
      <c r="X98" s="5">
        <v>0.5</v>
      </c>
    </row>
    <row r="99" spans="1:24" ht="15" x14ac:dyDescent="0.25">
      <c r="A99" s="27" t="s">
        <v>42</v>
      </c>
      <c r="B99" s="26">
        <v>2</v>
      </c>
      <c r="C99" s="163"/>
      <c r="D99" s="24"/>
      <c r="E99" s="24"/>
      <c r="F99" s="24"/>
      <c r="G99" s="163">
        <f t="shared" si="9"/>
        <v>4.2228000000000003</v>
      </c>
      <c r="H99" s="23">
        <f t="shared" si="6"/>
        <v>1.5377433300000001</v>
      </c>
      <c r="I99" s="23" t="s">
        <v>46</v>
      </c>
      <c r="J99" s="23" t="s">
        <v>117</v>
      </c>
      <c r="K99" s="23">
        <f t="shared" si="10"/>
        <v>2.4327999999999999</v>
      </c>
      <c r="L99" s="306"/>
      <c r="M99" s="163">
        <v>4.25</v>
      </c>
      <c r="N99" s="32">
        <v>1.5377433</v>
      </c>
      <c r="O99" s="23" t="s">
        <v>46</v>
      </c>
      <c r="P99" s="23" t="s">
        <v>117</v>
      </c>
      <c r="Q99" s="23">
        <v>2.46</v>
      </c>
      <c r="R99" s="306"/>
      <c r="T99">
        <v>0.57922070999999997</v>
      </c>
      <c r="U99">
        <v>0.95852261999999999</v>
      </c>
      <c r="V99" s="1">
        <f t="shared" si="8"/>
        <v>1.5377433300000001</v>
      </c>
      <c r="W99" s="163">
        <v>4.25</v>
      </c>
      <c r="X99" s="23">
        <v>2.46</v>
      </c>
    </row>
    <row r="100" spans="1:24" ht="15" x14ac:dyDescent="0.25">
      <c r="A100" s="1" t="s">
        <v>44</v>
      </c>
      <c r="B100" s="31"/>
      <c r="C100" s="17"/>
      <c r="D100" s="35"/>
      <c r="E100" s="20"/>
      <c r="F100" s="35"/>
      <c r="G100" s="38">
        <f t="shared" si="9"/>
        <v>1.8028000000000002</v>
      </c>
      <c r="H100" s="5">
        <f t="shared" si="6"/>
        <v>0.29076189000000002</v>
      </c>
      <c r="I100" s="5"/>
      <c r="J100" s="5"/>
      <c r="K100" s="5">
        <f t="shared" si="10"/>
        <v>0.95279999999999998</v>
      </c>
      <c r="L100" s="10"/>
      <c r="M100" s="38">
        <v>1.83</v>
      </c>
      <c r="N100" s="21">
        <v>0.29076189000000002</v>
      </c>
      <c r="O100" s="5"/>
      <c r="P100" s="5"/>
      <c r="Q100" s="5">
        <v>0.98</v>
      </c>
      <c r="R100" s="10"/>
      <c r="T100">
        <v>0.14208628000000001</v>
      </c>
      <c r="U100">
        <v>0.14867561000000001</v>
      </c>
      <c r="V100" s="1">
        <f t="shared" si="8"/>
        <v>0.29076189000000002</v>
      </c>
      <c r="W100" s="38">
        <v>1.83</v>
      </c>
      <c r="X100" s="5">
        <v>0.98</v>
      </c>
    </row>
    <row r="101" spans="1:24" ht="15" x14ac:dyDescent="0.25">
      <c r="B101" s="67">
        <v>3</v>
      </c>
      <c r="C101" s="159"/>
      <c r="D101" s="34"/>
      <c r="E101" s="34"/>
      <c r="F101" s="34"/>
      <c r="G101" s="17">
        <f t="shared" si="9"/>
        <v>6.3228</v>
      </c>
      <c r="H101" s="23">
        <f t="shared" si="6"/>
        <v>2.7944807100000002</v>
      </c>
      <c r="I101" s="23" t="s">
        <v>46</v>
      </c>
      <c r="J101" s="23"/>
      <c r="K101" s="23">
        <f t="shared" si="10"/>
        <v>1.7928000000000002</v>
      </c>
      <c r="L101" s="306"/>
      <c r="M101" s="17">
        <v>6.35</v>
      </c>
      <c r="N101" s="32">
        <v>2.7944808000000001</v>
      </c>
      <c r="O101" s="23" t="s">
        <v>46</v>
      </c>
      <c r="P101" s="23"/>
      <c r="Q101" s="23">
        <v>1.82</v>
      </c>
      <c r="R101" s="306"/>
      <c r="T101">
        <v>2.1205785000000001</v>
      </c>
      <c r="U101">
        <v>0.67390220999999995</v>
      </c>
      <c r="V101" s="1">
        <f t="shared" si="8"/>
        <v>2.7944807100000002</v>
      </c>
      <c r="W101" s="17">
        <v>6.35</v>
      </c>
      <c r="X101" s="23">
        <v>1.82</v>
      </c>
    </row>
    <row r="102" spans="1:24" ht="15" x14ac:dyDescent="0.25">
      <c r="B102" s="68"/>
      <c r="C102" s="160"/>
      <c r="D102" s="35"/>
      <c r="E102" s="35"/>
      <c r="F102" s="35"/>
      <c r="G102" s="38">
        <f t="shared" si="9"/>
        <v>1.1028</v>
      </c>
      <c r="H102" s="5">
        <f t="shared" si="6"/>
        <v>0.13808790199999998</v>
      </c>
      <c r="I102" s="5"/>
      <c r="J102" s="5"/>
      <c r="K102" s="5">
        <f t="shared" si="10"/>
        <v>0.6028</v>
      </c>
      <c r="L102" s="10"/>
      <c r="M102" s="38">
        <v>1.1299999999999999</v>
      </c>
      <c r="N102" s="21">
        <v>0.13808790000000001</v>
      </c>
      <c r="O102" s="5"/>
      <c r="P102" s="5"/>
      <c r="Q102" s="5">
        <v>0.63</v>
      </c>
      <c r="R102" s="10"/>
      <c r="T102">
        <v>8.1822759999999994E-2</v>
      </c>
      <c r="U102">
        <v>5.6265141999999997E-2</v>
      </c>
      <c r="V102" s="1">
        <f t="shared" si="8"/>
        <v>0.13808790199999998</v>
      </c>
      <c r="W102" s="38">
        <v>1.1299999999999999</v>
      </c>
      <c r="X102" s="5">
        <v>0.63</v>
      </c>
    </row>
    <row r="103" spans="1:24" ht="15" x14ac:dyDescent="0.25">
      <c r="B103" s="31">
        <v>4</v>
      </c>
      <c r="C103" s="163"/>
      <c r="D103" s="24"/>
      <c r="E103" s="24"/>
      <c r="F103" s="24"/>
      <c r="G103" s="163">
        <f t="shared" si="9"/>
        <v>4.9028</v>
      </c>
      <c r="H103" s="23">
        <f t="shared" si="6"/>
        <v>2.9786619000000001</v>
      </c>
      <c r="I103" s="23" t="s">
        <v>46</v>
      </c>
      <c r="J103" s="23" t="s">
        <v>118</v>
      </c>
      <c r="K103" s="23">
        <f t="shared" si="10"/>
        <v>2.5127999999999999</v>
      </c>
      <c r="L103" s="306" t="s">
        <v>119</v>
      </c>
      <c r="M103" s="163">
        <v>4.93</v>
      </c>
      <c r="N103" s="32">
        <v>2.9692256000000001</v>
      </c>
      <c r="O103" s="23" t="s">
        <v>46</v>
      </c>
      <c r="P103" s="23" t="s">
        <v>118</v>
      </c>
      <c r="Q103" s="23">
        <v>2.54</v>
      </c>
      <c r="R103" s="306" t="s">
        <v>119</v>
      </c>
      <c r="T103">
        <v>1.4121623000000001</v>
      </c>
      <c r="U103">
        <v>1.5664996</v>
      </c>
      <c r="V103" s="1">
        <f t="shared" si="8"/>
        <v>2.9786619000000001</v>
      </c>
      <c r="W103" s="163">
        <v>4.93</v>
      </c>
      <c r="X103" s="23">
        <v>2.54</v>
      </c>
    </row>
    <row r="104" spans="1:24" ht="15" x14ac:dyDescent="0.25">
      <c r="C104" s="38"/>
      <c r="G104" s="17">
        <f t="shared" si="9"/>
        <v>2.8028</v>
      </c>
      <c r="H104" s="5">
        <f t="shared" si="6"/>
        <v>0.88651981999999996</v>
      </c>
      <c r="I104" s="5"/>
      <c r="J104" s="5"/>
      <c r="K104" s="5">
        <f t="shared" si="10"/>
        <v>1.2228000000000001</v>
      </c>
      <c r="L104" s="10"/>
      <c r="M104" s="17">
        <v>2.83</v>
      </c>
      <c r="N104" s="21">
        <v>0.88651985</v>
      </c>
      <c r="O104" s="5"/>
      <c r="P104" s="5"/>
      <c r="Q104" s="5">
        <v>1.25</v>
      </c>
      <c r="R104" s="10"/>
      <c r="T104">
        <v>0.55151992999999999</v>
      </c>
      <c r="U104">
        <v>0.33499989000000002</v>
      </c>
      <c r="V104" s="1">
        <f t="shared" si="8"/>
        <v>0.88651981999999996</v>
      </c>
      <c r="W104" s="17">
        <v>2.83</v>
      </c>
      <c r="X104" s="5">
        <v>1.25</v>
      </c>
    </row>
    <row r="105" spans="1:24" ht="15" x14ac:dyDescent="0.25">
      <c r="A105" s="27"/>
      <c r="B105" s="67">
        <v>5</v>
      </c>
      <c r="C105" s="163"/>
      <c r="D105" s="24"/>
      <c r="E105" s="24"/>
      <c r="F105" s="24"/>
      <c r="G105" s="163">
        <f t="shared" si="9"/>
        <v>5.8728000000000007</v>
      </c>
      <c r="H105" s="23">
        <f t="shared" si="6"/>
        <v>3.0390852800000001</v>
      </c>
      <c r="I105" s="23" t="s">
        <v>46</v>
      </c>
      <c r="J105" s="23" t="s">
        <v>120</v>
      </c>
      <c r="K105" s="23">
        <f t="shared" si="10"/>
        <v>1.8328000000000002</v>
      </c>
      <c r="L105" s="306"/>
      <c r="M105" s="163">
        <v>5.9</v>
      </c>
      <c r="N105" s="32">
        <v>3.0390853999999998</v>
      </c>
      <c r="O105" s="23" t="s">
        <v>46</v>
      </c>
      <c r="P105" s="23" t="s">
        <v>120</v>
      </c>
      <c r="Q105" s="23">
        <v>1.86</v>
      </c>
      <c r="R105" s="306"/>
      <c r="T105">
        <v>2.2370751000000002</v>
      </c>
      <c r="U105">
        <v>0.80201018000000002</v>
      </c>
      <c r="V105" s="1">
        <f t="shared" si="8"/>
        <v>3.0390852800000001</v>
      </c>
      <c r="W105" s="163">
        <v>5.9</v>
      </c>
      <c r="X105" s="23">
        <v>1.86</v>
      </c>
    </row>
    <row r="106" spans="1:24" ht="15" x14ac:dyDescent="0.25">
      <c r="B106" s="31"/>
      <c r="C106" s="17"/>
      <c r="D106" s="20"/>
      <c r="E106" s="20"/>
      <c r="F106" s="20"/>
      <c r="G106" s="38">
        <f t="shared" si="9"/>
        <v>0.89280000000000004</v>
      </c>
      <c r="H106" s="5">
        <f t="shared" si="6"/>
        <v>7.0979165999999996E-2</v>
      </c>
      <c r="I106" s="5"/>
      <c r="J106" s="5"/>
      <c r="K106" s="5">
        <f t="shared" si="10"/>
        <v>0.50280000000000002</v>
      </c>
      <c r="L106" s="10"/>
      <c r="M106" s="38">
        <v>0.92</v>
      </c>
      <c r="N106" s="21">
        <v>7.0979162999999998E-2</v>
      </c>
      <c r="O106" s="5"/>
      <c r="P106" s="5"/>
      <c r="Q106" s="5">
        <v>0.53</v>
      </c>
      <c r="R106" s="10"/>
      <c r="T106">
        <v>3.8896198999999999E-2</v>
      </c>
      <c r="U106">
        <v>3.2082966999999997E-2</v>
      </c>
      <c r="V106" s="1">
        <f t="shared" si="8"/>
        <v>7.0979165999999996E-2</v>
      </c>
      <c r="W106" s="38">
        <v>0.92</v>
      </c>
      <c r="X106" s="5">
        <v>0.53</v>
      </c>
    </row>
    <row r="107" spans="1:24" ht="15" x14ac:dyDescent="0.25">
      <c r="B107" s="67">
        <v>6</v>
      </c>
      <c r="C107" s="163"/>
      <c r="D107" s="24"/>
      <c r="E107" s="24"/>
      <c r="F107" s="24"/>
      <c r="G107" s="163">
        <f t="shared" si="9"/>
        <v>4.0428000000000006</v>
      </c>
      <c r="H107" s="23">
        <f t="shared" si="6"/>
        <v>1.4151051400000001</v>
      </c>
      <c r="I107" s="23" t="s">
        <v>46</v>
      </c>
      <c r="J107" s="23" t="s">
        <v>121</v>
      </c>
      <c r="K107" s="23">
        <f t="shared" si="10"/>
        <v>2.1928000000000001</v>
      </c>
      <c r="L107" s="306"/>
      <c r="M107" s="163">
        <v>4.07</v>
      </c>
      <c r="N107" s="32">
        <v>1.4151050999999999</v>
      </c>
      <c r="O107" s="23" t="s">
        <v>46</v>
      </c>
      <c r="P107" s="23" t="s">
        <v>121</v>
      </c>
      <c r="Q107" s="23">
        <v>2.2200000000000002</v>
      </c>
      <c r="R107" s="306"/>
      <c r="T107">
        <v>0.47970911999999999</v>
      </c>
      <c r="U107">
        <v>0.93539601999999999</v>
      </c>
      <c r="V107" s="1">
        <f t="shared" si="8"/>
        <v>1.4151051400000001</v>
      </c>
      <c r="W107" s="163">
        <v>4.07</v>
      </c>
      <c r="X107" s="23">
        <v>2.2200000000000002</v>
      </c>
    </row>
    <row r="108" spans="1:24" ht="15" x14ac:dyDescent="0.25">
      <c r="C108" s="17"/>
      <c r="G108" s="17">
        <f t="shared" si="9"/>
        <v>1.8428000000000002</v>
      </c>
      <c r="H108" s="5">
        <f t="shared" si="6"/>
        <v>0.36407609000000002</v>
      </c>
      <c r="I108" s="5"/>
      <c r="J108" s="5"/>
      <c r="K108" s="5">
        <f t="shared" si="10"/>
        <v>0.93279999999999996</v>
      </c>
      <c r="L108" s="10"/>
      <c r="M108" s="17">
        <v>1.87</v>
      </c>
      <c r="N108" s="21">
        <v>0.36407608000000002</v>
      </c>
      <c r="O108" s="5"/>
      <c r="P108" s="5"/>
      <c r="Q108" s="5">
        <v>0.96</v>
      </c>
      <c r="R108" s="10"/>
      <c r="T108">
        <v>0.20717983000000001</v>
      </c>
      <c r="U108">
        <v>0.15689626000000001</v>
      </c>
      <c r="V108" s="1">
        <f t="shared" si="8"/>
        <v>0.36407609000000002</v>
      </c>
      <c r="W108" s="17">
        <v>1.87</v>
      </c>
      <c r="X108" s="5">
        <v>0.96</v>
      </c>
    </row>
    <row r="109" spans="1:24" ht="15" x14ac:dyDescent="0.25">
      <c r="B109" s="67">
        <v>7</v>
      </c>
      <c r="C109" s="163"/>
      <c r="D109" s="24"/>
      <c r="E109" s="24"/>
      <c r="F109" s="24"/>
      <c r="G109" s="163">
        <f t="shared" si="9"/>
        <v>4.0528000000000004</v>
      </c>
      <c r="H109" s="23">
        <f t="shared" si="6"/>
        <v>1.3161373199999999</v>
      </c>
      <c r="I109" s="23" t="s">
        <v>46</v>
      </c>
      <c r="J109" s="23" t="s">
        <v>122</v>
      </c>
      <c r="K109" s="23">
        <f t="shared" si="10"/>
        <v>2.0627999999999997</v>
      </c>
      <c r="L109" s="306"/>
      <c r="M109" s="163">
        <v>4.08</v>
      </c>
      <c r="N109" s="32">
        <v>1.3161373000000001</v>
      </c>
      <c r="O109" s="23" t="s">
        <v>46</v>
      </c>
      <c r="P109" s="23" t="s">
        <v>122</v>
      </c>
      <c r="Q109" s="23">
        <v>2.09</v>
      </c>
      <c r="R109" s="306"/>
      <c r="T109">
        <v>0.55465465999999997</v>
      </c>
      <c r="U109">
        <v>0.76148265999999998</v>
      </c>
      <c r="V109" s="1">
        <f t="shared" si="8"/>
        <v>1.3161373199999999</v>
      </c>
      <c r="W109" s="163">
        <v>4.08</v>
      </c>
      <c r="X109" s="23">
        <v>2.09</v>
      </c>
    </row>
    <row r="110" spans="1:24" ht="15" x14ac:dyDescent="0.25">
      <c r="B110" s="31"/>
      <c r="C110" s="17"/>
      <c r="D110" s="5"/>
      <c r="E110" s="5"/>
      <c r="F110" s="5"/>
      <c r="G110" s="17">
        <f t="shared" si="9"/>
        <v>0.71279999999999999</v>
      </c>
      <c r="H110" s="5">
        <f t="shared" si="6"/>
        <v>6.8484179000000006E-2</v>
      </c>
      <c r="I110" s="5"/>
      <c r="J110" s="5"/>
      <c r="K110" s="5">
        <f t="shared" si="10"/>
        <v>0.42280000000000001</v>
      </c>
      <c r="L110" s="10"/>
      <c r="M110" s="17">
        <v>0.74</v>
      </c>
      <c r="N110" s="21">
        <v>6.8484180000000006E-2</v>
      </c>
      <c r="O110" s="5"/>
      <c r="P110" s="5"/>
      <c r="Q110" s="5">
        <v>0.45</v>
      </c>
      <c r="R110" s="10"/>
      <c r="T110">
        <v>3.5825445999999997E-2</v>
      </c>
      <c r="U110">
        <v>3.2658733000000002E-2</v>
      </c>
      <c r="V110" s="1">
        <f t="shared" si="8"/>
        <v>6.8484179000000006E-2</v>
      </c>
      <c r="W110" s="17">
        <v>0.74</v>
      </c>
      <c r="X110" s="5">
        <v>0.45</v>
      </c>
    </row>
    <row r="111" spans="1:24" ht="15" x14ac:dyDescent="0.25">
      <c r="B111" s="67">
        <v>8</v>
      </c>
      <c r="C111" s="163"/>
      <c r="D111" s="24"/>
      <c r="E111" s="24"/>
      <c r="F111" s="24"/>
      <c r="G111" s="163">
        <f t="shared" si="9"/>
        <v>3.1027999999999998</v>
      </c>
      <c r="H111" s="23">
        <f t="shared" si="6"/>
        <v>1.23284316</v>
      </c>
      <c r="I111" s="23" t="s">
        <v>46</v>
      </c>
      <c r="J111" s="23" t="s">
        <v>123</v>
      </c>
      <c r="K111" s="23">
        <f t="shared" si="10"/>
        <v>2.1027999999999998</v>
      </c>
      <c r="L111" s="306"/>
      <c r="M111" s="163">
        <v>3.13</v>
      </c>
      <c r="N111" s="32">
        <v>1.2328432</v>
      </c>
      <c r="O111" s="23" t="s">
        <v>46</v>
      </c>
      <c r="P111" s="23" t="s">
        <v>123</v>
      </c>
      <c r="Q111" s="23">
        <v>2.13</v>
      </c>
      <c r="R111" s="306"/>
      <c r="T111">
        <v>0.28669952999999998</v>
      </c>
      <c r="U111">
        <v>0.94614363000000001</v>
      </c>
      <c r="V111" s="1">
        <f t="shared" si="8"/>
        <v>1.23284316</v>
      </c>
      <c r="W111" s="163">
        <v>3.13</v>
      </c>
      <c r="X111" s="23">
        <v>2.13</v>
      </c>
    </row>
    <row r="112" spans="1:24" ht="15" x14ac:dyDescent="0.25">
      <c r="B112" s="31"/>
      <c r="C112" s="17"/>
      <c r="D112" s="5"/>
      <c r="E112" s="5"/>
      <c r="F112" s="5"/>
      <c r="G112" s="17">
        <f t="shared" si="9"/>
        <v>2.1128</v>
      </c>
      <c r="H112" s="21">
        <f t="shared" si="6"/>
        <v>0.54963271000000002</v>
      </c>
      <c r="I112" s="5"/>
      <c r="J112" s="5"/>
      <c r="K112" s="5">
        <f t="shared" si="10"/>
        <v>1.0628000000000002</v>
      </c>
      <c r="L112" s="10"/>
      <c r="M112" s="17">
        <v>2.14</v>
      </c>
      <c r="N112" s="21">
        <v>0.54963273000000001</v>
      </c>
      <c r="O112" s="5"/>
      <c r="P112" s="5"/>
      <c r="Q112" s="5">
        <v>1.0900000000000001</v>
      </c>
      <c r="R112" s="10"/>
      <c r="T112">
        <v>0.31168139</v>
      </c>
      <c r="U112">
        <v>0.23795131999999999</v>
      </c>
      <c r="V112" s="1">
        <f t="shared" si="8"/>
        <v>0.54963271000000002</v>
      </c>
      <c r="W112" s="17">
        <v>2.14</v>
      </c>
      <c r="X112" s="5">
        <v>1.0900000000000001</v>
      </c>
    </row>
    <row r="113" spans="1:24" ht="15" x14ac:dyDescent="0.25">
      <c r="B113" s="68"/>
      <c r="C113" s="38"/>
      <c r="D113" s="20"/>
      <c r="E113" s="20"/>
      <c r="F113" s="20"/>
      <c r="G113" s="38">
        <f t="shared" si="9"/>
        <v>0.1628</v>
      </c>
      <c r="H113" s="33">
        <f t="shared" si="6"/>
        <v>2.7188955E-3</v>
      </c>
      <c r="I113" s="20"/>
      <c r="J113" s="20"/>
      <c r="K113" s="161">
        <f t="shared" si="10"/>
        <v>0.1628</v>
      </c>
      <c r="L113" s="308"/>
      <c r="M113" s="38">
        <v>0.19</v>
      </c>
      <c r="N113" s="21">
        <v>2.7188954E-3</v>
      </c>
      <c r="O113" s="20"/>
      <c r="P113" s="20"/>
      <c r="Q113" s="161">
        <v>0.19</v>
      </c>
      <c r="R113" s="308"/>
      <c r="T113">
        <v>1.3114673000000001E-3</v>
      </c>
      <c r="U113">
        <v>1.4074281999999999E-3</v>
      </c>
      <c r="V113" s="1">
        <f t="shared" si="8"/>
        <v>2.7188955E-3</v>
      </c>
      <c r="W113" s="38">
        <v>0.19</v>
      </c>
      <c r="X113" s="161">
        <v>0.19</v>
      </c>
    </row>
    <row r="114" spans="1:24" ht="15" x14ac:dyDescent="0.25">
      <c r="B114" s="31">
        <v>9</v>
      </c>
      <c r="C114" s="17"/>
      <c r="D114" s="5"/>
      <c r="E114" s="5"/>
      <c r="F114" s="5"/>
      <c r="G114" s="17">
        <f t="shared" si="9"/>
        <v>4.7628000000000004</v>
      </c>
      <c r="H114" s="21">
        <f t="shared" si="6"/>
        <v>2.02193062</v>
      </c>
      <c r="I114" s="23" t="s">
        <v>46</v>
      </c>
      <c r="J114" s="5"/>
      <c r="K114" s="5">
        <f t="shared" si="10"/>
        <v>2.2827999999999999</v>
      </c>
      <c r="L114" s="10"/>
      <c r="M114" s="17">
        <v>4.79</v>
      </c>
      <c r="N114" s="32">
        <v>2.0219307</v>
      </c>
      <c r="O114" s="23" t="s">
        <v>46</v>
      </c>
      <c r="P114" s="5"/>
      <c r="Q114" s="5">
        <v>2.31</v>
      </c>
      <c r="R114" s="10"/>
      <c r="T114">
        <v>0.85699581999999996</v>
      </c>
      <c r="U114">
        <v>1.1649347999999999</v>
      </c>
      <c r="V114" s="1">
        <f t="shared" si="8"/>
        <v>2.02193062</v>
      </c>
      <c r="W114" s="17">
        <v>4.79</v>
      </c>
      <c r="X114" s="5">
        <v>2.31</v>
      </c>
    </row>
    <row r="115" spans="1:24" ht="15" x14ac:dyDescent="0.25">
      <c r="B115" s="68"/>
      <c r="C115" s="38"/>
      <c r="D115" s="20"/>
      <c r="E115" s="20"/>
      <c r="F115" s="20"/>
      <c r="G115" s="38">
        <f t="shared" si="9"/>
        <v>1.0028000000000001</v>
      </c>
      <c r="H115" s="33">
        <f t="shared" si="6"/>
        <v>0.11800005999999999</v>
      </c>
      <c r="I115" s="20"/>
      <c r="J115" s="20"/>
      <c r="K115" s="20">
        <f t="shared" si="10"/>
        <v>0.61280000000000001</v>
      </c>
      <c r="L115" s="308"/>
      <c r="M115" s="38">
        <v>1.03</v>
      </c>
      <c r="N115" s="21">
        <v>0.11800006</v>
      </c>
      <c r="O115" s="20"/>
      <c r="P115" s="20"/>
      <c r="Q115" s="20">
        <v>0.64</v>
      </c>
      <c r="R115" s="308"/>
      <c r="T115">
        <v>5.3002469000000003E-2</v>
      </c>
      <c r="U115">
        <v>6.4997590999999993E-2</v>
      </c>
      <c r="V115" s="1">
        <f t="shared" si="8"/>
        <v>0.11800005999999999</v>
      </c>
      <c r="W115" s="38">
        <v>1.03</v>
      </c>
      <c r="X115" s="20">
        <v>0.64</v>
      </c>
    </row>
    <row r="116" spans="1:24" ht="15" x14ac:dyDescent="0.25">
      <c r="B116" s="31">
        <v>10</v>
      </c>
      <c r="C116" s="17"/>
      <c r="D116" s="5"/>
      <c r="E116" s="5"/>
      <c r="F116" s="5"/>
      <c r="G116" s="17">
        <f t="shared" si="9"/>
        <v>3.9327999999999999</v>
      </c>
      <c r="H116" s="21">
        <f>V116</f>
        <v>1.8666017159999999</v>
      </c>
      <c r="I116" s="23" t="s">
        <v>46</v>
      </c>
      <c r="J116" s="5"/>
      <c r="K116" s="5">
        <f t="shared" si="10"/>
        <v>1.3528</v>
      </c>
      <c r="L116" s="10"/>
      <c r="M116" s="17">
        <v>3.96</v>
      </c>
      <c r="N116" s="378">
        <v>1.7941191000000001</v>
      </c>
      <c r="O116" s="23" t="s">
        <v>46</v>
      </c>
      <c r="P116" s="5"/>
      <c r="Q116" s="5">
        <v>1.38</v>
      </c>
      <c r="R116" s="10"/>
      <c r="T116">
        <v>1.3380164560000001</v>
      </c>
      <c r="U116">
        <v>0.52858525999999995</v>
      </c>
      <c r="V116" s="1">
        <f>U116+T116</f>
        <v>1.8666017159999999</v>
      </c>
      <c r="W116" s="17">
        <v>3.96</v>
      </c>
      <c r="X116" s="5">
        <v>1.38</v>
      </c>
    </row>
    <row r="117" spans="1:24" ht="15" x14ac:dyDescent="0.25">
      <c r="B117" s="68"/>
      <c r="C117" s="38"/>
      <c r="D117" s="20"/>
      <c r="E117" s="20"/>
      <c r="F117" s="20"/>
      <c r="G117" s="38">
        <f t="shared" si="9"/>
        <v>0.46279999999999999</v>
      </c>
      <c r="H117" s="33">
        <f t="shared" si="6"/>
        <v>2.4054228599999998E-2</v>
      </c>
      <c r="I117" s="20"/>
      <c r="J117" s="20"/>
      <c r="K117" s="20">
        <f t="shared" si="10"/>
        <v>0.2828</v>
      </c>
      <c r="L117" s="308"/>
      <c r="M117" s="38">
        <v>0.49</v>
      </c>
      <c r="N117" s="21">
        <v>2.4054227000000001E-2</v>
      </c>
      <c r="O117" s="20"/>
      <c r="P117" s="20"/>
      <c r="Q117" s="20">
        <v>0.31</v>
      </c>
      <c r="R117" s="308"/>
      <c r="T117">
        <v>8.9563616000000006E-3</v>
      </c>
      <c r="U117">
        <v>1.5097866999999999E-2</v>
      </c>
      <c r="V117" s="1">
        <f t="shared" si="8"/>
        <v>2.4054228599999998E-2</v>
      </c>
      <c r="W117" s="38">
        <v>0.49</v>
      </c>
      <c r="X117" s="20">
        <v>0.31</v>
      </c>
    </row>
    <row r="118" spans="1:24" ht="15" x14ac:dyDescent="0.25">
      <c r="B118" s="31">
        <v>11</v>
      </c>
      <c r="C118" s="163"/>
      <c r="D118" s="24"/>
      <c r="E118" s="24"/>
      <c r="F118" s="24"/>
      <c r="G118" s="163">
        <f t="shared" si="9"/>
        <v>4.7328000000000001</v>
      </c>
      <c r="H118" s="21">
        <f t="shared" si="6"/>
        <v>2.7743928000000002</v>
      </c>
      <c r="I118" s="23" t="s">
        <v>46</v>
      </c>
      <c r="J118" s="5" t="s">
        <v>124</v>
      </c>
      <c r="K118" s="5">
        <f t="shared" si="10"/>
        <v>2.3028</v>
      </c>
      <c r="L118" s="10"/>
      <c r="M118" s="163">
        <v>4.76</v>
      </c>
      <c r="N118" s="32">
        <v>2.7743928000000002</v>
      </c>
      <c r="O118" s="23" t="s">
        <v>46</v>
      </c>
      <c r="P118" s="5" t="s">
        <v>124</v>
      </c>
      <c r="Q118" s="5">
        <v>2.33</v>
      </c>
      <c r="R118" s="10"/>
      <c r="T118">
        <v>1.1570339000000001</v>
      </c>
      <c r="U118">
        <v>1.6173588999999999</v>
      </c>
      <c r="V118" s="1">
        <f t="shared" si="8"/>
        <v>2.7743928000000002</v>
      </c>
      <c r="W118" s="163">
        <v>4.76</v>
      </c>
      <c r="X118" s="5">
        <v>2.33</v>
      </c>
    </row>
    <row r="119" spans="1:24" ht="15" x14ac:dyDescent="0.25">
      <c r="B119" s="68"/>
      <c r="C119" s="38"/>
      <c r="D119" s="20"/>
      <c r="E119" s="20"/>
      <c r="F119" s="20"/>
      <c r="G119" s="38">
        <f t="shared" si="9"/>
        <v>1.3928</v>
      </c>
      <c r="H119" s="33">
        <f t="shared" si="6"/>
        <v>0.322461</v>
      </c>
      <c r="I119" s="20"/>
      <c r="J119" s="20"/>
      <c r="K119" s="20">
        <f t="shared" si="10"/>
        <v>0.75280000000000002</v>
      </c>
      <c r="L119" s="308"/>
      <c r="M119" s="38">
        <v>1.42</v>
      </c>
      <c r="N119" s="21">
        <v>0.32246100999999999</v>
      </c>
      <c r="O119" s="20"/>
      <c r="P119" s="20"/>
      <c r="Q119" s="20">
        <v>0.78</v>
      </c>
      <c r="R119" s="308"/>
      <c r="T119">
        <v>0.14989110999999999</v>
      </c>
      <c r="U119">
        <v>0.17256989</v>
      </c>
      <c r="V119" s="1">
        <f t="shared" si="8"/>
        <v>0.322461</v>
      </c>
      <c r="W119" s="38">
        <v>1.42</v>
      </c>
      <c r="X119" s="20">
        <v>0.78</v>
      </c>
    </row>
    <row r="120" spans="1:24" ht="15" x14ac:dyDescent="0.25">
      <c r="B120" s="31">
        <v>12</v>
      </c>
      <c r="C120" s="17"/>
      <c r="D120" s="5"/>
      <c r="E120" s="5"/>
      <c r="F120" s="5"/>
      <c r="G120" s="17">
        <f t="shared" si="9"/>
        <v>4.5628000000000002</v>
      </c>
      <c r="H120" s="21">
        <f t="shared" si="6"/>
        <v>2.35849792</v>
      </c>
      <c r="I120" s="23" t="s">
        <v>46</v>
      </c>
      <c r="J120" s="5"/>
      <c r="K120" s="5">
        <f t="shared" si="10"/>
        <v>1.5628000000000002</v>
      </c>
      <c r="L120" s="10"/>
      <c r="M120" s="17">
        <v>4.59</v>
      </c>
      <c r="N120" s="32">
        <v>2.3584979000000001</v>
      </c>
      <c r="O120" s="23" t="s">
        <v>46</v>
      </c>
      <c r="P120" s="5"/>
      <c r="Q120" s="5">
        <v>1.59</v>
      </c>
      <c r="R120" s="10"/>
      <c r="T120">
        <v>1.4142735</v>
      </c>
      <c r="U120">
        <v>0.94422441999999995</v>
      </c>
      <c r="V120" s="1">
        <f t="shared" si="8"/>
        <v>2.35849792</v>
      </c>
      <c r="W120" s="17">
        <v>4.59</v>
      </c>
      <c r="X120" s="5">
        <v>1.59</v>
      </c>
    </row>
    <row r="121" spans="1:24" ht="15" x14ac:dyDescent="0.25">
      <c r="B121" s="68"/>
      <c r="C121" s="38"/>
      <c r="D121" s="20"/>
      <c r="E121" s="20"/>
      <c r="F121" s="20"/>
      <c r="G121" s="38">
        <f t="shared" si="9"/>
        <v>0.36280000000000001</v>
      </c>
      <c r="H121" s="33">
        <f t="shared" si="6"/>
        <v>1.52578014E-2</v>
      </c>
      <c r="I121" s="20"/>
      <c r="J121" s="20"/>
      <c r="K121" s="20">
        <f t="shared" si="10"/>
        <v>0.20280000000000001</v>
      </c>
      <c r="L121" s="308"/>
      <c r="M121" s="38">
        <v>0.39</v>
      </c>
      <c r="N121" s="21">
        <v>1.5257802000000001E-2</v>
      </c>
      <c r="O121" s="20"/>
      <c r="P121" s="20"/>
      <c r="Q121" s="20">
        <v>0.23</v>
      </c>
      <c r="R121" s="308"/>
      <c r="T121">
        <v>7.6448940999999998E-3</v>
      </c>
      <c r="U121">
        <v>7.6129073E-3</v>
      </c>
      <c r="V121" s="1">
        <f t="shared" si="8"/>
        <v>1.52578014E-2</v>
      </c>
      <c r="W121" s="38">
        <v>0.39</v>
      </c>
      <c r="X121" s="20">
        <v>0.23</v>
      </c>
    </row>
    <row r="122" spans="1:24" ht="15" x14ac:dyDescent="0.25">
      <c r="B122" s="67">
        <v>13</v>
      </c>
      <c r="C122" s="163"/>
      <c r="D122" s="24"/>
      <c r="E122" s="24"/>
      <c r="F122" s="24"/>
      <c r="G122" s="163">
        <f t="shared" si="9"/>
        <v>3.8828</v>
      </c>
      <c r="H122" s="21">
        <f t="shared" si="6"/>
        <v>1.67794234</v>
      </c>
      <c r="I122" s="23" t="s">
        <v>46</v>
      </c>
      <c r="J122" s="5" t="s">
        <v>125</v>
      </c>
      <c r="K122" s="5">
        <f t="shared" si="10"/>
        <v>2.0528</v>
      </c>
      <c r="L122" s="10"/>
      <c r="M122" s="163">
        <v>3.91</v>
      </c>
      <c r="N122" s="32">
        <v>1.6779423</v>
      </c>
      <c r="O122" s="23" t="s">
        <v>46</v>
      </c>
      <c r="P122" s="5" t="s">
        <v>125</v>
      </c>
      <c r="Q122" s="5">
        <v>2.08</v>
      </c>
      <c r="R122" s="10"/>
      <c r="T122">
        <v>0.45204033999999998</v>
      </c>
      <c r="U122">
        <v>1.225902</v>
      </c>
      <c r="V122" s="1">
        <f t="shared" si="8"/>
        <v>1.67794234</v>
      </c>
      <c r="W122" s="163">
        <v>3.91</v>
      </c>
      <c r="X122" s="5">
        <v>2.08</v>
      </c>
    </row>
    <row r="123" spans="1:24" ht="15" x14ac:dyDescent="0.25">
      <c r="A123" s="5"/>
      <c r="B123" s="68"/>
      <c r="C123" s="38"/>
      <c r="D123" s="20"/>
      <c r="E123" s="20"/>
      <c r="F123" s="20"/>
      <c r="G123" s="38">
        <f t="shared" si="9"/>
        <v>0.7228</v>
      </c>
      <c r="H123" s="33">
        <f t="shared" si="6"/>
        <v>0.11176259399999999</v>
      </c>
      <c r="I123" s="20"/>
      <c r="J123" s="20"/>
      <c r="K123" s="20">
        <f t="shared" si="10"/>
        <v>0.45279999999999998</v>
      </c>
      <c r="L123" s="308"/>
      <c r="M123" s="38">
        <v>0.75</v>
      </c>
      <c r="N123" s="21">
        <v>0.1117626</v>
      </c>
      <c r="O123" s="20"/>
      <c r="P123" s="20"/>
      <c r="Q123" s="20">
        <v>0.48</v>
      </c>
      <c r="R123" s="308"/>
      <c r="T123">
        <v>4.0783431000000002E-2</v>
      </c>
      <c r="U123">
        <v>7.0979162999999998E-2</v>
      </c>
      <c r="V123" s="1">
        <f t="shared" si="8"/>
        <v>0.11176259399999999</v>
      </c>
      <c r="W123" s="38">
        <v>0.75</v>
      </c>
      <c r="X123" s="20">
        <v>0.48</v>
      </c>
    </row>
    <row r="124" spans="1:24" ht="15" x14ac:dyDescent="0.25">
      <c r="A124" s="27"/>
      <c r="B124" s="27">
        <v>14</v>
      </c>
      <c r="C124" s="163"/>
      <c r="D124" s="24"/>
      <c r="E124" s="24"/>
      <c r="F124" s="24"/>
      <c r="G124" s="163">
        <f t="shared" si="9"/>
        <v>3.2227999999999999</v>
      </c>
      <c r="H124" s="21">
        <f t="shared" si="6"/>
        <v>1.0811288100000001</v>
      </c>
      <c r="I124" s="23" t="s">
        <v>46</v>
      </c>
      <c r="J124" s="5" t="s">
        <v>126</v>
      </c>
      <c r="K124" s="5">
        <f t="shared" si="10"/>
        <v>1.3528</v>
      </c>
      <c r="L124" s="10"/>
      <c r="M124" s="163">
        <v>3.25</v>
      </c>
      <c r="N124" s="32">
        <v>1.0811287999999999</v>
      </c>
      <c r="O124" s="23" t="s">
        <v>46</v>
      </c>
      <c r="P124" s="5" t="s">
        <v>126</v>
      </c>
      <c r="Q124" s="5">
        <v>1.38</v>
      </c>
      <c r="R124" s="10"/>
      <c r="T124">
        <v>0.47436729</v>
      </c>
      <c r="U124">
        <v>0.60676152000000005</v>
      </c>
      <c r="V124" s="1">
        <f t="shared" si="8"/>
        <v>1.0811288100000001</v>
      </c>
      <c r="W124" s="163">
        <v>3.25</v>
      </c>
      <c r="X124" s="5">
        <v>1.38</v>
      </c>
    </row>
    <row r="125" spans="1:24" ht="15" x14ac:dyDescent="0.25">
      <c r="B125" s="67">
        <v>15</v>
      </c>
      <c r="C125" s="30"/>
      <c r="D125" s="23"/>
      <c r="E125" s="23"/>
      <c r="F125" s="23"/>
      <c r="G125" s="30">
        <f t="shared" si="9"/>
        <v>2.8727999999999998</v>
      </c>
      <c r="H125" s="32">
        <f t="shared" si="6"/>
        <v>0.76285809999999998</v>
      </c>
      <c r="I125" s="23" t="s">
        <v>46</v>
      </c>
      <c r="J125" s="23"/>
      <c r="K125" s="23">
        <f t="shared" si="10"/>
        <v>1.7528000000000001</v>
      </c>
      <c r="L125" s="306"/>
      <c r="M125" s="30">
        <v>2.9</v>
      </c>
      <c r="N125" s="32">
        <v>0.76285809000000004</v>
      </c>
      <c r="O125" s="23" t="s">
        <v>46</v>
      </c>
      <c r="P125" s="23"/>
      <c r="Q125" s="23">
        <v>1.78</v>
      </c>
      <c r="R125" s="306"/>
      <c r="T125">
        <v>0.18971492000000001</v>
      </c>
      <c r="U125">
        <v>0.57314317999999997</v>
      </c>
      <c r="V125" s="1">
        <f t="shared" si="8"/>
        <v>0.76285809999999998</v>
      </c>
      <c r="W125" s="30">
        <v>2.9</v>
      </c>
      <c r="X125" s="23">
        <v>1.78</v>
      </c>
    </row>
    <row r="126" spans="1:24" ht="15" x14ac:dyDescent="0.25">
      <c r="B126" s="27"/>
      <c r="C126" s="38"/>
      <c r="D126" s="20"/>
      <c r="E126" s="20"/>
      <c r="F126" s="20"/>
      <c r="G126" s="38">
        <f t="shared" si="9"/>
        <v>0.33279999999999998</v>
      </c>
      <c r="H126" s="33">
        <f t="shared" si="6"/>
        <v>1.19631397E-2</v>
      </c>
      <c r="I126" s="20"/>
      <c r="J126" s="20"/>
      <c r="K126" s="161">
        <f t="shared" si="10"/>
        <v>0.33279999999999998</v>
      </c>
      <c r="L126" s="308"/>
      <c r="M126" s="38">
        <v>0.36</v>
      </c>
      <c r="N126" s="21">
        <v>1.1963140000000001E-2</v>
      </c>
      <c r="O126" s="20"/>
      <c r="P126" s="20"/>
      <c r="Q126" s="161">
        <v>0.36</v>
      </c>
      <c r="R126" s="308"/>
      <c r="T126">
        <v>5.6297127000000001E-3</v>
      </c>
      <c r="U126">
        <v>6.333427E-3</v>
      </c>
      <c r="V126" s="1">
        <f t="shared" si="8"/>
        <v>1.19631397E-2</v>
      </c>
      <c r="W126" s="38">
        <v>0.36</v>
      </c>
      <c r="X126" s="161">
        <v>0.36</v>
      </c>
    </row>
    <row r="127" spans="1:24" ht="15" x14ac:dyDescent="0.25">
      <c r="B127" s="67">
        <v>16</v>
      </c>
      <c r="C127" s="30"/>
      <c r="G127" s="17">
        <f t="shared" si="9"/>
        <v>1.1528</v>
      </c>
      <c r="H127" s="21">
        <f t="shared" si="6"/>
        <v>0.13437740300000001</v>
      </c>
      <c r="I127" s="23" t="s">
        <v>46</v>
      </c>
      <c r="J127" s="5"/>
      <c r="K127" s="5">
        <f t="shared" si="10"/>
        <v>0.68279999999999996</v>
      </c>
      <c r="L127" s="10"/>
      <c r="M127" s="17">
        <v>1.18</v>
      </c>
      <c r="N127" s="164">
        <v>0.13437741</v>
      </c>
      <c r="O127" s="23" t="s">
        <v>46</v>
      </c>
      <c r="P127" s="5"/>
      <c r="Q127" s="5">
        <v>0.71</v>
      </c>
      <c r="R127" s="10"/>
      <c r="T127">
        <v>2.3254553000000001E-2</v>
      </c>
      <c r="U127">
        <v>0.11112285</v>
      </c>
      <c r="V127" s="1">
        <f t="shared" si="8"/>
        <v>0.13437740300000001</v>
      </c>
      <c r="W127" s="17">
        <v>1.18</v>
      </c>
      <c r="X127" s="5">
        <v>0.71</v>
      </c>
    </row>
    <row r="128" spans="1:24" ht="15" x14ac:dyDescent="0.25">
      <c r="A128" s="23" t="s">
        <v>79</v>
      </c>
      <c r="B128" s="23">
        <v>1</v>
      </c>
      <c r="C128" s="30"/>
      <c r="D128" s="23"/>
      <c r="E128" s="23"/>
      <c r="F128" s="23"/>
      <c r="G128" s="30">
        <f t="shared" si="9"/>
        <v>5.1628000000000007</v>
      </c>
      <c r="H128" s="32">
        <f t="shared" si="6"/>
        <v>2.3972341999999998</v>
      </c>
      <c r="I128" s="23"/>
      <c r="J128" s="23"/>
      <c r="K128" s="23">
        <f t="shared" si="10"/>
        <v>2.1427999999999998</v>
      </c>
      <c r="L128" s="306"/>
      <c r="M128" s="30">
        <v>5.19</v>
      </c>
      <c r="N128" s="32">
        <v>2.3972342000000002</v>
      </c>
      <c r="O128" s="23"/>
      <c r="P128" s="23"/>
      <c r="Q128" s="23">
        <v>2.17</v>
      </c>
      <c r="R128" s="306"/>
      <c r="T128">
        <v>1.3832141</v>
      </c>
      <c r="U128">
        <v>1.0140201</v>
      </c>
      <c r="V128" s="1">
        <f t="shared" si="8"/>
        <v>2.3972341999999998</v>
      </c>
      <c r="W128" s="30">
        <v>5.19</v>
      </c>
      <c r="X128" s="23">
        <v>2.17</v>
      </c>
    </row>
    <row r="129" spans="1:24" ht="15" x14ac:dyDescent="0.25">
      <c r="A129" s="1" t="s">
        <v>3</v>
      </c>
      <c r="B129" s="68"/>
      <c r="C129" s="38"/>
      <c r="D129" s="20"/>
      <c r="E129" s="20"/>
      <c r="F129" s="20"/>
      <c r="G129" s="38">
        <f t="shared" si="9"/>
        <v>1.4828000000000001</v>
      </c>
      <c r="H129" s="33">
        <f t="shared" si="6"/>
        <v>0.22832324900000001</v>
      </c>
      <c r="I129" s="20"/>
      <c r="J129" s="20"/>
      <c r="K129" s="20">
        <f t="shared" si="10"/>
        <v>0.66279999999999994</v>
      </c>
      <c r="L129" s="308"/>
      <c r="M129" s="38">
        <v>1.51</v>
      </c>
      <c r="N129" s="21">
        <v>0.22832324000000001</v>
      </c>
      <c r="O129" s="20"/>
      <c r="P129" s="20"/>
      <c r="Q129" s="20">
        <v>0.69</v>
      </c>
      <c r="R129" s="308"/>
      <c r="T129">
        <v>0.14710824</v>
      </c>
      <c r="U129">
        <v>8.1215009000000005E-2</v>
      </c>
      <c r="V129" s="1">
        <f t="shared" si="8"/>
        <v>0.22832324900000001</v>
      </c>
      <c r="W129" s="38">
        <v>1.51</v>
      </c>
      <c r="X129" s="20">
        <v>0.69</v>
      </c>
    </row>
    <row r="130" spans="1:24" ht="15" x14ac:dyDescent="0.25">
      <c r="A130" s="27" t="s">
        <v>42</v>
      </c>
      <c r="B130" s="23">
        <v>2</v>
      </c>
      <c r="C130" s="163"/>
      <c r="D130" s="24"/>
      <c r="E130" s="24"/>
      <c r="F130" s="24"/>
      <c r="G130" s="163">
        <f t="shared" si="9"/>
        <v>2.1728000000000001</v>
      </c>
      <c r="H130" s="21">
        <f t="shared" si="6"/>
        <v>0.68087538999999997</v>
      </c>
      <c r="I130" s="23" t="s">
        <v>46</v>
      </c>
      <c r="J130" s="5" t="s">
        <v>127</v>
      </c>
      <c r="K130" s="5">
        <f t="shared" si="10"/>
        <v>1.6228</v>
      </c>
      <c r="L130" s="10"/>
      <c r="M130" s="163">
        <v>2.2000000000000002</v>
      </c>
      <c r="N130" s="32">
        <v>0.68087536000000004</v>
      </c>
      <c r="O130" s="23" t="s">
        <v>46</v>
      </c>
      <c r="P130" s="5" t="s">
        <v>127</v>
      </c>
      <c r="Q130" s="5">
        <v>1.65</v>
      </c>
      <c r="R130" s="10"/>
      <c r="T130">
        <v>0.13504912999999999</v>
      </c>
      <c r="U130">
        <v>0.54582626000000001</v>
      </c>
      <c r="V130" s="1">
        <f t="shared" si="8"/>
        <v>0.68087538999999997</v>
      </c>
      <c r="W130" s="163">
        <v>2.2000000000000002</v>
      </c>
      <c r="X130" s="5">
        <v>1.65</v>
      </c>
    </row>
    <row r="131" spans="1:24" ht="15" x14ac:dyDescent="0.25">
      <c r="A131" s="1" t="s">
        <v>45</v>
      </c>
      <c r="B131" s="20"/>
      <c r="C131" s="38"/>
      <c r="D131" s="20"/>
      <c r="E131" s="20"/>
      <c r="F131" s="20"/>
      <c r="G131" s="38">
        <f t="shared" si="9"/>
        <v>2.0728</v>
      </c>
      <c r="H131" s="33">
        <f t="shared" si="6"/>
        <v>0.46800185999999999</v>
      </c>
      <c r="I131" s="20"/>
      <c r="J131" s="20"/>
      <c r="K131" s="20">
        <f t="shared" si="10"/>
        <v>0.82279999999999998</v>
      </c>
      <c r="L131" s="308"/>
      <c r="M131" s="38">
        <v>2.1</v>
      </c>
      <c r="N131" s="21">
        <v>0.46800186999999999</v>
      </c>
      <c r="O131" s="20"/>
      <c r="P131" s="20"/>
      <c r="Q131" s="20">
        <v>0.85</v>
      </c>
      <c r="R131" s="308"/>
      <c r="T131">
        <v>0.25861493000000002</v>
      </c>
      <c r="U131">
        <v>0.20938693</v>
      </c>
      <c r="V131" s="1">
        <f t="shared" si="8"/>
        <v>0.46800185999999999</v>
      </c>
      <c r="W131" s="38">
        <v>2.1</v>
      </c>
      <c r="X131" s="20">
        <v>0.85</v>
      </c>
    </row>
    <row r="132" spans="1:24" ht="15" x14ac:dyDescent="0.25">
      <c r="B132" s="5">
        <v>3</v>
      </c>
      <c r="C132" s="17"/>
      <c r="D132" s="5"/>
      <c r="E132" s="5"/>
      <c r="F132" s="5"/>
      <c r="G132" s="17">
        <f t="shared" si="9"/>
        <v>4.4428000000000001</v>
      </c>
      <c r="H132" s="21">
        <f t="shared" ref="H132:H167" si="11">V132</f>
        <v>1.2881166899999998</v>
      </c>
      <c r="I132" s="23" t="s">
        <v>46</v>
      </c>
      <c r="J132" s="5"/>
      <c r="K132" s="5">
        <f t="shared" si="10"/>
        <v>1.8428000000000002</v>
      </c>
      <c r="L132" s="10"/>
      <c r="M132" s="17">
        <v>4.47</v>
      </c>
      <c r="N132" s="32">
        <v>1.2881167</v>
      </c>
      <c r="O132" s="23" t="s">
        <v>46</v>
      </c>
      <c r="P132" s="5"/>
      <c r="Q132" s="5">
        <v>1.87</v>
      </c>
      <c r="R132" s="10"/>
      <c r="T132">
        <v>0.68266665999999998</v>
      </c>
      <c r="U132">
        <v>0.60545002999999997</v>
      </c>
      <c r="V132" s="1">
        <f t="shared" ref="V132:V167" si="12">U132+T132</f>
        <v>1.2881166899999998</v>
      </c>
      <c r="W132" s="17">
        <v>4.47</v>
      </c>
      <c r="X132" s="5">
        <v>1.87</v>
      </c>
    </row>
    <row r="133" spans="1:24" ht="15" x14ac:dyDescent="0.25">
      <c r="B133" s="20"/>
      <c r="C133" s="38"/>
      <c r="D133" s="20"/>
      <c r="E133" s="20"/>
      <c r="F133" s="20"/>
      <c r="G133" s="38">
        <f t="shared" si="9"/>
        <v>1.0928000000000002</v>
      </c>
      <c r="H133" s="33">
        <f t="shared" si="11"/>
        <v>9.1738726999999992E-2</v>
      </c>
      <c r="I133" s="20"/>
      <c r="J133" s="20"/>
      <c r="K133" s="20">
        <f t="shared" si="10"/>
        <v>0.54279999999999995</v>
      </c>
      <c r="L133" s="308"/>
      <c r="M133" s="38">
        <v>1.1200000000000001</v>
      </c>
      <c r="N133" s="21">
        <v>9.1738731000000004E-2</v>
      </c>
      <c r="O133" s="20"/>
      <c r="P133" s="20"/>
      <c r="Q133" s="20">
        <v>0.56999999999999995</v>
      </c>
      <c r="R133" s="308"/>
      <c r="T133">
        <v>4.8556271999999998E-2</v>
      </c>
      <c r="U133">
        <v>4.3182455000000002E-2</v>
      </c>
      <c r="V133" s="1">
        <f t="shared" si="12"/>
        <v>9.1738726999999992E-2</v>
      </c>
      <c r="W133" s="38">
        <v>1.1200000000000001</v>
      </c>
      <c r="X133" s="20">
        <v>0.56999999999999995</v>
      </c>
    </row>
    <row r="134" spans="1:24" ht="15" x14ac:dyDescent="0.25">
      <c r="B134" s="5">
        <v>4</v>
      </c>
      <c r="C134" s="17"/>
      <c r="D134" s="5"/>
      <c r="E134" s="5"/>
      <c r="F134" s="5"/>
      <c r="G134" s="17">
        <f t="shared" si="9"/>
        <v>3.7527999999999997</v>
      </c>
      <c r="H134" s="21">
        <f t="shared" si="11"/>
        <v>1.1276698700000001</v>
      </c>
      <c r="I134" s="23" t="s">
        <v>46</v>
      </c>
      <c r="J134" s="5"/>
      <c r="K134" s="5">
        <f t="shared" si="10"/>
        <v>1.2328000000000001</v>
      </c>
      <c r="L134" s="10"/>
      <c r="M134" s="17">
        <v>3.78</v>
      </c>
      <c r="N134" s="32">
        <v>1.1276698999999999</v>
      </c>
      <c r="O134" s="23" t="s">
        <v>46</v>
      </c>
      <c r="P134" s="5"/>
      <c r="Q134" s="5">
        <v>1.26</v>
      </c>
      <c r="R134" s="10"/>
      <c r="T134">
        <v>0.78505707000000002</v>
      </c>
      <c r="U134">
        <v>0.3426128</v>
      </c>
      <c r="V134" s="1">
        <f t="shared" si="12"/>
        <v>1.1276698700000001</v>
      </c>
      <c r="W134" s="17">
        <v>3.78</v>
      </c>
      <c r="X134" s="5">
        <v>1.26</v>
      </c>
    </row>
    <row r="135" spans="1:24" ht="15" x14ac:dyDescent="0.25">
      <c r="B135" s="20"/>
      <c r="C135" s="74"/>
      <c r="D135" s="75"/>
      <c r="E135" s="75"/>
      <c r="F135" s="75"/>
      <c r="G135" s="74">
        <f t="shared" si="9"/>
        <v>0.36280000000000001</v>
      </c>
      <c r="H135" s="33">
        <f t="shared" si="11"/>
        <v>1.10035297E-2</v>
      </c>
      <c r="I135" s="20"/>
      <c r="J135" s="20" t="s">
        <v>128</v>
      </c>
      <c r="K135" s="20">
        <f t="shared" si="10"/>
        <v>0.1928</v>
      </c>
      <c r="L135" s="308"/>
      <c r="M135" s="74">
        <v>0.39</v>
      </c>
      <c r="N135" s="21">
        <v>1.1003529999999999E-2</v>
      </c>
      <c r="O135" s="20"/>
      <c r="P135" s="20" t="s">
        <v>128</v>
      </c>
      <c r="Q135" s="20">
        <v>0.22</v>
      </c>
      <c r="R135" s="308"/>
      <c r="T135">
        <v>6.3654137999999997E-3</v>
      </c>
      <c r="U135">
        <v>4.6381158999999998E-3</v>
      </c>
      <c r="V135" s="1">
        <f t="shared" si="12"/>
        <v>1.10035297E-2</v>
      </c>
      <c r="W135" s="74">
        <v>0.39</v>
      </c>
      <c r="X135" s="20">
        <v>0.22</v>
      </c>
    </row>
    <row r="136" spans="1:24" ht="15" x14ac:dyDescent="0.25">
      <c r="B136" s="5">
        <v>5</v>
      </c>
      <c r="C136" s="17"/>
      <c r="D136" s="5"/>
      <c r="E136" s="5"/>
      <c r="F136" s="5"/>
      <c r="G136" s="17">
        <f t="shared" si="9"/>
        <v>4.1828000000000003</v>
      </c>
      <c r="H136" s="21">
        <f t="shared" si="11"/>
        <v>1.1082217399999998</v>
      </c>
      <c r="I136" s="23" t="s">
        <v>46</v>
      </c>
      <c r="J136" s="5"/>
      <c r="K136" s="5">
        <f t="shared" si="10"/>
        <v>1.5728000000000002</v>
      </c>
      <c r="L136" s="10"/>
      <c r="M136" s="17">
        <v>4.21</v>
      </c>
      <c r="N136" s="32">
        <v>1.1082217999999999</v>
      </c>
      <c r="O136" s="23" t="s">
        <v>46</v>
      </c>
      <c r="P136" s="5"/>
      <c r="Q136" s="5">
        <v>1.6</v>
      </c>
      <c r="R136" s="10"/>
      <c r="T136">
        <v>0.63286286999999997</v>
      </c>
      <c r="U136">
        <v>0.47535886999999999</v>
      </c>
      <c r="V136" s="1">
        <f t="shared" si="12"/>
        <v>1.1082217399999998</v>
      </c>
      <c r="W136" s="17">
        <v>4.21</v>
      </c>
      <c r="X136" s="5">
        <v>1.6</v>
      </c>
    </row>
    <row r="137" spans="1:24" ht="15" x14ac:dyDescent="0.25">
      <c r="B137" s="20"/>
      <c r="C137" s="38"/>
      <c r="D137" s="20"/>
      <c r="E137" s="20"/>
      <c r="F137" s="20"/>
      <c r="G137" s="38">
        <f t="shared" si="9"/>
        <v>0.63280000000000003</v>
      </c>
      <c r="H137" s="33">
        <f t="shared" si="11"/>
        <v>4.5037703999999998E-2</v>
      </c>
      <c r="I137" s="20"/>
      <c r="J137" s="20"/>
      <c r="K137" s="20">
        <f t="shared" si="10"/>
        <v>0.32279999999999998</v>
      </c>
      <c r="L137" s="308"/>
      <c r="M137" s="38">
        <v>0.66</v>
      </c>
      <c r="N137" s="21">
        <v>4.5037701999999999E-2</v>
      </c>
      <c r="O137" s="20"/>
      <c r="P137" s="20"/>
      <c r="Q137" s="20">
        <v>0.35</v>
      </c>
      <c r="R137" s="308"/>
      <c r="T137">
        <v>2.4949863999999999E-2</v>
      </c>
      <c r="U137">
        <v>2.0087839999999999E-2</v>
      </c>
      <c r="V137" s="1">
        <f t="shared" si="12"/>
        <v>4.5037703999999998E-2</v>
      </c>
      <c r="W137" s="38">
        <v>0.66</v>
      </c>
      <c r="X137" s="20">
        <v>0.35</v>
      </c>
    </row>
    <row r="138" spans="1:24" ht="15" x14ac:dyDescent="0.25">
      <c r="B138" s="5">
        <v>6</v>
      </c>
      <c r="C138" s="17"/>
      <c r="D138" s="5"/>
      <c r="E138" s="5"/>
      <c r="F138" s="5"/>
      <c r="G138" s="17">
        <f t="shared" si="9"/>
        <v>3.2427999999999999</v>
      </c>
      <c r="H138" s="21">
        <f t="shared" si="11"/>
        <v>0.77968325000000005</v>
      </c>
      <c r="I138" s="23" t="s">
        <v>46</v>
      </c>
      <c r="J138" s="5"/>
      <c r="K138" s="5">
        <f t="shared" si="10"/>
        <v>1.9228000000000001</v>
      </c>
      <c r="L138" s="10"/>
      <c r="M138" s="17">
        <v>3.27</v>
      </c>
      <c r="N138" s="32">
        <v>0.77968322999999995</v>
      </c>
      <c r="O138" s="23" t="s">
        <v>46</v>
      </c>
      <c r="P138" s="5"/>
      <c r="Q138" s="5">
        <v>1.95</v>
      </c>
      <c r="R138" s="10"/>
      <c r="T138">
        <v>0.22538043999999999</v>
      </c>
      <c r="U138">
        <v>0.55430281000000003</v>
      </c>
      <c r="V138" s="1">
        <f t="shared" si="12"/>
        <v>0.77968325000000005</v>
      </c>
      <c r="W138" s="17">
        <v>3.27</v>
      </c>
      <c r="X138" s="5">
        <v>1.95</v>
      </c>
    </row>
    <row r="139" spans="1:24" ht="15" x14ac:dyDescent="0.25">
      <c r="B139" s="20"/>
      <c r="C139" s="38"/>
      <c r="D139" s="20"/>
      <c r="E139" s="20"/>
      <c r="F139" s="20"/>
      <c r="G139" s="38">
        <f t="shared" si="9"/>
        <v>0.95279999999999998</v>
      </c>
      <c r="H139" s="33">
        <f t="shared" si="11"/>
        <v>0.12743622800000001</v>
      </c>
      <c r="I139" s="20"/>
      <c r="J139" s="20"/>
      <c r="K139" s="20">
        <f t="shared" si="10"/>
        <v>0.56279999999999997</v>
      </c>
      <c r="L139" s="308"/>
      <c r="M139" s="38">
        <v>0.98</v>
      </c>
      <c r="N139" s="21">
        <v>0.12743624000000001</v>
      </c>
      <c r="O139" s="20"/>
      <c r="P139" s="20"/>
      <c r="Q139" s="20">
        <v>0.59</v>
      </c>
      <c r="R139" s="308"/>
      <c r="T139">
        <v>7.8528099000000004E-2</v>
      </c>
      <c r="U139">
        <v>4.8908129000000002E-2</v>
      </c>
      <c r="V139" s="1">
        <f t="shared" si="12"/>
        <v>0.12743622800000001</v>
      </c>
      <c r="W139" s="38">
        <v>0.98</v>
      </c>
      <c r="X139" s="20">
        <v>0.59</v>
      </c>
    </row>
    <row r="140" spans="1:24" ht="15" x14ac:dyDescent="0.25">
      <c r="B140" s="5">
        <v>7</v>
      </c>
      <c r="C140" s="17"/>
      <c r="D140" s="5"/>
      <c r="E140" s="5"/>
      <c r="F140" s="5"/>
      <c r="G140" s="17">
        <f t="shared" si="9"/>
        <v>3.1928000000000001</v>
      </c>
      <c r="H140" s="21">
        <f t="shared" si="11"/>
        <v>0.56130795999999994</v>
      </c>
      <c r="I140" s="23" t="s">
        <v>46</v>
      </c>
      <c r="J140" s="5"/>
      <c r="K140" s="5">
        <f t="shared" si="10"/>
        <v>1.0828000000000002</v>
      </c>
      <c r="L140" s="10"/>
      <c r="M140" s="17">
        <v>3.22</v>
      </c>
      <c r="N140" s="32">
        <v>0.56130796999999999</v>
      </c>
      <c r="O140" s="23" t="s">
        <v>46</v>
      </c>
      <c r="P140" s="5"/>
      <c r="Q140" s="5">
        <v>1.1100000000000001</v>
      </c>
      <c r="R140" s="10"/>
      <c r="T140">
        <v>0.34718694999999999</v>
      </c>
      <c r="U140">
        <v>0.21412101</v>
      </c>
      <c r="V140" s="1">
        <f t="shared" si="12"/>
        <v>0.56130795999999994</v>
      </c>
      <c r="W140" s="17">
        <v>3.22</v>
      </c>
      <c r="X140" s="5">
        <v>1.1100000000000001</v>
      </c>
    </row>
    <row r="141" spans="1:24" ht="15" x14ac:dyDescent="0.25">
      <c r="A141" s="63"/>
      <c r="B141" s="20"/>
      <c r="C141" s="38"/>
      <c r="D141" s="20"/>
      <c r="E141" s="20"/>
      <c r="F141" s="20"/>
      <c r="G141" s="38">
        <f t="shared" si="9"/>
        <v>0.17280000000000001</v>
      </c>
      <c r="H141" s="33">
        <f t="shared" si="11"/>
        <v>2.2071034200000002E-3</v>
      </c>
      <c r="I141" s="20"/>
      <c r="J141" s="20"/>
      <c r="K141" s="161">
        <f t="shared" si="10"/>
        <v>0.17280000000000001</v>
      </c>
      <c r="L141" s="308"/>
      <c r="M141" s="38">
        <v>0.2</v>
      </c>
      <c r="N141" s="21">
        <v>2.2071033999999999E-3</v>
      </c>
      <c r="O141" s="20"/>
      <c r="P141" s="20"/>
      <c r="Q141" s="161">
        <v>0.2</v>
      </c>
      <c r="R141" s="308"/>
      <c r="T141">
        <v>1.5353763000000001E-3</v>
      </c>
      <c r="U141">
        <v>6.7172711999999996E-4</v>
      </c>
      <c r="V141" s="1">
        <f t="shared" si="12"/>
        <v>2.2071034200000002E-3</v>
      </c>
      <c r="W141" s="38">
        <v>0.2</v>
      </c>
      <c r="X141" s="161">
        <v>0.2</v>
      </c>
    </row>
    <row r="142" spans="1:24" ht="15" x14ac:dyDescent="0.25">
      <c r="A142" s="21"/>
      <c r="B142" s="5">
        <v>8</v>
      </c>
      <c r="C142" s="17"/>
      <c r="D142" s="5"/>
      <c r="E142" s="5"/>
      <c r="F142" s="5"/>
      <c r="G142" s="17">
        <f t="shared" si="9"/>
        <v>3.0427999999999997</v>
      </c>
      <c r="H142" s="21">
        <f t="shared" si="11"/>
        <v>0.50373135999999996</v>
      </c>
      <c r="I142" s="23" t="s">
        <v>46</v>
      </c>
      <c r="J142" s="5"/>
      <c r="K142" s="5">
        <f t="shared" si="10"/>
        <v>1.7028000000000001</v>
      </c>
      <c r="L142" s="10"/>
      <c r="M142" s="17">
        <v>3.07</v>
      </c>
      <c r="N142" s="32">
        <v>0.50373137000000001</v>
      </c>
      <c r="O142" s="23" t="s">
        <v>46</v>
      </c>
      <c r="P142" s="5"/>
      <c r="Q142" s="5">
        <v>1.73</v>
      </c>
      <c r="R142" s="10"/>
      <c r="T142">
        <v>0.12743624000000001</v>
      </c>
      <c r="U142">
        <v>0.37629511999999998</v>
      </c>
      <c r="V142" s="1">
        <f t="shared" si="12"/>
        <v>0.50373135999999996</v>
      </c>
      <c r="W142" s="17">
        <v>3.07</v>
      </c>
      <c r="X142" s="5">
        <v>1.73</v>
      </c>
    </row>
    <row r="143" spans="1:24" ht="15" x14ac:dyDescent="0.25">
      <c r="A143" s="21"/>
      <c r="B143" s="20"/>
      <c r="C143" s="74"/>
      <c r="D143" s="75"/>
      <c r="E143" s="75"/>
      <c r="F143" s="75"/>
      <c r="G143" s="74">
        <f t="shared" si="9"/>
        <v>0.95279999999999998</v>
      </c>
      <c r="H143" s="33">
        <f t="shared" si="11"/>
        <v>6.8132322999999995E-2</v>
      </c>
      <c r="I143" s="20"/>
      <c r="J143" s="20" t="s">
        <v>129</v>
      </c>
      <c r="K143" s="20">
        <f t="shared" si="10"/>
        <v>0.45279999999999998</v>
      </c>
      <c r="L143" s="308"/>
      <c r="M143" s="74">
        <v>0.98</v>
      </c>
      <c r="N143" s="21">
        <v>6.8132318999999997E-2</v>
      </c>
      <c r="O143" s="20"/>
      <c r="P143" s="20" t="s">
        <v>129</v>
      </c>
      <c r="Q143" s="20">
        <v>0.48</v>
      </c>
      <c r="R143" s="308"/>
      <c r="T143">
        <v>4.0399589E-2</v>
      </c>
      <c r="U143">
        <v>2.7732733999999998E-2</v>
      </c>
      <c r="V143" s="1">
        <f t="shared" si="12"/>
        <v>6.8132322999999995E-2</v>
      </c>
      <c r="W143" s="74">
        <v>0.98</v>
      </c>
      <c r="X143" s="20">
        <v>0.48</v>
      </c>
    </row>
    <row r="144" spans="1:24" ht="15" x14ac:dyDescent="0.25">
      <c r="A144" s="162"/>
      <c r="B144" s="5">
        <v>9</v>
      </c>
      <c r="C144" s="17"/>
      <c r="D144" s="5"/>
      <c r="E144" s="5"/>
      <c r="F144" s="5"/>
      <c r="G144" s="17">
        <f t="shared" si="9"/>
        <v>3.1027999999999998</v>
      </c>
      <c r="H144" s="21">
        <f t="shared" si="11"/>
        <v>0.47731009000000002</v>
      </c>
      <c r="I144" s="23" t="s">
        <v>46</v>
      </c>
      <c r="J144" s="5"/>
      <c r="K144" s="5">
        <f t="shared" si="10"/>
        <v>1.1128</v>
      </c>
      <c r="L144" s="10"/>
      <c r="M144" s="17">
        <v>3.13</v>
      </c>
      <c r="N144" s="32">
        <v>0.47731009000000002</v>
      </c>
      <c r="O144" s="23" t="s">
        <v>46</v>
      </c>
      <c r="P144" s="5"/>
      <c r="Q144" s="5">
        <v>1.1399999999999999</v>
      </c>
      <c r="R144" s="10"/>
      <c r="T144">
        <v>0.25503239</v>
      </c>
      <c r="U144">
        <v>0.22227769999999999</v>
      </c>
      <c r="V144" s="1">
        <f t="shared" si="12"/>
        <v>0.47731009000000002</v>
      </c>
      <c r="W144" s="17">
        <v>3.13</v>
      </c>
      <c r="X144" s="5">
        <v>1.1399999999999999</v>
      </c>
    </row>
    <row r="145" spans="1:24" ht="15" x14ac:dyDescent="0.25">
      <c r="A145" s="63"/>
      <c r="B145" s="21"/>
      <c r="C145" s="29"/>
      <c r="D145" s="33"/>
      <c r="E145" s="63"/>
      <c r="F145" s="21"/>
      <c r="G145" s="29">
        <f t="shared" si="9"/>
        <v>0.1628</v>
      </c>
      <c r="H145" s="33">
        <f t="shared" si="11"/>
        <v>2.2710774E-3</v>
      </c>
      <c r="I145" s="21"/>
      <c r="J145" s="21"/>
      <c r="K145" s="161">
        <f t="shared" si="10"/>
        <v>0.1628</v>
      </c>
      <c r="L145" s="309"/>
      <c r="M145" s="29">
        <v>0.19</v>
      </c>
      <c r="N145" s="21">
        <v>2.2710774E-3</v>
      </c>
      <c r="O145" s="21"/>
      <c r="P145" s="21"/>
      <c r="Q145" s="161">
        <v>0.19</v>
      </c>
      <c r="R145" s="309"/>
      <c r="T145">
        <v>1.1195452000000001E-3</v>
      </c>
      <c r="U145">
        <v>1.1515322000000001E-3</v>
      </c>
      <c r="V145" s="1">
        <f t="shared" si="12"/>
        <v>2.2710774E-3</v>
      </c>
      <c r="W145" s="29">
        <v>0.19</v>
      </c>
      <c r="X145" s="161">
        <v>0.19</v>
      </c>
    </row>
    <row r="146" spans="1:24" ht="15" x14ac:dyDescent="0.25">
      <c r="A146" s="63"/>
      <c r="B146" s="32">
        <v>10</v>
      </c>
      <c r="C146" s="163"/>
      <c r="D146" s="24"/>
      <c r="E146" s="24"/>
      <c r="F146" s="24"/>
      <c r="G146" s="163">
        <f t="shared" si="9"/>
        <v>3.1827999999999999</v>
      </c>
      <c r="H146" s="32">
        <f t="shared" si="11"/>
        <v>0.57957254999999996</v>
      </c>
      <c r="I146" s="23" t="s">
        <v>46</v>
      </c>
      <c r="J146" s="32" t="s">
        <v>130</v>
      </c>
      <c r="K146" s="32">
        <f t="shared" si="10"/>
        <v>1.8128000000000002</v>
      </c>
      <c r="L146" s="310"/>
      <c r="M146" s="163">
        <v>3.21</v>
      </c>
      <c r="N146" s="32">
        <v>0.57957256000000001</v>
      </c>
      <c r="O146" s="23" t="s">
        <v>46</v>
      </c>
      <c r="P146" s="32" t="s">
        <v>130</v>
      </c>
      <c r="Q146" s="32">
        <v>1.84</v>
      </c>
      <c r="R146" s="310"/>
      <c r="T146">
        <v>0.14263006</v>
      </c>
      <c r="U146">
        <v>0.43694249000000002</v>
      </c>
      <c r="V146" s="1">
        <f t="shared" si="12"/>
        <v>0.57957254999999996</v>
      </c>
      <c r="W146" s="163">
        <v>3.21</v>
      </c>
      <c r="X146" s="32">
        <v>1.84</v>
      </c>
    </row>
    <row r="147" spans="1:24" ht="15" x14ac:dyDescent="0.25">
      <c r="A147" s="63"/>
      <c r="B147" s="21"/>
      <c r="C147" s="29"/>
      <c r="D147" s="21"/>
      <c r="E147" s="21"/>
      <c r="F147" s="21"/>
      <c r="G147" s="29">
        <f t="shared" si="9"/>
        <v>0.7228</v>
      </c>
      <c r="H147" s="21">
        <f t="shared" si="11"/>
        <v>6.5413426999999996E-2</v>
      </c>
      <c r="I147" s="21"/>
      <c r="J147" s="21"/>
      <c r="K147" s="21">
        <f t="shared" si="10"/>
        <v>0.46279999999999999</v>
      </c>
      <c r="L147" s="309"/>
      <c r="M147" s="29">
        <v>0.75</v>
      </c>
      <c r="N147" s="21">
        <v>6.5413422999999998E-2</v>
      </c>
      <c r="O147" s="21"/>
      <c r="P147" s="21"/>
      <c r="Q147" s="21">
        <v>0.49</v>
      </c>
      <c r="R147" s="309"/>
      <c r="T147">
        <v>3.5313654999999999E-2</v>
      </c>
      <c r="U147">
        <v>3.0099772E-2</v>
      </c>
      <c r="V147" s="1">
        <f t="shared" si="12"/>
        <v>6.5413426999999996E-2</v>
      </c>
      <c r="W147" s="29">
        <v>0.75</v>
      </c>
      <c r="X147" s="21">
        <v>0.49</v>
      </c>
    </row>
    <row r="148" spans="1:24" ht="15" x14ac:dyDescent="0.25">
      <c r="A148" s="63"/>
      <c r="B148" s="32">
        <v>11</v>
      </c>
      <c r="C148" s="163"/>
      <c r="D148" s="24"/>
      <c r="E148" s="24"/>
      <c r="F148" s="24"/>
      <c r="G148" s="163">
        <f t="shared" si="9"/>
        <v>3.8828</v>
      </c>
      <c r="H148" s="32">
        <f t="shared" si="11"/>
        <v>0.94569581000000003</v>
      </c>
      <c r="I148" s="23" t="s">
        <v>46</v>
      </c>
      <c r="J148" s="32" t="s">
        <v>131</v>
      </c>
      <c r="K148" s="32">
        <f t="shared" si="10"/>
        <v>1.4928000000000001</v>
      </c>
      <c r="L148" s="310"/>
      <c r="M148" s="163">
        <v>3.91</v>
      </c>
      <c r="N148" s="32">
        <v>0.94569581999999996</v>
      </c>
      <c r="O148" s="23" t="s">
        <v>46</v>
      </c>
      <c r="P148" s="32" t="s">
        <v>131</v>
      </c>
      <c r="Q148" s="32">
        <v>1.52</v>
      </c>
      <c r="R148" s="310"/>
      <c r="T148">
        <v>0.51000082000000002</v>
      </c>
      <c r="U148">
        <v>0.43569499</v>
      </c>
      <c r="V148" s="1">
        <f t="shared" si="12"/>
        <v>0.94569581000000003</v>
      </c>
      <c r="W148" s="163">
        <v>3.91</v>
      </c>
      <c r="X148" s="32">
        <v>1.52</v>
      </c>
    </row>
    <row r="149" spans="1:24" ht="15" x14ac:dyDescent="0.25">
      <c r="A149" s="63"/>
      <c r="B149" s="21"/>
      <c r="C149" s="29"/>
      <c r="D149" s="21"/>
      <c r="E149" s="21"/>
      <c r="F149" s="21"/>
      <c r="G149" s="29">
        <f t="shared" si="9"/>
        <v>0.45279999999999998</v>
      </c>
      <c r="H149" s="21">
        <f t="shared" si="11"/>
        <v>2.7061005999999999E-2</v>
      </c>
      <c r="I149" s="21"/>
      <c r="J149" s="21"/>
      <c r="K149" s="21">
        <f t="shared" si="10"/>
        <v>0.2828</v>
      </c>
      <c r="L149" s="309"/>
      <c r="M149" s="29">
        <v>0.48</v>
      </c>
      <c r="N149" s="21">
        <v>2.7061005999999999E-2</v>
      </c>
      <c r="O149" s="21"/>
      <c r="P149" s="21"/>
      <c r="Q149" s="21">
        <v>0.31</v>
      </c>
      <c r="R149" s="309"/>
      <c r="T149">
        <v>1.5417736E-2</v>
      </c>
      <c r="U149">
        <v>1.1643270000000001E-2</v>
      </c>
      <c r="V149" s="1">
        <f t="shared" si="12"/>
        <v>2.7061005999999999E-2</v>
      </c>
      <c r="W149" s="29">
        <v>0.48</v>
      </c>
      <c r="X149" s="21">
        <v>0.31</v>
      </c>
    </row>
    <row r="150" spans="1:24" ht="15" x14ac:dyDescent="0.25">
      <c r="A150" s="63"/>
      <c r="B150" s="23">
        <v>12</v>
      </c>
      <c r="C150" s="163"/>
      <c r="D150" s="24"/>
      <c r="E150" s="24"/>
      <c r="F150" s="24"/>
      <c r="G150" s="163">
        <f t="shared" si="9"/>
        <v>3.5627999999999997</v>
      </c>
      <c r="H150" s="32">
        <f t="shared" si="11"/>
        <v>1.21445063</v>
      </c>
      <c r="I150" s="23" t="s">
        <v>46</v>
      </c>
      <c r="J150" s="23" t="s">
        <v>132</v>
      </c>
      <c r="K150" s="23">
        <f t="shared" si="10"/>
        <v>2.1328</v>
      </c>
      <c r="L150" s="306"/>
      <c r="M150" s="163">
        <v>3.59</v>
      </c>
      <c r="N150" s="32">
        <v>1.2144505999999999</v>
      </c>
      <c r="O150" s="23" t="s">
        <v>46</v>
      </c>
      <c r="P150" s="23" t="s">
        <v>132</v>
      </c>
      <c r="Q150" s="23">
        <v>2.16</v>
      </c>
      <c r="R150" s="306"/>
      <c r="S150" s="23"/>
      <c r="T150">
        <v>0.31436828</v>
      </c>
      <c r="U150">
        <v>0.90008235000000003</v>
      </c>
      <c r="V150" s="1">
        <f t="shared" si="12"/>
        <v>1.21445063</v>
      </c>
      <c r="W150" s="163">
        <v>3.59</v>
      </c>
      <c r="X150" s="23">
        <v>2.16</v>
      </c>
    </row>
    <row r="151" spans="1:24" ht="15" x14ac:dyDescent="0.25">
      <c r="B151" s="20"/>
      <c r="C151" s="38"/>
      <c r="D151" s="54"/>
      <c r="E151" s="20"/>
      <c r="F151" s="54"/>
      <c r="G151" s="38">
        <f t="shared" si="9"/>
        <v>1.6128</v>
      </c>
      <c r="H151" s="33">
        <f t="shared" si="11"/>
        <v>0.35022571000000002</v>
      </c>
      <c r="I151" s="20"/>
      <c r="J151" s="20"/>
      <c r="K151" s="20">
        <f t="shared" si="10"/>
        <v>0.92279999999999995</v>
      </c>
      <c r="L151" s="308"/>
      <c r="M151" s="38">
        <v>1.64</v>
      </c>
      <c r="N151" s="21">
        <v>0.35022572000000002</v>
      </c>
      <c r="O151" s="20"/>
      <c r="P151" s="20"/>
      <c r="Q151" s="20">
        <v>0.95</v>
      </c>
      <c r="R151" s="308"/>
      <c r="S151" s="20"/>
      <c r="T151">
        <v>0.20049454</v>
      </c>
      <c r="U151">
        <v>0.14973117</v>
      </c>
      <c r="V151" s="1">
        <f t="shared" si="12"/>
        <v>0.35022571000000002</v>
      </c>
      <c r="W151" s="38">
        <v>1.64</v>
      </c>
      <c r="X151" s="20">
        <v>0.95</v>
      </c>
    </row>
    <row r="152" spans="1:24" ht="15" x14ac:dyDescent="0.25">
      <c r="B152" s="23">
        <v>13</v>
      </c>
      <c r="C152" s="163"/>
      <c r="D152" s="24"/>
      <c r="E152" s="24"/>
      <c r="F152" s="24"/>
      <c r="G152" s="163">
        <f t="shared" ref="G152:G167" si="13">W152-0.0272</f>
        <v>5.3928000000000003</v>
      </c>
      <c r="H152" s="32">
        <f t="shared" si="11"/>
        <v>2.3750671900000002</v>
      </c>
      <c r="I152" s="23" t="s">
        <v>46</v>
      </c>
      <c r="J152" s="23" t="s">
        <v>133</v>
      </c>
      <c r="K152" s="23">
        <f t="shared" ref="K152:K167" si="14">X152-0.0272</f>
        <v>1.8128000000000002</v>
      </c>
      <c r="L152" s="306"/>
      <c r="M152" s="163">
        <v>5.42</v>
      </c>
      <c r="N152" s="32">
        <v>2.375067</v>
      </c>
      <c r="O152" s="23" t="s">
        <v>46</v>
      </c>
      <c r="P152" s="23" t="s">
        <v>133</v>
      </c>
      <c r="Q152" s="23">
        <v>1.84</v>
      </c>
      <c r="R152" s="306"/>
      <c r="S152" s="23"/>
      <c r="T152">
        <v>1.5498984</v>
      </c>
      <c r="U152">
        <v>0.82516878999999999</v>
      </c>
      <c r="V152" s="1">
        <f t="shared" si="12"/>
        <v>2.3750671900000002</v>
      </c>
      <c r="W152" s="163">
        <v>5.42</v>
      </c>
      <c r="X152" s="23">
        <v>1.84</v>
      </c>
    </row>
    <row r="153" spans="1:24" ht="15" x14ac:dyDescent="0.25">
      <c r="B153" s="20"/>
      <c r="C153" s="38"/>
      <c r="D153" s="54"/>
      <c r="E153" s="20"/>
      <c r="F153" s="54"/>
      <c r="G153" s="38">
        <f t="shared" si="13"/>
        <v>0.80279999999999996</v>
      </c>
      <c r="H153" s="33">
        <f t="shared" si="11"/>
        <v>6.8324242000000007E-2</v>
      </c>
      <c r="I153" s="20"/>
      <c r="J153" s="20"/>
      <c r="K153" s="20">
        <f t="shared" si="14"/>
        <v>0.45279999999999998</v>
      </c>
      <c r="L153" s="308"/>
      <c r="M153" s="38">
        <v>0.83</v>
      </c>
      <c r="N153" s="21">
        <v>6.8324246000000005E-2</v>
      </c>
      <c r="O153" s="20"/>
      <c r="P153" s="20"/>
      <c r="Q153" s="20">
        <v>0.48</v>
      </c>
      <c r="R153" s="308"/>
      <c r="S153" s="20"/>
      <c r="T153">
        <v>3.4066158999999999E-2</v>
      </c>
      <c r="U153">
        <v>3.4258083000000002E-2</v>
      </c>
      <c r="V153" s="1">
        <f t="shared" si="12"/>
        <v>6.8324242000000007E-2</v>
      </c>
      <c r="W153" s="38">
        <v>0.83</v>
      </c>
      <c r="X153" s="20">
        <v>0.48</v>
      </c>
    </row>
    <row r="154" spans="1:24" ht="15" x14ac:dyDescent="0.25">
      <c r="B154" s="23">
        <v>14</v>
      </c>
      <c r="C154" s="163"/>
      <c r="D154" s="24"/>
      <c r="E154" s="24"/>
      <c r="F154" s="24"/>
      <c r="G154" s="163">
        <f t="shared" si="13"/>
        <v>4.1228000000000007</v>
      </c>
      <c r="H154" s="32">
        <f t="shared" si="11"/>
        <v>1.76830563</v>
      </c>
      <c r="I154" s="23" t="s">
        <v>46</v>
      </c>
      <c r="J154" s="23" t="s">
        <v>134</v>
      </c>
      <c r="K154" s="23">
        <f t="shared" si="14"/>
        <v>2.2827999999999999</v>
      </c>
      <c r="L154" s="306"/>
      <c r="M154" s="163">
        <v>4.1500000000000004</v>
      </c>
      <c r="N154" s="32">
        <v>1.7683057</v>
      </c>
      <c r="O154" s="23" t="s">
        <v>46</v>
      </c>
      <c r="P154" s="23" t="s">
        <v>134</v>
      </c>
      <c r="Q154" s="23">
        <v>2.31</v>
      </c>
      <c r="R154" s="306"/>
      <c r="S154" s="23"/>
      <c r="T154">
        <v>0.63548583000000003</v>
      </c>
      <c r="U154">
        <v>1.1328198</v>
      </c>
      <c r="V154" s="1">
        <f t="shared" si="12"/>
        <v>1.76830563</v>
      </c>
      <c r="W154" s="163">
        <v>4.1500000000000004</v>
      </c>
      <c r="X154" s="23">
        <v>2.31</v>
      </c>
    </row>
    <row r="155" spans="1:24" ht="15" x14ac:dyDescent="0.25">
      <c r="B155" s="20"/>
      <c r="C155" s="38"/>
      <c r="D155" s="54"/>
      <c r="E155" s="20"/>
      <c r="F155" s="54"/>
      <c r="G155" s="38">
        <f t="shared" si="13"/>
        <v>1.6928000000000001</v>
      </c>
      <c r="H155" s="33">
        <f t="shared" si="11"/>
        <v>0.37901402000000001</v>
      </c>
      <c r="I155" s="20"/>
      <c r="J155" s="20"/>
      <c r="K155" s="20">
        <f t="shared" si="14"/>
        <v>0.83279999999999998</v>
      </c>
      <c r="L155" s="308"/>
      <c r="M155" s="38">
        <v>1.72</v>
      </c>
      <c r="N155" s="21">
        <v>0.37901402000000001</v>
      </c>
      <c r="O155" s="20"/>
      <c r="P155" s="20"/>
      <c r="Q155" s="20">
        <v>0.86</v>
      </c>
      <c r="R155" s="308"/>
      <c r="S155" s="20"/>
      <c r="T155">
        <v>0.20858726</v>
      </c>
      <c r="U155">
        <v>0.17042676000000001</v>
      </c>
      <c r="V155" s="1">
        <f t="shared" si="12"/>
        <v>0.37901402000000001</v>
      </c>
      <c r="W155" s="38">
        <v>1.72</v>
      </c>
      <c r="X155" s="20">
        <v>0.86</v>
      </c>
    </row>
    <row r="156" spans="1:24" ht="15" x14ac:dyDescent="0.25">
      <c r="B156" s="23">
        <v>15</v>
      </c>
      <c r="C156" s="163"/>
      <c r="D156" s="24"/>
      <c r="E156" s="24"/>
      <c r="F156" s="24"/>
      <c r="G156" s="163">
        <f t="shared" si="13"/>
        <v>4.2528000000000006</v>
      </c>
      <c r="H156" s="32">
        <f t="shared" si="11"/>
        <v>1.6480344499999999</v>
      </c>
      <c r="I156" s="23" t="s">
        <v>46</v>
      </c>
      <c r="J156" s="23" t="s">
        <v>135</v>
      </c>
      <c r="K156" s="23">
        <f t="shared" si="14"/>
        <v>1.5728000000000002</v>
      </c>
      <c r="L156" s="306"/>
      <c r="M156" s="163">
        <v>4.28</v>
      </c>
      <c r="N156" s="32">
        <v>1.6480345000000001</v>
      </c>
      <c r="O156" s="23" t="s">
        <v>46</v>
      </c>
      <c r="P156" s="23" t="s">
        <v>135</v>
      </c>
      <c r="Q156" s="23">
        <v>1.6</v>
      </c>
      <c r="R156" s="306"/>
      <c r="S156" s="23"/>
      <c r="T156">
        <v>0.85434091000000001</v>
      </c>
      <c r="U156">
        <v>0.79369354000000003</v>
      </c>
      <c r="V156" s="1">
        <f t="shared" si="12"/>
        <v>1.6480344499999999</v>
      </c>
      <c r="W156" s="163">
        <v>4.28</v>
      </c>
      <c r="X156" s="23">
        <v>1.6</v>
      </c>
    </row>
    <row r="157" spans="1:24" ht="15" x14ac:dyDescent="0.25">
      <c r="B157" s="20"/>
      <c r="C157" s="38"/>
      <c r="D157" s="54"/>
      <c r="E157" s="20"/>
      <c r="F157" s="54"/>
      <c r="G157" s="38">
        <f t="shared" si="13"/>
        <v>0.30280000000000001</v>
      </c>
      <c r="H157" s="33">
        <f t="shared" si="11"/>
        <v>1.3562490699999999E-2</v>
      </c>
      <c r="I157" s="20"/>
      <c r="J157" s="20"/>
      <c r="K157" s="20">
        <f t="shared" si="14"/>
        <v>0.23280000000000001</v>
      </c>
      <c r="L157" s="308"/>
      <c r="M157" s="38">
        <v>0.33</v>
      </c>
      <c r="N157" s="21">
        <v>1.356249E-2</v>
      </c>
      <c r="O157" s="20"/>
      <c r="P157" s="20"/>
      <c r="Q157" s="20">
        <v>0.26</v>
      </c>
      <c r="R157" s="308"/>
      <c r="S157" s="20"/>
      <c r="T157">
        <v>9.4361667999999996E-3</v>
      </c>
      <c r="U157">
        <v>4.1263239000000002E-3</v>
      </c>
      <c r="V157" s="1">
        <f t="shared" si="12"/>
        <v>1.3562490699999999E-2</v>
      </c>
      <c r="W157" s="38">
        <v>0.33</v>
      </c>
      <c r="X157" s="20">
        <v>0.26</v>
      </c>
    </row>
    <row r="158" spans="1:24" ht="15" x14ac:dyDescent="0.25">
      <c r="B158" s="23">
        <v>16</v>
      </c>
      <c r="C158" s="163"/>
      <c r="D158" s="24"/>
      <c r="E158" s="24"/>
      <c r="F158" s="24"/>
      <c r="G158" s="163">
        <f t="shared" si="13"/>
        <v>3.7128000000000001</v>
      </c>
      <c r="H158" s="32">
        <f t="shared" si="11"/>
        <v>1.48784348</v>
      </c>
      <c r="I158" s="23" t="s">
        <v>46</v>
      </c>
      <c r="J158" s="23" t="s">
        <v>136</v>
      </c>
      <c r="K158" s="23">
        <f t="shared" si="14"/>
        <v>2.0427999999999997</v>
      </c>
      <c r="L158" s="306"/>
      <c r="M158" s="163">
        <v>3.74</v>
      </c>
      <c r="N158" s="32">
        <v>1.4878435000000001</v>
      </c>
      <c r="O158" s="23" t="s">
        <v>46</v>
      </c>
      <c r="P158" s="23" t="s">
        <v>136</v>
      </c>
      <c r="Q158" s="23">
        <v>2.0699999999999998</v>
      </c>
      <c r="R158" s="306"/>
      <c r="S158" s="23"/>
      <c r="T158">
        <v>0.38499558</v>
      </c>
      <c r="U158">
        <v>1.1028479</v>
      </c>
      <c r="V158" s="1">
        <f t="shared" si="12"/>
        <v>1.48784348</v>
      </c>
      <c r="W158" s="163">
        <v>3.74</v>
      </c>
      <c r="X158" s="23">
        <v>2.0699999999999998</v>
      </c>
    </row>
    <row r="159" spans="1:24" ht="15" x14ac:dyDescent="0.25">
      <c r="B159" s="20"/>
      <c r="C159" s="38"/>
      <c r="D159" s="54"/>
      <c r="E159" s="20"/>
      <c r="F159" s="54"/>
      <c r="G159" s="38">
        <f t="shared" si="13"/>
        <v>0.84279999999999999</v>
      </c>
      <c r="H159" s="33">
        <f t="shared" si="11"/>
        <v>0.16985099000000001</v>
      </c>
      <c r="I159" s="20"/>
      <c r="J159" s="20"/>
      <c r="K159" s="20">
        <f t="shared" si="14"/>
        <v>0.53280000000000005</v>
      </c>
      <c r="L159" s="308"/>
      <c r="M159" s="38">
        <v>0.87</v>
      </c>
      <c r="N159" s="21">
        <v>0.16985099000000001</v>
      </c>
      <c r="O159" s="20"/>
      <c r="P159" s="20"/>
      <c r="Q159" s="20">
        <v>0.56000000000000005</v>
      </c>
      <c r="R159" s="308"/>
      <c r="S159" s="20"/>
      <c r="T159">
        <v>7.3026329000000001E-2</v>
      </c>
      <c r="U159">
        <v>9.6824661000000006E-2</v>
      </c>
      <c r="V159" s="1">
        <f t="shared" si="12"/>
        <v>0.16985099000000001</v>
      </c>
      <c r="W159" s="38">
        <v>0.87</v>
      </c>
      <c r="X159" s="20">
        <v>0.56000000000000005</v>
      </c>
    </row>
    <row r="160" spans="1:24" ht="15" x14ac:dyDescent="0.25">
      <c r="B160" s="23">
        <v>17</v>
      </c>
      <c r="C160" s="30"/>
      <c r="D160" s="53"/>
      <c r="E160" s="23"/>
      <c r="F160" s="53"/>
      <c r="G160" s="30">
        <f t="shared" si="13"/>
        <v>3.3428</v>
      </c>
      <c r="H160" s="32">
        <f t="shared" si="11"/>
        <v>1.2274053700000001</v>
      </c>
      <c r="I160" s="23" t="s">
        <v>46</v>
      </c>
      <c r="J160" s="23"/>
      <c r="K160" s="23">
        <f t="shared" si="14"/>
        <v>1.4128000000000001</v>
      </c>
      <c r="L160" s="306"/>
      <c r="M160" s="30">
        <v>3.37</v>
      </c>
      <c r="N160" s="32">
        <v>1.2274053</v>
      </c>
      <c r="O160" s="23" t="s">
        <v>46</v>
      </c>
      <c r="P160" s="23"/>
      <c r="Q160" s="23">
        <v>1.44</v>
      </c>
      <c r="R160" s="306"/>
      <c r="S160" s="23"/>
      <c r="T160">
        <v>0.53203988000000002</v>
      </c>
      <c r="U160">
        <v>0.69536549000000003</v>
      </c>
      <c r="V160" s="1">
        <f t="shared" si="12"/>
        <v>1.2274053700000001</v>
      </c>
      <c r="W160" s="30">
        <v>3.37</v>
      </c>
      <c r="X160" s="23">
        <v>1.44</v>
      </c>
    </row>
    <row r="161" spans="1:24" ht="15" x14ac:dyDescent="0.25">
      <c r="B161" s="20"/>
      <c r="C161" s="38"/>
      <c r="D161" s="54"/>
      <c r="E161" s="20"/>
      <c r="F161" s="54"/>
      <c r="G161" s="38">
        <f t="shared" si="13"/>
        <v>0.15279999999999999</v>
      </c>
      <c r="H161" s="33">
        <f t="shared" si="11"/>
        <v>4.8620247000000002E-3</v>
      </c>
      <c r="I161" s="20"/>
      <c r="J161" s="20"/>
      <c r="K161" s="161">
        <f t="shared" si="14"/>
        <v>0.15279999999999999</v>
      </c>
      <c r="L161" s="308"/>
      <c r="M161" s="38">
        <v>0.18</v>
      </c>
      <c r="N161" s="21">
        <v>4.8620249000000003E-3</v>
      </c>
      <c r="O161" s="20"/>
      <c r="P161" s="20"/>
      <c r="Q161" s="161">
        <v>0.18</v>
      </c>
      <c r="R161" s="308"/>
      <c r="S161" s="20"/>
      <c r="T161">
        <v>3.7104924999999999E-3</v>
      </c>
      <c r="U161">
        <v>1.1515322000000001E-3</v>
      </c>
      <c r="V161" s="1">
        <f t="shared" si="12"/>
        <v>4.8620247000000002E-3</v>
      </c>
      <c r="W161" s="38">
        <v>0.18</v>
      </c>
      <c r="X161" s="161">
        <v>0.18</v>
      </c>
    </row>
    <row r="162" spans="1:24" ht="15" x14ac:dyDescent="0.25">
      <c r="B162" s="23">
        <v>18</v>
      </c>
      <c r="C162" s="163"/>
      <c r="D162" s="24"/>
      <c r="E162" s="24"/>
      <c r="F162" s="24"/>
      <c r="G162" s="163">
        <f t="shared" si="13"/>
        <v>3.3828</v>
      </c>
      <c r="H162" s="32">
        <f t="shared" si="11"/>
        <v>1.1998005899999999</v>
      </c>
      <c r="I162" s="23" t="s">
        <v>46</v>
      </c>
      <c r="J162" s="23" t="s">
        <v>137</v>
      </c>
      <c r="K162" s="23">
        <f t="shared" si="14"/>
        <v>1.8628</v>
      </c>
      <c r="L162" s="306"/>
      <c r="M162" s="163">
        <v>3.41</v>
      </c>
      <c r="N162" s="32">
        <v>1.1998006000000001</v>
      </c>
      <c r="O162" s="23" t="s">
        <v>46</v>
      </c>
      <c r="P162" s="23" t="s">
        <v>137</v>
      </c>
      <c r="Q162" s="23">
        <v>1.89</v>
      </c>
      <c r="R162" s="306"/>
      <c r="S162" s="23"/>
      <c r="T162">
        <v>0.27412864999999997</v>
      </c>
      <c r="U162">
        <v>0.92567193999999997</v>
      </c>
      <c r="V162" s="1">
        <f t="shared" si="12"/>
        <v>1.1998005899999999</v>
      </c>
      <c r="W162" s="163">
        <v>3.41</v>
      </c>
      <c r="X162" s="23">
        <v>1.89</v>
      </c>
    </row>
    <row r="163" spans="1:24" ht="15" x14ac:dyDescent="0.25">
      <c r="B163" s="20"/>
      <c r="C163" s="38"/>
      <c r="D163" s="54"/>
      <c r="E163" s="20"/>
      <c r="F163" s="54"/>
      <c r="G163" s="38">
        <f t="shared" si="13"/>
        <v>0.68279999999999996</v>
      </c>
      <c r="H163" s="33">
        <f t="shared" si="11"/>
        <v>0.110387154</v>
      </c>
      <c r="I163" s="20"/>
      <c r="J163" s="20"/>
      <c r="K163" s="20">
        <f t="shared" si="14"/>
        <v>0.43280000000000002</v>
      </c>
      <c r="L163" s="308"/>
      <c r="M163" s="38">
        <v>0.71</v>
      </c>
      <c r="N163" s="21">
        <v>0.11038715</v>
      </c>
      <c r="O163" s="20"/>
      <c r="P163" s="20"/>
      <c r="Q163" s="20">
        <v>0.46</v>
      </c>
      <c r="R163" s="308"/>
      <c r="S163" s="20"/>
      <c r="T163">
        <v>5.0603441999999998E-2</v>
      </c>
      <c r="U163">
        <v>5.9783712000000003E-2</v>
      </c>
      <c r="V163" s="1">
        <f t="shared" si="12"/>
        <v>0.110387154</v>
      </c>
      <c r="W163" s="38">
        <v>0.71</v>
      </c>
      <c r="X163" s="20">
        <v>0.46</v>
      </c>
    </row>
    <row r="164" spans="1:24" ht="15" x14ac:dyDescent="0.25">
      <c r="B164" s="23">
        <v>19</v>
      </c>
      <c r="C164" s="30"/>
      <c r="D164" s="53"/>
      <c r="E164" s="23"/>
      <c r="F164" s="53"/>
      <c r="G164" s="30">
        <f t="shared" si="13"/>
        <v>3.4827999999999997</v>
      </c>
      <c r="H164" s="32">
        <f t="shared" si="11"/>
        <v>1.0185301899999999</v>
      </c>
      <c r="I164" s="23" t="s">
        <v>46</v>
      </c>
      <c r="J164" s="23"/>
      <c r="K164" s="23">
        <f t="shared" si="14"/>
        <v>1.6428</v>
      </c>
      <c r="L164" s="306"/>
      <c r="M164" s="30">
        <v>3.51</v>
      </c>
      <c r="N164" s="32">
        <v>1.0185302000000001</v>
      </c>
      <c r="O164" s="23" t="s">
        <v>46</v>
      </c>
      <c r="P164" s="23"/>
      <c r="Q164" s="23">
        <v>1.67</v>
      </c>
      <c r="R164" s="306"/>
      <c r="S164" s="23"/>
      <c r="T164">
        <v>0.38086926999999998</v>
      </c>
      <c r="U164">
        <v>0.63766091999999996</v>
      </c>
      <c r="V164" s="1">
        <f t="shared" si="12"/>
        <v>1.0185301899999999</v>
      </c>
      <c r="W164" s="30">
        <v>3.51</v>
      </c>
      <c r="X164" s="23">
        <v>1.67</v>
      </c>
    </row>
    <row r="165" spans="1:24" ht="15" x14ac:dyDescent="0.25">
      <c r="B165" s="20"/>
      <c r="C165" s="38"/>
      <c r="D165" s="54"/>
      <c r="E165" s="20"/>
      <c r="F165" s="54"/>
      <c r="G165" s="38">
        <f t="shared" si="13"/>
        <v>0.11280000000000001</v>
      </c>
      <c r="H165" s="33">
        <f t="shared" si="11"/>
        <v>2.8148565499999997E-3</v>
      </c>
      <c r="I165" s="20"/>
      <c r="J165" s="20"/>
      <c r="K165" s="161">
        <f t="shared" si="14"/>
        <v>0.11280000000000001</v>
      </c>
      <c r="L165" s="308"/>
      <c r="M165" s="38">
        <v>0.14000000000000001</v>
      </c>
      <c r="N165" s="21">
        <v>2.8148563999999998E-3</v>
      </c>
      <c r="O165" s="20"/>
      <c r="P165" s="20"/>
      <c r="Q165" s="161">
        <v>0.14000000000000001</v>
      </c>
      <c r="R165" s="308"/>
      <c r="S165" s="20"/>
      <c r="T165">
        <v>1.9831943999999999E-3</v>
      </c>
      <c r="U165">
        <v>8.3166214999999999E-4</v>
      </c>
      <c r="V165" s="1">
        <f t="shared" si="12"/>
        <v>2.8148565499999997E-3</v>
      </c>
      <c r="W165" s="38">
        <v>0.14000000000000001</v>
      </c>
      <c r="X165" s="161">
        <v>0.14000000000000001</v>
      </c>
    </row>
    <row r="166" spans="1:24" ht="15" x14ac:dyDescent="0.25">
      <c r="B166" s="23">
        <v>20</v>
      </c>
      <c r="C166" s="163"/>
      <c r="D166" s="24"/>
      <c r="E166" s="24"/>
      <c r="F166" s="24"/>
      <c r="G166" s="163">
        <f t="shared" si="13"/>
        <v>2.8327999999999998</v>
      </c>
      <c r="H166" s="32">
        <f t="shared" si="11"/>
        <v>0.65960404000000006</v>
      </c>
      <c r="I166" s="23" t="s">
        <v>46</v>
      </c>
      <c r="J166" s="23" t="s">
        <v>138</v>
      </c>
      <c r="K166" s="32">
        <f t="shared" si="14"/>
        <v>2.8327999999999998</v>
      </c>
      <c r="L166" s="306" t="s">
        <v>139</v>
      </c>
      <c r="M166" s="163">
        <v>2.86</v>
      </c>
      <c r="N166" s="32">
        <v>0.65960401000000002</v>
      </c>
      <c r="O166" s="23" t="s">
        <v>46</v>
      </c>
      <c r="P166" s="23" t="s">
        <v>138</v>
      </c>
      <c r="Q166" s="23">
        <v>2.86</v>
      </c>
      <c r="R166" s="306" t="s">
        <v>139</v>
      </c>
      <c r="S166" s="23"/>
      <c r="T166">
        <v>0.19185805</v>
      </c>
      <c r="U166">
        <v>0.46774599</v>
      </c>
      <c r="V166" s="1">
        <f t="shared" si="12"/>
        <v>0.65960404000000006</v>
      </c>
      <c r="W166" s="163">
        <v>2.86</v>
      </c>
      <c r="X166" s="32">
        <v>2.86</v>
      </c>
    </row>
    <row r="167" spans="1:24" ht="15.75" thickBot="1" x14ac:dyDescent="0.3">
      <c r="A167" s="179"/>
      <c r="B167" s="179"/>
      <c r="C167" s="180"/>
      <c r="D167" s="181"/>
      <c r="E167" s="179"/>
      <c r="F167" s="181"/>
      <c r="G167" s="180">
        <f t="shared" si="13"/>
        <v>0.42280000000000001</v>
      </c>
      <c r="H167" s="182">
        <f t="shared" si="11"/>
        <v>4.3278417E-2</v>
      </c>
      <c r="I167" s="179"/>
      <c r="J167" s="179"/>
      <c r="K167" s="182">
        <f t="shared" si="14"/>
        <v>0.30280000000000001</v>
      </c>
      <c r="L167" s="307"/>
      <c r="M167" s="180">
        <v>0.45</v>
      </c>
      <c r="N167" s="182">
        <v>4.3278417999999999E-2</v>
      </c>
      <c r="O167" s="179"/>
      <c r="P167" s="179"/>
      <c r="Q167" s="179">
        <v>0.33</v>
      </c>
      <c r="R167" s="307"/>
      <c r="S167" s="179"/>
      <c r="T167">
        <v>2.2230968E-2</v>
      </c>
      <c r="U167">
        <v>2.1047448999999999E-2</v>
      </c>
      <c r="V167" s="1">
        <f t="shared" si="12"/>
        <v>4.3278417E-2</v>
      </c>
      <c r="W167" s="180">
        <v>0.45</v>
      </c>
      <c r="X167" s="182">
        <v>0.33</v>
      </c>
    </row>
    <row r="168" spans="1:24" ht="15.75" thickTop="1" x14ac:dyDescent="0.25">
      <c r="A168" s="5" t="s">
        <v>78</v>
      </c>
      <c r="B168" s="31">
        <v>1</v>
      </c>
      <c r="C168" s="17"/>
      <c r="D168" s="178"/>
      <c r="E168" s="5"/>
      <c r="F168" s="178"/>
      <c r="G168" s="17">
        <f>W168-0.175</f>
        <v>27.254999999999999</v>
      </c>
      <c r="H168" s="317">
        <f>V168</f>
        <v>290.13949727999994</v>
      </c>
      <c r="I168" s="5" t="s">
        <v>46</v>
      </c>
      <c r="J168" s="5"/>
      <c r="K168" s="21">
        <f>X168-0.175</f>
        <v>5.6550000000000002</v>
      </c>
      <c r="L168" s="10"/>
      <c r="M168" s="17">
        <v>27.25</v>
      </c>
      <c r="N168" s="43">
        <v>286.41888</v>
      </c>
      <c r="O168" s="5" t="s">
        <v>46</v>
      </c>
      <c r="P168" s="5" t="s">
        <v>140</v>
      </c>
      <c r="Q168" s="176">
        <v>4.63</v>
      </c>
      <c r="R168" s="10"/>
      <c r="S168">
        <v>3.7316310000000001</v>
      </c>
      <c r="T168" s="1">
        <v>259.62512527999996</v>
      </c>
      <c r="U168">
        <v>30.514372000000002</v>
      </c>
      <c r="V168" s="1">
        <f>U168+T168</f>
        <v>290.13949727999994</v>
      </c>
      <c r="W168" s="17">
        <v>27.43</v>
      </c>
      <c r="X168" s="21">
        <v>5.83</v>
      </c>
    </row>
    <row r="169" spans="1:24" ht="15" x14ac:dyDescent="0.25">
      <c r="A169" s="1" t="s">
        <v>3</v>
      </c>
      <c r="B169" s="67">
        <v>2</v>
      </c>
      <c r="C169" s="30"/>
      <c r="D169" s="23"/>
      <c r="E169" s="23"/>
      <c r="F169" s="23"/>
      <c r="G169" s="30">
        <f t="shared" ref="G169:G231" si="15">W169-0.175</f>
        <v>23.265000000000001</v>
      </c>
      <c r="H169" s="43">
        <f t="shared" ref="H169:H231" si="16">V169</f>
        <v>249.08602859547</v>
      </c>
      <c r="I169" s="23" t="s">
        <v>46</v>
      </c>
      <c r="J169" s="23" t="s">
        <v>256</v>
      </c>
      <c r="K169" s="32">
        <f t="shared" ref="K169:K231" si="17">X169-0.175</f>
        <v>8.0549999999999997</v>
      </c>
      <c r="L169" s="306"/>
      <c r="M169" s="30">
        <v>23.08</v>
      </c>
      <c r="N169" s="55">
        <v>248.70330999999999</v>
      </c>
      <c r="O169" s="23" t="s">
        <v>46</v>
      </c>
      <c r="P169" s="23" t="s">
        <v>141</v>
      </c>
      <c r="Q169" s="23">
        <v>8.23</v>
      </c>
      <c r="R169" s="306"/>
      <c r="S169">
        <v>0.38502416</v>
      </c>
      <c r="T169" s="1">
        <v>175.04070959546999</v>
      </c>
      <c r="U169">
        <v>74.045319000000006</v>
      </c>
      <c r="V169" s="1">
        <f>U169+T169</f>
        <v>249.08602859547</v>
      </c>
      <c r="W169" s="30">
        <v>23.44</v>
      </c>
      <c r="X169" s="32">
        <v>8.23</v>
      </c>
    </row>
    <row r="170" spans="1:24" ht="15" x14ac:dyDescent="0.25">
      <c r="A170" s="27" t="s">
        <v>42</v>
      </c>
      <c r="C170" s="17"/>
      <c r="G170" s="17">
        <f t="shared" si="15"/>
        <v>7.955000000000001</v>
      </c>
      <c r="H170" s="105">
        <f t="shared" si="16"/>
        <v>28.077570999999999</v>
      </c>
      <c r="I170" s="5"/>
      <c r="J170" s="5">
        <v>-4.8099999999999996</v>
      </c>
      <c r="K170" s="21">
        <f t="shared" si="17"/>
        <v>3.145</v>
      </c>
      <c r="L170" s="10"/>
      <c r="M170" s="17">
        <v>8.1300000000000008</v>
      </c>
      <c r="N170" s="43">
        <v>28.069756000000002</v>
      </c>
      <c r="O170" s="5"/>
      <c r="P170" s="5">
        <v>-4.8099999999999996</v>
      </c>
      <c r="Q170" s="5">
        <v>3.32</v>
      </c>
      <c r="R170" s="10"/>
      <c r="T170" s="1">
        <v>17.405621</v>
      </c>
      <c r="U170">
        <v>10.671950000000001</v>
      </c>
      <c r="V170" s="1">
        <f t="shared" ref="V170:V198" si="18">U170+T170</f>
        <v>28.077570999999999</v>
      </c>
      <c r="W170" s="17">
        <v>8.1300000000000008</v>
      </c>
      <c r="X170" s="21">
        <v>3.32</v>
      </c>
    </row>
    <row r="171" spans="1:24" ht="15" x14ac:dyDescent="0.25">
      <c r="A171" s="1" t="s">
        <v>43</v>
      </c>
      <c r="B171" s="67">
        <v>3</v>
      </c>
      <c r="C171" s="163"/>
      <c r="D171" s="24"/>
      <c r="E171" s="24"/>
      <c r="F171" s="24"/>
      <c r="G171" s="163">
        <f t="shared" si="15"/>
        <v>39.015000000000001</v>
      </c>
      <c r="H171" s="43">
        <f t="shared" si="16"/>
        <v>1013.040609887</v>
      </c>
      <c r="I171" s="23" t="s">
        <v>46</v>
      </c>
      <c r="J171" s="23" t="s">
        <v>257</v>
      </c>
      <c r="K171" s="32">
        <f t="shared" si="17"/>
        <v>11.455</v>
      </c>
      <c r="L171" s="306"/>
      <c r="M171" s="163">
        <v>38.86</v>
      </c>
      <c r="N171" s="55">
        <v>1012.2333</v>
      </c>
      <c r="O171" s="23" t="s">
        <v>46</v>
      </c>
      <c r="P171" s="23" t="s">
        <v>142</v>
      </c>
      <c r="Q171" s="23">
        <v>11.63</v>
      </c>
      <c r="R171" s="306"/>
      <c r="S171">
        <v>0.81441229999999998</v>
      </c>
      <c r="T171" s="1">
        <v>784.96608988699995</v>
      </c>
      <c r="U171">
        <v>228.07452000000001</v>
      </c>
      <c r="V171" s="1">
        <f t="shared" si="18"/>
        <v>1013.040609887</v>
      </c>
      <c r="W171" s="163">
        <v>39.19</v>
      </c>
      <c r="X171" s="32">
        <v>11.63</v>
      </c>
    </row>
    <row r="172" spans="1:24" ht="15" x14ac:dyDescent="0.25">
      <c r="B172" s="68"/>
      <c r="C172" s="38"/>
      <c r="D172" s="20"/>
      <c r="E172" s="20"/>
      <c r="F172" s="20"/>
      <c r="G172" s="38">
        <f t="shared" si="15"/>
        <v>13.364999999999998</v>
      </c>
      <c r="H172" s="105">
        <f t="shared" si="16"/>
        <v>94.174841000000001</v>
      </c>
      <c r="I172" s="20"/>
      <c r="J172" s="20"/>
      <c r="K172" s="33">
        <f t="shared" si="17"/>
        <v>4.7949999999999999</v>
      </c>
      <c r="L172" s="308"/>
      <c r="M172" s="38">
        <v>13.54</v>
      </c>
      <c r="N172" s="43">
        <v>94.174842999999996</v>
      </c>
      <c r="O172" s="20"/>
      <c r="P172" s="20"/>
      <c r="Q172" s="20">
        <v>4.97</v>
      </c>
      <c r="R172" s="308"/>
      <c r="T172" s="1">
        <v>62.470917</v>
      </c>
      <c r="U172">
        <v>31.703924000000001</v>
      </c>
      <c r="V172" s="1">
        <f t="shared" si="18"/>
        <v>94.174841000000001</v>
      </c>
      <c r="W172" s="38">
        <v>13.54</v>
      </c>
      <c r="X172" s="33">
        <v>4.97</v>
      </c>
    </row>
    <row r="173" spans="1:24" ht="15" x14ac:dyDescent="0.25">
      <c r="B173" s="27">
        <v>4</v>
      </c>
      <c r="C173" s="17"/>
      <c r="G173" s="17"/>
      <c r="H173" s="105"/>
      <c r="I173" s="5" t="s">
        <v>144</v>
      </c>
      <c r="J173" s="5"/>
      <c r="K173" s="21"/>
      <c r="L173" s="10"/>
      <c r="M173" s="17"/>
      <c r="N173" s="32"/>
      <c r="O173" s="5" t="s">
        <v>144</v>
      </c>
      <c r="P173" s="5"/>
      <c r="Q173" s="5"/>
      <c r="R173" s="10"/>
      <c r="W173" s="17"/>
      <c r="X173" s="21"/>
    </row>
    <row r="174" spans="1:24" ht="15" x14ac:dyDescent="0.25">
      <c r="B174" s="67">
        <v>5</v>
      </c>
      <c r="C174" s="30"/>
      <c r="D174" s="23"/>
      <c r="E174" s="23"/>
      <c r="F174" s="23"/>
      <c r="G174" s="30">
        <f t="shared" si="15"/>
        <v>37.615000000000002</v>
      </c>
      <c r="H174" s="43">
        <f t="shared" si="16"/>
        <v>855.40529635969995</v>
      </c>
      <c r="I174" s="23" t="s">
        <v>46</v>
      </c>
      <c r="J174" s="23"/>
      <c r="K174" s="32">
        <f t="shared" si="17"/>
        <v>8.6449999999999996</v>
      </c>
      <c r="L174" s="306"/>
      <c r="M174" s="30">
        <v>37.44</v>
      </c>
      <c r="N174" s="55">
        <v>854.13</v>
      </c>
      <c r="O174" s="23" t="s">
        <v>46</v>
      </c>
      <c r="P174" s="23"/>
      <c r="Q174" s="23">
        <v>8.66</v>
      </c>
      <c r="R174" s="306"/>
      <c r="S174">
        <v>1.2736828</v>
      </c>
      <c r="T174" s="1">
        <v>736.92405635969999</v>
      </c>
      <c r="U174">
        <v>118.48124</v>
      </c>
      <c r="V174" s="1">
        <f t="shared" si="18"/>
        <v>855.40529635969995</v>
      </c>
      <c r="W174" s="30">
        <v>37.79</v>
      </c>
      <c r="X174" s="32">
        <v>8.82</v>
      </c>
    </row>
    <row r="175" spans="1:24" ht="15" x14ac:dyDescent="0.25">
      <c r="B175" s="68"/>
      <c r="C175" s="38"/>
      <c r="D175" s="20"/>
      <c r="E175" s="20"/>
      <c r="F175" s="20"/>
      <c r="G175" s="38">
        <f t="shared" si="15"/>
        <v>6.5049999999999999</v>
      </c>
      <c r="H175" s="105">
        <f t="shared" si="16"/>
        <v>28.028379999999999</v>
      </c>
      <c r="I175" s="20"/>
      <c r="J175" s="20"/>
      <c r="K175" s="21">
        <f t="shared" si="17"/>
        <v>2.9650000000000003</v>
      </c>
      <c r="L175" s="308"/>
      <c r="M175" s="38">
        <v>6.68</v>
      </c>
      <c r="N175" s="43">
        <v>28.028379000000001</v>
      </c>
      <c r="O175" s="20"/>
      <c r="P175" s="20"/>
      <c r="Q175" s="5">
        <v>3.14</v>
      </c>
      <c r="R175" s="308"/>
      <c r="T175" s="1">
        <v>14.163601999999999</v>
      </c>
      <c r="U175">
        <v>13.864777999999999</v>
      </c>
      <c r="V175" s="1">
        <f t="shared" si="18"/>
        <v>28.028379999999999</v>
      </c>
      <c r="W175" s="38">
        <v>6.68</v>
      </c>
      <c r="X175" s="21">
        <v>3.14</v>
      </c>
    </row>
    <row r="176" spans="1:24" ht="15" x14ac:dyDescent="0.25">
      <c r="A176" s="23" t="s">
        <v>78</v>
      </c>
      <c r="B176" s="31">
        <v>1</v>
      </c>
      <c r="C176" s="163"/>
      <c r="D176" s="24"/>
      <c r="E176" s="24"/>
      <c r="F176" s="24"/>
      <c r="G176" s="311">
        <f t="shared" si="15"/>
        <v>27.004999999999999</v>
      </c>
      <c r="H176" s="43">
        <f>V176</f>
        <v>431.12912421300007</v>
      </c>
      <c r="I176" s="5" t="s">
        <v>46</v>
      </c>
      <c r="J176" s="5" t="s">
        <v>258</v>
      </c>
      <c r="K176" s="32">
        <f t="shared" si="17"/>
        <v>7.2050000000000001</v>
      </c>
      <c r="L176" s="10"/>
      <c r="M176" s="311">
        <v>26.56</v>
      </c>
      <c r="N176" s="55">
        <v>423.93893000000003</v>
      </c>
      <c r="O176" s="5" t="s">
        <v>46</v>
      </c>
      <c r="P176" s="5" t="s">
        <v>143</v>
      </c>
      <c r="Q176" s="165">
        <v>6.75</v>
      </c>
      <c r="R176" s="10"/>
      <c r="S176">
        <v>7.2255815999999999</v>
      </c>
      <c r="T176" s="1">
        <v>331.68830521300004</v>
      </c>
      <c r="U176">
        <v>99.440819000000005</v>
      </c>
      <c r="V176" s="1">
        <f t="shared" si="18"/>
        <v>431.12912421300007</v>
      </c>
      <c r="W176" s="311">
        <v>27.18</v>
      </c>
      <c r="X176" s="32">
        <v>7.38</v>
      </c>
    </row>
    <row r="177" spans="1:24" ht="15" x14ac:dyDescent="0.25">
      <c r="A177" s="1" t="s">
        <v>3</v>
      </c>
      <c r="B177" s="31"/>
      <c r="C177" s="17"/>
      <c r="D177" s="5"/>
      <c r="E177" s="5"/>
      <c r="F177" s="5"/>
      <c r="G177" s="17">
        <f t="shared" si="15"/>
        <v>8.9849999999999994</v>
      </c>
      <c r="H177" s="43">
        <f t="shared" si="16"/>
        <v>43.789313999999997</v>
      </c>
      <c r="I177" s="5"/>
      <c r="J177" s="5"/>
      <c r="K177" s="21">
        <f t="shared" si="17"/>
        <v>3.915</v>
      </c>
      <c r="L177" s="10"/>
      <c r="M177" s="17">
        <v>9.16</v>
      </c>
      <c r="N177" s="43">
        <v>43.789313999999997</v>
      </c>
      <c r="O177" s="5"/>
      <c r="P177" s="5"/>
      <c r="Q177" s="5">
        <v>4.09</v>
      </c>
      <c r="R177" s="10"/>
      <c r="T177" s="1">
        <v>24.094695999999999</v>
      </c>
      <c r="U177">
        <v>19.694617999999998</v>
      </c>
      <c r="V177" s="1">
        <f t="shared" si="18"/>
        <v>43.789313999999997</v>
      </c>
      <c r="W177" s="17">
        <v>9.16</v>
      </c>
      <c r="X177" s="21">
        <v>4.09</v>
      </c>
    </row>
    <row r="178" spans="1:24" ht="15" x14ac:dyDescent="0.25">
      <c r="A178" s="27" t="s">
        <v>42</v>
      </c>
      <c r="B178" s="68"/>
      <c r="C178" s="38"/>
      <c r="D178" s="20"/>
      <c r="E178" s="20"/>
      <c r="F178" s="20"/>
      <c r="G178" s="38">
        <f t="shared" si="15"/>
        <v>0.89500000000000002</v>
      </c>
      <c r="H178" s="105">
        <f t="shared" si="16"/>
        <v>0.44938639999999996</v>
      </c>
      <c r="I178" s="20"/>
      <c r="J178" s="20"/>
      <c r="K178" s="33">
        <f t="shared" si="17"/>
        <v>0.57499999999999996</v>
      </c>
      <c r="L178" s="308"/>
      <c r="M178" s="38">
        <v>1.07</v>
      </c>
      <c r="N178" s="43">
        <v>0.44938639000000002</v>
      </c>
      <c r="O178" s="20"/>
      <c r="P178" s="20"/>
      <c r="Q178" s="20">
        <v>0.75</v>
      </c>
      <c r="R178" s="308"/>
      <c r="T178" s="1">
        <v>0.15814723</v>
      </c>
      <c r="U178">
        <v>0.29123916999999999</v>
      </c>
      <c r="V178" s="1">
        <f t="shared" si="18"/>
        <v>0.44938639999999996</v>
      </c>
      <c r="W178" s="38">
        <v>1.07</v>
      </c>
      <c r="X178" s="33">
        <v>0.75</v>
      </c>
    </row>
    <row r="179" spans="1:24" ht="15" x14ac:dyDescent="0.25">
      <c r="A179" s="1" t="s">
        <v>44</v>
      </c>
      <c r="B179" s="31">
        <v>2</v>
      </c>
      <c r="C179" s="163"/>
      <c r="D179" s="24"/>
      <c r="E179" s="24"/>
      <c r="F179" s="24"/>
      <c r="G179" s="163">
        <f t="shared" si="15"/>
        <v>20.824999999999999</v>
      </c>
      <c r="H179" s="105">
        <f t="shared" si="16"/>
        <v>2.05591401</v>
      </c>
      <c r="I179" s="5"/>
      <c r="J179" s="5" t="s">
        <v>147</v>
      </c>
      <c r="K179" s="21">
        <f t="shared" si="17"/>
        <v>1.1850000000000001</v>
      </c>
      <c r="L179" s="10"/>
      <c r="M179" s="163">
        <v>21</v>
      </c>
      <c r="N179" s="55">
        <v>2.0559142000000001</v>
      </c>
      <c r="O179" s="5"/>
      <c r="P179" s="5" t="s">
        <v>147</v>
      </c>
      <c r="Q179" s="5">
        <v>1.36</v>
      </c>
      <c r="R179" s="10"/>
      <c r="S179" s="1" t="s">
        <v>255</v>
      </c>
      <c r="T179" s="1">
        <v>0.96658301000000002</v>
      </c>
      <c r="U179">
        <v>1.089331</v>
      </c>
      <c r="V179" s="1">
        <f t="shared" si="18"/>
        <v>2.05591401</v>
      </c>
      <c r="W179" s="163">
        <v>21</v>
      </c>
      <c r="X179" s="21">
        <v>1.36</v>
      </c>
    </row>
    <row r="180" spans="1:24" ht="15" x14ac:dyDescent="0.25">
      <c r="B180" s="67">
        <v>3</v>
      </c>
      <c r="C180" s="30"/>
      <c r="D180" s="23"/>
      <c r="E180" s="23"/>
      <c r="F180" s="23"/>
      <c r="G180" s="311">
        <f t="shared" si="15"/>
        <v>42.415000000000006</v>
      </c>
      <c r="H180" s="105">
        <f t="shared" si="16"/>
        <v>1275.9274605000001</v>
      </c>
      <c r="I180" s="23" t="s">
        <v>46</v>
      </c>
      <c r="J180" s="23" t="s">
        <v>145</v>
      </c>
      <c r="K180" s="32">
        <f t="shared" si="17"/>
        <v>5.4550000000000001</v>
      </c>
      <c r="L180" s="306"/>
      <c r="M180" s="311">
        <v>41.56</v>
      </c>
      <c r="N180" s="55">
        <v>1263.8169</v>
      </c>
      <c r="O180" s="23" t="s">
        <v>46</v>
      </c>
      <c r="P180" s="23" t="s">
        <v>145</v>
      </c>
      <c r="Q180" s="165">
        <v>4.76</v>
      </c>
      <c r="R180" s="306"/>
      <c r="S180">
        <v>12.268364</v>
      </c>
      <c r="T180" s="1">
        <v>1150.6571504999999</v>
      </c>
      <c r="U180">
        <v>125.27030999999999</v>
      </c>
      <c r="V180" s="1">
        <f t="shared" si="18"/>
        <v>1275.9274605000001</v>
      </c>
      <c r="W180" s="311">
        <v>42.59</v>
      </c>
      <c r="X180" s="32">
        <v>5.63</v>
      </c>
    </row>
    <row r="181" spans="1:24" ht="15" x14ac:dyDescent="0.25">
      <c r="B181" s="67">
        <v>4</v>
      </c>
      <c r="C181" s="30"/>
      <c r="D181" s="23"/>
      <c r="E181" s="23"/>
      <c r="F181" s="23"/>
      <c r="G181" s="311">
        <f t="shared" si="15"/>
        <v>62.495000000000005</v>
      </c>
      <c r="H181" s="105">
        <f t="shared" si="16"/>
        <v>5008.1931240000004</v>
      </c>
      <c r="I181" s="23" t="s">
        <v>46</v>
      </c>
      <c r="J181" s="5" t="s">
        <v>145</v>
      </c>
      <c r="K181" s="32">
        <f t="shared" si="17"/>
        <v>12.725</v>
      </c>
      <c r="L181" s="306"/>
      <c r="M181" s="311">
        <v>60.74</v>
      </c>
      <c r="N181" s="55">
        <v>4818.3179</v>
      </c>
      <c r="O181" s="23" t="s">
        <v>46</v>
      </c>
      <c r="P181" s="5" t="s">
        <v>145</v>
      </c>
      <c r="Q181" s="165">
        <v>12.63</v>
      </c>
      <c r="R181" s="306"/>
      <c r="S181">
        <v>190.47685000000001</v>
      </c>
      <c r="T181" s="1">
        <v>4358.4452040000006</v>
      </c>
      <c r="U181">
        <v>649.74792000000002</v>
      </c>
      <c r="V181" s="1">
        <f t="shared" si="18"/>
        <v>5008.1931240000004</v>
      </c>
      <c r="W181" s="311">
        <v>62.67</v>
      </c>
      <c r="X181" s="32">
        <v>12.9</v>
      </c>
    </row>
    <row r="182" spans="1:24" ht="15" x14ac:dyDescent="0.25">
      <c r="B182" s="67">
        <v>5</v>
      </c>
      <c r="C182" s="163"/>
      <c r="D182" s="24"/>
      <c r="E182" s="24"/>
      <c r="F182" s="24"/>
      <c r="G182" s="163">
        <f t="shared" si="15"/>
        <v>35.205000000000005</v>
      </c>
      <c r="H182" s="105">
        <f t="shared" si="16"/>
        <v>839.57927389999986</v>
      </c>
      <c r="I182" s="23"/>
      <c r="J182" s="23" t="s">
        <v>259</v>
      </c>
      <c r="K182" s="32">
        <f t="shared" si="17"/>
        <v>6.0250000000000004</v>
      </c>
      <c r="L182" s="306"/>
      <c r="M182" s="163">
        <v>34.71</v>
      </c>
      <c r="N182" s="55">
        <v>820.56322999999998</v>
      </c>
      <c r="O182" s="23"/>
      <c r="P182" s="23" t="s">
        <v>146</v>
      </c>
      <c r="Q182" s="165">
        <v>5.6</v>
      </c>
      <c r="R182" s="306"/>
      <c r="S182">
        <v>19.09375</v>
      </c>
      <c r="T182" s="1">
        <v>728.08501389999992</v>
      </c>
      <c r="U182">
        <v>111.49426</v>
      </c>
      <c r="V182" s="1">
        <f t="shared" si="18"/>
        <v>839.57927389999986</v>
      </c>
      <c r="W182" s="163">
        <v>35.380000000000003</v>
      </c>
      <c r="X182" s="32">
        <v>6.2</v>
      </c>
    </row>
    <row r="183" spans="1:24" ht="15" x14ac:dyDescent="0.25">
      <c r="B183" s="67">
        <v>6</v>
      </c>
      <c r="C183" s="30"/>
      <c r="D183" s="23"/>
      <c r="E183" s="166"/>
      <c r="F183" s="23"/>
      <c r="G183" s="30">
        <f t="shared" si="15"/>
        <v>31.684999999999999</v>
      </c>
      <c r="H183" s="43">
        <f t="shared" si="16"/>
        <v>748.65156210999999</v>
      </c>
      <c r="I183" s="23"/>
      <c r="J183" s="23"/>
      <c r="K183" s="32">
        <f t="shared" si="17"/>
        <v>8.8249999999999993</v>
      </c>
      <c r="L183" s="306"/>
      <c r="M183" s="30">
        <v>31.46</v>
      </c>
      <c r="N183" s="55">
        <v>747.54407000000003</v>
      </c>
      <c r="O183" s="23"/>
      <c r="P183" s="23"/>
      <c r="Q183" s="23">
        <v>8.77</v>
      </c>
      <c r="R183" s="306"/>
      <c r="S183">
        <v>0.78131169</v>
      </c>
      <c r="T183" s="1">
        <v>572.71827210999993</v>
      </c>
      <c r="U183">
        <v>175.93329</v>
      </c>
      <c r="V183" s="1">
        <f t="shared" si="18"/>
        <v>748.65156210999999</v>
      </c>
      <c r="W183" s="30">
        <v>31.86</v>
      </c>
      <c r="X183" s="32">
        <v>9</v>
      </c>
    </row>
    <row r="184" spans="1:24" ht="15" x14ac:dyDescent="0.25">
      <c r="B184" s="31"/>
      <c r="C184" s="17"/>
      <c r="D184" s="5"/>
      <c r="E184" s="5"/>
      <c r="F184" s="5"/>
      <c r="G184" s="17">
        <f t="shared" si="15"/>
        <v>7.4649999999999999</v>
      </c>
      <c r="H184" s="105">
        <f t="shared" si="16"/>
        <v>54.487238000000005</v>
      </c>
      <c r="I184" s="5"/>
      <c r="J184" s="5">
        <v>-5.41</v>
      </c>
      <c r="K184" s="33">
        <f t="shared" si="17"/>
        <v>2.0550000000000002</v>
      </c>
      <c r="L184" s="312"/>
      <c r="M184" s="17">
        <v>7.64</v>
      </c>
      <c r="N184" s="43">
        <v>54.484248999999998</v>
      </c>
      <c r="O184" s="5"/>
      <c r="P184" s="5">
        <v>-5.41</v>
      </c>
      <c r="Q184" s="75">
        <v>2.23</v>
      </c>
      <c r="R184" s="312"/>
      <c r="T184" s="1">
        <v>35.717598000000002</v>
      </c>
      <c r="U184">
        <v>18.769639999999999</v>
      </c>
      <c r="V184" s="1">
        <f t="shared" si="18"/>
        <v>54.487238000000005</v>
      </c>
      <c r="W184" s="17">
        <v>7.64</v>
      </c>
      <c r="X184" s="33">
        <v>2.23</v>
      </c>
    </row>
    <row r="185" spans="1:24" ht="15" x14ac:dyDescent="0.25">
      <c r="B185" s="67">
        <v>7</v>
      </c>
      <c r="C185" s="30"/>
      <c r="D185" s="23"/>
      <c r="E185" s="23"/>
      <c r="F185" s="23"/>
      <c r="G185" s="30">
        <f t="shared" si="15"/>
        <v>28.484999999999999</v>
      </c>
      <c r="H185" s="43">
        <f t="shared" si="16"/>
        <v>517.51246000000003</v>
      </c>
      <c r="I185" s="23"/>
      <c r="J185" s="23"/>
      <c r="K185" s="21">
        <f t="shared" si="17"/>
        <v>6.2250000000000005</v>
      </c>
      <c r="L185" s="10"/>
      <c r="M185" s="30">
        <v>28.42</v>
      </c>
      <c r="N185" s="55">
        <v>517.47613999999999</v>
      </c>
      <c r="O185" s="23"/>
      <c r="P185" s="23"/>
      <c r="Q185" s="5">
        <v>6.13</v>
      </c>
      <c r="R185" s="10"/>
      <c r="S185">
        <v>2.8503279999999999E-2</v>
      </c>
      <c r="T185" s="1">
        <v>417.23907000000003</v>
      </c>
      <c r="U185">
        <v>100.27339000000001</v>
      </c>
      <c r="V185" s="1">
        <f t="shared" si="18"/>
        <v>517.51246000000003</v>
      </c>
      <c r="W185" s="30">
        <v>28.66</v>
      </c>
      <c r="X185" s="21">
        <v>6.4</v>
      </c>
    </row>
    <row r="186" spans="1:24" ht="15" x14ac:dyDescent="0.25">
      <c r="B186" s="5"/>
      <c r="C186" s="74"/>
      <c r="D186" s="75"/>
      <c r="E186" s="75"/>
      <c r="F186" s="75"/>
      <c r="G186" s="74">
        <f t="shared" si="15"/>
        <v>3.0050000000000003</v>
      </c>
      <c r="H186" s="105">
        <f t="shared" si="16"/>
        <v>5.1995499000000001</v>
      </c>
      <c r="I186" s="5"/>
      <c r="J186" s="5" t="s">
        <v>148</v>
      </c>
      <c r="K186" s="21">
        <f t="shared" si="17"/>
        <v>1.7849999999999999</v>
      </c>
      <c r="L186" s="10"/>
      <c r="M186" s="74">
        <v>3.18</v>
      </c>
      <c r="N186" s="43">
        <v>5.1995502</v>
      </c>
      <c r="O186" s="5"/>
      <c r="P186" s="5" t="s">
        <v>148</v>
      </c>
      <c r="Q186" s="5">
        <v>1.96</v>
      </c>
      <c r="R186" s="10"/>
      <c r="T186" s="1">
        <v>2.5324244</v>
      </c>
      <c r="U186">
        <v>2.6671255</v>
      </c>
      <c r="V186" s="1">
        <f t="shared" si="18"/>
        <v>5.1995499000000001</v>
      </c>
      <c r="W186" s="74">
        <v>3.18</v>
      </c>
      <c r="X186" s="21">
        <v>1.96</v>
      </c>
    </row>
    <row r="187" spans="1:24" ht="15" x14ac:dyDescent="0.25">
      <c r="B187" s="67">
        <v>8</v>
      </c>
      <c r="C187" s="17"/>
      <c r="D187" s="5"/>
      <c r="E187" s="5"/>
      <c r="F187" s="5"/>
      <c r="G187" s="17">
        <f t="shared" si="15"/>
        <v>31.395</v>
      </c>
      <c r="H187" s="43">
        <f t="shared" si="16"/>
        <v>665.70744851680001</v>
      </c>
      <c r="I187" s="23"/>
      <c r="J187" s="23"/>
      <c r="K187" s="32">
        <f t="shared" si="17"/>
        <v>6.2149999999999999</v>
      </c>
      <c r="L187" s="306"/>
      <c r="M187" s="17">
        <v>31.2</v>
      </c>
      <c r="N187" s="55">
        <v>665.50885000000005</v>
      </c>
      <c r="O187" s="23"/>
      <c r="P187" s="23"/>
      <c r="Q187" s="23">
        <v>6.1</v>
      </c>
      <c r="R187" s="306"/>
      <c r="S187">
        <v>0.18917903</v>
      </c>
      <c r="T187" s="1">
        <v>552.19588851679998</v>
      </c>
      <c r="U187">
        <v>113.51156</v>
      </c>
      <c r="V187" s="1">
        <f t="shared" si="18"/>
        <v>665.70744851680001</v>
      </c>
      <c r="W187" s="17">
        <v>31.57</v>
      </c>
      <c r="X187" s="32">
        <v>6.39</v>
      </c>
    </row>
    <row r="188" spans="1:24" ht="15" x14ac:dyDescent="0.25">
      <c r="B188" s="31"/>
      <c r="C188" s="17"/>
      <c r="G188" s="17">
        <f t="shared" si="15"/>
        <v>1.2349999999999999</v>
      </c>
      <c r="H188" s="105">
        <f t="shared" si="16"/>
        <v>1.3474695999999999</v>
      </c>
      <c r="I188" s="5"/>
      <c r="J188" s="5"/>
      <c r="K188" s="21">
        <f t="shared" si="17"/>
        <v>0.95499999999999985</v>
      </c>
      <c r="L188" s="10"/>
      <c r="M188" s="17">
        <v>1.41</v>
      </c>
      <c r="N188" s="43">
        <v>1.3474695999999999</v>
      </c>
      <c r="O188" s="5"/>
      <c r="P188" s="5"/>
      <c r="Q188" s="5">
        <v>1.1299999999999999</v>
      </c>
      <c r="R188" s="10"/>
      <c r="T188" s="1">
        <v>0.49788793999999997</v>
      </c>
      <c r="U188">
        <v>0.84958166000000002</v>
      </c>
      <c r="V188" s="1">
        <f t="shared" si="18"/>
        <v>1.3474695999999999</v>
      </c>
      <c r="W188" s="17">
        <v>1.41</v>
      </c>
      <c r="X188" s="21">
        <v>1.1299999999999999</v>
      </c>
    </row>
    <row r="189" spans="1:24" ht="15" x14ac:dyDescent="0.25">
      <c r="B189" s="67">
        <v>9</v>
      </c>
      <c r="C189" s="30"/>
      <c r="D189" s="23"/>
      <c r="E189" s="23"/>
      <c r="F189" s="23"/>
      <c r="G189" s="30"/>
      <c r="H189" s="105"/>
      <c r="I189" s="23" t="s">
        <v>144</v>
      </c>
      <c r="J189" s="23"/>
      <c r="K189" s="32"/>
      <c r="L189" s="306"/>
      <c r="M189" s="30"/>
      <c r="N189" s="55"/>
      <c r="O189" s="23" t="s">
        <v>144</v>
      </c>
      <c r="P189" s="23"/>
      <c r="Q189" s="23"/>
      <c r="R189" s="306"/>
      <c r="W189" s="30"/>
      <c r="X189" s="32"/>
    </row>
    <row r="190" spans="1:24" ht="15" x14ac:dyDescent="0.25">
      <c r="A190" s="5"/>
      <c r="B190" s="67">
        <v>10</v>
      </c>
      <c r="C190" s="30"/>
      <c r="D190" s="23"/>
      <c r="E190" s="23"/>
      <c r="F190" s="23"/>
      <c r="G190" s="30">
        <f t="shared" si="15"/>
        <v>42.205000000000005</v>
      </c>
      <c r="H190" s="43">
        <f t="shared" si="16"/>
        <v>1986.8659755739998</v>
      </c>
      <c r="I190" s="23"/>
      <c r="J190" s="23"/>
      <c r="K190" s="32">
        <f t="shared" si="17"/>
        <v>10.434999999999999</v>
      </c>
      <c r="L190" s="306"/>
      <c r="M190" s="30">
        <v>41.88</v>
      </c>
      <c r="N190" s="55">
        <v>1985.2496000000001</v>
      </c>
      <c r="O190" s="23"/>
      <c r="P190" s="23"/>
      <c r="Q190" s="23">
        <v>10.24</v>
      </c>
      <c r="R190" s="306"/>
      <c r="S190">
        <v>1.5784841000000001</v>
      </c>
      <c r="T190" s="1">
        <v>1592.5485955739998</v>
      </c>
      <c r="U190">
        <v>394.31738000000001</v>
      </c>
      <c r="V190" s="1">
        <f t="shared" si="18"/>
        <v>1986.8659755739998</v>
      </c>
      <c r="W190" s="30">
        <v>42.38</v>
      </c>
      <c r="X190" s="32">
        <v>10.61</v>
      </c>
    </row>
    <row r="191" spans="1:24" ht="15" x14ac:dyDescent="0.25">
      <c r="A191" s="5"/>
      <c r="B191" s="31"/>
      <c r="C191" s="17"/>
      <c r="G191" s="17">
        <f t="shared" si="15"/>
        <v>11.604999999999999</v>
      </c>
      <c r="H191" s="105">
        <f t="shared" si="16"/>
        <v>131.28289100000001</v>
      </c>
      <c r="I191" s="5"/>
      <c r="J191" s="5"/>
      <c r="K191" s="21">
        <f t="shared" si="17"/>
        <v>4.2250000000000005</v>
      </c>
      <c r="L191" s="10"/>
      <c r="M191" s="17">
        <v>11.78</v>
      </c>
      <c r="N191" s="43">
        <v>131.27782999999999</v>
      </c>
      <c r="O191" s="5"/>
      <c r="P191" s="5"/>
      <c r="Q191" s="5">
        <v>4.4000000000000004</v>
      </c>
      <c r="R191" s="10"/>
      <c r="T191" s="1">
        <v>85.920608999999999</v>
      </c>
      <c r="U191">
        <v>45.362282</v>
      </c>
      <c r="V191" s="1">
        <f t="shared" si="18"/>
        <v>131.28289100000001</v>
      </c>
      <c r="W191" s="17">
        <v>11.78</v>
      </c>
      <c r="X191" s="21">
        <v>4.4000000000000004</v>
      </c>
    </row>
    <row r="192" spans="1:24" ht="15" x14ac:dyDescent="0.25">
      <c r="B192" s="67">
        <v>11</v>
      </c>
      <c r="C192" s="30"/>
      <c r="D192" s="23"/>
      <c r="E192" s="23"/>
      <c r="F192" s="23"/>
      <c r="G192" s="30">
        <f t="shared" si="15"/>
        <v>42.234999999999999</v>
      </c>
      <c r="H192" s="43">
        <f t="shared" si="16"/>
        <v>1459.5132697303302</v>
      </c>
      <c r="I192" s="23"/>
      <c r="J192" s="23"/>
      <c r="K192" s="32">
        <f t="shared" si="17"/>
        <v>6.8550000000000004</v>
      </c>
      <c r="L192" s="306"/>
      <c r="M192" s="30">
        <v>41.91</v>
      </c>
      <c r="N192" s="55">
        <v>1459.2914000000001</v>
      </c>
      <c r="O192" s="23"/>
      <c r="P192" s="23"/>
      <c r="Q192" s="23">
        <v>6.67</v>
      </c>
      <c r="R192" s="306"/>
      <c r="S192">
        <v>0.20549945999999999</v>
      </c>
      <c r="T192" s="1">
        <v>1279.2980597303301</v>
      </c>
      <c r="U192">
        <v>180.21521000000001</v>
      </c>
      <c r="V192" s="1">
        <f t="shared" si="18"/>
        <v>1459.5132697303302</v>
      </c>
      <c r="W192" s="30">
        <v>42.41</v>
      </c>
      <c r="X192" s="32">
        <v>7.03</v>
      </c>
    </row>
    <row r="193" spans="1:24" ht="15" x14ac:dyDescent="0.25">
      <c r="B193" s="31"/>
      <c r="C193" s="17"/>
      <c r="G193" s="17">
        <f t="shared" si="15"/>
        <v>2.1750000000000003</v>
      </c>
      <c r="H193" s="105">
        <f t="shared" si="16"/>
        <v>6.4107097</v>
      </c>
      <c r="I193" s="5"/>
      <c r="J193" s="5"/>
      <c r="K193" s="21">
        <f t="shared" si="17"/>
        <v>1.4350000000000001</v>
      </c>
      <c r="L193" s="10"/>
      <c r="M193" s="17">
        <v>2.35</v>
      </c>
      <c r="N193" s="43">
        <v>6.4107098999999996</v>
      </c>
      <c r="O193" s="5"/>
      <c r="P193" s="5"/>
      <c r="Q193" s="5">
        <v>1.61</v>
      </c>
      <c r="R193" s="10"/>
      <c r="T193" s="1">
        <v>3.3505147000000002</v>
      </c>
      <c r="U193">
        <v>3.0601950000000002</v>
      </c>
      <c r="V193" s="1">
        <f t="shared" si="18"/>
        <v>6.4107097</v>
      </c>
      <c r="W193" s="17">
        <v>2.35</v>
      </c>
      <c r="X193" s="21">
        <v>1.61</v>
      </c>
    </row>
    <row r="194" spans="1:24" ht="16.5" x14ac:dyDescent="0.3">
      <c r="B194" s="70">
        <v>12</v>
      </c>
      <c r="C194" s="71"/>
      <c r="D194" s="32"/>
      <c r="E194" s="167"/>
      <c r="F194" s="32"/>
      <c r="G194" s="71">
        <f t="shared" si="15"/>
        <v>31.695</v>
      </c>
      <c r="H194" s="43">
        <f t="shared" si="16"/>
        <v>1007.147763393</v>
      </c>
      <c r="I194" s="32"/>
      <c r="J194" s="32"/>
      <c r="K194" s="32">
        <f t="shared" si="17"/>
        <v>7.7650000000000006</v>
      </c>
      <c r="L194" s="306"/>
      <c r="M194" s="71">
        <v>31.4</v>
      </c>
      <c r="N194" s="55">
        <v>1005.2631</v>
      </c>
      <c r="O194" s="32"/>
      <c r="P194" s="32"/>
      <c r="Q194" s="32">
        <v>7.61</v>
      </c>
      <c r="R194" s="306"/>
      <c r="S194">
        <v>1.9205235000000001</v>
      </c>
      <c r="T194" s="1">
        <v>794.85165339299999</v>
      </c>
      <c r="U194">
        <v>212.29611</v>
      </c>
      <c r="V194" s="1">
        <f t="shared" si="18"/>
        <v>1007.147763393</v>
      </c>
      <c r="W194" s="71">
        <v>31.87</v>
      </c>
      <c r="X194" s="32">
        <v>7.94</v>
      </c>
    </row>
    <row r="195" spans="1:24" ht="15" x14ac:dyDescent="0.25">
      <c r="B195" s="69"/>
      <c r="C195" s="29"/>
      <c r="D195" s="63"/>
      <c r="E195" s="63"/>
      <c r="F195" s="63"/>
      <c r="G195" s="29">
        <f t="shared" si="15"/>
        <v>5.3250000000000002</v>
      </c>
      <c r="H195" s="105">
        <f t="shared" si="16"/>
        <v>46.051186999999999</v>
      </c>
      <c r="I195" s="21"/>
      <c r="J195" s="21"/>
      <c r="K195" s="21">
        <f t="shared" si="17"/>
        <v>2.9050000000000002</v>
      </c>
      <c r="L195" s="10"/>
      <c r="M195" s="29">
        <v>5.5</v>
      </c>
      <c r="N195" s="43">
        <v>46.051189000000001</v>
      </c>
      <c r="O195" s="21"/>
      <c r="P195" s="21"/>
      <c r="Q195" s="21">
        <v>3.08</v>
      </c>
      <c r="R195" s="10"/>
      <c r="T195" s="1">
        <v>20.207215999999999</v>
      </c>
      <c r="U195">
        <v>25.843971</v>
      </c>
      <c r="V195" s="1">
        <f t="shared" si="18"/>
        <v>46.051186999999999</v>
      </c>
      <c r="W195" s="29">
        <v>5.5</v>
      </c>
      <c r="X195" s="21">
        <v>3.08</v>
      </c>
    </row>
    <row r="196" spans="1:24" ht="15" x14ac:dyDescent="0.25">
      <c r="B196" s="67">
        <v>13</v>
      </c>
      <c r="C196" s="30"/>
      <c r="D196" s="23"/>
      <c r="E196" s="23"/>
      <c r="F196" s="23"/>
      <c r="G196" s="30">
        <f t="shared" si="15"/>
        <v>26.395</v>
      </c>
      <c r="H196" s="43">
        <f t="shared" si="16"/>
        <v>614.65508999999997</v>
      </c>
      <c r="I196" s="23"/>
      <c r="J196" s="23"/>
      <c r="K196" s="32">
        <f t="shared" si="17"/>
        <v>6.415</v>
      </c>
      <c r="L196" s="306"/>
      <c r="M196" s="30">
        <v>26.35</v>
      </c>
      <c r="N196" s="55">
        <v>614.58936000000006</v>
      </c>
      <c r="O196" s="23"/>
      <c r="P196" s="23"/>
      <c r="Q196" s="23">
        <v>6.35</v>
      </c>
      <c r="R196" s="306"/>
      <c r="S196">
        <v>7.1488068000000002E-2</v>
      </c>
      <c r="T196" s="1">
        <v>488.84643999999997</v>
      </c>
      <c r="U196">
        <v>125.80865</v>
      </c>
      <c r="V196" s="1">
        <f t="shared" si="18"/>
        <v>614.65508999999997</v>
      </c>
      <c r="W196" s="30">
        <v>26.57</v>
      </c>
      <c r="X196" s="32">
        <v>6.59</v>
      </c>
    </row>
    <row r="197" spans="1:24" ht="15" x14ac:dyDescent="0.25">
      <c r="B197" s="31"/>
      <c r="C197" s="17"/>
      <c r="G197" s="17">
        <f t="shared" si="15"/>
        <v>2.2050000000000001</v>
      </c>
      <c r="H197" s="105">
        <f t="shared" si="16"/>
        <v>6.7573465000000006</v>
      </c>
      <c r="I197" s="5"/>
      <c r="J197" s="5"/>
      <c r="K197" s="21">
        <f t="shared" si="17"/>
        <v>1.6850000000000001</v>
      </c>
      <c r="L197" s="10"/>
      <c r="M197" s="17">
        <v>2.38</v>
      </c>
      <c r="N197" s="43">
        <v>6.7573461999999997</v>
      </c>
      <c r="O197" s="5"/>
      <c r="P197" s="5"/>
      <c r="Q197" s="5">
        <v>1.86</v>
      </c>
      <c r="R197" s="10"/>
      <c r="T197" s="1">
        <v>1.7104267</v>
      </c>
      <c r="U197">
        <v>5.0469198000000004</v>
      </c>
      <c r="V197" s="1">
        <f t="shared" si="18"/>
        <v>6.7573465000000006</v>
      </c>
      <c r="W197" s="17">
        <v>2.38</v>
      </c>
      <c r="X197" s="21">
        <v>1.86</v>
      </c>
    </row>
    <row r="198" spans="1:24" ht="15" x14ac:dyDescent="0.25">
      <c r="B198" s="168">
        <v>14</v>
      </c>
      <c r="C198" s="163"/>
      <c r="D198" s="24"/>
      <c r="E198" s="24"/>
      <c r="F198" s="24"/>
      <c r="G198" s="163">
        <f t="shared" si="15"/>
        <v>21.164999999999999</v>
      </c>
      <c r="H198" s="105">
        <f t="shared" si="16"/>
        <v>428.24178892129999</v>
      </c>
      <c r="I198" s="23"/>
      <c r="J198" s="23" t="s">
        <v>260</v>
      </c>
      <c r="K198" s="32">
        <f t="shared" si="17"/>
        <v>6.1749999999999998</v>
      </c>
      <c r="L198" s="306"/>
      <c r="M198" s="163">
        <v>20.98</v>
      </c>
      <c r="N198" s="55">
        <v>427.96411000000001</v>
      </c>
      <c r="O198" s="23"/>
      <c r="P198" s="23" t="s">
        <v>149</v>
      </c>
      <c r="Q198" s="23">
        <v>6.22</v>
      </c>
      <c r="R198" s="306"/>
      <c r="S198">
        <v>0.28411334999999999</v>
      </c>
      <c r="T198" s="1">
        <v>312.1332189213</v>
      </c>
      <c r="U198">
        <v>116.10857</v>
      </c>
      <c r="V198" s="1">
        <f t="shared" si="18"/>
        <v>428.24178892129999</v>
      </c>
      <c r="W198" s="163">
        <v>21.34</v>
      </c>
      <c r="X198" s="32">
        <v>6.35</v>
      </c>
    </row>
    <row r="199" spans="1:24" ht="15" x14ac:dyDescent="0.25">
      <c r="B199" s="168">
        <v>15</v>
      </c>
      <c r="C199" s="169"/>
      <c r="D199" s="24"/>
      <c r="E199" s="24"/>
      <c r="F199" s="24"/>
      <c r="G199" s="163">
        <f t="shared" si="15"/>
        <v>16.945</v>
      </c>
      <c r="H199" s="221">
        <f t="shared" si="16"/>
        <v>209.626691607</v>
      </c>
      <c r="I199" s="23"/>
      <c r="J199" s="23" t="s">
        <v>261</v>
      </c>
      <c r="K199" s="32">
        <f t="shared" si="17"/>
        <v>4.5550000000000006</v>
      </c>
      <c r="L199" s="306"/>
      <c r="M199" s="163">
        <v>17.21</v>
      </c>
      <c r="N199" s="221">
        <v>207.23471000000001</v>
      </c>
      <c r="O199" s="23"/>
      <c r="P199" s="23" t="s">
        <v>150</v>
      </c>
      <c r="Q199" s="23">
        <v>4.9800000000000004</v>
      </c>
      <c r="R199" s="306"/>
      <c r="S199">
        <v>2.3938158</v>
      </c>
      <c r="T199" s="1">
        <v>154.49422260700001</v>
      </c>
      <c r="U199">
        <v>55.132469</v>
      </c>
      <c r="V199" s="1">
        <f>U199+T199</f>
        <v>209.626691607</v>
      </c>
      <c r="W199" s="163">
        <v>17.12</v>
      </c>
      <c r="X199" s="32">
        <v>4.7300000000000004</v>
      </c>
    </row>
    <row r="200" spans="1:24" ht="15" x14ac:dyDescent="0.25">
      <c r="A200" s="23" t="s">
        <v>78</v>
      </c>
      <c r="B200" s="32">
        <v>1</v>
      </c>
      <c r="C200" s="71"/>
      <c r="D200" s="32"/>
      <c r="E200" s="32"/>
      <c r="F200" s="32"/>
      <c r="G200" s="313"/>
      <c r="H200" s="105"/>
      <c r="I200" s="173" t="s">
        <v>144</v>
      </c>
      <c r="J200" s="173"/>
      <c r="K200" s="173"/>
      <c r="L200" s="310"/>
      <c r="M200" s="313"/>
      <c r="N200" s="221"/>
      <c r="O200" s="173" t="s">
        <v>144</v>
      </c>
      <c r="P200" s="173"/>
      <c r="Q200" s="173"/>
      <c r="R200" s="310"/>
      <c r="S200" s="164"/>
      <c r="W200" s="313"/>
      <c r="X200" s="173"/>
    </row>
    <row r="201" spans="1:24" ht="15" x14ac:dyDescent="0.25">
      <c r="A201" s="1" t="s">
        <v>3</v>
      </c>
      <c r="B201" s="24">
        <v>2</v>
      </c>
      <c r="C201" s="163"/>
      <c r="D201" s="24"/>
      <c r="E201" s="24"/>
      <c r="F201" s="24"/>
      <c r="G201" s="163">
        <f t="shared" si="15"/>
        <v>32.575000000000003</v>
      </c>
      <c r="H201" s="43">
        <f t="shared" si="16"/>
        <v>417.823778812</v>
      </c>
      <c r="I201" s="23" t="s">
        <v>46</v>
      </c>
      <c r="J201" s="32" t="s">
        <v>263</v>
      </c>
      <c r="K201" s="32">
        <f t="shared" si="17"/>
        <v>4.625</v>
      </c>
      <c r="L201" s="310"/>
      <c r="M201" s="163">
        <v>32.42</v>
      </c>
      <c r="N201" s="43">
        <v>417.15429999999998</v>
      </c>
      <c r="O201" s="23" t="s">
        <v>46</v>
      </c>
      <c r="P201" s="32" t="s">
        <v>152</v>
      </c>
      <c r="Q201" s="32">
        <v>4.47</v>
      </c>
      <c r="R201" s="310"/>
      <c r="S201">
        <v>0.70489252000000002</v>
      </c>
      <c r="T201" s="63">
        <v>369.93454000000003</v>
      </c>
      <c r="U201" s="1">
        <v>47.889238812000002</v>
      </c>
      <c r="V201" s="1">
        <f t="shared" ref="V201:V231" si="19">U201+T201</f>
        <v>417.823778812</v>
      </c>
      <c r="W201" s="163">
        <v>32.75</v>
      </c>
      <c r="X201" s="32">
        <v>4.8</v>
      </c>
    </row>
    <row r="202" spans="1:24" ht="15" x14ac:dyDescent="0.25">
      <c r="A202" s="27" t="s">
        <v>42</v>
      </c>
      <c r="B202" s="33"/>
      <c r="C202" s="76"/>
      <c r="D202" s="33"/>
      <c r="E202" s="33"/>
      <c r="F202" s="33"/>
      <c r="G202" s="29">
        <f t="shared" si="15"/>
        <v>1.9349999999999998</v>
      </c>
      <c r="H202" s="105">
        <f t="shared" si="16"/>
        <v>4.6723841999999998</v>
      </c>
      <c r="I202" s="21"/>
      <c r="J202" s="21"/>
      <c r="K202" s="21">
        <f t="shared" si="17"/>
        <v>1.175</v>
      </c>
      <c r="L202" s="312"/>
      <c r="M202" s="29">
        <v>2.11</v>
      </c>
      <c r="N202" s="105">
        <v>4.6723843</v>
      </c>
      <c r="O202" s="21"/>
      <c r="P202" s="21"/>
      <c r="Q202" s="21">
        <v>1.35</v>
      </c>
      <c r="R202" s="312"/>
      <c r="T202" s="63">
        <v>1.9951262000000001</v>
      </c>
      <c r="U202" s="1">
        <v>2.6772580000000001</v>
      </c>
      <c r="V202" s="1">
        <f t="shared" si="19"/>
        <v>4.6723841999999998</v>
      </c>
      <c r="W202" s="29">
        <v>2.11</v>
      </c>
      <c r="X202" s="21">
        <v>1.35</v>
      </c>
    </row>
    <row r="203" spans="1:24" ht="15" x14ac:dyDescent="0.25">
      <c r="A203" s="1" t="s">
        <v>45</v>
      </c>
      <c r="B203" s="21">
        <v>3</v>
      </c>
      <c r="C203" s="29"/>
      <c r="D203" s="21"/>
      <c r="E203" s="21"/>
      <c r="F203" s="21"/>
      <c r="G203" s="314"/>
      <c r="H203" s="105"/>
      <c r="I203" s="173" t="s">
        <v>144</v>
      </c>
      <c r="J203" s="164"/>
      <c r="K203" s="164"/>
      <c r="L203" s="309"/>
      <c r="M203" s="314"/>
      <c r="N203" s="221"/>
      <c r="O203" s="173" t="s">
        <v>144</v>
      </c>
      <c r="P203" s="164"/>
      <c r="Q203" s="164"/>
      <c r="R203" s="309"/>
      <c r="T203" s="63">
        <v>0</v>
      </c>
      <c r="W203" s="314"/>
      <c r="X203" s="164"/>
    </row>
    <row r="204" spans="1:24" ht="15" x14ac:dyDescent="0.25">
      <c r="B204" s="32">
        <v>4</v>
      </c>
      <c r="C204" s="71"/>
      <c r="D204" s="32"/>
      <c r="E204" s="32"/>
      <c r="F204" s="32"/>
      <c r="G204" s="71">
        <f t="shared" si="15"/>
        <v>43.715000000000003</v>
      </c>
      <c r="H204" s="43">
        <f t="shared" si="16"/>
        <v>966.11354990600012</v>
      </c>
      <c r="I204" s="23" t="s">
        <v>46</v>
      </c>
      <c r="J204" s="32" t="s">
        <v>153</v>
      </c>
      <c r="K204" s="32">
        <f t="shared" si="17"/>
        <v>12.864999999999998</v>
      </c>
      <c r="L204" s="310"/>
      <c r="M204" s="71">
        <v>43.66</v>
      </c>
      <c r="N204" s="43">
        <v>964.16168000000005</v>
      </c>
      <c r="O204" s="23" t="s">
        <v>46</v>
      </c>
      <c r="P204" s="32" t="s">
        <v>153</v>
      </c>
      <c r="Q204" s="165">
        <v>13</v>
      </c>
      <c r="R204" s="310"/>
      <c r="S204">
        <v>1.8783338999999999</v>
      </c>
      <c r="T204" s="63">
        <v>608.92664000000002</v>
      </c>
      <c r="U204" s="1">
        <v>357.18690990600004</v>
      </c>
      <c r="V204" s="1">
        <f t="shared" si="19"/>
        <v>966.11354990600012</v>
      </c>
      <c r="W204" s="71">
        <v>43.89</v>
      </c>
      <c r="X204" s="32">
        <v>13.04</v>
      </c>
    </row>
    <row r="205" spans="1:24" ht="15" x14ac:dyDescent="0.25">
      <c r="B205" s="21"/>
      <c r="C205" s="29"/>
      <c r="D205" s="21"/>
      <c r="E205" s="21"/>
      <c r="F205" s="21"/>
      <c r="G205" s="29">
        <f t="shared" si="15"/>
        <v>28.654999999999998</v>
      </c>
      <c r="H205" s="43">
        <f t="shared" si="16"/>
        <v>469.99387400000001</v>
      </c>
      <c r="I205" s="21"/>
      <c r="J205" s="21" t="s">
        <v>154</v>
      </c>
      <c r="K205" s="21">
        <f t="shared" si="17"/>
        <v>4.5650000000000004</v>
      </c>
      <c r="L205" s="309"/>
      <c r="M205" s="29">
        <v>28.83</v>
      </c>
      <c r="N205" s="43">
        <v>469.99387000000002</v>
      </c>
      <c r="O205" s="21"/>
      <c r="P205" s="21" t="s">
        <v>154</v>
      </c>
      <c r="Q205" s="177">
        <v>4.74</v>
      </c>
      <c r="R205" s="309"/>
      <c r="T205" s="63">
        <v>405.91210999999998</v>
      </c>
      <c r="U205" s="1">
        <v>64.081764000000007</v>
      </c>
      <c r="V205" s="1">
        <f t="shared" si="19"/>
        <v>469.99387400000001</v>
      </c>
      <c r="W205" s="29">
        <v>28.83</v>
      </c>
      <c r="X205" s="21">
        <v>4.74</v>
      </c>
    </row>
    <row r="206" spans="1:24" ht="15" x14ac:dyDescent="0.25">
      <c r="B206" s="21"/>
      <c r="C206" s="29"/>
      <c r="D206" s="21"/>
      <c r="E206" s="21"/>
      <c r="F206" s="21"/>
      <c r="G206" s="29">
        <f t="shared" si="15"/>
        <v>3.1150000000000002</v>
      </c>
      <c r="H206" s="43">
        <f t="shared" si="16"/>
        <v>3.2435172000000003</v>
      </c>
      <c r="I206" s="174" t="s">
        <v>155</v>
      </c>
      <c r="J206" s="5"/>
      <c r="K206" s="21">
        <f t="shared" si="17"/>
        <v>1.1950000000000001</v>
      </c>
      <c r="L206" s="309"/>
      <c r="M206" s="29">
        <v>3.29</v>
      </c>
      <c r="N206" s="43">
        <v>3.2435171999999999</v>
      </c>
      <c r="O206" s="174" t="s">
        <v>155</v>
      </c>
      <c r="P206" s="5"/>
      <c r="Q206" s="177">
        <v>1.37</v>
      </c>
      <c r="R206" s="309"/>
      <c r="T206" s="63">
        <v>1.4238093000000001</v>
      </c>
      <c r="U206" s="1">
        <v>1.8197079</v>
      </c>
      <c r="V206" s="1">
        <f t="shared" si="19"/>
        <v>3.2435172000000003</v>
      </c>
      <c r="W206" s="29">
        <v>3.29</v>
      </c>
      <c r="X206" s="21">
        <v>1.37</v>
      </c>
    </row>
    <row r="207" spans="1:24" ht="15" x14ac:dyDescent="0.25">
      <c r="B207" s="33"/>
      <c r="C207" s="76"/>
      <c r="D207" s="33"/>
      <c r="E207" s="33"/>
      <c r="F207" s="33"/>
      <c r="G207" s="76">
        <f t="shared" si="15"/>
        <v>3.5450000000000004</v>
      </c>
      <c r="H207" s="101">
        <f t="shared" si="16"/>
        <v>2.0863991899999998</v>
      </c>
      <c r="I207" s="175" t="s">
        <v>156</v>
      </c>
      <c r="J207" s="5"/>
      <c r="K207" s="33">
        <f t="shared" si="17"/>
        <v>1.595</v>
      </c>
      <c r="L207" s="312"/>
      <c r="M207" s="76">
        <v>3.72</v>
      </c>
      <c r="N207" s="43">
        <v>2.0863991</v>
      </c>
      <c r="O207" s="175" t="s">
        <v>156</v>
      </c>
      <c r="P207" s="5"/>
      <c r="Q207" s="161">
        <v>1.77</v>
      </c>
      <c r="R207" s="312"/>
      <c r="T207" s="63">
        <v>1.4274879</v>
      </c>
      <c r="U207" s="1">
        <v>0.65891129000000004</v>
      </c>
      <c r="V207" s="1">
        <f t="shared" si="19"/>
        <v>2.0863991899999998</v>
      </c>
      <c r="W207" s="76">
        <v>3.72</v>
      </c>
      <c r="X207" s="33">
        <v>1.77</v>
      </c>
    </row>
    <row r="208" spans="1:24" ht="15" x14ac:dyDescent="0.25">
      <c r="B208" s="21">
        <v>5</v>
      </c>
      <c r="C208" s="29"/>
      <c r="D208" s="21"/>
      <c r="E208" s="21"/>
      <c r="F208" s="21"/>
      <c r="G208" s="29">
        <f t="shared" si="15"/>
        <v>30.015000000000001</v>
      </c>
      <c r="H208" s="43">
        <f t="shared" si="16"/>
        <v>461.98531700000001</v>
      </c>
      <c r="I208" s="23" t="s">
        <v>46</v>
      </c>
      <c r="J208" s="32"/>
      <c r="K208" s="21">
        <f t="shared" si="17"/>
        <v>7.4249999999999998</v>
      </c>
      <c r="L208" s="309"/>
      <c r="M208" s="29">
        <v>30.17</v>
      </c>
      <c r="N208" s="43">
        <v>461.98532</v>
      </c>
      <c r="O208" s="23" t="s">
        <v>46</v>
      </c>
      <c r="P208" s="32"/>
      <c r="Q208" s="21">
        <v>7.57</v>
      </c>
      <c r="R208" s="309"/>
      <c r="T208" s="63">
        <v>375.69069999999999</v>
      </c>
      <c r="U208" s="1">
        <v>86.294617000000002</v>
      </c>
      <c r="V208" s="1">
        <f t="shared" si="19"/>
        <v>461.98531700000001</v>
      </c>
      <c r="W208" s="29">
        <v>30.19</v>
      </c>
      <c r="X208" s="21">
        <v>7.6</v>
      </c>
    </row>
    <row r="209" spans="2:24" ht="15" x14ac:dyDescent="0.25">
      <c r="B209" s="21"/>
      <c r="C209" s="29"/>
      <c r="D209" s="21"/>
      <c r="E209" s="21"/>
      <c r="F209" s="21"/>
      <c r="G209" s="29">
        <f t="shared" si="15"/>
        <v>5.8050000000000006</v>
      </c>
      <c r="H209" s="43">
        <f t="shared" si="16"/>
        <v>11.448181200000001</v>
      </c>
      <c r="I209" s="174" t="s">
        <v>155</v>
      </c>
      <c r="J209" s="5"/>
      <c r="K209" s="21">
        <f t="shared" si="17"/>
        <v>2.5050000000000003</v>
      </c>
      <c r="L209" s="309"/>
      <c r="M209" s="29">
        <v>5.98</v>
      </c>
      <c r="N209" s="43">
        <v>11.448181</v>
      </c>
      <c r="O209" s="174" t="s">
        <v>155</v>
      </c>
      <c r="P209" s="5"/>
      <c r="Q209" s="177">
        <v>2.68</v>
      </c>
      <c r="R209" s="309"/>
      <c r="T209" s="63">
        <v>5.9798612999999996</v>
      </c>
      <c r="U209" s="1">
        <v>5.4683199</v>
      </c>
      <c r="V209" s="1">
        <f t="shared" si="19"/>
        <v>11.448181200000001</v>
      </c>
      <c r="W209" s="29">
        <v>5.98</v>
      </c>
      <c r="X209" s="21">
        <v>2.68</v>
      </c>
    </row>
    <row r="210" spans="2:24" ht="15" x14ac:dyDescent="0.25">
      <c r="B210" s="75"/>
      <c r="C210" s="74"/>
      <c r="D210" s="75"/>
      <c r="E210" s="75"/>
      <c r="F210" s="75"/>
      <c r="G210" s="74">
        <f t="shared" si="15"/>
        <v>5.625</v>
      </c>
      <c r="H210" s="101">
        <f t="shared" si="16"/>
        <v>5.4883215000000005</v>
      </c>
      <c r="I210" s="175" t="s">
        <v>156</v>
      </c>
      <c r="J210" s="5" t="s">
        <v>157</v>
      </c>
      <c r="K210" s="33">
        <f t="shared" si="17"/>
        <v>2.0950000000000002</v>
      </c>
      <c r="L210" s="312"/>
      <c r="M210" s="74">
        <v>5.8</v>
      </c>
      <c r="N210" s="101">
        <v>5.4883217999999996</v>
      </c>
      <c r="O210" s="175" t="s">
        <v>156</v>
      </c>
      <c r="P210" s="5" t="s">
        <v>157</v>
      </c>
      <c r="Q210" s="161">
        <v>2.27</v>
      </c>
      <c r="R210" s="312"/>
      <c r="T210" s="63">
        <v>3.5605578000000002</v>
      </c>
      <c r="U210" s="1">
        <v>1.9277637000000001</v>
      </c>
      <c r="V210" s="1">
        <f t="shared" si="19"/>
        <v>5.4883215000000005</v>
      </c>
      <c r="W210" s="74">
        <v>5.8</v>
      </c>
      <c r="X210" s="33">
        <v>2.27</v>
      </c>
    </row>
    <row r="211" spans="2:24" ht="15" x14ac:dyDescent="0.25">
      <c r="B211" s="21">
        <v>6</v>
      </c>
      <c r="C211" s="29"/>
      <c r="D211" s="21"/>
      <c r="E211" s="21"/>
      <c r="F211" s="21"/>
      <c r="G211" s="29">
        <f t="shared" si="15"/>
        <v>24.314999999999998</v>
      </c>
      <c r="H211" s="43">
        <f t="shared" si="16"/>
        <v>267.76167800000002</v>
      </c>
      <c r="I211" s="23" t="s">
        <v>46</v>
      </c>
      <c r="J211" s="32" t="s">
        <v>158</v>
      </c>
      <c r="K211" s="21">
        <f t="shared" si="17"/>
        <v>5.5650000000000004</v>
      </c>
      <c r="L211" s="309"/>
      <c r="M211" s="29">
        <v>24.11</v>
      </c>
      <c r="N211" s="43">
        <v>266.85424999999998</v>
      </c>
      <c r="O211" s="23" t="s">
        <v>46</v>
      </c>
      <c r="P211" s="32" t="s">
        <v>158</v>
      </c>
      <c r="Q211" s="21">
        <v>5.38</v>
      </c>
      <c r="R211" s="309"/>
      <c r="S211">
        <v>1.0007817999999999</v>
      </c>
      <c r="T211" s="63">
        <v>216.28935000000001</v>
      </c>
      <c r="U211" s="1">
        <v>51.472327999999997</v>
      </c>
      <c r="V211" s="1">
        <f t="shared" si="19"/>
        <v>267.76167800000002</v>
      </c>
      <c r="W211" s="29">
        <v>24.49</v>
      </c>
      <c r="X211" s="21">
        <v>5.74</v>
      </c>
    </row>
    <row r="212" spans="2:24" ht="15" x14ac:dyDescent="0.25">
      <c r="B212" s="33"/>
      <c r="C212" s="76"/>
      <c r="D212" s="33"/>
      <c r="E212" s="33"/>
      <c r="F212" s="33"/>
      <c r="G212" s="76">
        <f t="shared" si="15"/>
        <v>6.2250000000000005</v>
      </c>
      <c r="H212" s="105">
        <f t="shared" si="16"/>
        <v>11.6967097</v>
      </c>
      <c r="I212" s="33"/>
      <c r="J212" s="33"/>
      <c r="K212" s="33">
        <f t="shared" si="17"/>
        <v>3.1150000000000002</v>
      </c>
      <c r="L212" s="312"/>
      <c r="M212" s="76">
        <v>6.4</v>
      </c>
      <c r="N212" s="105">
        <v>11.696709999999999</v>
      </c>
      <c r="O212" s="33"/>
      <c r="P212" s="33"/>
      <c r="Q212" s="33">
        <v>3.29</v>
      </c>
      <c r="R212" s="312"/>
      <c r="T212" s="63">
        <v>5.8393883999999998</v>
      </c>
      <c r="U212" s="1">
        <v>5.8573212999999997</v>
      </c>
      <c r="V212" s="1">
        <f t="shared" si="19"/>
        <v>11.6967097</v>
      </c>
      <c r="W212" s="76">
        <v>6.4</v>
      </c>
      <c r="X212" s="33">
        <v>3.29</v>
      </c>
    </row>
    <row r="213" spans="2:24" ht="15" x14ac:dyDescent="0.25">
      <c r="B213" s="21">
        <v>7</v>
      </c>
      <c r="C213" s="29"/>
      <c r="D213" s="21"/>
      <c r="E213" s="21"/>
      <c r="F213" s="21"/>
      <c r="G213" s="29">
        <f t="shared" si="15"/>
        <v>21.195</v>
      </c>
      <c r="H213" s="43">
        <f t="shared" si="16"/>
        <v>168.41505100000001</v>
      </c>
      <c r="I213" s="23" t="s">
        <v>46</v>
      </c>
      <c r="J213" s="21"/>
      <c r="K213" s="21">
        <f t="shared" si="17"/>
        <v>4.3849999999999998</v>
      </c>
      <c r="L213" s="309"/>
      <c r="M213" s="29">
        <v>21.35</v>
      </c>
      <c r="N213" s="43">
        <v>168.32907</v>
      </c>
      <c r="O213" s="23" t="s">
        <v>46</v>
      </c>
      <c r="P213" s="21"/>
      <c r="Q213" s="21">
        <v>4.46</v>
      </c>
      <c r="R213" s="309"/>
      <c r="S213">
        <v>0.10299799</v>
      </c>
      <c r="T213" s="63">
        <v>141.96089000000001</v>
      </c>
      <c r="U213" s="1">
        <v>26.454160999999999</v>
      </c>
      <c r="V213" s="1">
        <f t="shared" si="19"/>
        <v>168.41505100000001</v>
      </c>
      <c r="W213" s="29">
        <v>21.37</v>
      </c>
      <c r="X213" s="21">
        <v>4.5599999999999996</v>
      </c>
    </row>
    <row r="214" spans="2:24" ht="15" x14ac:dyDescent="0.25">
      <c r="B214" s="33"/>
      <c r="C214" s="76"/>
      <c r="D214" s="33"/>
      <c r="E214" s="33"/>
      <c r="F214" s="33"/>
      <c r="G214" s="76">
        <f t="shared" si="15"/>
        <v>2.0150000000000001</v>
      </c>
      <c r="H214" s="105">
        <f t="shared" si="16"/>
        <v>1.1939030900000001</v>
      </c>
      <c r="I214" s="33"/>
      <c r="J214" s="33" t="s">
        <v>159</v>
      </c>
      <c r="K214" s="33">
        <f t="shared" si="17"/>
        <v>1.135</v>
      </c>
      <c r="L214" s="312"/>
      <c r="M214" s="76">
        <v>2.19</v>
      </c>
      <c r="N214" s="105">
        <v>1.1939031</v>
      </c>
      <c r="O214" s="33"/>
      <c r="P214" s="33" t="s">
        <v>159</v>
      </c>
      <c r="Q214" s="33">
        <v>1.31</v>
      </c>
      <c r="R214" s="312"/>
      <c r="T214" s="63">
        <v>0.51843857999999998</v>
      </c>
      <c r="U214" s="1">
        <v>0.67546450999999996</v>
      </c>
      <c r="V214" s="1">
        <f t="shared" si="19"/>
        <v>1.1939030900000001</v>
      </c>
      <c r="W214" s="76">
        <v>2.19</v>
      </c>
      <c r="X214" s="33">
        <v>1.31</v>
      </c>
    </row>
    <row r="215" spans="2:24" ht="15" x14ac:dyDescent="0.25">
      <c r="B215" s="21">
        <v>8</v>
      </c>
      <c r="C215" s="29"/>
      <c r="D215" s="21"/>
      <c r="E215" s="21"/>
      <c r="F215" s="21"/>
      <c r="G215" s="29">
        <f t="shared" si="15"/>
        <v>20.044999999999998</v>
      </c>
      <c r="H215" s="43">
        <f t="shared" si="16"/>
        <v>184.64803499999999</v>
      </c>
      <c r="I215" s="23" t="s">
        <v>46</v>
      </c>
      <c r="J215" s="21" t="s">
        <v>158</v>
      </c>
      <c r="K215" s="21">
        <f t="shared" si="17"/>
        <v>4.2149999999999999</v>
      </c>
      <c r="L215" s="309"/>
      <c r="M215" s="29">
        <v>20.09</v>
      </c>
      <c r="N215" s="43">
        <v>184.49355</v>
      </c>
      <c r="O215" s="23" t="s">
        <v>46</v>
      </c>
      <c r="P215" s="21" t="s">
        <v>158</v>
      </c>
      <c r="Q215" s="21">
        <v>4.3099999999999996</v>
      </c>
      <c r="R215" s="309"/>
      <c r="S215">
        <v>0.16530257000000001</v>
      </c>
      <c r="T215" s="63">
        <v>149.52341999999999</v>
      </c>
      <c r="U215" s="1">
        <v>35.124614999999999</v>
      </c>
      <c r="V215" s="1">
        <f t="shared" si="19"/>
        <v>184.64803499999999</v>
      </c>
      <c r="W215" s="29">
        <v>20.22</v>
      </c>
      <c r="X215" s="21">
        <v>4.3899999999999997</v>
      </c>
    </row>
    <row r="216" spans="2:24" ht="15" x14ac:dyDescent="0.25">
      <c r="B216" s="33"/>
      <c r="C216" s="76"/>
      <c r="D216" s="33"/>
      <c r="E216" s="33"/>
      <c r="F216" s="33"/>
      <c r="G216" s="76">
        <f t="shared" si="15"/>
        <v>3.5450000000000004</v>
      </c>
      <c r="H216" s="105">
        <f t="shared" si="16"/>
        <v>5.4770563000000001</v>
      </c>
      <c r="I216" s="33"/>
      <c r="J216" s="33" t="s">
        <v>160</v>
      </c>
      <c r="K216" s="33">
        <f t="shared" si="17"/>
        <v>1.8749999999999998</v>
      </c>
      <c r="L216" s="312"/>
      <c r="M216" s="76">
        <v>3.72</v>
      </c>
      <c r="N216" s="105">
        <v>5.4770560000000001</v>
      </c>
      <c r="O216" s="33"/>
      <c r="P216" s="33" t="s">
        <v>160</v>
      </c>
      <c r="Q216" s="33">
        <v>2.0499999999999998</v>
      </c>
      <c r="R216" s="312"/>
      <c r="T216" s="63">
        <v>2.8402617000000001</v>
      </c>
      <c r="U216" s="1">
        <v>2.6367946</v>
      </c>
      <c r="V216" s="1">
        <f t="shared" si="19"/>
        <v>5.4770563000000001</v>
      </c>
      <c r="W216" s="76">
        <v>3.72</v>
      </c>
      <c r="X216" s="33">
        <v>2.0499999999999998</v>
      </c>
    </row>
    <row r="217" spans="2:24" ht="15" x14ac:dyDescent="0.25">
      <c r="B217" s="176">
        <v>9</v>
      </c>
      <c r="C217" s="72"/>
      <c r="D217" s="176"/>
      <c r="E217" s="176"/>
      <c r="F217" s="176"/>
      <c r="G217" s="72">
        <f t="shared" si="15"/>
        <v>18.265000000000001</v>
      </c>
      <c r="H217" s="43">
        <f t="shared" si="16"/>
        <v>164.82438200000001</v>
      </c>
      <c r="I217" s="23" t="s">
        <v>46</v>
      </c>
      <c r="J217" s="21" t="s">
        <v>264</v>
      </c>
      <c r="K217" s="21">
        <f t="shared" si="17"/>
        <v>5.5650000000000004</v>
      </c>
      <c r="L217" s="309"/>
      <c r="M217" s="72">
        <v>18.36</v>
      </c>
      <c r="N217" s="43">
        <v>164.74872999999999</v>
      </c>
      <c r="O217" s="23" t="s">
        <v>46</v>
      </c>
      <c r="P217" s="21" t="s">
        <v>161</v>
      </c>
      <c r="Q217" s="21">
        <v>5.16</v>
      </c>
      <c r="R217" s="309"/>
      <c r="S217">
        <v>8.2076526999999996E-2</v>
      </c>
      <c r="T217" s="63">
        <v>117.3092</v>
      </c>
      <c r="U217" s="1">
        <v>47.515182000000003</v>
      </c>
      <c r="V217" s="1">
        <f t="shared" si="19"/>
        <v>164.82438200000001</v>
      </c>
      <c r="W217" s="72">
        <v>18.440000000000001</v>
      </c>
      <c r="X217" s="21">
        <v>5.74</v>
      </c>
    </row>
    <row r="218" spans="2:24" ht="15" x14ac:dyDescent="0.25">
      <c r="B218" s="21"/>
      <c r="C218" s="29"/>
      <c r="D218" s="21"/>
      <c r="E218" s="21"/>
      <c r="F218" s="21"/>
      <c r="G218" s="29">
        <f t="shared" si="15"/>
        <v>7.3849999999999998</v>
      </c>
      <c r="H218" s="43">
        <f t="shared" si="16"/>
        <v>25.102081999999999</v>
      </c>
      <c r="I218" s="21"/>
      <c r="J218" s="21"/>
      <c r="K218" s="21">
        <f t="shared" si="17"/>
        <v>3.3650000000000002</v>
      </c>
      <c r="L218" s="309"/>
      <c r="M218" s="29">
        <v>7.56</v>
      </c>
      <c r="N218" s="43">
        <v>25.102080999999998</v>
      </c>
      <c r="O218" s="21"/>
      <c r="P218" s="21"/>
      <c r="Q218" s="21">
        <v>3.54</v>
      </c>
      <c r="R218" s="309"/>
      <c r="T218" s="63">
        <v>14.537431</v>
      </c>
      <c r="U218" s="1">
        <v>10.564651</v>
      </c>
      <c r="V218" s="1">
        <f t="shared" si="19"/>
        <v>25.102081999999999</v>
      </c>
      <c r="W218" s="29">
        <v>7.56</v>
      </c>
      <c r="X218" s="21">
        <v>3.54</v>
      </c>
    </row>
    <row r="219" spans="2:24" ht="15" x14ac:dyDescent="0.25">
      <c r="B219" s="21"/>
      <c r="C219" s="29"/>
      <c r="D219" s="33"/>
      <c r="E219" s="63"/>
      <c r="F219" s="21"/>
      <c r="G219" s="29">
        <f t="shared" si="15"/>
        <v>0.58499999999999996</v>
      </c>
      <c r="H219" s="105">
        <f t="shared" si="16"/>
        <v>0.17725769699999999</v>
      </c>
      <c r="I219" s="21"/>
      <c r="J219" s="21" t="s">
        <v>162</v>
      </c>
      <c r="K219" s="33">
        <f t="shared" si="17"/>
        <v>0.42499999999999999</v>
      </c>
      <c r="L219" s="309"/>
      <c r="M219" s="29">
        <v>0.76</v>
      </c>
      <c r="N219" s="105">
        <v>0.17725769999999999</v>
      </c>
      <c r="O219" s="21"/>
      <c r="P219" s="21" t="s">
        <v>162</v>
      </c>
      <c r="Q219" s="33">
        <v>0.6</v>
      </c>
      <c r="R219" s="309"/>
      <c r="T219" s="63">
        <v>6.9661586999999997E-2</v>
      </c>
      <c r="U219" s="1">
        <v>0.10759610999999999</v>
      </c>
      <c r="V219" s="1">
        <f t="shared" si="19"/>
        <v>0.17725769699999999</v>
      </c>
      <c r="W219" s="29">
        <v>0.76</v>
      </c>
      <c r="X219" s="33">
        <v>0.6</v>
      </c>
    </row>
    <row r="220" spans="2:24" ht="15" x14ac:dyDescent="0.25">
      <c r="B220" s="32">
        <v>10</v>
      </c>
      <c r="C220" s="71"/>
      <c r="D220" s="32"/>
      <c r="E220" s="32"/>
      <c r="F220" s="32"/>
      <c r="G220" s="71">
        <f t="shared" si="15"/>
        <v>21.314999999999998</v>
      </c>
      <c r="H220" s="43">
        <f t="shared" si="16"/>
        <v>183.91717399999999</v>
      </c>
      <c r="I220" s="23" t="s">
        <v>46</v>
      </c>
      <c r="J220" s="32"/>
      <c r="K220" s="32">
        <f t="shared" si="17"/>
        <v>4.5550000000000006</v>
      </c>
      <c r="L220" s="310"/>
      <c r="M220" s="71">
        <v>21.38</v>
      </c>
      <c r="N220" s="43">
        <v>183.79486</v>
      </c>
      <c r="O220" s="23" t="s">
        <v>46</v>
      </c>
      <c r="P220" s="32"/>
      <c r="Q220" s="32">
        <v>4.63</v>
      </c>
      <c r="R220" s="310"/>
      <c r="S220">
        <v>0.17219977</v>
      </c>
      <c r="T220" s="63">
        <v>149.30547999999999</v>
      </c>
      <c r="U220" s="1">
        <v>34.611694</v>
      </c>
      <c r="V220" s="1">
        <f t="shared" si="19"/>
        <v>183.91717399999999</v>
      </c>
      <c r="W220" s="71">
        <v>21.49</v>
      </c>
      <c r="X220" s="32">
        <v>4.7300000000000004</v>
      </c>
    </row>
    <row r="221" spans="2:24" ht="15" x14ac:dyDescent="0.25">
      <c r="B221" s="21"/>
      <c r="C221" s="29"/>
      <c r="D221" s="21"/>
      <c r="E221" s="21"/>
      <c r="F221" s="21"/>
      <c r="G221" s="29">
        <f t="shared" si="15"/>
        <v>2.5050000000000003</v>
      </c>
      <c r="H221" s="105">
        <f t="shared" si="16"/>
        <v>2.9533754000000001</v>
      </c>
      <c r="I221" s="21"/>
      <c r="J221" s="21"/>
      <c r="K221" s="21">
        <f t="shared" si="17"/>
        <v>1.5449999999999999</v>
      </c>
      <c r="L221" s="309"/>
      <c r="M221" s="29">
        <v>2.68</v>
      </c>
      <c r="N221" s="105">
        <v>2.9053252000000001</v>
      </c>
      <c r="O221" s="21"/>
      <c r="P221" s="21"/>
      <c r="Q221" s="21">
        <v>1.72</v>
      </c>
      <c r="R221" s="309"/>
      <c r="T221" s="63">
        <v>1.3734598</v>
      </c>
      <c r="U221" s="1">
        <v>1.5799156000000001</v>
      </c>
      <c r="V221" s="1">
        <f t="shared" si="19"/>
        <v>2.9533754000000001</v>
      </c>
      <c r="W221" s="29">
        <v>2.68</v>
      </c>
      <c r="X221" s="21">
        <v>1.72</v>
      </c>
    </row>
    <row r="222" spans="2:24" ht="15" x14ac:dyDescent="0.25">
      <c r="B222" s="32">
        <v>11</v>
      </c>
      <c r="C222" s="71"/>
      <c r="D222" s="32"/>
      <c r="E222" s="32"/>
      <c r="F222" s="32"/>
      <c r="G222" s="71">
        <f t="shared" si="15"/>
        <v>25.984999999999999</v>
      </c>
      <c r="H222" s="105">
        <f t="shared" si="16"/>
        <v>296.44431084299998</v>
      </c>
      <c r="I222" s="23" t="s">
        <v>46</v>
      </c>
      <c r="J222" s="32"/>
      <c r="K222" s="32">
        <f t="shared" si="17"/>
        <v>5.0250000000000004</v>
      </c>
      <c r="L222" s="310"/>
      <c r="M222" s="71">
        <v>26.1</v>
      </c>
      <c r="N222" s="221">
        <v>296.245</v>
      </c>
      <c r="O222" s="23" t="s">
        <v>46</v>
      </c>
      <c r="P222" s="32"/>
      <c r="Q222" s="32">
        <v>5.1100000000000003</v>
      </c>
      <c r="R222" s="310"/>
      <c r="S222">
        <v>0.18921283</v>
      </c>
      <c r="T222" s="63">
        <v>248.53345999999999</v>
      </c>
      <c r="U222" s="1">
        <v>47.910850842999999</v>
      </c>
      <c r="V222" s="1">
        <f t="shared" si="19"/>
        <v>296.44431084299998</v>
      </c>
      <c r="W222" s="71">
        <v>26.16</v>
      </c>
      <c r="X222" s="32">
        <v>5.2</v>
      </c>
    </row>
    <row r="223" spans="2:24" ht="15" x14ac:dyDescent="0.25">
      <c r="B223" s="32">
        <v>12</v>
      </c>
      <c r="C223" s="71"/>
      <c r="D223" s="32"/>
      <c r="E223" s="32"/>
      <c r="F223" s="32"/>
      <c r="G223" s="71">
        <f t="shared" si="15"/>
        <v>36.585000000000001</v>
      </c>
      <c r="H223" s="43">
        <f t="shared" si="16"/>
        <v>931.44852915599995</v>
      </c>
      <c r="I223" s="23" t="s">
        <v>46</v>
      </c>
      <c r="J223" s="32" t="s">
        <v>163</v>
      </c>
      <c r="K223" s="32">
        <f t="shared" si="17"/>
        <v>9.4749999999999996</v>
      </c>
      <c r="L223" s="310"/>
      <c r="M223" s="71">
        <v>36.69</v>
      </c>
      <c r="N223" s="43">
        <v>931.08459000000005</v>
      </c>
      <c r="O223" s="23" t="s">
        <v>46</v>
      </c>
      <c r="P223" s="32" t="s">
        <v>163</v>
      </c>
      <c r="Q223" s="165">
        <v>9.6</v>
      </c>
      <c r="R223" s="310"/>
      <c r="S223">
        <v>0.33543318999999999</v>
      </c>
      <c r="T223" s="63">
        <v>733.36614999999995</v>
      </c>
      <c r="U223" s="1">
        <v>198.082379156</v>
      </c>
      <c r="V223" s="1">
        <f t="shared" si="19"/>
        <v>931.44852915599995</v>
      </c>
      <c r="W223" s="71">
        <v>36.76</v>
      </c>
      <c r="X223" s="32">
        <v>9.65</v>
      </c>
    </row>
    <row r="224" spans="2:24" ht="15" x14ac:dyDescent="0.25">
      <c r="B224" s="33"/>
      <c r="C224" s="76"/>
      <c r="D224" s="33"/>
      <c r="E224" s="33"/>
      <c r="F224" s="33"/>
      <c r="G224" s="76">
        <f t="shared" si="15"/>
        <v>5.3550000000000004</v>
      </c>
      <c r="H224" s="105">
        <f t="shared" si="16"/>
        <v>16.3242622</v>
      </c>
      <c r="I224" s="33"/>
      <c r="J224" s="33" t="s">
        <v>159</v>
      </c>
      <c r="K224" s="33">
        <f t="shared" si="17"/>
        <v>2.3450000000000002</v>
      </c>
      <c r="L224" s="312"/>
      <c r="M224" s="76">
        <v>5.53</v>
      </c>
      <c r="N224" s="105">
        <v>16.321273999999999</v>
      </c>
      <c r="O224" s="33"/>
      <c r="P224" s="33" t="s">
        <v>159</v>
      </c>
      <c r="Q224" s="33">
        <v>2.52</v>
      </c>
      <c r="R224" s="312"/>
      <c r="T224" s="63">
        <v>7.5871358000000004</v>
      </c>
      <c r="U224" s="1">
        <v>8.7371263999999993</v>
      </c>
      <c r="V224" s="1">
        <f t="shared" si="19"/>
        <v>16.3242622</v>
      </c>
      <c r="W224" s="76">
        <v>5.53</v>
      </c>
      <c r="X224" s="33">
        <v>2.52</v>
      </c>
    </row>
    <row r="225" spans="1:24" ht="15" x14ac:dyDescent="0.25">
      <c r="B225" s="32">
        <v>13</v>
      </c>
      <c r="C225" s="71"/>
      <c r="D225" s="32"/>
      <c r="E225" s="32"/>
      <c r="F225" s="32"/>
      <c r="G225" s="71">
        <f t="shared" si="15"/>
        <v>45.025000000000006</v>
      </c>
      <c r="H225" s="43">
        <f t="shared" si="16"/>
        <v>2305.1986898119999</v>
      </c>
      <c r="I225" s="23" t="s">
        <v>46</v>
      </c>
      <c r="J225" s="32" t="s">
        <v>163</v>
      </c>
      <c r="K225" s="32">
        <f t="shared" si="17"/>
        <v>11.975</v>
      </c>
      <c r="L225" s="310"/>
      <c r="M225" s="71">
        <v>45.15</v>
      </c>
      <c r="N225" s="43">
        <v>2304.6478999999999</v>
      </c>
      <c r="O225" s="23" t="s">
        <v>46</v>
      </c>
      <c r="P225" s="32" t="s">
        <v>163</v>
      </c>
      <c r="Q225" s="165">
        <v>12.06</v>
      </c>
      <c r="R225" s="310"/>
      <c r="S225">
        <v>0.47705543</v>
      </c>
      <c r="T225" s="63">
        <v>1827.7638999999999</v>
      </c>
      <c r="U225" s="1">
        <v>477.43478981200002</v>
      </c>
      <c r="V225" s="1">
        <f t="shared" si="19"/>
        <v>2305.1986898119999</v>
      </c>
      <c r="W225" s="71">
        <v>45.2</v>
      </c>
      <c r="X225" s="32">
        <v>12.15</v>
      </c>
    </row>
    <row r="226" spans="1:24" ht="15" x14ac:dyDescent="0.25">
      <c r="B226" s="33"/>
      <c r="C226" s="76"/>
      <c r="D226" s="33"/>
      <c r="E226" s="33"/>
      <c r="F226" s="33"/>
      <c r="G226" s="315">
        <f t="shared" si="15"/>
        <v>13.045</v>
      </c>
      <c r="H226" s="105">
        <f t="shared" si="16"/>
        <v>130.83227500000001</v>
      </c>
      <c r="I226" s="161"/>
      <c r="J226" s="161" t="s">
        <v>164</v>
      </c>
      <c r="K226" s="33">
        <f t="shared" si="17"/>
        <v>3.9249999999999998</v>
      </c>
      <c r="L226" s="312"/>
      <c r="M226" s="315">
        <v>13.22</v>
      </c>
      <c r="N226" s="105">
        <v>130.83228</v>
      </c>
      <c r="O226" s="161"/>
      <c r="P226" s="161" t="s">
        <v>164</v>
      </c>
      <c r="Q226" s="161">
        <v>4.0999999999999996</v>
      </c>
      <c r="R226" s="312"/>
      <c r="T226" s="63">
        <v>82.701637000000005</v>
      </c>
      <c r="U226" s="1">
        <v>48.130637999999998</v>
      </c>
      <c r="V226" s="1">
        <f t="shared" si="19"/>
        <v>130.83227500000001</v>
      </c>
      <c r="W226" s="315">
        <v>13.22</v>
      </c>
      <c r="X226" s="33">
        <v>4.0999999999999996</v>
      </c>
    </row>
    <row r="227" spans="1:24" ht="15" x14ac:dyDescent="0.25">
      <c r="B227" s="32">
        <v>14</v>
      </c>
      <c r="C227" s="71"/>
      <c r="D227" s="32"/>
      <c r="E227" s="32"/>
      <c r="F227" s="32"/>
      <c r="G227" s="29">
        <f t="shared" si="15"/>
        <v>38.215000000000003</v>
      </c>
      <c r="H227" s="105">
        <f t="shared" si="16"/>
        <v>1332.206439625</v>
      </c>
      <c r="I227" s="5" t="s">
        <v>46</v>
      </c>
      <c r="J227" s="21" t="s">
        <v>165</v>
      </c>
      <c r="K227" s="21">
        <f t="shared" si="17"/>
        <v>7.7050000000000001</v>
      </c>
      <c r="L227" s="310"/>
      <c r="M227" s="29">
        <v>38.340000000000003</v>
      </c>
      <c r="N227" s="221">
        <v>1331.2855999999999</v>
      </c>
      <c r="O227" s="5" t="s">
        <v>46</v>
      </c>
      <c r="P227" s="21" t="s">
        <v>165</v>
      </c>
      <c r="Q227" s="177">
        <v>7.72</v>
      </c>
      <c r="R227" s="310"/>
      <c r="S227">
        <v>0.89157635000000002</v>
      </c>
      <c r="T227" s="63">
        <v>1175.1122</v>
      </c>
      <c r="U227" s="1">
        <v>157.094239625</v>
      </c>
      <c r="V227" s="1">
        <f t="shared" si="19"/>
        <v>1332.206439625</v>
      </c>
      <c r="W227" s="29">
        <v>38.39</v>
      </c>
      <c r="X227" s="21">
        <v>7.88</v>
      </c>
    </row>
    <row r="228" spans="1:24" ht="15" x14ac:dyDescent="0.25">
      <c r="B228" s="24">
        <v>15</v>
      </c>
      <c r="C228" s="163"/>
      <c r="D228" s="24"/>
      <c r="E228" s="24"/>
      <c r="F228" s="24"/>
      <c r="G228" s="163">
        <f t="shared" si="15"/>
        <v>28.035</v>
      </c>
      <c r="H228" s="43">
        <f t="shared" si="16"/>
        <v>691.27449000000001</v>
      </c>
      <c r="I228" s="23" t="s">
        <v>46</v>
      </c>
      <c r="J228" s="32" t="s">
        <v>265</v>
      </c>
      <c r="K228" s="32">
        <f t="shared" si="17"/>
        <v>6.9750000000000005</v>
      </c>
      <c r="L228" s="310"/>
      <c r="M228" s="163">
        <v>28.36</v>
      </c>
      <c r="N228" s="43">
        <v>689.69408999999996</v>
      </c>
      <c r="O228" s="23" t="s">
        <v>46</v>
      </c>
      <c r="P228" s="32" t="s">
        <v>166</v>
      </c>
      <c r="Q228" s="32">
        <v>6.91</v>
      </c>
      <c r="R228" s="310"/>
      <c r="S228">
        <v>1.5969287000000001</v>
      </c>
      <c r="T228" s="63">
        <v>526.86785999999995</v>
      </c>
      <c r="U228" s="1">
        <v>164.40663000000001</v>
      </c>
      <c r="V228" s="1">
        <f t="shared" si="19"/>
        <v>691.27449000000001</v>
      </c>
      <c r="W228" s="163">
        <v>28.21</v>
      </c>
      <c r="X228" s="32">
        <v>7.15</v>
      </c>
    </row>
    <row r="229" spans="1:24" ht="15" x14ac:dyDescent="0.25">
      <c r="B229" s="33"/>
      <c r="C229" s="76"/>
      <c r="D229" s="33"/>
      <c r="E229" s="33"/>
      <c r="F229" s="33"/>
      <c r="G229" s="76">
        <f t="shared" si="15"/>
        <v>8.8649999999999984</v>
      </c>
      <c r="H229" s="105">
        <f t="shared" si="16"/>
        <v>91.083331999999999</v>
      </c>
      <c r="I229" s="33"/>
      <c r="J229" s="33"/>
      <c r="K229" s="33">
        <f t="shared" si="17"/>
        <v>3.4750000000000001</v>
      </c>
      <c r="L229" s="312"/>
      <c r="M229" s="76">
        <v>9.0399999999999991</v>
      </c>
      <c r="N229" s="105">
        <v>91.083327999999995</v>
      </c>
      <c r="O229" s="33"/>
      <c r="P229" s="33"/>
      <c r="Q229" s="33">
        <v>3.65</v>
      </c>
      <c r="R229" s="312"/>
      <c r="T229" s="63">
        <v>48.432735000000001</v>
      </c>
      <c r="U229" s="1">
        <v>42.650596999999998</v>
      </c>
      <c r="V229" s="1">
        <f t="shared" si="19"/>
        <v>91.083331999999999</v>
      </c>
      <c r="W229" s="76">
        <v>9.0399999999999991</v>
      </c>
      <c r="X229" s="33">
        <v>3.65</v>
      </c>
    </row>
    <row r="230" spans="1:24" ht="15" x14ac:dyDescent="0.25">
      <c r="B230" s="32">
        <v>16</v>
      </c>
      <c r="C230" s="71"/>
      <c r="D230" s="32"/>
      <c r="E230" s="32"/>
      <c r="F230" s="32"/>
      <c r="G230" s="71">
        <f t="shared" si="15"/>
        <v>26.125</v>
      </c>
      <c r="H230" s="43">
        <f t="shared" si="16"/>
        <v>569.97456971899999</v>
      </c>
      <c r="I230" s="23" t="s">
        <v>46</v>
      </c>
      <c r="J230" s="32"/>
      <c r="K230" s="32">
        <f t="shared" si="17"/>
        <v>5.2650000000000006</v>
      </c>
      <c r="L230" s="310"/>
      <c r="M230" s="71">
        <v>26.08</v>
      </c>
      <c r="N230" s="43">
        <v>569.24712999999997</v>
      </c>
      <c r="O230" s="23" t="s">
        <v>46</v>
      </c>
      <c r="P230" s="32"/>
      <c r="Q230" s="32">
        <v>5.2</v>
      </c>
      <c r="R230" s="310"/>
      <c r="S230">
        <v>0.74765508999999997</v>
      </c>
      <c r="T230" s="63">
        <v>465.19067000000001</v>
      </c>
      <c r="U230" s="1">
        <v>104.78389971899999</v>
      </c>
      <c r="V230" s="1">
        <f t="shared" si="19"/>
        <v>569.97456971899999</v>
      </c>
      <c r="W230" s="71">
        <v>26.3</v>
      </c>
      <c r="X230" s="32">
        <v>5.44</v>
      </c>
    </row>
    <row r="231" spans="1:24" ht="15" x14ac:dyDescent="0.25">
      <c r="B231" s="21"/>
      <c r="C231" s="76"/>
      <c r="D231" s="33"/>
      <c r="E231" s="33"/>
      <c r="F231" s="33"/>
      <c r="G231" s="76">
        <f t="shared" si="15"/>
        <v>1.4849999999999999</v>
      </c>
      <c r="H231" s="43">
        <f t="shared" si="16"/>
        <v>2.6565666000000001</v>
      </c>
      <c r="I231" s="33"/>
      <c r="J231" s="33"/>
      <c r="K231" s="33">
        <f t="shared" si="17"/>
        <v>0.98499999999999988</v>
      </c>
      <c r="L231" s="312"/>
      <c r="M231" s="76">
        <v>1.66</v>
      </c>
      <c r="N231" s="43">
        <v>2.6565666000000001</v>
      </c>
      <c r="O231" s="33"/>
      <c r="P231" s="33"/>
      <c r="Q231" s="33">
        <v>1.1599999999999999</v>
      </c>
      <c r="R231" s="312"/>
      <c r="S231" s="33"/>
      <c r="T231" s="63">
        <v>2.6565666000000001</v>
      </c>
      <c r="U231" s="1">
        <v>0</v>
      </c>
      <c r="V231" s="1">
        <f t="shared" si="19"/>
        <v>2.6565666000000001</v>
      </c>
      <c r="W231" s="76">
        <v>1.66</v>
      </c>
      <c r="X231" s="33">
        <v>1.1599999999999999</v>
      </c>
    </row>
    <row r="232" spans="1:24" x14ac:dyDescent="0.2">
      <c r="B232" s="32"/>
      <c r="C232" s="32"/>
      <c r="D232" s="32"/>
      <c r="E232" s="32"/>
      <c r="F232" s="32"/>
      <c r="G232" s="314"/>
      <c r="H232" s="164"/>
      <c r="I232" s="164"/>
      <c r="J232" s="164"/>
      <c r="K232" s="164"/>
      <c r="L232" s="316"/>
      <c r="M232" s="314"/>
      <c r="N232" s="164"/>
      <c r="O232" s="164"/>
      <c r="P232" s="164"/>
      <c r="Q232" s="164"/>
      <c r="R232" s="316"/>
      <c r="S232" s="32"/>
      <c r="T232" s="63"/>
      <c r="W232" s="314"/>
      <c r="X232" s="164"/>
    </row>
    <row r="233" spans="1:24" x14ac:dyDescent="0.2">
      <c r="A233" s="5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63"/>
    </row>
    <row r="234" spans="1:24" x14ac:dyDescent="0.2">
      <c r="A234" s="5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63"/>
    </row>
    <row r="235" spans="1:24" x14ac:dyDescent="0.2">
      <c r="A235" s="5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63"/>
    </row>
    <row r="236" spans="1:24" x14ac:dyDescent="0.2">
      <c r="A236" s="5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63"/>
    </row>
    <row r="237" spans="1:24" x14ac:dyDescent="0.2">
      <c r="A237" s="5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63"/>
    </row>
    <row r="238" spans="1:24" x14ac:dyDescent="0.2">
      <c r="B238" s="5"/>
    </row>
    <row r="239" spans="1:24" x14ac:dyDescent="0.2">
      <c r="B239" s="5"/>
    </row>
    <row r="240" spans="1:24" x14ac:dyDescent="0.2">
      <c r="B240" s="5"/>
    </row>
    <row r="241" spans="2:2" x14ac:dyDescent="0.2">
      <c r="B241" s="5"/>
    </row>
    <row r="242" spans="2:2" x14ac:dyDescent="0.2">
      <c r="B242" s="5"/>
    </row>
    <row r="243" spans="2:2" x14ac:dyDescent="0.2">
      <c r="B243" s="5"/>
    </row>
    <row r="244" spans="2:2" x14ac:dyDescent="0.2">
      <c r="B244" s="5"/>
    </row>
    <row r="245" spans="2:2" x14ac:dyDescent="0.2">
      <c r="B245" s="5"/>
    </row>
    <row r="246" spans="2:2" x14ac:dyDescent="0.2">
      <c r="B246" s="5"/>
    </row>
    <row r="247" spans="2:2" x14ac:dyDescent="0.2">
      <c r="B247" s="5"/>
    </row>
    <row r="248" spans="2:2" x14ac:dyDescent="0.2">
      <c r="B248" s="5"/>
    </row>
    <row r="249" spans="2:2" x14ac:dyDescent="0.2">
      <c r="B249" s="5"/>
    </row>
    <row r="250" spans="2:2" x14ac:dyDescent="0.2">
      <c r="B250" s="5"/>
    </row>
    <row r="251" spans="2:2" x14ac:dyDescent="0.2">
      <c r="B251" s="5"/>
    </row>
    <row r="252" spans="2:2" x14ac:dyDescent="0.2">
      <c r="B252" s="5"/>
    </row>
    <row r="253" spans="2:2" x14ac:dyDescent="0.2">
      <c r="B253" s="5"/>
    </row>
    <row r="254" spans="2:2" x14ac:dyDescent="0.2">
      <c r="B254" s="5"/>
    </row>
    <row r="255" spans="2:2" x14ac:dyDescent="0.2">
      <c r="B255" s="5"/>
    </row>
    <row r="256" spans="2:2" x14ac:dyDescent="0.2">
      <c r="B256" s="5"/>
    </row>
    <row r="257" spans="2:2" x14ac:dyDescent="0.2">
      <c r="B257" s="5"/>
    </row>
    <row r="258" spans="2:2" x14ac:dyDescent="0.2">
      <c r="B258" s="5"/>
    </row>
    <row r="259" spans="2:2" x14ac:dyDescent="0.2">
      <c r="B259" s="5"/>
    </row>
    <row r="260" spans="2:2" x14ac:dyDescent="0.2">
      <c r="B260" s="5"/>
    </row>
    <row r="261" spans="2:2" x14ac:dyDescent="0.2">
      <c r="B261" s="5"/>
    </row>
    <row r="262" spans="2:2" x14ac:dyDescent="0.2">
      <c r="B262" s="5"/>
    </row>
    <row r="263" spans="2:2" x14ac:dyDescent="0.2">
      <c r="B263" s="5"/>
    </row>
    <row r="264" spans="2:2" x14ac:dyDescent="0.2">
      <c r="B264" s="5"/>
    </row>
    <row r="265" spans="2:2" x14ac:dyDescent="0.2">
      <c r="B265" s="5"/>
    </row>
    <row r="266" spans="2:2" x14ac:dyDescent="0.2">
      <c r="B266" s="5"/>
    </row>
    <row r="267" spans="2:2" x14ac:dyDescent="0.2">
      <c r="B267" s="5"/>
    </row>
    <row r="268" spans="2:2" x14ac:dyDescent="0.2">
      <c r="B268" s="5"/>
    </row>
    <row r="269" spans="2:2" x14ac:dyDescent="0.2">
      <c r="B269" s="5"/>
    </row>
    <row r="270" spans="2:2" x14ac:dyDescent="0.2">
      <c r="B270" s="5"/>
    </row>
    <row r="271" spans="2:2" x14ac:dyDescent="0.2">
      <c r="B271" s="5"/>
    </row>
    <row r="272" spans="2:2" x14ac:dyDescent="0.2">
      <c r="B272" s="5"/>
    </row>
    <row r="273" spans="2:2" x14ac:dyDescent="0.2">
      <c r="B273" s="5"/>
    </row>
    <row r="274" spans="2:2" x14ac:dyDescent="0.2">
      <c r="B274" s="5"/>
    </row>
    <row r="275" spans="2:2" x14ac:dyDescent="0.2">
      <c r="B275" s="5"/>
    </row>
    <row r="276" spans="2:2" x14ac:dyDescent="0.2">
      <c r="B276" s="5"/>
    </row>
    <row r="277" spans="2:2" x14ac:dyDescent="0.2">
      <c r="B277" s="5"/>
    </row>
    <row r="278" spans="2:2" x14ac:dyDescent="0.2">
      <c r="B278" s="5"/>
    </row>
    <row r="279" spans="2:2" x14ac:dyDescent="0.2">
      <c r="B279" s="5"/>
    </row>
    <row r="280" spans="2:2" x14ac:dyDescent="0.2">
      <c r="B280" s="5"/>
    </row>
    <row r="281" spans="2:2" x14ac:dyDescent="0.2">
      <c r="B281" s="5"/>
    </row>
    <row r="282" spans="2:2" x14ac:dyDescent="0.2">
      <c r="B282" s="5"/>
    </row>
    <row r="283" spans="2:2" x14ac:dyDescent="0.2">
      <c r="B283" s="5"/>
    </row>
    <row r="284" spans="2:2" x14ac:dyDescent="0.2">
      <c r="B284" s="5"/>
    </row>
    <row r="285" spans="2:2" x14ac:dyDescent="0.2">
      <c r="B285" s="5"/>
    </row>
    <row r="286" spans="2:2" x14ac:dyDescent="0.2">
      <c r="B286" s="5"/>
    </row>
    <row r="287" spans="2:2" x14ac:dyDescent="0.2">
      <c r="B287" s="5"/>
    </row>
    <row r="288" spans="2:2" x14ac:dyDescent="0.2">
      <c r="B288" s="5"/>
    </row>
    <row r="289" spans="2:2" x14ac:dyDescent="0.2">
      <c r="B289" s="5"/>
    </row>
    <row r="290" spans="2:2" x14ac:dyDescent="0.2">
      <c r="B290" s="5"/>
    </row>
    <row r="291" spans="2:2" x14ac:dyDescent="0.2">
      <c r="B291" s="5"/>
    </row>
    <row r="292" spans="2:2" x14ac:dyDescent="0.2">
      <c r="B292" s="5"/>
    </row>
    <row r="293" spans="2:2" x14ac:dyDescent="0.2">
      <c r="B293" s="5"/>
    </row>
    <row r="294" spans="2:2" x14ac:dyDescent="0.2">
      <c r="B294" s="5"/>
    </row>
    <row r="295" spans="2:2" x14ac:dyDescent="0.2">
      <c r="B295" s="5"/>
    </row>
    <row r="296" spans="2:2" x14ac:dyDescent="0.2">
      <c r="B296" s="5"/>
    </row>
    <row r="297" spans="2:2" x14ac:dyDescent="0.2">
      <c r="B297" s="5"/>
    </row>
    <row r="298" spans="2:2" x14ac:dyDescent="0.2">
      <c r="B298" s="5"/>
    </row>
    <row r="299" spans="2:2" x14ac:dyDescent="0.2">
      <c r="B299" s="5"/>
    </row>
    <row r="300" spans="2:2" x14ac:dyDescent="0.2">
      <c r="B300" s="5"/>
    </row>
    <row r="301" spans="2:2" x14ac:dyDescent="0.2">
      <c r="B301" s="5"/>
    </row>
    <row r="302" spans="2:2" x14ac:dyDescent="0.2">
      <c r="B302" s="5"/>
    </row>
    <row r="303" spans="2:2" x14ac:dyDescent="0.2">
      <c r="B303" s="5"/>
    </row>
    <row r="304" spans="2:2" x14ac:dyDescent="0.2">
      <c r="B304" s="5"/>
    </row>
    <row r="305" spans="2:2" x14ac:dyDescent="0.2">
      <c r="B305" s="5"/>
    </row>
    <row r="306" spans="2:2" x14ac:dyDescent="0.2">
      <c r="B306" s="5"/>
    </row>
    <row r="307" spans="2:2" x14ac:dyDescent="0.2">
      <c r="B307" s="5"/>
    </row>
    <row r="308" spans="2:2" x14ac:dyDescent="0.2">
      <c r="B308" s="5"/>
    </row>
    <row r="309" spans="2:2" x14ac:dyDescent="0.2">
      <c r="B309" s="5"/>
    </row>
    <row r="310" spans="2:2" x14ac:dyDescent="0.2">
      <c r="B310" s="5"/>
    </row>
    <row r="311" spans="2:2" x14ac:dyDescent="0.2">
      <c r="B311" s="5"/>
    </row>
    <row r="312" spans="2:2" x14ac:dyDescent="0.2">
      <c r="B312" s="5"/>
    </row>
    <row r="313" spans="2:2" x14ac:dyDescent="0.2">
      <c r="B313" s="5"/>
    </row>
    <row r="314" spans="2:2" x14ac:dyDescent="0.2">
      <c r="B314" s="5"/>
    </row>
    <row r="315" spans="2:2" x14ac:dyDescent="0.2">
      <c r="B315" s="5"/>
    </row>
    <row r="316" spans="2:2" x14ac:dyDescent="0.2">
      <c r="B316" s="5"/>
    </row>
    <row r="317" spans="2:2" x14ac:dyDescent="0.2">
      <c r="B317" s="5"/>
    </row>
    <row r="318" spans="2:2" x14ac:dyDescent="0.2">
      <c r="B318" s="5"/>
    </row>
    <row r="319" spans="2:2" x14ac:dyDescent="0.2">
      <c r="B319" s="5"/>
    </row>
    <row r="320" spans="2:2" x14ac:dyDescent="0.2">
      <c r="B320" s="5"/>
    </row>
    <row r="321" spans="2:2" x14ac:dyDescent="0.2">
      <c r="B321" s="5"/>
    </row>
    <row r="322" spans="2:2" x14ac:dyDescent="0.2">
      <c r="B322" s="5"/>
    </row>
    <row r="323" spans="2:2" x14ac:dyDescent="0.2">
      <c r="B323" s="5"/>
    </row>
    <row r="324" spans="2:2" x14ac:dyDescent="0.2">
      <c r="B324" s="5"/>
    </row>
    <row r="325" spans="2:2" x14ac:dyDescent="0.2">
      <c r="B325" s="5"/>
    </row>
    <row r="326" spans="2:2" x14ac:dyDescent="0.2">
      <c r="B326" s="5"/>
    </row>
    <row r="327" spans="2:2" x14ac:dyDescent="0.2">
      <c r="B327" s="5"/>
    </row>
    <row r="328" spans="2:2" x14ac:dyDescent="0.2">
      <c r="B328" s="5"/>
    </row>
    <row r="329" spans="2:2" x14ac:dyDescent="0.2">
      <c r="B329" s="5"/>
    </row>
    <row r="330" spans="2:2" x14ac:dyDescent="0.2">
      <c r="B330" s="5"/>
    </row>
    <row r="331" spans="2:2" x14ac:dyDescent="0.2">
      <c r="B331" s="5"/>
    </row>
    <row r="332" spans="2:2" x14ac:dyDescent="0.2">
      <c r="B332" s="5"/>
    </row>
    <row r="333" spans="2:2" x14ac:dyDescent="0.2">
      <c r="B333" s="5"/>
    </row>
    <row r="334" spans="2:2" x14ac:dyDescent="0.2">
      <c r="B334" s="5"/>
    </row>
    <row r="335" spans="2:2" x14ac:dyDescent="0.2">
      <c r="B335" s="5"/>
    </row>
    <row r="336" spans="2:2" x14ac:dyDescent="0.2">
      <c r="B336" s="5"/>
    </row>
    <row r="337" spans="2:2" x14ac:dyDescent="0.2">
      <c r="B337" s="5"/>
    </row>
    <row r="338" spans="2:2" x14ac:dyDescent="0.2">
      <c r="B338" s="5"/>
    </row>
    <row r="339" spans="2:2" x14ac:dyDescent="0.2">
      <c r="B339" s="5"/>
    </row>
    <row r="340" spans="2:2" x14ac:dyDescent="0.2">
      <c r="B340" s="5"/>
    </row>
    <row r="341" spans="2:2" x14ac:dyDescent="0.2">
      <c r="B341" s="5"/>
    </row>
    <row r="342" spans="2:2" x14ac:dyDescent="0.2">
      <c r="B342" s="5"/>
    </row>
    <row r="343" spans="2:2" x14ac:dyDescent="0.2">
      <c r="B343" s="5"/>
    </row>
    <row r="344" spans="2:2" x14ac:dyDescent="0.2">
      <c r="B344" s="5"/>
    </row>
    <row r="345" spans="2:2" x14ac:dyDescent="0.2">
      <c r="B345" s="5"/>
    </row>
    <row r="346" spans="2:2" x14ac:dyDescent="0.2">
      <c r="B346" s="5"/>
    </row>
    <row r="347" spans="2:2" x14ac:dyDescent="0.2">
      <c r="B347" s="5"/>
    </row>
    <row r="348" spans="2:2" x14ac:dyDescent="0.2">
      <c r="B348" s="5"/>
    </row>
    <row r="349" spans="2:2" x14ac:dyDescent="0.2">
      <c r="B349" s="5"/>
    </row>
    <row r="350" spans="2:2" x14ac:dyDescent="0.2">
      <c r="B350" s="5"/>
    </row>
    <row r="351" spans="2:2" x14ac:dyDescent="0.2">
      <c r="B351" s="5"/>
    </row>
    <row r="352" spans="2:2" x14ac:dyDescent="0.2">
      <c r="B352" s="5"/>
    </row>
    <row r="353" spans="2:2" x14ac:dyDescent="0.2">
      <c r="B353" s="5"/>
    </row>
    <row r="354" spans="2:2" x14ac:dyDescent="0.2">
      <c r="B354" s="5"/>
    </row>
    <row r="355" spans="2:2" x14ac:dyDescent="0.2">
      <c r="B355" s="5"/>
    </row>
    <row r="356" spans="2:2" x14ac:dyDescent="0.2">
      <c r="B356" s="5"/>
    </row>
    <row r="357" spans="2:2" x14ac:dyDescent="0.2">
      <c r="B357" s="5"/>
    </row>
    <row r="358" spans="2:2" x14ac:dyDescent="0.2">
      <c r="B358" s="5"/>
    </row>
    <row r="359" spans="2:2" x14ac:dyDescent="0.2">
      <c r="B359" s="5"/>
    </row>
    <row r="360" spans="2:2" x14ac:dyDescent="0.2">
      <c r="B360" s="5"/>
    </row>
    <row r="361" spans="2:2" x14ac:dyDescent="0.2">
      <c r="B361" s="5"/>
    </row>
    <row r="362" spans="2:2" x14ac:dyDescent="0.2">
      <c r="B362" s="5"/>
    </row>
    <row r="363" spans="2:2" x14ac:dyDescent="0.2">
      <c r="B363" s="5"/>
    </row>
    <row r="364" spans="2:2" x14ac:dyDescent="0.2">
      <c r="B364" s="5"/>
    </row>
    <row r="365" spans="2:2" x14ac:dyDescent="0.2">
      <c r="B365" s="5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88FD0-9152-4833-8F1C-281CA91DC1EB}">
  <dimension ref="B4:AY80"/>
  <sheetViews>
    <sheetView topLeftCell="Z56" zoomScaleNormal="100" workbookViewId="0">
      <selection activeCell="AB62" sqref="AB62"/>
    </sheetView>
  </sheetViews>
  <sheetFormatPr defaultRowHeight="15" x14ac:dyDescent="0.25"/>
  <cols>
    <col min="3" max="3" width="16.5703125" customWidth="1"/>
    <col min="4" max="4" width="16.42578125" customWidth="1"/>
    <col min="5" max="5" width="15" customWidth="1"/>
    <col min="6" max="6" width="11" customWidth="1"/>
    <col min="14" max="14" width="36.28515625" customWidth="1"/>
    <col min="19" max="19" width="32.42578125" customWidth="1"/>
    <col min="20" max="20" width="9.140625" customWidth="1"/>
  </cols>
  <sheetData>
    <row r="4" spans="3:23" x14ac:dyDescent="0.25">
      <c r="D4" s="80"/>
      <c r="G4" s="204" t="s">
        <v>290</v>
      </c>
      <c r="H4" s="80"/>
      <c r="M4" s="80"/>
      <c r="S4" s="80"/>
    </row>
    <row r="5" spans="3:23" x14ac:dyDescent="0.25">
      <c r="D5" s="80" t="s">
        <v>205</v>
      </c>
      <c r="H5" s="80"/>
      <c r="M5" s="80" t="s">
        <v>273</v>
      </c>
      <c r="S5" s="80"/>
    </row>
    <row r="6" spans="3:23" ht="105" x14ac:dyDescent="0.25">
      <c r="D6" s="144" t="s">
        <v>189</v>
      </c>
      <c r="F6" s="144" t="s">
        <v>190</v>
      </c>
      <c r="G6" s="385" t="s">
        <v>191</v>
      </c>
      <c r="H6" s="144" t="s">
        <v>201</v>
      </c>
      <c r="I6" s="144" t="s">
        <v>192</v>
      </c>
      <c r="J6" s="144" t="s">
        <v>197</v>
      </c>
      <c r="K6" s="144" t="s">
        <v>283</v>
      </c>
      <c r="L6" s="144" t="s">
        <v>854</v>
      </c>
      <c r="M6" s="144" t="s">
        <v>272</v>
      </c>
      <c r="N6" s="80"/>
      <c r="O6" t="s">
        <v>234</v>
      </c>
      <c r="P6" t="s">
        <v>236</v>
      </c>
      <c r="R6" t="s">
        <v>291</v>
      </c>
      <c r="S6" t="s">
        <v>292</v>
      </c>
      <c r="W6" s="80"/>
    </row>
    <row r="7" spans="3:23" x14ac:dyDescent="0.25">
      <c r="D7" s="80"/>
      <c r="H7" s="80"/>
      <c r="M7" s="80"/>
      <c r="N7" s="80" t="s">
        <v>239</v>
      </c>
      <c r="O7" s="226">
        <f>RSQ(K12:K20,E12:E20)</f>
        <v>0.38663563091531478</v>
      </c>
      <c r="P7" s="226">
        <f>FDIST(7*O7/(1-O7),1,7)</f>
        <v>7.3807189751053867E-2</v>
      </c>
      <c r="R7">
        <f>RSQ(K12:K20,M12:M20)</f>
        <v>0.37995345521907159</v>
      </c>
      <c r="S7" s="226">
        <f>FDIST(7*R7/(1-R7),1,7)</f>
        <v>7.7090914857129461E-2</v>
      </c>
      <c r="W7" s="80"/>
    </row>
    <row r="8" spans="3:23" x14ac:dyDescent="0.25">
      <c r="C8" t="s">
        <v>661</v>
      </c>
      <c r="D8" s="80" t="s">
        <v>660</v>
      </c>
      <c r="E8">
        <v>0.22</v>
      </c>
      <c r="F8">
        <v>1</v>
      </c>
      <c r="H8" s="80"/>
      <c r="I8">
        <v>6.49</v>
      </c>
      <c r="M8" s="80"/>
      <c r="N8" s="80" t="s">
        <v>240</v>
      </c>
      <c r="O8">
        <f>RSQ(K24:K30,E24:E30)</f>
        <v>0.40559117271900202</v>
      </c>
      <c r="P8">
        <f>FDIST(4*O8/(1-O8),1,4)</f>
        <v>0.17386187454936247</v>
      </c>
      <c r="W8" s="80"/>
    </row>
    <row r="9" spans="3:23" x14ac:dyDescent="0.25">
      <c r="D9" s="80"/>
      <c r="E9">
        <v>0.3</v>
      </c>
      <c r="F9">
        <v>1</v>
      </c>
      <c r="H9" s="80"/>
      <c r="I9">
        <v>24.74</v>
      </c>
      <c r="M9" s="80"/>
      <c r="N9" s="80" t="s">
        <v>241</v>
      </c>
      <c r="O9">
        <f>RSQ(K28:K30,E28:E30)</f>
        <v>0.88951111153619888</v>
      </c>
      <c r="P9">
        <f>FDIST(1*O9/(1-O9),1,1)</f>
        <v>0.21571589975333127</v>
      </c>
      <c r="W9" s="80"/>
    </row>
    <row r="10" spans="3:23" x14ac:dyDescent="0.25">
      <c r="C10" t="s">
        <v>662</v>
      </c>
      <c r="D10" s="80"/>
      <c r="E10">
        <v>0.18</v>
      </c>
      <c r="H10" s="80"/>
      <c r="I10">
        <v>11.41</v>
      </c>
      <c r="M10" s="80"/>
      <c r="N10" s="80" t="s">
        <v>242</v>
      </c>
      <c r="O10">
        <f>RSQ(K24:K26,E24:E26)</f>
        <v>0.78674060085949094</v>
      </c>
      <c r="P10">
        <f>FDIST(1*O10/(1-O10),1,1)</f>
        <v>0.30559256076282471</v>
      </c>
      <c r="W10" s="80"/>
    </row>
    <row r="11" spans="3:23" x14ac:dyDescent="0.25">
      <c r="D11" s="80"/>
      <c r="E11">
        <v>0.2</v>
      </c>
      <c r="H11" s="80"/>
      <c r="I11">
        <v>20.260000000000002</v>
      </c>
      <c r="M11" s="80"/>
      <c r="N11" s="80"/>
      <c r="O11" t="s">
        <v>234</v>
      </c>
      <c r="P11" t="s">
        <v>236</v>
      </c>
      <c r="W11" s="80"/>
    </row>
    <row r="12" spans="3:23" x14ac:dyDescent="0.25">
      <c r="D12" s="80" t="s">
        <v>200</v>
      </c>
      <c r="E12">
        <v>0.37</v>
      </c>
      <c r="F12">
        <v>1</v>
      </c>
      <c r="G12" s="204">
        <f>(('Tooth measurements raw data'!U87+'Tooth measurements raw data'!U89+'Tooth measurements raw data'!U91+'Tooth measurements raw data'!U93+'Tooth measurements raw data'!U95+'Tooth measurements raw data'!U97+'Tooth measurements raw data'!U99+'Tooth measurements raw data'!U101+'Tooth measurements raw data'!U103+'Tooth measurements raw data'!U105+'Tooth measurements raw data'!U107+'Tooth measurements raw data'!U109+'Tooth measurements raw data'!U111+'Tooth measurements raw data'!U114+'Tooth measurements raw data'!U116+'Tooth measurements raw data'!U118+'Tooth measurements raw data'!U120+'Tooth measurements raw data'!U122+'Tooth measurements raw data'!U124+'Tooth measurements raw data'!U125+'Tooth measurements raw data'!U127+'Tooth measurements raw data'!U128+'Tooth measurements raw data'!U130+'Tooth measurements raw data'!U132+'Tooth measurements raw data'!U134+'Tooth measurements raw data'!U136+'Tooth measurements raw data'!U138+'Tooth measurements raw data'!U140+'Tooth measurements raw data'!U142+'Tooth measurements raw data'!U144+'Tooth measurements raw data'!U146+'Tooth measurements raw data'!U148+'Tooth measurements raw data'!U150+'Tooth measurements raw data'!U152+'Tooth measurements raw data'!U154+'Tooth measurements raw data'!U156+'Tooth measurements raw data'!U158+'Tooth measurements raw data'!U160+'Tooth measurements raw data'!U162+'Tooth measurements raw data'!U164+'Tooth measurements raw data'!U166)/41)/1000</f>
        <v>7.023691014634146E-4</v>
      </c>
      <c r="H12">
        <v>1.3706650182195124</v>
      </c>
      <c r="I12" s="248">
        <v>90.474024303224979</v>
      </c>
      <c r="J12" s="80"/>
      <c r="K12">
        <v>13.6</v>
      </c>
      <c r="L12">
        <v>13.6</v>
      </c>
      <c r="M12">
        <v>57.73</v>
      </c>
      <c r="N12" s="80" t="s">
        <v>237</v>
      </c>
      <c r="O12">
        <f>RSQ(I12:I20,E12:E20)</f>
        <v>0.89915061297734467</v>
      </c>
      <c r="P12">
        <f>FDIST(7*O12/(1-O12),1,7)</f>
        <v>9.8761274369683045E-5</v>
      </c>
      <c r="W12" s="80"/>
    </row>
    <row r="13" spans="3:23" x14ac:dyDescent="0.25">
      <c r="C13" t="s">
        <v>203</v>
      </c>
      <c r="D13" s="80" t="s">
        <v>193</v>
      </c>
      <c r="E13">
        <v>0.6</v>
      </c>
      <c r="F13" s="80">
        <v>2</v>
      </c>
      <c r="G13" s="204">
        <v>2E-3</v>
      </c>
      <c r="I13" s="80">
        <v>83</v>
      </c>
      <c r="J13" s="80">
        <v>1.4</v>
      </c>
      <c r="K13" s="80">
        <v>6.6</v>
      </c>
      <c r="L13">
        <f>K13+((K13*(1/5))*1.3333333333333)</f>
        <v>8.359999999999955</v>
      </c>
      <c r="M13" s="80">
        <f>((1000*E13)-130.31)/7.13</f>
        <v>65.875175315568029</v>
      </c>
      <c r="N13" s="80" t="s">
        <v>238</v>
      </c>
      <c r="O13">
        <f>RSQ(I24:I26,E24:E26)</f>
        <v>0.99319446361717678</v>
      </c>
      <c r="P13">
        <f>FDIST(1*O13/(1-O13),1,1)</f>
        <v>5.2578130259180594E-2</v>
      </c>
      <c r="W13" s="80"/>
    </row>
    <row r="14" spans="3:23" x14ac:dyDescent="0.25">
      <c r="C14" t="s">
        <v>203</v>
      </c>
      <c r="D14" s="80" t="s">
        <v>195</v>
      </c>
      <c r="E14">
        <v>0.85</v>
      </c>
      <c r="F14" s="80">
        <v>2</v>
      </c>
      <c r="G14" s="204">
        <v>4.0000000000000001E-3</v>
      </c>
      <c r="I14" s="80">
        <v>109</v>
      </c>
      <c r="J14" s="80">
        <v>2</v>
      </c>
      <c r="K14" s="80">
        <v>10.5</v>
      </c>
      <c r="L14">
        <f>K14+((K14*(1/5))*1.3333333333333)</f>
        <v>13.29999999999993</v>
      </c>
      <c r="M14" s="80">
        <f>((1000*E14)-130.31)/7.13</f>
        <v>100.93828892005611</v>
      </c>
      <c r="N14" s="80" t="s">
        <v>682</v>
      </c>
      <c r="O14">
        <f>RSQ(I12:I22,E12:E22)</f>
        <v>0.88299727169792408</v>
      </c>
      <c r="P14">
        <f>FDIST(9*O14/(1-O14),1,9)</f>
        <v>1.7441090209700134E-5</v>
      </c>
      <c r="W14" s="80"/>
    </row>
    <row r="15" spans="3:23" x14ac:dyDescent="0.25">
      <c r="D15" s="80" t="s">
        <v>198</v>
      </c>
      <c r="E15">
        <v>0.9</v>
      </c>
      <c r="F15" s="80">
        <v>1</v>
      </c>
      <c r="G15" s="204">
        <f>(('Tooth measurements raw data'!U3+'Tooth measurements raw data'!U5+'Tooth measurements raw data'!U7+'Tooth measurements raw data'!U9+'Tooth measurements raw data'!U11+'Tooth measurements raw data'!U14+'Tooth measurements raw data'!U16+'Tooth measurements raw data'!U19+'Tooth measurements raw data'!U21+'Tooth measurements raw data'!U23+'Tooth measurements raw data'!U25+'Tooth measurements raw data'!U28+'Tooth measurements raw data'!U30+'Tooth measurements raw data'!U32+'Tooth measurements raw data'!U34+'Tooth measurements raw data'!U36+'Tooth measurements raw data'!U38+'Tooth measurements raw data'!U40+'Tooth measurements raw data'!U42+'Tooth measurements raw data'!U44+'Tooth measurements raw data'!U46+'Tooth measurements raw data'!U48+'Tooth measurements raw data'!U50+'Tooth measurements raw data'!U53+'Tooth measurements raw data'!U55+'Tooth measurements raw data'!U57+'Tooth measurements raw data'!U59+'Tooth measurements raw data'!U61+'Tooth measurements raw data'!U63+'Tooth measurements raw data'!U65+'Tooth measurements raw data'!U67+'Tooth measurements raw data'!U69+'Tooth measurements raw data'!U71+'Tooth measurements raw data'!U73+'Tooth measurements raw data'!U75+'Tooth measurements raw data'!U77+'Tooth measurements raw data'!U79+'Tooth measurements raw data'!U81+'Tooth measurements raw data'!U83+'Tooth measurements raw data'!U85)/40)/1000</f>
        <v>3.2353521475E-3</v>
      </c>
      <c r="H15">
        <v>11.219442500000003</v>
      </c>
      <c r="I15" s="248">
        <v>133.61838846785886</v>
      </c>
      <c r="J15" s="80"/>
      <c r="K15" s="80">
        <v>16.2</v>
      </c>
      <c r="L15">
        <v>16.2</v>
      </c>
      <c r="M15">
        <v>115.6</v>
      </c>
      <c r="N15" s="80" t="s">
        <v>683</v>
      </c>
      <c r="O15">
        <f>RSQ(I10:I20,E10:E20)</f>
        <v>0.89246125644945584</v>
      </c>
      <c r="P15">
        <f>FDIST(9*O15/(1-O15),1,9)</f>
        <v>1.1881524189352157E-5</v>
      </c>
      <c r="W15" s="80"/>
    </row>
    <row r="16" spans="3:23" x14ac:dyDescent="0.25">
      <c r="C16" t="s">
        <v>203</v>
      </c>
      <c r="D16" s="80" t="s">
        <v>196</v>
      </c>
      <c r="E16">
        <v>1.4</v>
      </c>
      <c r="F16" s="80">
        <v>2</v>
      </c>
      <c r="G16" s="204">
        <v>1.2E-2</v>
      </c>
      <c r="I16" s="80">
        <v>122</v>
      </c>
      <c r="J16" s="80">
        <v>2.1</v>
      </c>
      <c r="K16" s="80">
        <v>13</v>
      </c>
      <c r="L16">
        <f>K16+((K16*(1/5))*1.3333333333333)</f>
        <v>16.46666666666658</v>
      </c>
      <c r="M16" s="80">
        <f>((1000*E16)-130.31)/7.13</f>
        <v>178.0771388499299</v>
      </c>
      <c r="W16" s="80"/>
    </row>
    <row r="17" spans="3:51" x14ac:dyDescent="0.25">
      <c r="C17" t="s">
        <v>204</v>
      </c>
      <c r="D17" s="80" t="s">
        <v>206</v>
      </c>
      <c r="E17">
        <v>1.5</v>
      </c>
      <c r="F17" s="295" t="s">
        <v>94</v>
      </c>
      <c r="G17" s="204">
        <v>0.02</v>
      </c>
      <c r="H17" s="80"/>
      <c r="I17" s="80">
        <v>115</v>
      </c>
      <c r="K17" s="80">
        <v>14</v>
      </c>
      <c r="L17">
        <f t="shared" ref="L17:L19" si="0">K17+((K17*(1/5))*1.3333333333333)</f>
        <v>17.733333333333242</v>
      </c>
      <c r="M17" s="80">
        <f>((1000*E17)-130.31)/7.13</f>
        <v>192.10238429172512</v>
      </c>
      <c r="W17" s="80"/>
    </row>
    <row r="18" spans="3:51" x14ac:dyDescent="0.25">
      <c r="C18" t="s">
        <v>204</v>
      </c>
      <c r="D18" s="80" t="s">
        <v>207</v>
      </c>
      <c r="E18">
        <v>2.5</v>
      </c>
      <c r="F18" s="295" t="s">
        <v>94</v>
      </c>
      <c r="G18" s="204">
        <v>4.4999999999999998E-2</v>
      </c>
      <c r="H18" s="80"/>
      <c r="I18" s="80">
        <v>154</v>
      </c>
      <c r="K18" s="80">
        <v>16.3</v>
      </c>
      <c r="L18">
        <f t="shared" si="0"/>
        <v>20.646666666666558</v>
      </c>
      <c r="M18" s="80">
        <f>((1000*E18)-130.31)/7.13</f>
        <v>332.35483870967744</v>
      </c>
      <c r="S18" s="121" t="s">
        <v>877</v>
      </c>
    </row>
    <row r="19" spans="3:51" x14ac:dyDescent="0.25">
      <c r="C19" t="s">
        <v>204</v>
      </c>
      <c r="D19" s="80" t="s">
        <v>208</v>
      </c>
      <c r="E19">
        <v>3.2</v>
      </c>
      <c r="F19" s="295" t="s">
        <v>94</v>
      </c>
      <c r="G19" s="204">
        <v>0.13</v>
      </c>
      <c r="H19" s="80"/>
      <c r="I19" s="80">
        <v>260</v>
      </c>
      <c r="K19" s="80">
        <v>14</v>
      </c>
      <c r="L19">
        <f t="shared" si="0"/>
        <v>17.733333333333242</v>
      </c>
      <c r="M19" s="80">
        <f>((1000*E19)-130.31)/7.13</f>
        <v>430.53155680224404</v>
      </c>
      <c r="N19" s="247"/>
      <c r="O19" s="55"/>
      <c r="P19" s="55"/>
      <c r="Q19" s="55"/>
      <c r="R19" s="55"/>
      <c r="S19" s="43"/>
      <c r="T19" s="55"/>
      <c r="U19" s="55"/>
      <c r="V19" s="55"/>
      <c r="W19" s="454"/>
      <c r="X19" s="55"/>
      <c r="Y19" s="46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99"/>
    </row>
    <row r="20" spans="3:51" x14ac:dyDescent="0.25">
      <c r="D20" s="80" t="s">
        <v>199</v>
      </c>
      <c r="E20">
        <v>3.95</v>
      </c>
      <c r="F20" s="80">
        <v>1</v>
      </c>
      <c r="G20" s="204">
        <v>0.14837550796478127</v>
      </c>
      <c r="H20">
        <v>829.51607417095602</v>
      </c>
      <c r="I20" s="248">
        <v>278.99750658881067</v>
      </c>
      <c r="J20" s="80"/>
      <c r="K20" s="80">
        <v>18.07</v>
      </c>
      <c r="L20">
        <v>18.07</v>
      </c>
      <c r="M20">
        <v>428</v>
      </c>
      <c r="N20" s="42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61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133"/>
    </row>
    <row r="21" spans="3:51" x14ac:dyDescent="0.25">
      <c r="C21" t="s">
        <v>661</v>
      </c>
      <c r="D21" s="80" t="s">
        <v>660</v>
      </c>
      <c r="E21">
        <v>0.22</v>
      </c>
      <c r="F21">
        <v>1</v>
      </c>
      <c r="H21" s="80"/>
      <c r="I21">
        <v>6.49</v>
      </c>
      <c r="M21" s="80"/>
      <c r="N21" s="42"/>
      <c r="O21" s="43"/>
      <c r="P21" s="43"/>
      <c r="Q21" s="43"/>
      <c r="R21" s="43"/>
      <c r="S21" s="61"/>
      <c r="T21" s="43"/>
      <c r="U21" s="43"/>
      <c r="V21" s="43"/>
      <c r="W21" s="43"/>
      <c r="X21" s="43"/>
      <c r="Y21" s="61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133"/>
    </row>
    <row r="22" spans="3:51" x14ac:dyDescent="0.25">
      <c r="D22" s="80"/>
      <c r="E22">
        <v>0.3</v>
      </c>
      <c r="F22">
        <v>1</v>
      </c>
      <c r="H22" s="80"/>
      <c r="I22">
        <v>24.74</v>
      </c>
      <c r="M22" s="80"/>
      <c r="N22" s="42"/>
      <c r="O22" s="43"/>
      <c r="P22" s="43"/>
      <c r="Q22" s="43"/>
      <c r="R22" s="43"/>
      <c r="S22" s="61"/>
      <c r="T22" s="43"/>
      <c r="U22" s="43"/>
      <c r="V22" s="43"/>
      <c r="W22" s="43"/>
      <c r="X22" s="43"/>
      <c r="Y22" s="61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133"/>
    </row>
    <row r="23" spans="3:51" x14ac:dyDescent="0.25">
      <c r="D23" s="80"/>
      <c r="H23" s="80"/>
      <c r="M23" s="80"/>
      <c r="N23" s="42"/>
      <c r="O23" s="43"/>
      <c r="P23" s="43"/>
      <c r="Q23" s="43"/>
      <c r="R23" s="43"/>
      <c r="S23" s="61"/>
      <c r="T23" s="43"/>
      <c r="U23" s="43"/>
      <c r="V23" s="43"/>
      <c r="W23" s="43"/>
      <c r="X23" s="43"/>
      <c r="Y23" s="61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133"/>
    </row>
    <row r="24" spans="3:51" x14ac:dyDescent="0.25">
      <c r="D24" s="80" t="s">
        <v>200</v>
      </c>
      <c r="E24">
        <v>0.37</v>
      </c>
      <c r="F24">
        <v>1</v>
      </c>
      <c r="H24">
        <f>H12</f>
        <v>1.3706650182195124</v>
      </c>
      <c r="I24" s="248">
        <f>I12</f>
        <v>90.474024303224979</v>
      </c>
      <c r="K24">
        <v>13.6</v>
      </c>
      <c r="M24" s="80"/>
      <c r="N24" s="42"/>
      <c r="O24" s="43"/>
      <c r="P24" s="43"/>
      <c r="Q24" s="43"/>
      <c r="R24" s="43"/>
      <c r="S24" s="61"/>
      <c r="T24" s="43"/>
      <c r="U24" s="43"/>
      <c r="V24" s="43"/>
      <c r="W24" s="43"/>
      <c r="X24" s="43"/>
      <c r="Y24" s="61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133"/>
    </row>
    <row r="25" spans="3:51" x14ac:dyDescent="0.25">
      <c r="D25" s="80" t="s">
        <v>198</v>
      </c>
      <c r="E25">
        <v>0.9</v>
      </c>
      <c r="F25">
        <v>1</v>
      </c>
      <c r="H25">
        <f>H15</f>
        <v>11.219442500000003</v>
      </c>
      <c r="I25" s="248">
        <f>I15</f>
        <v>133.61838846785886</v>
      </c>
      <c r="K25">
        <v>16.2</v>
      </c>
      <c r="M25" s="80"/>
      <c r="N25" s="42"/>
      <c r="O25" s="43"/>
      <c r="P25" s="43"/>
      <c r="Q25" s="43"/>
      <c r="R25" s="43"/>
      <c r="S25" s="61"/>
      <c r="T25" s="43"/>
      <c r="U25" s="43"/>
      <c r="V25" s="43"/>
      <c r="W25" s="43"/>
      <c r="X25" s="43"/>
      <c r="Y25" s="61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133"/>
    </row>
    <row r="26" spans="3:51" x14ac:dyDescent="0.25">
      <c r="D26" s="80" t="s">
        <v>199</v>
      </c>
      <c r="E26">
        <v>3.95</v>
      </c>
      <c r="F26">
        <v>1</v>
      </c>
      <c r="H26">
        <f>H20</f>
        <v>829.51607417095602</v>
      </c>
      <c r="I26" s="248">
        <f>I20</f>
        <v>278.99750658881067</v>
      </c>
      <c r="K26">
        <v>18.07</v>
      </c>
      <c r="M26" s="80"/>
      <c r="N26" s="42"/>
      <c r="O26" s="43"/>
      <c r="P26" s="43"/>
      <c r="Q26" s="43"/>
      <c r="R26" s="43"/>
      <c r="S26" s="61"/>
      <c r="T26" s="43"/>
      <c r="U26" s="43"/>
      <c r="V26" s="43"/>
      <c r="W26" s="43"/>
      <c r="X26" s="43"/>
      <c r="Y26" s="61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133"/>
    </row>
    <row r="27" spans="3:51" x14ac:dyDescent="0.25">
      <c r="D27" s="80"/>
      <c r="H27" s="80"/>
      <c r="M27" s="80"/>
      <c r="N27" s="42"/>
      <c r="O27" s="43"/>
      <c r="P27" s="43"/>
      <c r="Q27" s="43"/>
      <c r="R27" s="43"/>
      <c r="S27" s="61"/>
      <c r="T27" s="43"/>
      <c r="U27" s="43"/>
      <c r="V27" s="43"/>
      <c r="W27" s="43"/>
      <c r="X27" s="43"/>
      <c r="Y27" s="61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133"/>
    </row>
    <row r="28" spans="3:51" x14ac:dyDescent="0.25">
      <c r="C28" t="s">
        <v>203</v>
      </c>
      <c r="D28" s="80" t="s">
        <v>193</v>
      </c>
      <c r="E28">
        <v>0.6</v>
      </c>
      <c r="F28" s="80">
        <v>2</v>
      </c>
      <c r="G28" s="80">
        <v>2E-3</v>
      </c>
      <c r="I28" s="80">
        <v>83</v>
      </c>
      <c r="J28" s="80">
        <v>1.4</v>
      </c>
      <c r="K28" s="80">
        <v>6.6</v>
      </c>
      <c r="L28" s="80"/>
      <c r="M28" s="80"/>
      <c r="N28" s="42"/>
      <c r="O28" s="43"/>
      <c r="P28" s="43"/>
      <c r="Q28" s="43"/>
      <c r="R28" s="43"/>
      <c r="S28" s="61"/>
      <c r="T28" s="43"/>
      <c r="U28" s="43"/>
      <c r="V28" s="43"/>
      <c r="W28" s="43"/>
      <c r="X28" s="43"/>
      <c r="Y28" s="61"/>
      <c r="Z28" s="43"/>
      <c r="AA28" s="43"/>
      <c r="AB28" s="43"/>
      <c r="AC28" s="43"/>
      <c r="AD28" s="43"/>
      <c r="AE28" s="43"/>
      <c r="AF28" s="61"/>
      <c r="AG28" s="61"/>
      <c r="AH28" s="61"/>
      <c r="AI28" s="61"/>
      <c r="AJ28" s="61"/>
      <c r="AK28" s="61"/>
      <c r="AL28" s="61"/>
      <c r="AM28" s="61"/>
      <c r="AN28" s="61"/>
      <c r="AO28" s="59"/>
      <c r="AP28" s="61"/>
      <c r="AQ28" s="61"/>
      <c r="AR28" s="61"/>
      <c r="AS28" s="61"/>
      <c r="AT28" s="61"/>
      <c r="AU28" s="61"/>
      <c r="AV28" s="61"/>
      <c r="AW28" s="61"/>
      <c r="AX28" s="61"/>
      <c r="AY28" s="61"/>
    </row>
    <row r="29" spans="3:51" x14ac:dyDescent="0.25">
      <c r="C29" t="s">
        <v>203</v>
      </c>
      <c r="D29" s="80" t="s">
        <v>195</v>
      </c>
      <c r="E29">
        <v>0.85</v>
      </c>
      <c r="F29" s="80">
        <v>2</v>
      </c>
      <c r="G29" s="80">
        <v>4.0000000000000001E-3</v>
      </c>
      <c r="I29" s="80">
        <v>109</v>
      </c>
      <c r="J29" s="80">
        <v>2</v>
      </c>
      <c r="K29" s="80">
        <v>10.5</v>
      </c>
      <c r="L29" s="80"/>
      <c r="M29" s="80"/>
      <c r="N29" s="42"/>
      <c r="O29" s="43"/>
      <c r="P29" s="43"/>
      <c r="Q29" s="43"/>
      <c r="R29" s="43"/>
      <c r="S29" s="61"/>
      <c r="T29" s="43"/>
      <c r="U29" s="43"/>
      <c r="V29" s="43"/>
      <c r="W29" s="43"/>
      <c r="X29" s="43"/>
      <c r="Y29" s="61"/>
      <c r="Z29" s="43"/>
      <c r="AA29" s="43"/>
      <c r="AB29" s="43"/>
      <c r="AC29" s="43"/>
      <c r="AD29" s="43"/>
      <c r="AE29" s="43"/>
      <c r="AF29" s="61"/>
      <c r="AG29" s="61"/>
      <c r="AH29" s="61"/>
      <c r="AI29" s="61"/>
      <c r="AJ29" s="61"/>
      <c r="AK29" s="61"/>
      <c r="AL29" s="61"/>
      <c r="AM29" s="61"/>
      <c r="AN29" s="61"/>
      <c r="AO29" s="59"/>
      <c r="AP29" s="61"/>
      <c r="AQ29" s="61"/>
      <c r="AR29" s="61"/>
      <c r="AS29" s="61"/>
      <c r="AT29" s="61"/>
      <c r="AU29" s="61"/>
      <c r="AV29" s="61"/>
      <c r="AW29" s="61"/>
      <c r="AX29" s="61"/>
      <c r="AY29" s="61"/>
    </row>
    <row r="30" spans="3:51" x14ac:dyDescent="0.25">
      <c r="C30" t="s">
        <v>203</v>
      </c>
      <c r="D30" s="80" t="s">
        <v>196</v>
      </c>
      <c r="E30">
        <v>1.4</v>
      </c>
      <c r="F30" s="80">
        <v>2</v>
      </c>
      <c r="G30" s="80">
        <v>1.2E-2</v>
      </c>
      <c r="I30" s="80">
        <v>122</v>
      </c>
      <c r="J30" s="80">
        <v>2.1</v>
      </c>
      <c r="K30" s="80">
        <v>13</v>
      </c>
      <c r="L30" s="80"/>
      <c r="M30" s="80"/>
      <c r="N30" s="42"/>
      <c r="O30" s="43"/>
      <c r="P30" s="43"/>
      <c r="Q30" s="43"/>
      <c r="R30" s="43"/>
      <c r="S30" s="61"/>
      <c r="T30" s="43"/>
      <c r="U30" s="43"/>
      <c r="V30" s="43"/>
      <c r="W30" s="43"/>
      <c r="X30" s="43"/>
      <c r="Y30" s="61"/>
      <c r="Z30" s="43"/>
      <c r="AA30" s="43"/>
      <c r="AB30" s="43"/>
      <c r="AC30" s="43"/>
      <c r="AD30" s="43"/>
      <c r="AE30" s="43"/>
      <c r="AF30" s="61"/>
      <c r="AG30" s="61"/>
      <c r="AH30" s="61"/>
      <c r="AI30" s="61"/>
      <c r="AJ30" s="61"/>
      <c r="AK30" s="61"/>
      <c r="AL30" s="61"/>
      <c r="AM30" s="61"/>
      <c r="AN30" s="61"/>
      <c r="AO30" s="59"/>
      <c r="AP30" s="61"/>
      <c r="AQ30" s="61"/>
      <c r="AR30" s="61"/>
      <c r="AS30" s="61"/>
      <c r="AT30" s="61"/>
      <c r="AU30" s="61"/>
      <c r="AV30" s="61"/>
      <c r="AW30" s="61"/>
      <c r="AX30" s="61"/>
      <c r="AY30" s="61"/>
    </row>
    <row r="31" spans="3:51" x14ac:dyDescent="0.25">
      <c r="D31" s="80"/>
      <c r="H31" s="80"/>
      <c r="M31" s="80"/>
      <c r="N31" s="42"/>
      <c r="O31" s="43"/>
      <c r="P31" s="43"/>
      <c r="Q31" s="43"/>
      <c r="R31" s="43"/>
      <c r="S31" s="61"/>
      <c r="T31" s="43"/>
      <c r="U31" s="43"/>
      <c r="V31" s="43"/>
      <c r="W31" s="43"/>
      <c r="X31" s="43"/>
      <c r="Y31" s="61"/>
      <c r="Z31" s="43"/>
      <c r="AA31" s="43"/>
      <c r="AB31" s="43"/>
      <c r="AC31" s="43"/>
      <c r="AD31" s="43"/>
      <c r="AE31" s="43"/>
      <c r="AF31" s="61"/>
      <c r="AG31" s="61"/>
      <c r="AH31" s="61"/>
      <c r="AI31" s="61"/>
      <c r="AJ31" s="61"/>
      <c r="AK31" s="61"/>
      <c r="AL31" s="403"/>
      <c r="AM31" s="61"/>
      <c r="AN31" s="61"/>
      <c r="AO31" s="59"/>
      <c r="AP31" s="405"/>
      <c r="AQ31" s="61"/>
      <c r="AR31" s="61"/>
      <c r="AS31" s="61"/>
      <c r="AT31" s="61"/>
      <c r="AU31" s="61"/>
      <c r="AV31" s="61"/>
      <c r="AW31" s="61"/>
      <c r="AX31" s="61"/>
      <c r="AY31" s="61"/>
    </row>
    <row r="32" spans="3:51" x14ac:dyDescent="0.25">
      <c r="C32" t="s">
        <v>203</v>
      </c>
      <c r="D32" s="80" t="s">
        <v>194</v>
      </c>
      <c r="E32">
        <v>0.13</v>
      </c>
      <c r="F32" s="80">
        <v>1</v>
      </c>
      <c r="G32" s="204">
        <v>1E-3</v>
      </c>
      <c r="I32" s="80">
        <v>111</v>
      </c>
      <c r="J32" s="80">
        <v>1.1000000000000001</v>
      </c>
      <c r="K32" s="80">
        <v>5.2</v>
      </c>
      <c r="L32" s="80"/>
      <c r="M32" s="80"/>
      <c r="N32" s="42"/>
      <c r="O32" s="43"/>
      <c r="P32" s="43"/>
      <c r="Q32" s="43"/>
      <c r="R32" s="43"/>
      <c r="S32" s="61"/>
      <c r="T32" s="43"/>
      <c r="U32" s="43"/>
      <c r="V32" s="43"/>
      <c r="W32" s="43"/>
      <c r="X32" s="43"/>
      <c r="Y32" s="61"/>
      <c r="Z32" s="43"/>
      <c r="AA32" s="43"/>
      <c r="AB32" s="43"/>
      <c r="AC32" s="43"/>
      <c r="AD32" s="43"/>
      <c r="AE32" s="43"/>
      <c r="AF32" s="61"/>
      <c r="AG32" s="61"/>
      <c r="AH32" s="61"/>
      <c r="AI32" s="61"/>
      <c r="AJ32" s="405"/>
      <c r="AK32" s="61"/>
      <c r="AL32" s="61"/>
      <c r="AM32" s="61"/>
      <c r="AN32" s="403"/>
      <c r="AO32" s="686"/>
      <c r="AP32" s="61"/>
      <c r="AQ32" s="61"/>
      <c r="AR32" s="405"/>
      <c r="AS32" s="405"/>
      <c r="AT32" s="61"/>
      <c r="AU32" s="61"/>
      <c r="AV32" s="61"/>
      <c r="AW32" s="61"/>
      <c r="AX32" s="61"/>
      <c r="AY32" s="61"/>
    </row>
    <row r="33" spans="3:51" x14ac:dyDescent="0.25">
      <c r="N33" s="42"/>
      <c r="O33" s="43"/>
      <c r="P33" s="43"/>
      <c r="Q33" s="43"/>
      <c r="R33" s="43"/>
      <c r="S33" s="43"/>
      <c r="T33" s="43"/>
      <c r="U33" s="43"/>
      <c r="V33" s="43"/>
      <c r="W33" s="61"/>
      <c r="X33" s="43"/>
      <c r="Y33" s="43"/>
      <c r="Z33" s="43"/>
      <c r="AA33" s="43"/>
      <c r="AB33" s="43"/>
      <c r="AC33" s="43"/>
      <c r="AD33" s="43"/>
      <c r="AE33" s="43"/>
      <c r="AF33" s="61"/>
      <c r="AG33" s="61"/>
      <c r="AH33" s="405"/>
      <c r="AI33" s="61"/>
      <c r="AJ33" s="61"/>
      <c r="AK33" s="61"/>
      <c r="AL33" s="404"/>
      <c r="AM33" s="403"/>
      <c r="AN33" s="61"/>
      <c r="AO33" s="59"/>
      <c r="AP33" s="405"/>
      <c r="AQ33" s="61"/>
      <c r="AR33" s="61"/>
      <c r="AS33" s="61"/>
      <c r="AT33" s="61"/>
      <c r="AU33" s="61"/>
      <c r="AV33" s="61"/>
      <c r="AW33" s="61"/>
      <c r="AX33" s="61"/>
      <c r="AY33" s="61"/>
    </row>
    <row r="34" spans="3:51" x14ac:dyDescent="0.25">
      <c r="D34" t="s">
        <v>864</v>
      </c>
      <c r="E34">
        <f>_xlfn.VAR.S(E12:E20)</f>
        <v>1.5529750000000004</v>
      </c>
      <c r="I34">
        <f>_xlfn.VAR.S(I12:I20)</f>
        <v>5093.1696171659423</v>
      </c>
      <c r="K34">
        <f>_xlfn.VAR.S(K12:K20)</f>
        <v>11.664877777777747</v>
      </c>
      <c r="L34">
        <f>_xlfn.VAR.S(L12:L20)</f>
        <v>12.895722222222105</v>
      </c>
      <c r="N34" s="42"/>
      <c r="O34" s="43"/>
      <c r="P34" s="43"/>
      <c r="Q34" s="43"/>
      <c r="R34" s="43"/>
      <c r="S34" s="43"/>
      <c r="T34" s="43"/>
      <c r="U34" s="43"/>
      <c r="V34" s="43"/>
      <c r="W34" s="61"/>
      <c r="X34" s="43"/>
      <c r="Y34" s="43"/>
      <c r="Z34" s="43"/>
      <c r="AA34" s="43"/>
      <c r="AB34" s="43"/>
      <c r="AC34" s="43"/>
      <c r="AD34" s="43"/>
      <c r="AE34" s="43"/>
      <c r="AF34" s="61"/>
      <c r="AG34" s="61"/>
      <c r="AH34" s="61"/>
      <c r="AI34" s="61"/>
      <c r="AJ34" s="405"/>
      <c r="AK34" s="405"/>
      <c r="AL34" s="61"/>
      <c r="AM34" s="61"/>
      <c r="AN34" s="403"/>
      <c r="AO34" s="59"/>
      <c r="AP34" s="61"/>
      <c r="AQ34" s="61"/>
      <c r="AR34" s="405"/>
      <c r="AS34" s="405"/>
      <c r="AT34" s="61"/>
      <c r="AU34" s="61"/>
      <c r="AV34" s="61"/>
      <c r="AW34" s="61"/>
      <c r="AX34" s="61"/>
      <c r="AY34" s="61"/>
    </row>
    <row r="35" spans="3:51" x14ac:dyDescent="0.25">
      <c r="E35">
        <f>_xlfn.VAR.S(E10:E20)</f>
        <v>1.6138618181818185</v>
      </c>
      <c r="I35">
        <f>_xlfn.VAR.S(I10:I20)</f>
        <v>7004.9014884543194</v>
      </c>
      <c r="N35" s="42"/>
      <c r="O35" s="43"/>
      <c r="P35" s="43"/>
      <c r="Q35" s="43"/>
      <c r="R35" s="43"/>
      <c r="S35" s="43"/>
      <c r="T35" s="43"/>
      <c r="U35" s="43"/>
      <c r="V35" s="43"/>
      <c r="W35" s="61"/>
      <c r="X35" s="43"/>
      <c r="Y35" s="43"/>
      <c r="Z35" s="43"/>
      <c r="AA35" s="43"/>
      <c r="AB35" s="43"/>
      <c r="AC35" s="43"/>
      <c r="AD35" s="43"/>
      <c r="AE35" s="43"/>
      <c r="AF35" s="61"/>
      <c r="AG35" s="61"/>
      <c r="AH35" s="61"/>
      <c r="AI35" s="61"/>
      <c r="AJ35" s="61"/>
      <c r="AK35" s="61"/>
      <c r="AL35" s="61"/>
      <c r="AM35" s="61"/>
      <c r="AN35" s="61"/>
      <c r="AO35" s="59"/>
      <c r="AP35" s="61"/>
      <c r="AQ35" s="61"/>
      <c r="AR35" s="61"/>
      <c r="AS35" s="61"/>
      <c r="AT35" s="61"/>
      <c r="AU35" s="61"/>
      <c r="AV35" s="61"/>
      <c r="AW35" s="61"/>
      <c r="AX35" s="61"/>
      <c r="AY35" s="61"/>
    </row>
    <row r="36" spans="3:51" x14ac:dyDescent="0.25">
      <c r="C36" t="s">
        <v>855</v>
      </c>
      <c r="E36">
        <f>_xlfn.VAR.S(E12:E22)</f>
        <v>1.5804472727272736</v>
      </c>
      <c r="I36">
        <f t="shared" ref="I36" si="1">_xlfn.VAR.S(I12:I22)</f>
        <v>7027.275007809204</v>
      </c>
      <c r="N36" s="42"/>
      <c r="O36" s="43"/>
      <c r="P36" s="43"/>
      <c r="Q36" s="43"/>
      <c r="R36" s="43"/>
      <c r="S36" s="43"/>
      <c r="T36" s="43"/>
      <c r="U36" s="43"/>
      <c r="V36" s="43"/>
      <c r="W36" s="61"/>
      <c r="X36" s="43"/>
      <c r="Y36" s="43"/>
      <c r="Z36" s="43"/>
      <c r="AA36" s="43"/>
      <c r="AB36" s="43"/>
      <c r="AC36" s="43"/>
      <c r="AD36" s="43"/>
      <c r="AE36" s="43"/>
      <c r="AF36" s="61"/>
      <c r="AG36" s="61"/>
      <c r="AH36" s="61"/>
      <c r="AI36" s="61"/>
      <c r="AJ36" s="61"/>
      <c r="AK36" s="61"/>
      <c r="AL36" s="61"/>
      <c r="AM36" s="61"/>
      <c r="AN36" s="61"/>
      <c r="AO36" s="59"/>
      <c r="AP36" s="61"/>
      <c r="AQ36" s="61"/>
      <c r="AR36" s="61"/>
      <c r="AS36" s="61"/>
      <c r="AT36" s="61"/>
      <c r="AU36" s="61"/>
      <c r="AV36" s="61"/>
      <c r="AW36" s="61"/>
      <c r="AX36" s="61"/>
      <c r="AY36" s="61"/>
    </row>
    <row r="37" spans="3:51" x14ac:dyDescent="0.25">
      <c r="D37" t="s">
        <v>865</v>
      </c>
      <c r="E37" t="s">
        <v>866</v>
      </c>
      <c r="F37" t="s">
        <v>874</v>
      </c>
      <c r="G37" t="s">
        <v>875</v>
      </c>
      <c r="H37" t="s">
        <v>876</v>
      </c>
      <c r="N37" s="42"/>
      <c r="O37" s="43"/>
      <c r="P37" s="43"/>
      <c r="Q37" s="43"/>
      <c r="R37" s="43"/>
      <c r="S37" s="43"/>
      <c r="T37" s="43"/>
      <c r="U37" s="43"/>
      <c r="V37" s="43"/>
      <c r="W37" s="61"/>
      <c r="X37" s="43"/>
      <c r="Y37" s="43"/>
      <c r="Z37" s="43"/>
      <c r="AA37" s="43"/>
      <c r="AB37" s="43"/>
      <c r="AC37" s="43"/>
      <c r="AD37" s="43"/>
      <c r="AE37" s="43"/>
      <c r="AF37" s="61"/>
      <c r="AG37" s="61"/>
      <c r="AH37" s="61"/>
      <c r="AI37" s="61"/>
      <c r="AJ37" s="61"/>
      <c r="AK37" s="61"/>
      <c r="AL37" s="61"/>
      <c r="AM37" s="61"/>
      <c r="AN37" s="61"/>
      <c r="AO37" s="59"/>
      <c r="AP37" s="61"/>
      <c r="AQ37" s="61"/>
      <c r="AR37" s="61"/>
      <c r="AS37" s="61"/>
      <c r="AT37" s="61"/>
      <c r="AU37" s="61"/>
      <c r="AV37" s="61"/>
      <c r="AW37" s="61"/>
      <c r="AX37" s="61"/>
      <c r="AY37" s="61"/>
    </row>
    <row r="38" spans="3:51" x14ac:dyDescent="0.25">
      <c r="C38" t="s">
        <v>856</v>
      </c>
      <c r="D38">
        <f>AVERAGE(E12:E20)</f>
        <v>1.6966666666666665</v>
      </c>
      <c r="E38">
        <f>AVERAGE(E12:E20)</f>
        <v>1.6966666666666665</v>
      </c>
      <c r="F38">
        <f>AVERAGE(E12:E20)</f>
        <v>1.6966666666666665</v>
      </c>
      <c r="G38">
        <f>AVERAGE(E10:E20)</f>
        <v>1.4227272727272726</v>
      </c>
      <c r="H38">
        <f>AVERAGE(E12:E22)</f>
        <v>1.4354545454545455</v>
      </c>
      <c r="N38" s="42"/>
      <c r="O38" s="43"/>
      <c r="P38" s="43"/>
      <c r="Q38" s="43"/>
      <c r="R38" s="43"/>
      <c r="S38" s="43"/>
      <c r="T38" s="43"/>
      <c r="U38" s="43"/>
      <c r="V38" s="43"/>
      <c r="W38" s="61"/>
      <c r="X38" s="43"/>
      <c r="Y38" s="43"/>
      <c r="Z38" s="43"/>
      <c r="AA38" s="43"/>
      <c r="AB38" s="43"/>
      <c r="AC38" s="43"/>
      <c r="AD38" s="43"/>
      <c r="AE38" s="43"/>
      <c r="AF38" s="61"/>
      <c r="AG38" s="61"/>
      <c r="AH38" s="61"/>
      <c r="AI38" s="61"/>
      <c r="AJ38" s="61"/>
      <c r="AK38" s="61"/>
      <c r="AL38" s="61"/>
      <c r="AM38" s="61"/>
      <c r="AN38" s="61"/>
      <c r="AO38" s="59"/>
      <c r="AP38" s="61"/>
      <c r="AQ38" s="61"/>
      <c r="AR38" s="61"/>
      <c r="AS38" s="61"/>
      <c r="AT38" s="61"/>
      <c r="AU38" s="61"/>
      <c r="AV38" s="61"/>
      <c r="AW38" s="61"/>
      <c r="AX38" s="61"/>
      <c r="AY38" s="61"/>
    </row>
    <row r="39" spans="3:51" x14ac:dyDescent="0.25">
      <c r="C39" t="s">
        <v>857</v>
      </c>
      <c r="D39">
        <f>AVERAGE(K12:K20)</f>
        <v>13.585555555555556</v>
      </c>
      <c r="E39">
        <f>AVERAGE(L12:L20)</f>
        <v>15.789999999999944</v>
      </c>
      <c r="F39" s="248">
        <f>AVERAGE(I12:I20)</f>
        <v>149.56554659554382</v>
      </c>
      <c r="G39" s="248">
        <f>AVERAGE(I10:I20)</f>
        <v>125.2509017599904</v>
      </c>
      <c r="H39" s="248">
        <f>AVERAGE(I12:I22)</f>
        <v>125.21090175999039</v>
      </c>
      <c r="N39" s="42"/>
      <c r="O39" s="43"/>
      <c r="P39" s="43"/>
      <c r="Q39" s="43"/>
      <c r="R39" s="43"/>
      <c r="S39" s="43"/>
      <c r="T39" s="43"/>
      <c r="U39" s="43"/>
      <c r="V39" s="43"/>
      <c r="W39" s="61"/>
      <c r="X39" s="43"/>
      <c r="Y39" s="43"/>
      <c r="Z39" s="43"/>
      <c r="AA39" s="43"/>
      <c r="AB39" s="43"/>
      <c r="AC39" s="43"/>
      <c r="AD39" s="43"/>
      <c r="AE39" s="43"/>
      <c r="AF39" s="61"/>
      <c r="AG39" s="61"/>
      <c r="AH39" s="61"/>
      <c r="AI39" s="61"/>
      <c r="AJ39" s="61"/>
      <c r="AK39" s="61"/>
      <c r="AL39" s="61"/>
      <c r="AM39" s="61"/>
      <c r="AN39" s="61"/>
      <c r="AO39" s="59"/>
      <c r="AP39" s="61"/>
      <c r="AQ39" s="61"/>
      <c r="AR39" s="61"/>
      <c r="AS39" s="61"/>
      <c r="AT39" s="61"/>
      <c r="AU39" s="61"/>
      <c r="AV39" s="61"/>
      <c r="AW39" s="61"/>
      <c r="AX39" s="61"/>
      <c r="AY39" s="61"/>
    </row>
    <row r="40" spans="3:51" x14ac:dyDescent="0.25">
      <c r="C40" t="s">
        <v>858</v>
      </c>
      <c r="D40">
        <f>DEVSQ(E12:E20)</f>
        <v>12.423800000000004</v>
      </c>
      <c r="E40">
        <f>DEVSQ(E12:E20)</f>
        <v>12.423800000000004</v>
      </c>
      <c r="F40">
        <f>DEVSQ(E12:E20)</f>
        <v>12.423800000000004</v>
      </c>
      <c r="G40">
        <f>DEVSQ(E10:E20)</f>
        <v>16.138618181818181</v>
      </c>
      <c r="H40">
        <f>DEVSQ(E12:E22)</f>
        <v>15.804472727272726</v>
      </c>
      <c r="N40" s="42"/>
      <c r="O40" s="43"/>
      <c r="P40" s="43"/>
      <c r="Q40" s="43"/>
      <c r="R40" s="43"/>
      <c r="S40" s="43"/>
      <c r="T40" s="43"/>
      <c r="U40" s="43"/>
      <c r="V40" s="43"/>
      <c r="W40" s="61"/>
      <c r="X40" s="43"/>
      <c r="Y40" s="43"/>
      <c r="Z40" s="43"/>
      <c r="AA40" s="43"/>
      <c r="AB40" s="43"/>
      <c r="AC40" s="43"/>
      <c r="AD40" s="43"/>
      <c r="AE40" s="43"/>
      <c r="AF40" s="61"/>
      <c r="AG40" s="61"/>
      <c r="AH40" s="61"/>
      <c r="AI40" s="61"/>
      <c r="AJ40" s="61"/>
      <c r="AK40" s="61"/>
      <c r="AL40" s="61"/>
      <c r="AM40" s="61"/>
      <c r="AN40" s="61"/>
      <c r="AO40" s="59"/>
      <c r="AP40" s="61"/>
      <c r="AQ40" s="61"/>
      <c r="AR40" s="61"/>
      <c r="AS40" s="61"/>
      <c r="AT40" s="61"/>
      <c r="AU40" s="61"/>
      <c r="AV40" s="61"/>
      <c r="AW40" s="61"/>
      <c r="AX40" s="61"/>
      <c r="AY40" s="61"/>
    </row>
    <row r="41" spans="3:51" x14ac:dyDescent="0.25">
      <c r="C41" t="s">
        <v>859</v>
      </c>
      <c r="D41">
        <f>DEVSQ(K12:K20)</f>
        <v>93.319022222222216</v>
      </c>
      <c r="E41">
        <f>DEVSQ(L12:L20)</f>
        <v>103.16577777777695</v>
      </c>
      <c r="F41">
        <f>DEVSQ(I12:I20)</f>
        <v>40745.356937327488</v>
      </c>
      <c r="G41">
        <f>DEVSQ(I10:I20)</f>
        <v>70049.014884543169</v>
      </c>
      <c r="H41">
        <f>DEVSQ(I12:I22)</f>
        <v>70272.750078091951</v>
      </c>
      <c r="N41" s="42"/>
      <c r="O41" s="43"/>
      <c r="P41" s="43"/>
      <c r="Q41" s="43"/>
      <c r="R41" s="43"/>
      <c r="S41" s="43"/>
      <c r="T41" s="43"/>
      <c r="U41" s="43"/>
      <c r="V41" s="43"/>
      <c r="W41" s="61"/>
      <c r="X41" s="43"/>
      <c r="Y41" s="43"/>
      <c r="Z41" s="43"/>
      <c r="AA41" s="43"/>
      <c r="AB41" s="43"/>
      <c r="AC41" s="43"/>
      <c r="AD41" s="43"/>
      <c r="AE41" s="43"/>
      <c r="AF41" s="61"/>
      <c r="AG41" s="146"/>
      <c r="AH41" s="405"/>
      <c r="AI41" s="61"/>
      <c r="AJ41" s="61"/>
      <c r="AK41" s="61"/>
      <c r="AL41" s="404"/>
      <c r="AM41" s="403"/>
      <c r="AN41" s="404"/>
      <c r="AO41" s="687"/>
      <c r="AP41" s="405"/>
      <c r="AQ41" s="405"/>
      <c r="AR41" s="405"/>
      <c r="AS41" s="61"/>
      <c r="AT41" s="61"/>
      <c r="AU41" s="61"/>
      <c r="AV41" s="61"/>
      <c r="AW41" s="61"/>
      <c r="AX41" s="61"/>
      <c r="AY41" s="61"/>
    </row>
    <row r="42" spans="3:51" x14ac:dyDescent="0.25">
      <c r="C42" t="s">
        <v>860</v>
      </c>
      <c r="D42">
        <f>SUMPRODUCT(E12:E20-D38,K12:K20-D39)</f>
        <v>21.172066666666673</v>
      </c>
      <c r="E42">
        <f>SUMPRODUCT(E12:E20-E38,L12:L20-E39)</f>
        <v>24.212866666666599</v>
      </c>
      <c r="F42">
        <f>SUMPRODUCT(E12:E20-F38,I12:I20-F39)</f>
        <v>674.65619312511399</v>
      </c>
      <c r="G42">
        <f>SUMPRODUCT(E10:E20-G38,I10:I20-G39)</f>
        <v>1004.4512770952185</v>
      </c>
      <c r="H42">
        <f>SUMPRODUCT(E12:E22-H38,I12:I22-H39)</f>
        <v>990.29175084881979</v>
      </c>
      <c r="N42" s="42"/>
      <c r="O42" s="43"/>
      <c r="P42" s="43"/>
      <c r="Q42" s="43"/>
      <c r="R42" s="43"/>
      <c r="S42" s="43"/>
      <c r="T42" s="43"/>
      <c r="U42" s="43"/>
      <c r="V42" s="43"/>
      <c r="W42" s="61"/>
      <c r="X42" s="43"/>
      <c r="Y42" s="43"/>
      <c r="Z42" s="43"/>
      <c r="AA42" s="43"/>
      <c r="AB42" s="43"/>
      <c r="AC42" s="43"/>
      <c r="AD42" s="43"/>
      <c r="AE42" s="43"/>
      <c r="AF42" s="61"/>
      <c r="AG42" s="61"/>
      <c r="AH42" s="405"/>
      <c r="AI42" s="61"/>
      <c r="AJ42" s="404"/>
      <c r="AK42" s="404"/>
      <c r="AL42" s="403"/>
      <c r="AM42" s="61"/>
      <c r="AN42" s="404"/>
      <c r="AO42" s="59"/>
      <c r="AP42" s="405"/>
      <c r="AQ42" s="405"/>
      <c r="AR42" s="405"/>
      <c r="AS42" s="61"/>
      <c r="AT42" s="61"/>
      <c r="AU42" s="61"/>
      <c r="AV42" s="61"/>
      <c r="AW42" s="61"/>
      <c r="AX42" s="61"/>
      <c r="AY42" s="61"/>
    </row>
    <row r="43" spans="3:51" x14ac:dyDescent="0.25">
      <c r="C43" t="s">
        <v>723</v>
      </c>
      <c r="D43">
        <f>COUNT(E12:E20)</f>
        <v>9</v>
      </c>
      <c r="E43">
        <f>COUNT(E12:E20)</f>
        <v>9</v>
      </c>
      <c r="F43">
        <f>COUNT(E12:E20)</f>
        <v>9</v>
      </c>
      <c r="G43">
        <f>COUNT(E10:E20)</f>
        <v>11</v>
      </c>
      <c r="H43">
        <f>COUNT(E12:E22)</f>
        <v>11</v>
      </c>
      <c r="N43" s="42"/>
      <c r="O43" s="43"/>
      <c r="P43" s="43"/>
      <c r="Q43" s="43"/>
      <c r="R43" s="43"/>
      <c r="S43" s="43"/>
      <c r="T43" s="43"/>
      <c r="U43" s="43"/>
      <c r="V43" s="43"/>
      <c r="W43" s="61"/>
      <c r="X43" s="43"/>
      <c r="Y43" s="43"/>
      <c r="Z43" s="43"/>
      <c r="AA43" s="43"/>
      <c r="AB43" s="43"/>
      <c r="AC43" s="43"/>
      <c r="AD43" s="43"/>
      <c r="AE43" s="43"/>
      <c r="AF43" s="61"/>
      <c r="AG43" s="61"/>
      <c r="AH43" s="61"/>
      <c r="AI43" s="61"/>
      <c r="AJ43" s="61"/>
      <c r="AK43" s="61"/>
      <c r="AL43" s="61"/>
      <c r="AM43" s="61"/>
      <c r="AN43" s="61"/>
      <c r="AO43" s="59"/>
      <c r="AP43" s="61"/>
      <c r="AQ43" s="61"/>
      <c r="AR43" s="61"/>
      <c r="AS43" s="61"/>
      <c r="AT43" s="61"/>
      <c r="AU43" s="61"/>
      <c r="AV43" s="61"/>
      <c r="AW43" s="61"/>
      <c r="AX43" s="61"/>
      <c r="AY43" s="61"/>
    </row>
    <row r="44" spans="3:51" x14ac:dyDescent="0.25">
      <c r="C44" t="s">
        <v>861</v>
      </c>
      <c r="D44">
        <f>(E34/K34)</f>
        <v>0.13313255651580899</v>
      </c>
      <c r="E44">
        <f>(E34/L34)</f>
        <v>0.12042559332767655</v>
      </c>
      <c r="F44">
        <f>(E34/I34)</f>
        <v>3.0491326948269638E-4</v>
      </c>
      <c r="G44">
        <f>(E35/I35)</f>
        <v>2.303903660660799E-4</v>
      </c>
      <c r="H44">
        <f>(E36/I36)</f>
        <v>2.2490186750496728E-4</v>
      </c>
      <c r="N44" s="42"/>
      <c r="O44" s="43"/>
      <c r="P44" s="43"/>
      <c r="Q44" s="43"/>
      <c r="R44" s="43"/>
      <c r="S44" s="43"/>
      <c r="T44" s="43"/>
      <c r="U44" s="43"/>
      <c r="V44" s="43"/>
      <c r="W44" s="61"/>
      <c r="X44" s="43"/>
      <c r="Y44" s="43"/>
      <c r="Z44" s="43"/>
      <c r="AA44" s="43"/>
      <c r="AB44" s="43"/>
      <c r="AC44" s="43"/>
      <c r="AD44" s="43"/>
      <c r="AE44" s="43"/>
      <c r="AF44" s="61"/>
      <c r="AG44" s="61"/>
      <c r="AH44" s="61"/>
      <c r="AI44" s="61"/>
      <c r="AJ44" s="61"/>
      <c r="AK44" s="61"/>
      <c r="AL44" s="61"/>
      <c r="AM44" s="61"/>
      <c r="AN44" s="61"/>
      <c r="AO44" s="59"/>
      <c r="AP44" s="61"/>
      <c r="AQ44" s="61"/>
      <c r="AR44" s="61"/>
      <c r="AS44" s="61"/>
      <c r="AT44" s="61"/>
      <c r="AU44" s="61"/>
      <c r="AV44" s="61"/>
      <c r="AW44" s="61"/>
      <c r="AX44" s="61"/>
      <c r="AY44" s="61"/>
    </row>
    <row r="45" spans="3:51" x14ac:dyDescent="0.25">
      <c r="C45" t="s">
        <v>862</v>
      </c>
      <c r="D45">
        <f>D39-D38*D46</f>
        <v>8.9355401497093183</v>
      </c>
      <c r="E45">
        <f>E39-E38*E46</f>
        <v>10.900807574643395</v>
      </c>
      <c r="F45">
        <f>F39-F38*F46</f>
        <v>52.400879904802267</v>
      </c>
      <c r="G45">
        <f>G39-G38*G46</f>
        <v>31.518553099297506</v>
      </c>
      <c r="H45">
        <f>H39-H38*H46</f>
        <v>29.493056384378974</v>
      </c>
      <c r="N45" s="42"/>
      <c r="O45" s="43"/>
      <c r="P45" s="43"/>
      <c r="Q45" s="43"/>
      <c r="R45" s="43"/>
      <c r="S45" s="43"/>
      <c r="T45" s="43"/>
      <c r="U45" s="43"/>
      <c r="V45" s="43"/>
      <c r="W45" s="404"/>
      <c r="X45" s="43"/>
      <c r="Y45" s="43"/>
      <c r="Z45" s="43"/>
      <c r="AA45" s="43"/>
      <c r="AB45" s="43"/>
      <c r="AC45" s="43"/>
      <c r="AD45" s="43"/>
      <c r="AE45" s="43"/>
      <c r="AF45" s="61"/>
      <c r="AG45" s="61"/>
      <c r="AH45" s="61"/>
      <c r="AI45" s="61"/>
      <c r="AJ45" s="61"/>
      <c r="AK45" s="61"/>
      <c r="AL45" s="61"/>
      <c r="AM45" s="61"/>
      <c r="AN45" s="61"/>
      <c r="AO45" s="59"/>
      <c r="AP45" s="61"/>
      <c r="AQ45" s="61"/>
      <c r="AR45" s="405"/>
      <c r="AS45" s="405"/>
      <c r="AT45" s="61"/>
      <c r="AU45" s="61"/>
      <c r="AV45" s="61"/>
      <c r="AW45" s="61"/>
      <c r="AX45" s="61"/>
      <c r="AY45" s="61"/>
    </row>
    <row r="46" spans="3:51" x14ac:dyDescent="0.25">
      <c r="C46" t="s">
        <v>863</v>
      </c>
      <c r="D46">
        <f>(D44*D41-D40+SQRT((D44*D41-D40)^2+4*D44*D42^2)/(2*D44*D42))</f>
        <v>2.7406770564909064</v>
      </c>
      <c r="E46">
        <f>(E44*E41-E40+SQRT((E44*E41-E40)^2+4*E44*E42^2)/(2*E44*E42))</f>
        <v>2.881645830269087</v>
      </c>
      <c r="F46">
        <f>(F44*F41-F40+SQRT((F44*F41-F40)^2+4*F44*F42^2)/(2*F44*F42))</f>
        <v>57.267976438551017</v>
      </c>
      <c r="G46">
        <f>(G44*G41-G40+SQRT((G44*G41-G40)^2+4*G44*G42^2)/(2*G44*G42))</f>
        <v>65.882161997931107</v>
      </c>
      <c r="H46">
        <f>(H44*H41-H40+SQRT((H44*H41-H40)^2+4*H44*H42^2)/(2*H44*H42))</f>
        <v>66.681209571356902</v>
      </c>
      <c r="N46" s="42"/>
      <c r="O46" s="43"/>
      <c r="P46" s="43"/>
      <c r="Q46" s="43"/>
      <c r="R46" s="43"/>
      <c r="S46" s="43"/>
      <c r="T46" s="43"/>
      <c r="U46" s="43"/>
      <c r="V46" s="43"/>
      <c r="W46" s="61"/>
      <c r="X46" s="43"/>
      <c r="Y46" s="43"/>
      <c r="Z46" s="381"/>
      <c r="AA46" s="381"/>
      <c r="AB46" s="43"/>
      <c r="AC46" s="43"/>
      <c r="AD46" s="43"/>
      <c r="AE46" s="43"/>
      <c r="AF46" s="61"/>
      <c r="AG46" s="61"/>
      <c r="AH46" s="61"/>
      <c r="AI46" s="61"/>
      <c r="AJ46" s="61"/>
      <c r="AK46" s="61"/>
      <c r="AL46" s="61"/>
      <c r="AM46" s="61"/>
      <c r="AN46" s="61"/>
      <c r="AO46" s="59"/>
      <c r="AP46" s="61"/>
      <c r="AQ46" s="61"/>
      <c r="AR46" s="405"/>
      <c r="AS46" s="61"/>
      <c r="AT46" s="61"/>
      <c r="AU46" s="61"/>
      <c r="AV46" s="61"/>
      <c r="AW46" s="61"/>
      <c r="AX46" s="61"/>
      <c r="AY46" s="61"/>
    </row>
    <row r="47" spans="3:51" x14ac:dyDescent="0.25">
      <c r="G47" t="s">
        <v>872</v>
      </c>
      <c r="H47" t="s">
        <v>873</v>
      </c>
      <c r="N47" s="42"/>
      <c r="O47" s="43"/>
      <c r="P47" s="43"/>
      <c r="Q47" s="43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4"/>
      <c r="AG47" s="104"/>
      <c r="AH47" s="104"/>
      <c r="AI47" s="104"/>
      <c r="AJ47" s="104"/>
      <c r="AK47" s="104"/>
      <c r="AL47" s="104"/>
      <c r="AM47" s="104"/>
      <c r="AN47" s="104"/>
      <c r="AO47" s="300"/>
      <c r="AP47" s="61"/>
      <c r="AQ47" s="61"/>
      <c r="AR47" s="61"/>
      <c r="AS47" s="61"/>
      <c r="AT47" s="61"/>
      <c r="AU47" s="61"/>
      <c r="AV47" s="61"/>
      <c r="AW47" s="61"/>
      <c r="AX47" s="61"/>
      <c r="AY47" s="61"/>
    </row>
    <row r="48" spans="3:51" x14ac:dyDescent="0.25">
      <c r="G48">
        <f>G$46*E10+G$45</f>
        <v>43.377342258925104</v>
      </c>
      <c r="N48" s="42"/>
      <c r="O48" s="43"/>
      <c r="P48" s="43"/>
      <c r="Q48" s="133"/>
    </row>
    <row r="49" spans="2:41" x14ac:dyDescent="0.25">
      <c r="B49" t="s">
        <v>867</v>
      </c>
      <c r="C49" t="s">
        <v>868</v>
      </c>
      <c r="D49" t="s">
        <v>870</v>
      </c>
      <c r="E49" t="s">
        <v>869</v>
      </c>
      <c r="F49" t="s">
        <v>871</v>
      </c>
      <c r="G49">
        <f t="shared" ref="G49" si="2">G$46*E11+G$45</f>
        <v>44.694985498883725</v>
      </c>
      <c r="N49" s="42"/>
      <c r="O49" s="43"/>
      <c r="P49" s="43"/>
      <c r="Q49" s="133"/>
    </row>
    <row r="50" spans="2:41" x14ac:dyDescent="0.25">
      <c r="B50">
        <v>0.37</v>
      </c>
      <c r="C50">
        <v>13.6</v>
      </c>
      <c r="D50">
        <f t="shared" ref="D50:D58" si="3">D$46*B50+D$45</f>
        <v>9.9495906606109532</v>
      </c>
      <c r="E50">
        <f t="shared" ref="E50:E58" si="4">E$46*B50+E$45</f>
        <v>11.967016531842956</v>
      </c>
      <c r="F50">
        <f t="shared" ref="F50:F58" si="5">F$46*B50+F$45</f>
        <v>73.590031187066145</v>
      </c>
      <c r="G50">
        <f>G$46*E12+G$45</f>
        <v>55.894953038532016</v>
      </c>
      <c r="H50">
        <f>H$46*E12+H$45</f>
        <v>54.165103925781025</v>
      </c>
      <c r="N50" s="42"/>
      <c r="O50" s="43"/>
      <c r="P50" s="43"/>
      <c r="Q50" s="133"/>
    </row>
    <row r="51" spans="2:41" x14ac:dyDescent="0.25">
      <c r="B51">
        <v>0.6</v>
      </c>
      <c r="C51">
        <v>8.359999999999955</v>
      </c>
      <c r="D51">
        <f t="shared" si="3"/>
        <v>10.579946383603861</v>
      </c>
      <c r="E51">
        <f t="shared" si="4"/>
        <v>12.629795072804846</v>
      </c>
      <c r="F51">
        <f t="shared" si="5"/>
        <v>86.761665767932868</v>
      </c>
      <c r="G51">
        <f t="shared" ref="G51:G58" si="6">G$46*E13+G$45</f>
        <v>71.047850298056176</v>
      </c>
      <c r="H51">
        <f t="shared" ref="H51:H60" si="7">H$46*E13+H$45</f>
        <v>69.50178212719311</v>
      </c>
      <c r="N51" s="42"/>
      <c r="O51" s="43"/>
      <c r="P51" s="43"/>
      <c r="Q51" s="133"/>
      <c r="AF51" t="s">
        <v>878</v>
      </c>
    </row>
    <row r="52" spans="2:41" x14ac:dyDescent="0.25">
      <c r="B52">
        <v>0.85</v>
      </c>
      <c r="C52">
        <v>13.29999999999993</v>
      </c>
      <c r="D52">
        <f t="shared" si="3"/>
        <v>11.265115647726589</v>
      </c>
      <c r="E52">
        <f t="shared" si="4"/>
        <v>13.35020653037212</v>
      </c>
      <c r="F52">
        <f t="shared" si="5"/>
        <v>101.07865987757063</v>
      </c>
      <c r="G52">
        <f t="shared" si="6"/>
        <v>87.518390797538942</v>
      </c>
      <c r="H52">
        <f t="shared" si="7"/>
        <v>86.172084520032342</v>
      </c>
      <c r="N52" s="42"/>
      <c r="O52" s="43"/>
      <c r="P52" s="43"/>
      <c r="Q52" s="133"/>
      <c r="V52" s="55"/>
      <c r="W52" s="454"/>
      <c r="X52" s="55"/>
      <c r="Y52" s="46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99"/>
    </row>
    <row r="53" spans="2:41" x14ac:dyDescent="0.25">
      <c r="B53">
        <v>0.9</v>
      </c>
      <c r="C53">
        <v>16.2</v>
      </c>
      <c r="D53">
        <f t="shared" si="3"/>
        <v>11.402149500551134</v>
      </c>
      <c r="E53">
        <f t="shared" si="4"/>
        <v>13.494288821885572</v>
      </c>
      <c r="F53">
        <f t="shared" si="5"/>
        <v>103.94205869949818</v>
      </c>
      <c r="G53">
        <f t="shared" si="6"/>
        <v>90.812498897435503</v>
      </c>
      <c r="H53">
        <f t="shared" si="7"/>
        <v>89.506144998600178</v>
      </c>
      <c r="N53" s="42"/>
      <c r="O53" s="43"/>
      <c r="P53" s="43"/>
      <c r="Q53" s="133"/>
      <c r="V53" s="43"/>
      <c r="W53" s="43"/>
      <c r="X53" s="43"/>
      <c r="Y53" s="61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133"/>
    </row>
    <row r="54" spans="2:41" x14ac:dyDescent="0.25">
      <c r="B54">
        <v>1.4</v>
      </c>
      <c r="C54">
        <v>16.46666666666658</v>
      </c>
      <c r="D54">
        <f t="shared" si="3"/>
        <v>12.772488028796587</v>
      </c>
      <c r="E54">
        <f t="shared" si="4"/>
        <v>14.935111737020115</v>
      </c>
      <c r="F54">
        <f t="shared" si="5"/>
        <v>132.57604691877367</v>
      </c>
      <c r="G54">
        <f t="shared" si="6"/>
        <v>123.75357989640105</v>
      </c>
      <c r="H54">
        <f t="shared" si="7"/>
        <v>122.84674978427863</v>
      </c>
      <c r="N54" s="42"/>
      <c r="O54" s="43"/>
      <c r="P54" s="43"/>
      <c r="Q54" s="133"/>
      <c r="V54" s="43"/>
      <c r="W54" s="43"/>
      <c r="X54" s="43"/>
      <c r="Y54" s="61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133"/>
    </row>
    <row r="55" spans="2:41" x14ac:dyDescent="0.25">
      <c r="B55">
        <v>1.5</v>
      </c>
      <c r="C55">
        <v>17.733333333333242</v>
      </c>
      <c r="D55">
        <f t="shared" si="3"/>
        <v>13.046555734445679</v>
      </c>
      <c r="E55">
        <f t="shared" si="4"/>
        <v>15.223276320047026</v>
      </c>
      <c r="F55">
        <f t="shared" si="5"/>
        <v>138.30284456262879</v>
      </c>
      <c r="G55">
        <f t="shared" si="6"/>
        <v>130.34179609619417</v>
      </c>
      <c r="H55">
        <f t="shared" si="7"/>
        <v>129.51487074141431</v>
      </c>
      <c r="N55" s="42"/>
      <c r="O55" s="43"/>
      <c r="P55" s="43"/>
      <c r="Q55" s="133"/>
      <c r="V55" s="43"/>
      <c r="W55" s="43"/>
      <c r="X55" s="43"/>
      <c r="Y55" s="61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133"/>
    </row>
    <row r="56" spans="2:41" x14ac:dyDescent="0.25">
      <c r="B56">
        <v>2.5</v>
      </c>
      <c r="C56">
        <v>20.646666666666558</v>
      </c>
      <c r="D56">
        <f t="shared" si="3"/>
        <v>15.787232790936585</v>
      </c>
      <c r="E56">
        <f t="shared" si="4"/>
        <v>18.104922150316114</v>
      </c>
      <c r="F56">
        <f t="shared" si="5"/>
        <v>195.57082100117981</v>
      </c>
      <c r="G56">
        <f t="shared" si="6"/>
        <v>196.22395809412529</v>
      </c>
      <c r="H56">
        <f t="shared" si="7"/>
        <v>196.19608031277124</v>
      </c>
      <c r="N56" s="42"/>
      <c r="O56" s="43"/>
      <c r="P56" s="43"/>
      <c r="Q56" s="133"/>
      <c r="V56" s="43"/>
      <c r="W56" s="43"/>
      <c r="X56" s="43"/>
      <c r="Y56" s="61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133"/>
    </row>
    <row r="57" spans="2:41" x14ac:dyDescent="0.25">
      <c r="B57">
        <v>3.2</v>
      </c>
      <c r="C57">
        <v>17.733333333333242</v>
      </c>
      <c r="D57">
        <f t="shared" si="3"/>
        <v>17.70570673048022</v>
      </c>
      <c r="E57">
        <f t="shared" si="4"/>
        <v>20.122074231504474</v>
      </c>
      <c r="F57">
        <f t="shared" si="5"/>
        <v>235.65840450816552</v>
      </c>
      <c r="G57">
        <f t="shared" si="6"/>
        <v>242.34147149267704</v>
      </c>
      <c r="H57">
        <f t="shared" si="7"/>
        <v>242.87292701272108</v>
      </c>
      <c r="N57" s="42"/>
      <c r="O57" s="43"/>
      <c r="P57" s="43"/>
      <c r="Q57" s="133"/>
      <c r="V57" s="43"/>
      <c r="W57" s="43"/>
      <c r="X57" s="43"/>
      <c r="Y57" s="61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133"/>
    </row>
    <row r="58" spans="2:41" x14ac:dyDescent="0.25">
      <c r="B58">
        <v>3.95</v>
      </c>
      <c r="C58">
        <v>18.07</v>
      </c>
      <c r="D58">
        <f t="shared" si="3"/>
        <v>19.761214522848398</v>
      </c>
      <c r="E58">
        <f t="shared" si="4"/>
        <v>22.28330860420629</v>
      </c>
      <c r="F58">
        <f t="shared" si="5"/>
        <v>278.60938683707877</v>
      </c>
      <c r="G58">
        <f t="shared" si="6"/>
        <v>291.75309299112536</v>
      </c>
      <c r="H58">
        <f t="shared" si="7"/>
        <v>292.88383419123875</v>
      </c>
      <c r="N58" s="42"/>
      <c r="O58" s="43"/>
      <c r="P58" s="43"/>
      <c r="Q58" s="133"/>
      <c r="V58" s="43"/>
      <c r="W58" s="43"/>
      <c r="X58" s="43"/>
      <c r="Y58" s="61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133"/>
    </row>
    <row r="59" spans="2:41" x14ac:dyDescent="0.25">
      <c r="H59">
        <f t="shared" si="7"/>
        <v>44.162922490077491</v>
      </c>
      <c r="N59" s="42"/>
      <c r="O59" s="43"/>
      <c r="P59" s="43"/>
      <c r="Q59" s="133"/>
      <c r="V59" s="43"/>
      <c r="W59" s="43"/>
      <c r="X59" s="43"/>
      <c r="Y59" s="61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133"/>
    </row>
    <row r="60" spans="2:41" x14ac:dyDescent="0.25">
      <c r="H60">
        <f t="shared" si="7"/>
        <v>49.497419255786042</v>
      </c>
      <c r="N60" s="42"/>
      <c r="O60" s="43"/>
      <c r="P60" s="43"/>
      <c r="Q60" s="133"/>
      <c r="V60" s="43"/>
      <c r="W60" s="43"/>
      <c r="X60" s="43"/>
      <c r="Y60" s="61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133"/>
    </row>
    <row r="61" spans="2:41" x14ac:dyDescent="0.25">
      <c r="N61" s="42"/>
      <c r="O61" s="43"/>
      <c r="P61" s="43"/>
      <c r="Q61" s="133"/>
      <c r="V61" s="43"/>
      <c r="W61" s="43"/>
      <c r="X61" s="43"/>
      <c r="Y61" s="61"/>
      <c r="Z61" s="43"/>
      <c r="AA61" s="43"/>
      <c r="AB61" s="43"/>
      <c r="AC61" s="43"/>
      <c r="AD61" s="43"/>
      <c r="AE61" s="43"/>
      <c r="AF61" s="61"/>
      <c r="AG61" s="61"/>
      <c r="AH61" s="61"/>
      <c r="AI61" s="61"/>
      <c r="AJ61" s="61"/>
      <c r="AK61" s="61"/>
      <c r="AL61" s="61"/>
      <c r="AM61" s="61"/>
      <c r="AN61" s="61"/>
      <c r="AO61" s="59"/>
    </row>
    <row r="62" spans="2:41" x14ac:dyDescent="0.25">
      <c r="N62" s="42"/>
      <c r="O62" s="43"/>
      <c r="P62" s="43"/>
      <c r="Q62" s="133"/>
      <c r="V62" s="43"/>
      <c r="W62" s="43"/>
      <c r="X62" s="43"/>
      <c r="Y62" s="61"/>
      <c r="Z62" s="43"/>
      <c r="AA62" s="43"/>
      <c r="AB62" s="43"/>
      <c r="AC62" s="43"/>
      <c r="AD62" s="43"/>
      <c r="AE62" s="43"/>
      <c r="AF62" s="61"/>
      <c r="AG62" s="61"/>
      <c r="AH62" s="61"/>
      <c r="AI62" s="61"/>
      <c r="AJ62" s="61"/>
      <c r="AK62" s="61"/>
      <c r="AL62" s="61"/>
      <c r="AM62" s="61"/>
      <c r="AN62" s="61"/>
      <c r="AO62" s="59"/>
    </row>
    <row r="63" spans="2:41" x14ac:dyDescent="0.25">
      <c r="N63" s="42"/>
      <c r="O63" s="43"/>
      <c r="P63" s="43"/>
      <c r="Q63" s="133"/>
      <c r="V63" s="43"/>
      <c r="W63" s="43"/>
      <c r="X63" s="43"/>
      <c r="Y63" s="61"/>
      <c r="Z63" s="43"/>
      <c r="AA63" s="43"/>
      <c r="AB63" s="43"/>
      <c r="AC63" s="43"/>
      <c r="AD63" s="43"/>
      <c r="AE63" s="43"/>
      <c r="AF63" s="61"/>
      <c r="AG63" s="61"/>
      <c r="AH63" s="61"/>
      <c r="AI63" s="61"/>
      <c r="AJ63" s="61"/>
      <c r="AK63" s="61"/>
      <c r="AL63" s="61"/>
      <c r="AM63" s="61"/>
      <c r="AN63" s="61"/>
      <c r="AO63" s="59"/>
    </row>
    <row r="64" spans="2:41" x14ac:dyDescent="0.25">
      <c r="N64" s="42"/>
      <c r="O64" s="43"/>
      <c r="P64" s="43"/>
      <c r="Q64" s="133"/>
      <c r="V64" s="43"/>
      <c r="W64" s="43"/>
      <c r="X64" s="43"/>
      <c r="Y64" s="61"/>
      <c r="Z64" s="43"/>
      <c r="AA64" s="43"/>
      <c r="AB64" s="43"/>
      <c r="AC64" s="43"/>
      <c r="AD64" s="43"/>
      <c r="AE64" s="43"/>
      <c r="AF64" s="61"/>
      <c r="AG64" s="61"/>
      <c r="AH64" s="61"/>
      <c r="AI64" s="61"/>
      <c r="AJ64" s="61"/>
      <c r="AK64" s="61"/>
      <c r="AL64" s="403"/>
      <c r="AM64" s="61"/>
      <c r="AN64" s="61"/>
      <c r="AO64" s="59"/>
    </row>
    <row r="65" spans="14:41" x14ac:dyDescent="0.25">
      <c r="N65" s="42"/>
      <c r="O65" s="43"/>
      <c r="P65" s="43"/>
      <c r="Q65" s="133"/>
      <c r="V65" s="43"/>
      <c r="W65" s="43"/>
      <c r="X65" s="43"/>
      <c r="Y65" s="61"/>
      <c r="Z65" s="43"/>
      <c r="AA65" s="43"/>
      <c r="AB65" s="43"/>
      <c r="AC65" s="43"/>
      <c r="AD65" s="43"/>
      <c r="AE65" s="43"/>
      <c r="AF65" s="61"/>
      <c r="AG65" s="61"/>
      <c r="AH65" s="61"/>
      <c r="AI65" s="61"/>
      <c r="AJ65" s="405"/>
      <c r="AK65" s="61"/>
      <c r="AL65" s="61"/>
      <c r="AM65" s="61"/>
      <c r="AN65" s="403"/>
      <c r="AO65" s="686"/>
    </row>
    <row r="66" spans="14:41" x14ac:dyDescent="0.25">
      <c r="N66" s="42"/>
      <c r="O66" s="43"/>
      <c r="P66" s="43"/>
      <c r="Q66" s="133"/>
      <c r="V66" s="43"/>
      <c r="W66" s="61"/>
      <c r="X66" s="43"/>
      <c r="Y66" s="43"/>
      <c r="Z66" s="43"/>
      <c r="AA66" s="43"/>
      <c r="AB66" s="43"/>
      <c r="AC66" s="43"/>
      <c r="AD66" s="43"/>
      <c r="AE66" s="43"/>
      <c r="AF66" s="61"/>
      <c r="AG66" s="61"/>
      <c r="AH66" s="405"/>
      <c r="AI66" s="61"/>
      <c r="AJ66" s="61"/>
      <c r="AK66" s="61"/>
      <c r="AL66" s="404"/>
      <c r="AM66" s="403"/>
      <c r="AN66" s="61"/>
      <c r="AO66" s="59"/>
    </row>
    <row r="67" spans="14:41" x14ac:dyDescent="0.25">
      <c r="N67" s="42"/>
      <c r="O67" s="43"/>
      <c r="P67" s="43"/>
      <c r="Q67" s="133"/>
      <c r="V67" s="43"/>
      <c r="W67" s="61"/>
      <c r="X67" s="43"/>
      <c r="Y67" s="43"/>
      <c r="Z67" s="43"/>
      <c r="AA67" s="43"/>
      <c r="AB67" s="43"/>
      <c r="AC67" s="43"/>
      <c r="AD67" s="43"/>
      <c r="AE67" s="43"/>
      <c r="AF67" s="61"/>
      <c r="AG67" s="61"/>
      <c r="AH67" s="61"/>
      <c r="AI67" s="61"/>
      <c r="AJ67" s="405"/>
      <c r="AK67" s="405"/>
      <c r="AL67" s="61"/>
      <c r="AM67" s="61"/>
      <c r="AN67" s="403"/>
      <c r="AO67" s="59"/>
    </row>
    <row r="68" spans="14:41" x14ac:dyDescent="0.25">
      <c r="N68" s="42"/>
      <c r="O68" s="43"/>
      <c r="P68" s="43"/>
      <c r="Q68" s="133"/>
      <c r="V68" s="43"/>
      <c r="W68" s="61"/>
      <c r="X68" s="43"/>
      <c r="Y68" s="43"/>
      <c r="Z68" s="43"/>
      <c r="AA68" s="43"/>
      <c r="AB68" s="43"/>
      <c r="AC68" s="43"/>
      <c r="AD68" s="43"/>
      <c r="AE68" s="43"/>
      <c r="AF68" s="61"/>
      <c r="AG68" s="61"/>
      <c r="AH68" s="61"/>
      <c r="AI68" s="61"/>
      <c r="AJ68" s="61"/>
      <c r="AK68" s="61"/>
      <c r="AL68" s="61"/>
      <c r="AM68" s="61"/>
      <c r="AN68" s="61"/>
      <c r="AO68" s="59"/>
    </row>
    <row r="69" spans="14:41" x14ac:dyDescent="0.25">
      <c r="N69" s="42"/>
      <c r="O69" s="43"/>
      <c r="P69" s="43"/>
      <c r="Q69" s="133"/>
      <c r="V69" s="43"/>
      <c r="W69" s="61"/>
      <c r="X69" s="43"/>
      <c r="Y69" s="43"/>
      <c r="Z69" s="43"/>
      <c r="AA69" s="43"/>
      <c r="AB69" s="43"/>
      <c r="AC69" s="43"/>
      <c r="AD69" s="43"/>
      <c r="AE69" s="43"/>
      <c r="AF69" s="61"/>
      <c r="AG69" s="61"/>
      <c r="AH69" s="61"/>
      <c r="AI69" s="61"/>
      <c r="AJ69" s="61"/>
      <c r="AK69" s="61"/>
      <c r="AL69" s="61"/>
      <c r="AM69" s="61"/>
      <c r="AN69" s="61"/>
      <c r="AO69" s="59"/>
    </row>
    <row r="70" spans="14:41" x14ac:dyDescent="0.25">
      <c r="N70" s="42"/>
      <c r="O70" s="43"/>
      <c r="P70" s="43"/>
      <c r="Q70" s="133"/>
      <c r="V70" s="43"/>
      <c r="W70" s="61"/>
      <c r="X70" s="43"/>
      <c r="Y70" s="43"/>
      <c r="Z70" s="43"/>
      <c r="AA70" s="43"/>
      <c r="AB70" s="43"/>
      <c r="AC70" s="43"/>
      <c r="AD70" s="43"/>
      <c r="AE70" s="43"/>
      <c r="AF70" s="61"/>
      <c r="AG70" s="61"/>
      <c r="AH70" s="61"/>
      <c r="AI70" s="61"/>
      <c r="AJ70" s="61"/>
      <c r="AK70" s="61"/>
      <c r="AL70" s="61"/>
      <c r="AM70" s="61"/>
      <c r="AN70" s="61"/>
      <c r="AO70" s="59"/>
    </row>
    <row r="71" spans="14:41" x14ac:dyDescent="0.25">
      <c r="N71" s="42"/>
      <c r="O71" s="43"/>
      <c r="P71" s="43"/>
      <c r="Q71" s="133"/>
      <c r="V71" s="43"/>
      <c r="W71" s="61"/>
      <c r="X71" s="43"/>
      <c r="Y71" s="43"/>
      <c r="Z71" s="43"/>
      <c r="AA71" s="43"/>
      <c r="AB71" s="43"/>
      <c r="AC71" s="43"/>
      <c r="AD71" s="43"/>
      <c r="AE71" s="43"/>
      <c r="AF71" s="61"/>
      <c r="AG71" s="61"/>
      <c r="AH71" s="61"/>
      <c r="AI71" s="61"/>
      <c r="AJ71" s="61"/>
      <c r="AK71" s="61"/>
      <c r="AL71" s="61"/>
      <c r="AM71" s="61"/>
      <c r="AN71" s="61"/>
      <c r="AO71" s="59"/>
    </row>
    <row r="72" spans="14:41" x14ac:dyDescent="0.25">
      <c r="N72" s="42"/>
      <c r="O72" s="43"/>
      <c r="P72" s="43"/>
      <c r="Q72" s="133"/>
      <c r="V72" s="43"/>
      <c r="W72" s="61"/>
      <c r="X72" s="43"/>
      <c r="Y72" s="43"/>
      <c r="Z72" s="43"/>
      <c r="AA72" s="43"/>
      <c r="AB72" s="43"/>
      <c r="AC72" s="43"/>
      <c r="AD72" s="43"/>
      <c r="AE72" s="43"/>
      <c r="AF72" s="61"/>
      <c r="AG72" s="61"/>
      <c r="AH72" s="61"/>
      <c r="AI72" s="61"/>
      <c r="AJ72" s="61"/>
      <c r="AK72" s="61"/>
      <c r="AL72" s="61"/>
      <c r="AM72" s="61"/>
      <c r="AN72" s="61"/>
      <c r="AO72" s="59"/>
    </row>
    <row r="73" spans="14:41" x14ac:dyDescent="0.25">
      <c r="N73" s="42"/>
      <c r="O73" s="43"/>
      <c r="P73" s="43"/>
      <c r="Q73" s="133"/>
      <c r="V73" s="43"/>
      <c r="W73" s="61"/>
      <c r="X73" s="43"/>
      <c r="Y73" s="43"/>
      <c r="Z73" s="43"/>
      <c r="AA73" s="43"/>
      <c r="AB73" s="43"/>
      <c r="AC73" s="43"/>
      <c r="AD73" s="43"/>
      <c r="AE73" s="43"/>
      <c r="AF73" s="61"/>
      <c r="AG73" s="61"/>
      <c r="AH73" s="61"/>
      <c r="AI73" s="61"/>
      <c r="AJ73" s="61"/>
      <c r="AK73" s="61"/>
      <c r="AL73" s="61"/>
      <c r="AM73" s="61"/>
      <c r="AN73" s="61"/>
      <c r="AO73" s="59"/>
    </row>
    <row r="74" spans="14:41" x14ac:dyDescent="0.25">
      <c r="N74" s="42"/>
      <c r="O74" s="43"/>
      <c r="P74" s="43"/>
      <c r="Q74" s="133"/>
      <c r="V74" s="43"/>
      <c r="W74" s="61"/>
      <c r="X74" s="43"/>
      <c r="Y74" s="43"/>
      <c r="Z74" s="43"/>
      <c r="AA74" s="43"/>
      <c r="AB74" s="43"/>
      <c r="AC74" s="43"/>
      <c r="AD74" s="43"/>
      <c r="AE74" s="43"/>
      <c r="AF74" s="61"/>
      <c r="AG74" s="146"/>
      <c r="AH74" s="405"/>
      <c r="AI74" s="61"/>
      <c r="AJ74" s="61"/>
      <c r="AK74" s="61"/>
      <c r="AL74" s="404"/>
      <c r="AM74" s="403"/>
      <c r="AN74" s="404"/>
      <c r="AO74" s="687"/>
    </row>
    <row r="75" spans="14:41" x14ac:dyDescent="0.25">
      <c r="N75" s="109"/>
      <c r="O75" s="105"/>
      <c r="P75" s="105"/>
      <c r="Q75" s="101"/>
      <c r="V75" s="43"/>
      <c r="W75" s="61"/>
      <c r="X75" s="43"/>
      <c r="Y75" s="43"/>
      <c r="Z75" s="43"/>
      <c r="AA75" s="43"/>
      <c r="AB75" s="43"/>
      <c r="AC75" s="43"/>
      <c r="AD75" s="43"/>
      <c r="AE75" s="43"/>
      <c r="AF75" s="61"/>
      <c r="AG75" s="61"/>
      <c r="AH75" s="405"/>
      <c r="AI75" s="61"/>
      <c r="AJ75" s="404"/>
      <c r="AK75" s="404"/>
      <c r="AL75" s="403"/>
      <c r="AM75" s="61"/>
      <c r="AN75" s="404"/>
      <c r="AO75" s="59"/>
    </row>
    <row r="76" spans="14:41" x14ac:dyDescent="0.25">
      <c r="V76" s="43"/>
      <c r="W76" s="61"/>
      <c r="X76" s="43"/>
      <c r="Y76" s="43"/>
      <c r="Z76" s="43"/>
      <c r="AA76" s="43"/>
      <c r="AB76" s="43"/>
      <c r="AC76" s="43"/>
      <c r="AD76" s="43"/>
      <c r="AE76" s="43"/>
      <c r="AF76" s="61"/>
      <c r="AG76" s="61"/>
      <c r="AH76" s="61"/>
      <c r="AI76" s="61"/>
      <c r="AJ76" s="61"/>
      <c r="AK76" s="61"/>
      <c r="AL76" s="61"/>
      <c r="AM76" s="61"/>
      <c r="AN76" s="61"/>
      <c r="AO76" s="59"/>
    </row>
    <row r="77" spans="14:41" x14ac:dyDescent="0.25">
      <c r="V77" s="43"/>
      <c r="W77" s="61"/>
      <c r="X77" s="43"/>
      <c r="Y77" s="43"/>
      <c r="Z77" s="43"/>
      <c r="AA77" s="43"/>
      <c r="AB77" s="43"/>
      <c r="AC77" s="43"/>
      <c r="AD77" s="43"/>
      <c r="AE77" s="43"/>
      <c r="AF77" s="61"/>
      <c r="AG77" s="61"/>
      <c r="AH77" s="61"/>
      <c r="AI77" s="61"/>
      <c r="AJ77" s="61"/>
      <c r="AK77" s="61"/>
      <c r="AL77" s="61"/>
      <c r="AM77" s="61"/>
      <c r="AN77" s="61"/>
      <c r="AO77" s="59"/>
    </row>
    <row r="78" spans="14:41" x14ac:dyDescent="0.25">
      <c r="V78" s="43"/>
      <c r="W78" s="404"/>
      <c r="X78" s="43"/>
      <c r="Y78" s="43"/>
      <c r="Z78" s="43"/>
      <c r="AA78" s="43"/>
      <c r="AB78" s="43"/>
      <c r="AC78" s="43"/>
      <c r="AD78" s="43"/>
      <c r="AE78" s="43"/>
      <c r="AF78" s="61"/>
      <c r="AG78" s="61"/>
      <c r="AH78" s="61"/>
      <c r="AI78" s="61"/>
      <c r="AJ78" s="61"/>
      <c r="AK78" s="61"/>
      <c r="AL78" s="61"/>
      <c r="AM78" s="61"/>
      <c r="AN78" s="61"/>
      <c r="AO78" s="59"/>
    </row>
    <row r="79" spans="14:41" x14ac:dyDescent="0.25">
      <c r="V79" s="43"/>
      <c r="W79" s="61"/>
      <c r="X79" s="43"/>
      <c r="Y79" s="43"/>
      <c r="Z79" s="381"/>
      <c r="AA79" s="381"/>
      <c r="AB79" s="43"/>
      <c r="AC79" s="43"/>
      <c r="AD79" s="43"/>
      <c r="AE79" s="43"/>
      <c r="AF79" s="61"/>
      <c r="AG79" s="61"/>
      <c r="AH79" s="61"/>
      <c r="AI79" s="61"/>
      <c r="AJ79" s="61"/>
      <c r="AK79" s="61"/>
      <c r="AL79" s="61"/>
      <c r="AM79" s="61"/>
      <c r="AN79" s="61"/>
      <c r="AO79" s="59"/>
    </row>
    <row r="80" spans="14:41" x14ac:dyDescent="0.25"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4"/>
      <c r="AG80" s="104"/>
      <c r="AH80" s="104"/>
      <c r="AI80" s="104"/>
      <c r="AJ80" s="104"/>
      <c r="AK80" s="104"/>
      <c r="AL80" s="104"/>
      <c r="AM80" s="104"/>
      <c r="AN80" s="104"/>
      <c r="AO80" s="30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282AA-A293-4A0B-830F-9FFFB69CE4FE}">
  <dimension ref="B2:AB71"/>
  <sheetViews>
    <sheetView topLeftCell="E90" workbookViewId="0">
      <selection activeCell="C42" sqref="C42:L71"/>
    </sheetView>
  </sheetViews>
  <sheetFormatPr defaultRowHeight="15" x14ac:dyDescent="0.25"/>
  <cols>
    <col min="2" max="4" width="14.7109375"/>
    <col min="5" max="5" width="19.28515625" customWidth="1"/>
    <col min="6" max="6" width="17" bestFit="1" customWidth="1"/>
    <col min="7" max="7" width="14.85546875" customWidth="1"/>
    <col min="8" max="8" width="17" bestFit="1" customWidth="1"/>
    <col min="9" max="9" width="14.85546875" bestFit="1" customWidth="1"/>
    <col min="10" max="10" width="18.85546875" customWidth="1"/>
    <col min="11" max="11" width="14.85546875" bestFit="1" customWidth="1"/>
    <col min="12" max="14" width="14.7109375"/>
    <col min="15" max="20" width="16.7109375" bestFit="1" customWidth="1"/>
    <col min="21" max="31" width="11.42578125"/>
  </cols>
  <sheetData>
    <row r="2" spans="2:28" x14ac:dyDescent="0.25">
      <c r="M2" t="s">
        <v>379</v>
      </c>
      <c r="P2" t="s">
        <v>429</v>
      </c>
      <c r="Q2" s="65">
        <f>'TFT +- SD'!$AE$26</f>
        <v>1.6E-2</v>
      </c>
      <c r="S2" t="s">
        <v>778</v>
      </c>
      <c r="T2">
        <f>'TFT +- SD'!$E$26/$Q$2</f>
        <v>0.29935416666666675</v>
      </c>
    </row>
    <row r="3" spans="2:28" x14ac:dyDescent="0.25">
      <c r="B3" s="298" t="s">
        <v>421</v>
      </c>
      <c r="C3" t="s">
        <v>462</v>
      </c>
      <c r="D3" t="s">
        <v>736</v>
      </c>
      <c r="E3" t="s">
        <v>425</v>
      </c>
      <c r="F3" t="s">
        <v>428</v>
      </c>
      <c r="G3" t="s">
        <v>369</v>
      </c>
      <c r="H3" t="s">
        <v>370</v>
      </c>
      <c r="I3" t="s">
        <v>373</v>
      </c>
      <c r="J3" t="s">
        <v>374</v>
      </c>
      <c r="K3" t="s">
        <v>595</v>
      </c>
      <c r="P3" t="s">
        <v>295</v>
      </c>
      <c r="Q3">
        <f>'TFT +- SD'!$E$26</f>
        <v>4.7896666666666678E-3</v>
      </c>
    </row>
    <row r="4" spans="2:28" x14ac:dyDescent="0.25">
      <c r="B4" s="55" t="s">
        <v>578</v>
      </c>
      <c r="C4" s="547">
        <v>13</v>
      </c>
      <c r="D4" s="55">
        <v>3.198</v>
      </c>
      <c r="E4" s="547">
        <v>246</v>
      </c>
      <c r="F4" s="55">
        <v>3.8916041666666673E-3</v>
      </c>
      <c r="G4" s="55">
        <v>351.10463560405589</v>
      </c>
      <c r="H4" s="55">
        <v>189.32482483284963</v>
      </c>
      <c r="I4" s="55">
        <v>105.10463560405589</v>
      </c>
      <c r="J4" s="55">
        <v>-56.675175167150371</v>
      </c>
      <c r="K4" s="55" t="s">
        <v>596</v>
      </c>
      <c r="M4" t="s">
        <v>421</v>
      </c>
      <c r="N4" t="s">
        <v>422</v>
      </c>
      <c r="O4" t="s">
        <v>423</v>
      </c>
      <c r="P4" t="s">
        <v>461</v>
      </c>
      <c r="Q4" t="s">
        <v>462</v>
      </c>
      <c r="R4" t="s">
        <v>425</v>
      </c>
      <c r="S4" t="s">
        <v>426</v>
      </c>
      <c r="U4" t="s">
        <v>736</v>
      </c>
      <c r="V4" t="s">
        <v>428</v>
      </c>
      <c r="W4" s="512" t="s">
        <v>369</v>
      </c>
      <c r="X4" s="512" t="s">
        <v>370</v>
      </c>
      <c r="Y4" t="s">
        <v>373</v>
      </c>
      <c r="Z4" t="s">
        <v>374</v>
      </c>
      <c r="AA4" t="s">
        <v>377</v>
      </c>
      <c r="AB4" t="s">
        <v>378</v>
      </c>
    </row>
    <row r="5" spans="2:28" x14ac:dyDescent="0.25">
      <c r="B5" t="s">
        <v>579</v>
      </c>
      <c r="C5" s="515">
        <v>19</v>
      </c>
      <c r="D5">
        <v>5.3769999999999998</v>
      </c>
      <c r="E5" s="515">
        <v>283</v>
      </c>
      <c r="F5">
        <v>5.6877291666666682E-3</v>
      </c>
      <c r="G5">
        <v>403.9130564062919</v>
      </c>
      <c r="H5">
        <v>217.80050986868474</v>
      </c>
      <c r="I5">
        <v>120.9130564062919</v>
      </c>
      <c r="J5">
        <v>-65.199490131315258</v>
      </c>
      <c r="M5" t="s">
        <v>410</v>
      </c>
      <c r="N5" s="515">
        <v>1</v>
      </c>
      <c r="O5" s="515">
        <v>0.9</v>
      </c>
      <c r="P5" s="515" t="s">
        <v>380</v>
      </c>
      <c r="Q5" s="515">
        <v>13</v>
      </c>
      <c r="R5" s="515">
        <v>246</v>
      </c>
      <c r="S5" s="515" t="s">
        <v>381</v>
      </c>
      <c r="U5">
        <f t="shared" ref="U5:U21" si="0">R5*(Q5/1000)</f>
        <v>3.198</v>
      </c>
      <c r="V5">
        <f>(Q5/1000)/($Q$2/$Q$3)</f>
        <v>3.8916041666666673E-3</v>
      </c>
      <c r="W5">
        <f t="shared" ref="W5:W21" si="1">U5/((Q5/1000)-V5)</f>
        <v>351.10463560405589</v>
      </c>
      <c r="X5">
        <f t="shared" ref="X5:X21" si="2">U5/((Q5/1000)+V5)</f>
        <v>189.32482483284963</v>
      </c>
      <c r="Y5">
        <f>W5-$R5</f>
        <v>105.10463560405589</v>
      </c>
      <c r="Z5">
        <f>X5-$R5</f>
        <v>-56.675175167150371</v>
      </c>
      <c r="AA5">
        <f>((W5/$R5)*100)-100</f>
        <v>42.725461627664998</v>
      </c>
      <c r="AB5">
        <f>((X5/$R5)*100)-100</f>
        <v>-23.038689092337549</v>
      </c>
    </row>
    <row r="6" spans="2:28" x14ac:dyDescent="0.25">
      <c r="B6" t="s">
        <v>580</v>
      </c>
      <c r="C6" s="515">
        <v>13.5</v>
      </c>
      <c r="D6">
        <v>3.7664999999999997</v>
      </c>
      <c r="E6" s="515">
        <v>279</v>
      </c>
      <c r="F6">
        <v>4.0412812500000006E-3</v>
      </c>
      <c r="G6">
        <v>398.20403794118522</v>
      </c>
      <c r="H6">
        <v>214.72205743237828</v>
      </c>
      <c r="I6">
        <v>119.20403794118522</v>
      </c>
      <c r="J6">
        <v>-64.277942567621722</v>
      </c>
      <c r="M6" t="s">
        <v>411</v>
      </c>
      <c r="N6" s="515">
        <v>1</v>
      </c>
      <c r="O6" s="515">
        <v>1.2</v>
      </c>
      <c r="P6" s="515" t="s">
        <v>382</v>
      </c>
      <c r="Q6" s="515">
        <v>19</v>
      </c>
      <c r="R6" s="515">
        <v>283</v>
      </c>
      <c r="S6" s="515" t="s">
        <v>381</v>
      </c>
      <c r="U6">
        <f t="shared" si="0"/>
        <v>5.3769999999999998</v>
      </c>
      <c r="V6">
        <f t="shared" ref="V6:V21" si="3">(Q6/1000)/($Q$2/$Q$3)</f>
        <v>5.6877291666666682E-3</v>
      </c>
      <c r="W6">
        <f t="shared" si="1"/>
        <v>403.9130564062919</v>
      </c>
      <c r="X6">
        <f t="shared" si="2"/>
        <v>217.80050986868474</v>
      </c>
      <c r="Y6">
        <f t="shared" ref="Y6:Y21" si="4">W6-$R6</f>
        <v>120.9130564062919</v>
      </c>
      <c r="Z6">
        <f t="shared" ref="Z6:Z21" si="5">X6-$R6</f>
        <v>-65.199490131315258</v>
      </c>
      <c r="AA6">
        <f t="shared" ref="AA6:AA21" si="6">((W6/$R6)*100)-100</f>
        <v>42.72546162766497</v>
      </c>
      <c r="AB6">
        <f t="shared" ref="AB6:AB21" si="7">((X6/$R6)*100)-100</f>
        <v>-23.038689092337549</v>
      </c>
    </row>
    <row r="7" spans="2:28" x14ac:dyDescent="0.25">
      <c r="B7" t="s">
        <v>581</v>
      </c>
      <c r="C7" s="515">
        <v>15.8</v>
      </c>
      <c r="D7">
        <v>6.0198000000000009</v>
      </c>
      <c r="E7" s="515">
        <v>381</v>
      </c>
      <c r="F7">
        <v>4.7297958333333348E-3</v>
      </c>
      <c r="G7">
        <v>543.7840088014035</v>
      </c>
      <c r="H7">
        <v>293.22259455819398</v>
      </c>
      <c r="I7">
        <v>162.7840088014035</v>
      </c>
      <c r="J7">
        <v>-87.777405441806025</v>
      </c>
      <c r="M7" t="s">
        <v>383</v>
      </c>
      <c r="N7" s="515">
        <v>1</v>
      </c>
      <c r="O7" s="515">
        <v>0.2</v>
      </c>
      <c r="P7" s="515" t="s">
        <v>384</v>
      </c>
      <c r="Q7" s="515">
        <v>13.5</v>
      </c>
      <c r="R7" s="515">
        <v>279</v>
      </c>
      <c r="S7" s="515" t="s">
        <v>381</v>
      </c>
      <c r="U7">
        <f t="shared" si="0"/>
        <v>3.7664999999999997</v>
      </c>
      <c r="V7">
        <f t="shared" si="3"/>
        <v>4.0412812500000006E-3</v>
      </c>
      <c r="W7">
        <f t="shared" si="1"/>
        <v>398.20403794118522</v>
      </c>
      <c r="X7">
        <f t="shared" si="2"/>
        <v>214.72205743237828</v>
      </c>
      <c r="Y7">
        <f t="shared" si="4"/>
        <v>119.20403794118522</v>
      </c>
      <c r="Z7">
        <f t="shared" si="5"/>
        <v>-64.277942567621722</v>
      </c>
      <c r="AA7">
        <f t="shared" si="6"/>
        <v>42.725461627664941</v>
      </c>
      <c r="AB7">
        <f t="shared" si="7"/>
        <v>-23.038689092337535</v>
      </c>
    </row>
    <row r="8" spans="2:28" x14ac:dyDescent="0.25">
      <c r="B8" t="s">
        <v>582</v>
      </c>
      <c r="C8" s="515">
        <v>11</v>
      </c>
      <c r="D8">
        <v>1.617</v>
      </c>
      <c r="E8" s="515">
        <v>147</v>
      </c>
      <c r="F8">
        <v>3.2928958333333339E-3</v>
      </c>
      <c r="G8">
        <v>209.80642859266749</v>
      </c>
      <c r="H8">
        <v>113.13312703426382</v>
      </c>
      <c r="I8">
        <v>62.806428592667487</v>
      </c>
      <c r="J8">
        <v>-33.866872965736178</v>
      </c>
      <c r="M8" t="s">
        <v>385</v>
      </c>
      <c r="N8" s="515">
        <v>2</v>
      </c>
      <c r="O8" s="515">
        <v>2.65</v>
      </c>
      <c r="P8" s="515" t="s">
        <v>386</v>
      </c>
      <c r="Q8" s="515">
        <v>15.8</v>
      </c>
      <c r="R8" s="515">
        <v>381</v>
      </c>
      <c r="S8" s="515">
        <v>83</v>
      </c>
      <c r="U8">
        <f t="shared" si="0"/>
        <v>6.0198000000000009</v>
      </c>
      <c r="V8">
        <f t="shared" si="3"/>
        <v>4.7297958333333348E-3</v>
      </c>
      <c r="W8">
        <f t="shared" si="1"/>
        <v>543.7840088014035</v>
      </c>
      <c r="X8">
        <f t="shared" si="2"/>
        <v>293.22259455819398</v>
      </c>
      <c r="Y8">
        <f t="shared" si="4"/>
        <v>162.7840088014035</v>
      </c>
      <c r="Z8">
        <f t="shared" si="5"/>
        <v>-87.777405441806025</v>
      </c>
      <c r="AA8">
        <f t="shared" si="6"/>
        <v>42.725461627664941</v>
      </c>
      <c r="AB8">
        <f t="shared" si="7"/>
        <v>-23.038689092337535</v>
      </c>
    </row>
    <row r="9" spans="2:28" x14ac:dyDescent="0.25">
      <c r="B9" t="s">
        <v>583</v>
      </c>
      <c r="C9" s="515">
        <v>16</v>
      </c>
      <c r="D9">
        <v>5.1680000000000001</v>
      </c>
      <c r="E9" s="515">
        <v>323</v>
      </c>
      <c r="F9">
        <v>4.7896666666666678E-3</v>
      </c>
      <c r="G9">
        <v>461.00324105735785</v>
      </c>
      <c r="H9">
        <v>248.58503423174975</v>
      </c>
      <c r="I9">
        <v>138.00324105735785</v>
      </c>
      <c r="J9">
        <v>-74.414965768250255</v>
      </c>
      <c r="M9" t="s">
        <v>387</v>
      </c>
      <c r="N9" s="515">
        <v>5</v>
      </c>
      <c r="O9" s="515">
        <v>0.12</v>
      </c>
      <c r="P9" s="515">
        <v>11</v>
      </c>
      <c r="Q9" s="515">
        <v>11</v>
      </c>
      <c r="R9" s="515">
        <v>147</v>
      </c>
      <c r="S9" s="515">
        <v>60</v>
      </c>
      <c r="U9">
        <f t="shared" si="0"/>
        <v>1.617</v>
      </c>
      <c r="V9">
        <f t="shared" si="3"/>
        <v>3.2928958333333339E-3</v>
      </c>
      <c r="W9">
        <f t="shared" si="1"/>
        <v>209.80642859266749</v>
      </c>
      <c r="X9">
        <f t="shared" si="2"/>
        <v>113.13312703426382</v>
      </c>
      <c r="Y9">
        <f t="shared" si="4"/>
        <v>62.806428592667487</v>
      </c>
      <c r="Z9">
        <f t="shared" si="5"/>
        <v>-33.866872965736178</v>
      </c>
      <c r="AA9">
        <f t="shared" si="6"/>
        <v>42.725461627664941</v>
      </c>
      <c r="AB9">
        <f t="shared" si="7"/>
        <v>-23.038689092337535</v>
      </c>
    </row>
    <row r="10" spans="2:28" x14ac:dyDescent="0.25">
      <c r="B10" t="s">
        <v>584</v>
      </c>
      <c r="C10" s="515">
        <v>12</v>
      </c>
      <c r="D10">
        <v>1.5840000000000001</v>
      </c>
      <c r="E10" s="515">
        <v>132</v>
      </c>
      <c r="F10">
        <v>3.5922500000000008E-3</v>
      </c>
      <c r="G10">
        <v>188.39760934851779</v>
      </c>
      <c r="H10">
        <v>101.58893039811444</v>
      </c>
      <c r="I10">
        <v>56.39760934851779</v>
      </c>
      <c r="J10">
        <v>-30.411069601885558</v>
      </c>
      <c r="M10" t="s">
        <v>388</v>
      </c>
      <c r="N10" s="515">
        <v>3</v>
      </c>
      <c r="O10" s="515">
        <v>2</v>
      </c>
      <c r="P10" s="515" t="s">
        <v>389</v>
      </c>
      <c r="Q10" s="515">
        <v>16</v>
      </c>
      <c r="R10" s="515">
        <v>323</v>
      </c>
      <c r="S10" s="515">
        <v>81</v>
      </c>
      <c r="U10">
        <f t="shared" si="0"/>
        <v>5.1680000000000001</v>
      </c>
      <c r="V10">
        <f t="shared" si="3"/>
        <v>4.7896666666666678E-3</v>
      </c>
      <c r="W10">
        <f t="shared" si="1"/>
        <v>461.00324105735785</v>
      </c>
      <c r="X10">
        <f t="shared" si="2"/>
        <v>248.58503423174975</v>
      </c>
      <c r="Y10">
        <f t="shared" si="4"/>
        <v>138.00324105735785</v>
      </c>
      <c r="Z10">
        <f t="shared" si="5"/>
        <v>-74.414965768250255</v>
      </c>
      <c r="AA10">
        <f t="shared" si="6"/>
        <v>42.72546162766497</v>
      </c>
      <c r="AB10">
        <f t="shared" si="7"/>
        <v>-23.038689092337535</v>
      </c>
    </row>
    <row r="11" spans="2:28" x14ac:dyDescent="0.25">
      <c r="B11" t="s">
        <v>585</v>
      </c>
      <c r="C11" s="515">
        <v>13</v>
      </c>
      <c r="D11">
        <v>3.653</v>
      </c>
      <c r="E11" s="515">
        <v>281</v>
      </c>
      <c r="F11">
        <v>3.8916041666666673E-3</v>
      </c>
      <c r="G11">
        <v>401.05854717373859</v>
      </c>
      <c r="H11">
        <v>216.26128365053151</v>
      </c>
      <c r="I11">
        <v>120.058547173739</v>
      </c>
      <c r="J11">
        <v>-64.73871634946849</v>
      </c>
      <c r="M11" t="s">
        <v>390</v>
      </c>
      <c r="N11" s="515">
        <v>1</v>
      </c>
      <c r="O11" s="515">
        <v>0.1</v>
      </c>
      <c r="P11" s="515" t="s">
        <v>391</v>
      </c>
      <c r="Q11" s="515">
        <v>12</v>
      </c>
      <c r="R11" s="515">
        <v>132</v>
      </c>
      <c r="S11" s="515">
        <v>46</v>
      </c>
      <c r="U11">
        <f t="shared" si="0"/>
        <v>1.5840000000000001</v>
      </c>
      <c r="V11">
        <f t="shared" si="3"/>
        <v>3.5922500000000008E-3</v>
      </c>
      <c r="W11">
        <f t="shared" si="1"/>
        <v>188.39760934851779</v>
      </c>
      <c r="X11">
        <f t="shared" si="2"/>
        <v>101.58893039811444</v>
      </c>
      <c r="Y11">
        <f t="shared" si="4"/>
        <v>56.39760934851779</v>
      </c>
      <c r="Z11">
        <f t="shared" si="5"/>
        <v>-30.411069601885558</v>
      </c>
      <c r="AA11">
        <f t="shared" si="6"/>
        <v>42.725461627664998</v>
      </c>
      <c r="AB11">
        <f t="shared" si="7"/>
        <v>-23.038689092337535</v>
      </c>
    </row>
    <row r="12" spans="2:28" x14ac:dyDescent="0.25">
      <c r="B12" t="s">
        <v>586</v>
      </c>
      <c r="C12" s="515">
        <v>14</v>
      </c>
      <c r="D12">
        <v>3.15</v>
      </c>
      <c r="E12" s="515">
        <v>225</v>
      </c>
      <c r="F12">
        <v>4.1909583333333347E-3</v>
      </c>
      <c r="G12">
        <v>321.1322886622462</v>
      </c>
      <c r="H12">
        <v>173.16294954224054</v>
      </c>
      <c r="I12">
        <v>96.132288662246197</v>
      </c>
      <c r="J12">
        <v>-51.83705045775946</v>
      </c>
      <c r="M12" t="s">
        <v>392</v>
      </c>
      <c r="N12" s="515">
        <v>1</v>
      </c>
      <c r="O12" s="515">
        <v>1.9</v>
      </c>
      <c r="P12" s="515">
        <v>13</v>
      </c>
      <c r="Q12" s="515">
        <v>13</v>
      </c>
      <c r="R12" s="515">
        <v>281</v>
      </c>
      <c r="S12" s="515">
        <v>58</v>
      </c>
      <c r="U12">
        <f t="shared" si="0"/>
        <v>3.653</v>
      </c>
      <c r="V12">
        <f t="shared" si="3"/>
        <v>3.8916041666666673E-3</v>
      </c>
      <c r="W12">
        <f t="shared" si="1"/>
        <v>401.05854717373859</v>
      </c>
      <c r="X12">
        <f t="shared" si="2"/>
        <v>216.26128365053151</v>
      </c>
      <c r="Y12">
        <f t="shared" si="4"/>
        <v>120.05854717373859</v>
      </c>
      <c r="Z12">
        <f t="shared" si="5"/>
        <v>-64.73871634946849</v>
      </c>
      <c r="AA12">
        <f t="shared" si="6"/>
        <v>42.72546162766497</v>
      </c>
      <c r="AB12">
        <f t="shared" si="7"/>
        <v>-23.038689092337535</v>
      </c>
    </row>
    <row r="13" spans="2:28" x14ac:dyDescent="0.25">
      <c r="B13" t="s">
        <v>587</v>
      </c>
      <c r="C13" s="515">
        <v>19.8</v>
      </c>
      <c r="D13">
        <v>6.7122000000000002</v>
      </c>
      <c r="E13" s="515">
        <v>339</v>
      </c>
      <c r="F13">
        <v>5.9272125000000018E-3</v>
      </c>
      <c r="G13">
        <v>483.83931491778418</v>
      </c>
      <c r="H13">
        <v>260.89884397697574</v>
      </c>
      <c r="I13">
        <v>144.83931491778418</v>
      </c>
      <c r="J13">
        <v>-78.101156023024259</v>
      </c>
      <c r="M13" t="s">
        <v>393</v>
      </c>
      <c r="N13" s="515">
        <v>3</v>
      </c>
      <c r="O13" s="515">
        <v>0.43</v>
      </c>
      <c r="P13" s="515" t="s">
        <v>394</v>
      </c>
      <c r="Q13" s="515">
        <v>14</v>
      </c>
      <c r="R13" s="515">
        <v>225</v>
      </c>
      <c r="S13" s="515" t="s">
        <v>381</v>
      </c>
      <c r="U13">
        <f t="shared" si="0"/>
        <v>3.15</v>
      </c>
      <c r="V13">
        <f t="shared" si="3"/>
        <v>4.1909583333333347E-3</v>
      </c>
      <c r="W13">
        <f t="shared" si="1"/>
        <v>321.1322886622462</v>
      </c>
      <c r="X13">
        <f t="shared" si="2"/>
        <v>173.16294954224054</v>
      </c>
      <c r="Y13">
        <f t="shared" si="4"/>
        <v>96.132288662246197</v>
      </c>
      <c r="Z13">
        <f t="shared" si="5"/>
        <v>-51.83705045775946</v>
      </c>
      <c r="AA13">
        <f t="shared" si="6"/>
        <v>42.72546162766497</v>
      </c>
      <c r="AB13">
        <f t="shared" si="7"/>
        <v>-23.038689092337535</v>
      </c>
    </row>
    <row r="14" spans="2:28" x14ac:dyDescent="0.25">
      <c r="B14" t="s">
        <v>588</v>
      </c>
      <c r="C14" s="515">
        <v>10.1</v>
      </c>
      <c r="D14">
        <v>4.1712999999999996</v>
      </c>
      <c r="E14" s="515">
        <v>413</v>
      </c>
      <c r="F14">
        <v>3.0234770833333338E-3</v>
      </c>
      <c r="G14">
        <v>589.45615652225626</v>
      </c>
      <c r="H14">
        <v>317.85021404864591</v>
      </c>
      <c r="I14">
        <v>176.45615652225626</v>
      </c>
      <c r="J14">
        <v>-95.14978595135409</v>
      </c>
      <c r="M14" t="s">
        <v>395</v>
      </c>
      <c r="N14" s="515">
        <v>2</v>
      </c>
      <c r="O14" s="515">
        <v>2</v>
      </c>
      <c r="P14" s="515" t="s">
        <v>396</v>
      </c>
      <c r="Q14" s="515">
        <v>19.8</v>
      </c>
      <c r="R14" s="515">
        <v>339</v>
      </c>
      <c r="S14" s="515">
        <v>50</v>
      </c>
      <c r="U14">
        <f t="shared" si="0"/>
        <v>6.7122000000000002</v>
      </c>
      <c r="V14">
        <f t="shared" si="3"/>
        <v>5.9272125000000018E-3</v>
      </c>
      <c r="W14">
        <f t="shared" si="1"/>
        <v>483.83931491778418</v>
      </c>
      <c r="X14">
        <f t="shared" si="2"/>
        <v>260.89884397697574</v>
      </c>
      <c r="Y14">
        <f t="shared" si="4"/>
        <v>144.83931491778418</v>
      </c>
      <c r="Z14">
        <f t="shared" si="5"/>
        <v>-78.101156023024259</v>
      </c>
      <c r="AA14">
        <f t="shared" si="6"/>
        <v>42.725461627664941</v>
      </c>
      <c r="AB14">
        <f t="shared" si="7"/>
        <v>-23.038689092337535</v>
      </c>
    </row>
    <row r="15" spans="2:28" x14ac:dyDescent="0.25">
      <c r="B15" t="s">
        <v>589</v>
      </c>
      <c r="C15" s="515">
        <v>11</v>
      </c>
      <c r="D15">
        <v>3.9929999999999999</v>
      </c>
      <c r="E15" s="515">
        <v>363</v>
      </c>
      <c r="F15">
        <v>3.2928958333333339E-3</v>
      </c>
      <c r="G15">
        <v>518.09342570842387</v>
      </c>
      <c r="H15">
        <v>279.36955859481475</v>
      </c>
      <c r="I15">
        <v>155.09342570842387</v>
      </c>
      <c r="J15">
        <v>-83.630441405185252</v>
      </c>
      <c r="M15" t="s">
        <v>397</v>
      </c>
      <c r="N15" s="515">
        <v>1</v>
      </c>
      <c r="O15" s="515">
        <v>0.2</v>
      </c>
      <c r="P15" s="515" t="s">
        <v>398</v>
      </c>
      <c r="Q15" s="515">
        <v>10.1</v>
      </c>
      <c r="R15" s="515">
        <v>413</v>
      </c>
      <c r="S15" s="515">
        <v>290</v>
      </c>
      <c r="T15" t="s">
        <v>427</v>
      </c>
      <c r="U15">
        <f t="shared" si="0"/>
        <v>4.1712999999999996</v>
      </c>
      <c r="V15">
        <f t="shared" si="3"/>
        <v>3.0234770833333338E-3</v>
      </c>
      <c r="W15">
        <f t="shared" si="1"/>
        <v>589.45615652225626</v>
      </c>
      <c r="X15">
        <f t="shared" si="2"/>
        <v>317.85021404864591</v>
      </c>
      <c r="Y15">
        <f t="shared" si="4"/>
        <v>176.45615652225626</v>
      </c>
      <c r="Z15">
        <f t="shared" si="5"/>
        <v>-95.14978595135409</v>
      </c>
      <c r="AA15">
        <f t="shared" si="6"/>
        <v>42.725461627664941</v>
      </c>
      <c r="AB15">
        <f t="shared" si="7"/>
        <v>-23.038689092337549</v>
      </c>
    </row>
    <row r="16" spans="2:28" x14ac:dyDescent="0.25">
      <c r="B16" t="s">
        <v>590</v>
      </c>
      <c r="C16" s="515">
        <v>14.5</v>
      </c>
      <c r="D16">
        <v>4.9155000000000006</v>
      </c>
      <c r="E16" s="515">
        <v>339</v>
      </c>
      <c r="F16">
        <v>4.340635416666668E-3</v>
      </c>
      <c r="G16">
        <v>483.83931491778424</v>
      </c>
      <c r="H16">
        <v>260.89884397697574</v>
      </c>
      <c r="I16">
        <v>144.83931491778424</v>
      </c>
      <c r="J16">
        <v>-78.101156023024259</v>
      </c>
      <c r="M16" t="s">
        <v>399</v>
      </c>
      <c r="N16" s="515">
        <v>2</v>
      </c>
      <c r="O16" s="515">
        <v>0.04</v>
      </c>
      <c r="P16" s="515" t="s">
        <v>400</v>
      </c>
      <c r="Q16" s="515">
        <v>11</v>
      </c>
      <c r="R16" s="515">
        <v>363</v>
      </c>
      <c r="S16" s="515" t="s">
        <v>381</v>
      </c>
      <c r="U16">
        <f t="shared" si="0"/>
        <v>3.9929999999999999</v>
      </c>
      <c r="V16">
        <f t="shared" si="3"/>
        <v>3.2928958333333339E-3</v>
      </c>
      <c r="W16">
        <f t="shared" si="1"/>
        <v>518.09342570842387</v>
      </c>
      <c r="X16">
        <f t="shared" si="2"/>
        <v>279.36955859481475</v>
      </c>
      <c r="Y16">
        <f t="shared" si="4"/>
        <v>155.09342570842387</v>
      </c>
      <c r="Z16">
        <f t="shared" si="5"/>
        <v>-83.630441405185252</v>
      </c>
      <c r="AA16">
        <f t="shared" si="6"/>
        <v>42.72546162766497</v>
      </c>
      <c r="AB16">
        <f t="shared" si="7"/>
        <v>-23.038689092337535</v>
      </c>
    </row>
    <row r="17" spans="2:28" x14ac:dyDescent="0.25">
      <c r="B17" t="s">
        <v>591</v>
      </c>
      <c r="C17" s="515">
        <v>14</v>
      </c>
      <c r="D17">
        <v>7.266</v>
      </c>
      <c r="E17" s="515">
        <v>519</v>
      </c>
      <c r="F17">
        <v>4.1909583333333347E-3</v>
      </c>
      <c r="G17">
        <v>740.74514584758117</v>
      </c>
      <c r="H17">
        <v>399.42920361076818</v>
      </c>
      <c r="I17">
        <v>221.74514584758117</v>
      </c>
      <c r="J17">
        <v>-119.57079638923182</v>
      </c>
      <c r="M17" t="s">
        <v>401</v>
      </c>
      <c r="N17" s="515">
        <v>1</v>
      </c>
      <c r="O17" s="515">
        <v>1.8</v>
      </c>
      <c r="P17" s="515" t="s">
        <v>402</v>
      </c>
      <c r="Q17" s="515">
        <v>14.5</v>
      </c>
      <c r="R17" s="515">
        <v>339</v>
      </c>
      <c r="S17" s="515">
        <v>296</v>
      </c>
      <c r="T17" t="s">
        <v>427</v>
      </c>
      <c r="U17">
        <f t="shared" si="0"/>
        <v>4.9155000000000006</v>
      </c>
      <c r="V17">
        <f t="shared" si="3"/>
        <v>4.340635416666668E-3</v>
      </c>
      <c r="W17">
        <f t="shared" si="1"/>
        <v>483.83931491778424</v>
      </c>
      <c r="X17">
        <f t="shared" si="2"/>
        <v>260.89884397697574</v>
      </c>
      <c r="Y17">
        <f t="shared" si="4"/>
        <v>144.83931491778424</v>
      </c>
      <c r="Z17">
        <f t="shared" si="5"/>
        <v>-78.101156023024259</v>
      </c>
      <c r="AA17">
        <f t="shared" si="6"/>
        <v>42.72546162766497</v>
      </c>
      <c r="AB17">
        <f t="shared" si="7"/>
        <v>-23.038689092337535</v>
      </c>
    </row>
    <row r="18" spans="2:28" x14ac:dyDescent="0.25">
      <c r="B18" t="s">
        <v>592</v>
      </c>
      <c r="C18" s="515">
        <v>14</v>
      </c>
      <c r="D18">
        <v>3.6960000000000002</v>
      </c>
      <c r="E18" s="515">
        <v>264</v>
      </c>
      <c r="F18">
        <v>4.1909583333333347E-3</v>
      </c>
      <c r="G18">
        <v>376.79521869703552</v>
      </c>
      <c r="H18">
        <v>203.17786079622891</v>
      </c>
      <c r="I18">
        <v>112.79521869703552</v>
      </c>
      <c r="J18">
        <v>-60.822139203771087</v>
      </c>
      <c r="M18" t="s">
        <v>403</v>
      </c>
      <c r="N18" s="515">
        <v>1</v>
      </c>
      <c r="O18" s="515">
        <v>18</v>
      </c>
      <c r="P18" s="515" t="s">
        <v>404</v>
      </c>
      <c r="Q18" s="515">
        <v>14</v>
      </c>
      <c r="R18" s="515">
        <v>519</v>
      </c>
      <c r="S18" s="515">
        <v>454</v>
      </c>
      <c r="T18" t="s">
        <v>427</v>
      </c>
      <c r="U18">
        <f t="shared" si="0"/>
        <v>7.266</v>
      </c>
      <c r="V18">
        <f t="shared" si="3"/>
        <v>4.1909583333333347E-3</v>
      </c>
      <c r="W18">
        <f t="shared" si="1"/>
        <v>740.74514584758117</v>
      </c>
      <c r="X18">
        <f t="shared" si="2"/>
        <v>399.42920361076818</v>
      </c>
      <c r="Y18">
        <f t="shared" si="4"/>
        <v>221.74514584758117</v>
      </c>
      <c r="Z18">
        <f t="shared" si="5"/>
        <v>-119.57079638923182</v>
      </c>
      <c r="AA18">
        <f t="shared" si="6"/>
        <v>42.72546162766497</v>
      </c>
      <c r="AB18">
        <f t="shared" si="7"/>
        <v>-23.038689092337535</v>
      </c>
    </row>
    <row r="19" spans="2:28" x14ac:dyDescent="0.25">
      <c r="B19" t="s">
        <v>593</v>
      </c>
      <c r="C19" s="515">
        <v>14</v>
      </c>
      <c r="D19">
        <v>4.3959999999999999</v>
      </c>
      <c r="E19" s="515">
        <v>314</v>
      </c>
      <c r="F19">
        <v>4.1909583333333347E-3</v>
      </c>
      <c r="G19">
        <v>448.15794951086798</v>
      </c>
      <c r="H19">
        <v>241.65851625006013</v>
      </c>
      <c r="I19">
        <v>134.15794951086798</v>
      </c>
      <c r="J19">
        <v>-72.341483749939869</v>
      </c>
      <c r="M19" t="s">
        <v>405</v>
      </c>
      <c r="N19" s="515">
        <v>1</v>
      </c>
      <c r="O19" s="515">
        <v>1.8</v>
      </c>
      <c r="P19" s="515" t="s">
        <v>402</v>
      </c>
      <c r="Q19" s="515">
        <v>14</v>
      </c>
      <c r="R19" s="515">
        <v>264</v>
      </c>
      <c r="S19" s="515" t="s">
        <v>381</v>
      </c>
      <c r="T19" t="s">
        <v>381</v>
      </c>
      <c r="U19">
        <f t="shared" si="0"/>
        <v>3.6960000000000002</v>
      </c>
      <c r="V19">
        <f t="shared" si="3"/>
        <v>4.1909583333333347E-3</v>
      </c>
      <c r="W19">
        <f t="shared" si="1"/>
        <v>376.79521869703552</v>
      </c>
      <c r="X19">
        <f t="shared" si="2"/>
        <v>203.17786079622891</v>
      </c>
      <c r="Y19">
        <f t="shared" si="4"/>
        <v>112.79521869703552</v>
      </c>
      <c r="Z19">
        <f t="shared" si="5"/>
        <v>-60.822139203771087</v>
      </c>
      <c r="AA19">
        <f t="shared" si="6"/>
        <v>42.72546162766497</v>
      </c>
      <c r="AB19">
        <f t="shared" si="7"/>
        <v>-23.038689092337535</v>
      </c>
    </row>
    <row r="20" spans="2:28" x14ac:dyDescent="0.25">
      <c r="B20" t="s">
        <v>594</v>
      </c>
      <c r="C20" s="515">
        <v>17</v>
      </c>
      <c r="D20">
        <v>15.861000000000001</v>
      </c>
      <c r="E20" s="515">
        <v>933</v>
      </c>
      <c r="F20">
        <v>5.0890208333333352E-3</v>
      </c>
      <c r="G20">
        <v>1331.6285569861143</v>
      </c>
      <c r="H20">
        <v>718.04903076849064</v>
      </c>
      <c r="I20">
        <v>398.62855698611429</v>
      </c>
      <c r="J20">
        <v>-214.95096923150936</v>
      </c>
      <c r="M20" t="s">
        <v>409</v>
      </c>
      <c r="N20" s="515">
        <v>1</v>
      </c>
      <c r="O20" s="515">
        <v>15.5</v>
      </c>
      <c r="P20" s="515" t="s">
        <v>406</v>
      </c>
      <c r="Q20" s="515">
        <v>14</v>
      </c>
      <c r="R20" s="515">
        <v>314</v>
      </c>
      <c r="S20" s="515"/>
      <c r="U20">
        <f t="shared" si="0"/>
        <v>4.3959999999999999</v>
      </c>
      <c r="V20">
        <f t="shared" si="3"/>
        <v>4.1909583333333347E-3</v>
      </c>
      <c r="W20">
        <f t="shared" si="1"/>
        <v>448.15794951086798</v>
      </c>
      <c r="X20">
        <f t="shared" si="2"/>
        <v>241.65851625006013</v>
      </c>
      <c r="Y20">
        <f t="shared" si="4"/>
        <v>134.15794951086798</v>
      </c>
      <c r="Z20">
        <f t="shared" si="5"/>
        <v>-72.341483749939869</v>
      </c>
      <c r="AA20">
        <f t="shared" si="6"/>
        <v>42.725461627664941</v>
      </c>
      <c r="AB20">
        <f t="shared" si="7"/>
        <v>-23.038689092337535</v>
      </c>
    </row>
    <row r="21" spans="2:28" x14ac:dyDescent="0.25">
      <c r="B21" s="55" t="s">
        <v>459</v>
      </c>
      <c r="C21" s="296">
        <v>18.2</v>
      </c>
      <c r="D21" s="55">
        <v>1.1648000000000001</v>
      </c>
      <c r="E21" s="55">
        <v>64</v>
      </c>
      <c r="F21" s="55">
        <v>5.4482458333333346E-3</v>
      </c>
      <c r="G21" s="55">
        <v>91.344295441705569</v>
      </c>
      <c r="H21" s="55">
        <v>49.255238980903975</v>
      </c>
      <c r="I21" s="55">
        <v>27.344295441705569</v>
      </c>
      <c r="J21" s="55">
        <v>-14.744761019096025</v>
      </c>
      <c r="K21" s="55" t="s">
        <v>458</v>
      </c>
      <c r="M21" t="s">
        <v>407</v>
      </c>
      <c r="N21" s="515">
        <v>1</v>
      </c>
      <c r="O21" s="515">
        <v>138</v>
      </c>
      <c r="P21" s="515" t="s">
        <v>408</v>
      </c>
      <c r="Q21" s="515">
        <v>17</v>
      </c>
      <c r="R21" s="515">
        <v>933</v>
      </c>
      <c r="S21" s="515">
        <v>777</v>
      </c>
      <c r="T21" s="294" t="s">
        <v>427</v>
      </c>
      <c r="U21">
        <f t="shared" si="0"/>
        <v>15.861000000000001</v>
      </c>
      <c r="V21">
        <f t="shared" si="3"/>
        <v>5.0890208333333352E-3</v>
      </c>
      <c r="W21">
        <f t="shared" si="1"/>
        <v>1331.6285569861143</v>
      </c>
      <c r="X21">
        <f t="shared" si="2"/>
        <v>718.04903076849064</v>
      </c>
      <c r="Y21">
        <f t="shared" si="4"/>
        <v>398.62855698611429</v>
      </c>
      <c r="Z21">
        <f t="shared" si="5"/>
        <v>-214.95096923150936</v>
      </c>
      <c r="AA21">
        <f t="shared" si="6"/>
        <v>42.72546162766497</v>
      </c>
      <c r="AB21">
        <f t="shared" si="7"/>
        <v>-23.038689092337549</v>
      </c>
    </row>
    <row r="22" spans="2:28" x14ac:dyDescent="0.25">
      <c r="B22" s="43"/>
      <c r="C22" s="199">
        <v>20.8</v>
      </c>
      <c r="D22" s="43">
        <v>1.1232</v>
      </c>
      <c r="E22" s="43">
        <v>54</v>
      </c>
      <c r="F22" s="43">
        <v>6.2265666666666674E-3</v>
      </c>
      <c r="G22" s="43">
        <v>77.07174927893908</v>
      </c>
      <c r="H22" s="43">
        <v>41.559107890137724</v>
      </c>
      <c r="I22" s="43">
        <v>23.07174927893908</v>
      </c>
      <c r="J22" s="43">
        <v>-12.440892109862276</v>
      </c>
      <c r="K22" s="43"/>
      <c r="M22" t="s">
        <v>412</v>
      </c>
      <c r="N22" s="294"/>
      <c r="O22" s="294"/>
      <c r="P22" s="294"/>
      <c r="Q22" s="294"/>
      <c r="R22" s="294"/>
      <c r="S22" s="294"/>
    </row>
    <row r="23" spans="2:28" x14ac:dyDescent="0.25">
      <c r="B23" s="604" t="s">
        <v>738</v>
      </c>
      <c r="C23" s="55"/>
      <c r="D23" s="55"/>
      <c r="E23" s="55"/>
      <c r="F23" s="55"/>
      <c r="G23" s="55"/>
      <c r="H23" s="55"/>
      <c r="I23" s="55"/>
      <c r="J23" s="55"/>
      <c r="K23" s="55" t="s">
        <v>737</v>
      </c>
      <c r="M23" t="s">
        <v>413</v>
      </c>
    </row>
    <row r="24" spans="2:28" x14ac:dyDescent="0.25">
      <c r="B24" s="61" t="s">
        <v>780</v>
      </c>
      <c r="C24" s="47">
        <v>17.550999999999998</v>
      </c>
      <c r="D24">
        <f>E24*(C24/1000)</f>
        <v>5.1248919999999991</v>
      </c>
      <c r="E24" s="61">
        <v>292</v>
      </c>
      <c r="F24">
        <f>(C24/1000)/($Q$2/$Q$3)</f>
        <v>5.2539649791666669E-3</v>
      </c>
      <c r="G24">
        <f>D24/((C24/1000)-F24)</f>
        <v>416.75834795278172</v>
      </c>
      <c r="H24">
        <f>D24/((C24/1000)+F24)</f>
        <v>224.72702785037436</v>
      </c>
      <c r="I24">
        <f>G24-$E24</f>
        <v>124.75834795278172</v>
      </c>
      <c r="J24">
        <f>H24-$E24</f>
        <v>-67.272972149625645</v>
      </c>
      <c r="K24">
        <f>((G24/$E24)*100)-100</f>
        <v>42.72546162766497</v>
      </c>
      <c r="L24">
        <f>((H24/$E24)*100)-100</f>
        <v>-23.038689092337549</v>
      </c>
      <c r="M24" t="s">
        <v>414</v>
      </c>
    </row>
    <row r="25" spans="2:28" x14ac:dyDescent="0.25">
      <c r="B25" s="61" t="s">
        <v>781</v>
      </c>
      <c r="C25" s="47">
        <v>17.550999999999998</v>
      </c>
      <c r="D25">
        <f>E25*(C25/1000)</f>
        <v>4.6334639999999991</v>
      </c>
      <c r="E25" s="61">
        <v>264</v>
      </c>
      <c r="F25">
        <f>(C25/1000)/($Q$2/$Q$3)</f>
        <v>5.2539649791666669E-3</v>
      </c>
      <c r="G25">
        <f>D25/((C25/1000)-F25)</f>
        <v>376.79521869703552</v>
      </c>
      <c r="H25">
        <f>D25/((C25/1000)+F25)</f>
        <v>203.17786079622888</v>
      </c>
      <c r="I25">
        <f t="shared" ref="I25:I32" si="8">G25-$E25</f>
        <v>112.79521869703552</v>
      </c>
      <c r="J25">
        <f t="shared" ref="J25:J32" si="9">H25-$E25</f>
        <v>-60.822139203771115</v>
      </c>
      <c r="K25">
        <f t="shared" ref="K25:K32" si="10">((G25/$E25)*100)-100</f>
        <v>42.72546162766497</v>
      </c>
      <c r="L25">
        <f t="shared" ref="L25:L32" si="11">((H25/$E25)*100)-100</f>
        <v>-23.038689092337535</v>
      </c>
      <c r="M25" t="s">
        <v>415</v>
      </c>
    </row>
    <row r="26" spans="2:28" x14ac:dyDescent="0.25">
      <c r="B26" s="61" t="s">
        <v>782</v>
      </c>
      <c r="C26" s="47">
        <v>17.550999999999998</v>
      </c>
      <c r="D26">
        <f>E26*(C26/1000)</f>
        <v>4.3877499999999996</v>
      </c>
      <c r="E26" s="61">
        <v>250</v>
      </c>
      <c r="F26">
        <f>(C26/1000)/($Q$2/$Q$3)</f>
        <v>5.2539649791666669E-3</v>
      </c>
      <c r="G26">
        <f>D26/((C26/1000)-F26)</f>
        <v>356.81365406916245</v>
      </c>
      <c r="H26">
        <f>D26/((C26/1000)+F26)</f>
        <v>192.40327726915615</v>
      </c>
      <c r="I26">
        <f t="shared" si="8"/>
        <v>106.81365406916245</v>
      </c>
      <c r="J26">
        <f t="shared" si="9"/>
        <v>-57.596722730843851</v>
      </c>
      <c r="K26">
        <f t="shared" si="10"/>
        <v>42.72546162766497</v>
      </c>
      <c r="L26">
        <f t="shared" si="11"/>
        <v>-23.038689092337535</v>
      </c>
      <c r="M26" t="s">
        <v>416</v>
      </c>
    </row>
    <row r="27" spans="2:28" x14ac:dyDescent="0.25">
      <c r="B27" s="605" t="s">
        <v>740</v>
      </c>
      <c r="M27" t="s">
        <v>417</v>
      </c>
    </row>
    <row r="28" spans="2:28" x14ac:dyDescent="0.25">
      <c r="B28" s="61" t="s">
        <v>741</v>
      </c>
      <c r="C28" s="606">
        <v>14.464506172839505</v>
      </c>
      <c r="D28">
        <f>E28*(C28/1000)</f>
        <v>4.8311450617283951</v>
      </c>
      <c r="E28" s="468">
        <v>334</v>
      </c>
      <c r="F28" s="227">
        <f>(C28/1000)/($Q$2/$Q$3)</f>
        <v>4.3300101916152267E-3</v>
      </c>
      <c r="G28" s="226">
        <f>D28/((C28/1000)-F28)</f>
        <v>476.70304183640098</v>
      </c>
      <c r="H28">
        <f>D28/((C28/1000)+F28)</f>
        <v>257.05077843159262</v>
      </c>
      <c r="I28">
        <f t="shared" si="8"/>
        <v>142.70304183640098</v>
      </c>
      <c r="J28">
        <f t="shared" si="9"/>
        <v>-76.949221568407381</v>
      </c>
      <c r="K28">
        <f t="shared" si="10"/>
        <v>42.72546162766497</v>
      </c>
      <c r="L28">
        <f t="shared" si="11"/>
        <v>-23.038689092337535</v>
      </c>
      <c r="M28" t="s">
        <v>418</v>
      </c>
    </row>
    <row r="29" spans="2:28" x14ac:dyDescent="0.25">
      <c r="B29" s="605" t="s">
        <v>742</v>
      </c>
      <c r="M29" t="s">
        <v>419</v>
      </c>
    </row>
    <row r="30" spans="2:28" x14ac:dyDescent="0.25">
      <c r="B30" s="61" t="s">
        <v>743</v>
      </c>
      <c r="C30" s="286">
        <v>23</v>
      </c>
      <c r="D30">
        <f>E30*(C30/1000)</f>
        <v>8.0500000000000007</v>
      </c>
      <c r="E30">
        <v>350</v>
      </c>
      <c r="F30">
        <f>(C30/1000)/($Q$2/$Q$3)</f>
        <v>6.8851458333333351E-3</v>
      </c>
      <c r="G30">
        <f>D30/((C30/1000)-F30)</f>
        <v>499.53911569682742</v>
      </c>
      <c r="H30">
        <f>D30/((C30/1000)+F30)</f>
        <v>269.36458817681864</v>
      </c>
      <c r="I30">
        <f t="shared" si="8"/>
        <v>149.53911569682742</v>
      </c>
      <c r="J30">
        <f t="shared" si="9"/>
        <v>-80.635411823181357</v>
      </c>
      <c r="K30">
        <f t="shared" si="10"/>
        <v>42.72546162766497</v>
      </c>
      <c r="L30">
        <f t="shared" si="11"/>
        <v>-23.038689092337535</v>
      </c>
      <c r="M30" t="s">
        <v>420</v>
      </c>
    </row>
    <row r="31" spans="2:28" x14ac:dyDescent="0.25">
      <c r="B31" s="45" t="s">
        <v>744</v>
      </c>
      <c r="C31" s="286">
        <v>23</v>
      </c>
      <c r="D31">
        <f>E31*(C31/1000)</f>
        <v>7.3599999999999994</v>
      </c>
      <c r="E31">
        <v>320</v>
      </c>
      <c r="F31">
        <f>(C31/1000)/($Q$2/$Q$3)</f>
        <v>6.8851458333333351E-3</v>
      </c>
      <c r="G31">
        <f>D31/((C31/1000)-F31)</f>
        <v>456.72147720852786</v>
      </c>
      <c r="H31">
        <f>D31/((C31/1000)+F31)</f>
        <v>246.27619490451985</v>
      </c>
      <c r="I31">
        <f t="shared" si="8"/>
        <v>136.72147720852786</v>
      </c>
      <c r="J31">
        <f t="shared" si="9"/>
        <v>-73.723805095480145</v>
      </c>
      <c r="K31">
        <f t="shared" si="10"/>
        <v>42.725461627664941</v>
      </c>
      <c r="L31">
        <f t="shared" si="11"/>
        <v>-23.038689092337549</v>
      </c>
    </row>
    <row r="32" spans="2:28" x14ac:dyDescent="0.25">
      <c r="B32" s="45" t="s">
        <v>745</v>
      </c>
      <c r="C32" s="286">
        <v>23</v>
      </c>
      <c r="D32">
        <f>E32*(C32/1000)</f>
        <v>8.1649999999999991</v>
      </c>
      <c r="E32">
        <v>355</v>
      </c>
      <c r="F32">
        <f>(C32/1000)/($Q$2/$Q$3)</f>
        <v>6.8851458333333351E-3</v>
      </c>
      <c r="G32">
        <f>D32/((C32/1000)-F32)</f>
        <v>506.67538877821062</v>
      </c>
      <c r="H32">
        <f>D32/((C32/1000)+F32)</f>
        <v>273.21265372220171</v>
      </c>
      <c r="I32">
        <f t="shared" si="8"/>
        <v>151.67538877821062</v>
      </c>
      <c r="J32">
        <f t="shared" si="9"/>
        <v>-81.787346277798292</v>
      </c>
      <c r="K32">
        <f t="shared" si="10"/>
        <v>42.72546162766497</v>
      </c>
      <c r="L32">
        <f t="shared" si="11"/>
        <v>-23.038689092337549</v>
      </c>
      <c r="M32" t="s">
        <v>597</v>
      </c>
      <c r="N32" t="s">
        <v>831</v>
      </c>
    </row>
    <row r="33" spans="3:28" x14ac:dyDescent="0.25">
      <c r="N33" s="286"/>
      <c r="O33" t="s">
        <v>423</v>
      </c>
      <c r="P33" t="s">
        <v>461</v>
      </c>
      <c r="Q33" t="s">
        <v>462</v>
      </c>
      <c r="R33" t="s">
        <v>425</v>
      </c>
      <c r="S33" t="s">
        <v>604</v>
      </c>
      <c r="U33" t="s">
        <v>430</v>
      </c>
      <c r="V33" t="s">
        <v>428</v>
      </c>
      <c r="W33" s="512" t="s">
        <v>369</v>
      </c>
      <c r="X33" s="512" t="s">
        <v>370</v>
      </c>
      <c r="Y33" t="s">
        <v>373</v>
      </c>
      <c r="Z33" t="s">
        <v>374</v>
      </c>
      <c r="AA33" t="s">
        <v>377</v>
      </c>
      <c r="AB33" t="s">
        <v>378</v>
      </c>
    </row>
    <row r="34" spans="3:28" x14ac:dyDescent="0.25">
      <c r="M34" t="s">
        <v>598</v>
      </c>
      <c r="N34" s="286"/>
      <c r="O34" s="286">
        <v>0.91800000000000004</v>
      </c>
      <c r="P34" s="286"/>
      <c r="Q34" s="286">
        <v>24</v>
      </c>
      <c r="R34" s="286">
        <v>181</v>
      </c>
      <c r="S34" s="286">
        <v>4.3499999999999996</v>
      </c>
      <c r="T34" s="286"/>
      <c r="U34">
        <f>R34*(Q34/1000)</f>
        <v>4.3440000000000003</v>
      </c>
      <c r="V34">
        <f>(Q34/1000)/($Q$2/$Q$3)</f>
        <v>7.1845000000000016E-3</v>
      </c>
      <c r="W34">
        <f>U34/((Q34/1000)-V34)</f>
        <v>258.33308554607362</v>
      </c>
      <c r="X34">
        <f>U34/((Q34/1000)+V34)</f>
        <v>139.29997274286904</v>
      </c>
      <c r="Y34">
        <f>W34-$R34</f>
        <v>77.333085546073619</v>
      </c>
      <c r="Z34">
        <f>X34-$R34</f>
        <v>-41.700027257130955</v>
      </c>
      <c r="AA34">
        <f>((W34/$R34)*100)-100</f>
        <v>42.72546162766497</v>
      </c>
      <c r="AB34">
        <f>((X34/$R34)*100)-100</f>
        <v>-23.038689092337549</v>
      </c>
    </row>
    <row r="35" spans="3:28" x14ac:dyDescent="0.25">
      <c r="M35" t="s">
        <v>599</v>
      </c>
      <c r="N35" s="286"/>
      <c r="O35" s="286">
        <v>3.1E-2</v>
      </c>
      <c r="P35" s="286"/>
      <c r="Q35" s="286">
        <v>25</v>
      </c>
      <c r="R35" s="286">
        <v>50</v>
      </c>
      <c r="S35" s="286">
        <v>1.26</v>
      </c>
      <c r="T35" s="286"/>
      <c r="U35">
        <f>R35*(Q35/1000)</f>
        <v>1.25</v>
      </c>
      <c r="V35">
        <f>(Q35/1000)/($Q$2/$Q$3)</f>
        <v>7.483854166666669E-3</v>
      </c>
      <c r="W35">
        <f>U35/((Q35/1000)-V35)</f>
        <v>71.362730813832471</v>
      </c>
      <c r="X35">
        <f>U35/((Q35/1000)+V35)</f>
        <v>38.480655453831226</v>
      </c>
      <c r="Y35">
        <f t="shared" ref="Y35:Y38" si="12">W35-$R35</f>
        <v>21.362730813832471</v>
      </c>
      <c r="Z35">
        <f t="shared" ref="Z35:Z38" si="13">X35-$R35</f>
        <v>-11.519344546168774</v>
      </c>
      <c r="AA35">
        <f t="shared" ref="AA35:AA38" si="14">((W35/$R35)*100)-100</f>
        <v>42.725461627664941</v>
      </c>
      <c r="AB35">
        <f t="shared" ref="AB35:AB38" si="15">((X35/$R35)*100)-100</f>
        <v>-23.038689092337549</v>
      </c>
    </row>
    <row r="36" spans="3:28" x14ac:dyDescent="0.25">
      <c r="M36" t="s">
        <v>600</v>
      </c>
      <c r="N36" s="286"/>
      <c r="O36" s="286" t="s">
        <v>603</v>
      </c>
      <c r="P36" s="286"/>
      <c r="Q36" s="286"/>
      <c r="R36" s="286"/>
      <c r="S36" s="286">
        <v>2.7</v>
      </c>
      <c r="T36" s="286"/>
    </row>
    <row r="37" spans="3:28" x14ac:dyDescent="0.25">
      <c r="M37" t="s">
        <v>601</v>
      </c>
      <c r="N37" s="286"/>
      <c r="O37" s="286">
        <v>5.5E-2</v>
      </c>
      <c r="P37" s="286"/>
      <c r="Q37" s="286">
        <v>25</v>
      </c>
      <c r="R37" s="286">
        <v>58</v>
      </c>
      <c r="S37" s="286">
        <v>2.2999999999999998</v>
      </c>
      <c r="T37" s="286"/>
      <c r="U37">
        <f>R37*(Q37/1000)</f>
        <v>1.4500000000000002</v>
      </c>
      <c r="V37">
        <f>(Q37/1000)/($Q$2/$Q$3)</f>
        <v>7.483854166666669E-3</v>
      </c>
      <c r="W37">
        <f>U37/((Q37/1000)-V37)</f>
        <v>82.780767744045676</v>
      </c>
      <c r="X37">
        <f>U37/((Q37/1000)+V37)</f>
        <v>44.637560326444223</v>
      </c>
      <c r="Y37">
        <f t="shared" si="12"/>
        <v>24.780767744045676</v>
      </c>
      <c r="Z37">
        <f t="shared" si="13"/>
        <v>-13.362439673555777</v>
      </c>
      <c r="AA37">
        <f t="shared" si="14"/>
        <v>42.725461627664941</v>
      </c>
      <c r="AB37">
        <f t="shared" si="15"/>
        <v>-23.038689092337549</v>
      </c>
    </row>
    <row r="38" spans="3:28" x14ac:dyDescent="0.25">
      <c r="M38" t="s">
        <v>602</v>
      </c>
      <c r="N38" s="286"/>
      <c r="O38" s="286">
        <v>0.55400000000000005</v>
      </c>
      <c r="P38" s="286"/>
      <c r="Q38" s="286">
        <v>25</v>
      </c>
      <c r="R38" s="286">
        <v>146</v>
      </c>
      <c r="S38" s="286">
        <v>3.65</v>
      </c>
      <c r="T38" s="286"/>
      <c r="U38">
        <f>R38*(Q38/1000)</f>
        <v>3.6500000000000004</v>
      </c>
      <c r="V38">
        <f>(Q38/1000)/($Q$2/$Q$3)</f>
        <v>7.483854166666669E-3</v>
      </c>
      <c r="W38">
        <f>U38/((Q38/1000)-V38)</f>
        <v>208.37917397639086</v>
      </c>
      <c r="X38">
        <f>U38/((Q38/1000)+V38)</f>
        <v>112.36351392518718</v>
      </c>
      <c r="Y38">
        <f t="shared" si="12"/>
        <v>62.379173976390859</v>
      </c>
      <c r="Z38">
        <f t="shared" si="13"/>
        <v>-33.636486074812822</v>
      </c>
      <c r="AA38">
        <f t="shared" si="14"/>
        <v>42.72546162766497</v>
      </c>
      <c r="AB38">
        <f t="shared" si="15"/>
        <v>-23.038689092337549</v>
      </c>
    </row>
    <row r="40" spans="3:28" x14ac:dyDescent="0.25">
      <c r="E40" t="s">
        <v>736</v>
      </c>
    </row>
    <row r="42" spans="3:28" ht="75" x14ac:dyDescent="0.3">
      <c r="C42" s="555" t="s">
        <v>421</v>
      </c>
      <c r="D42" s="556" t="s">
        <v>645</v>
      </c>
      <c r="E42" s="556" t="s">
        <v>746</v>
      </c>
      <c r="F42" s="556" t="s">
        <v>659</v>
      </c>
      <c r="G42" s="556" t="s">
        <v>654</v>
      </c>
      <c r="H42" s="537" t="s">
        <v>369</v>
      </c>
      <c r="I42" s="537" t="s">
        <v>370</v>
      </c>
      <c r="J42" s="537" t="s">
        <v>373</v>
      </c>
      <c r="K42" s="537" t="s">
        <v>374</v>
      </c>
      <c r="L42" s="537" t="s">
        <v>595</v>
      </c>
    </row>
    <row r="43" spans="3:28" ht="18.75" x14ac:dyDescent="0.3">
      <c r="C43" s="537" t="s">
        <v>578</v>
      </c>
      <c r="D43" s="557">
        <v>13</v>
      </c>
      <c r="E43" s="537">
        <v>3.198</v>
      </c>
      <c r="F43" s="557">
        <v>246</v>
      </c>
      <c r="G43" s="558">
        <v>3.8916041666666699</v>
      </c>
      <c r="H43" s="584">
        <v>351.10463560405589</v>
      </c>
      <c r="I43" s="584">
        <v>189.32482483284963</v>
      </c>
      <c r="J43" s="584">
        <v>105.10463560405589</v>
      </c>
      <c r="K43" s="584">
        <v>-56.675175167150371</v>
      </c>
      <c r="L43" s="559" t="s">
        <v>596</v>
      </c>
    </row>
    <row r="44" spans="3:28" ht="18.75" x14ac:dyDescent="0.3">
      <c r="C44" s="590" t="s">
        <v>579</v>
      </c>
      <c r="D44" s="557">
        <v>19</v>
      </c>
      <c r="E44" s="537">
        <v>5.3769999999999998</v>
      </c>
      <c r="F44" s="557">
        <v>283</v>
      </c>
      <c r="G44" s="558">
        <v>5.6877291666666698</v>
      </c>
      <c r="H44" s="584">
        <v>403.9130564062919</v>
      </c>
      <c r="I44" s="584">
        <v>217.80050986868474</v>
      </c>
      <c r="J44" s="584">
        <v>120.9130564062919</v>
      </c>
      <c r="K44" s="584">
        <v>-65.199490131315258</v>
      </c>
      <c r="L44" s="560"/>
    </row>
    <row r="45" spans="3:28" ht="18.75" x14ac:dyDescent="0.3">
      <c r="C45" s="537" t="s">
        <v>664</v>
      </c>
      <c r="D45" s="557">
        <v>13.5</v>
      </c>
      <c r="E45" s="537">
        <v>3.7664999999999997</v>
      </c>
      <c r="F45" s="557">
        <v>279</v>
      </c>
      <c r="G45" s="558">
        <v>4.0412812499999999</v>
      </c>
      <c r="H45" s="584">
        <v>398.20403794118522</v>
      </c>
      <c r="I45" s="584">
        <v>214.72205743237828</v>
      </c>
      <c r="J45" s="584">
        <v>119.20403794118522</v>
      </c>
      <c r="K45" s="584">
        <v>-64.277942567621722</v>
      </c>
      <c r="L45" s="560"/>
    </row>
    <row r="46" spans="3:28" ht="18.75" x14ac:dyDescent="0.3">
      <c r="C46" s="537" t="s">
        <v>665</v>
      </c>
      <c r="D46" s="557">
        <v>15.8</v>
      </c>
      <c r="E46" s="537">
        <v>6.0198000000000009</v>
      </c>
      <c r="F46" s="557">
        <v>381</v>
      </c>
      <c r="G46" s="558">
        <v>4.7297958333333296</v>
      </c>
      <c r="H46" s="584">
        <v>543.7840088014035</v>
      </c>
      <c r="I46" s="584">
        <v>293.22259455819398</v>
      </c>
      <c r="J46" s="584">
        <v>162.7840088014035</v>
      </c>
      <c r="K46" s="584">
        <v>-87.777405441806025</v>
      </c>
      <c r="L46" s="560"/>
    </row>
    <row r="47" spans="3:28" ht="18.75" x14ac:dyDescent="0.3">
      <c r="C47" s="537" t="s">
        <v>582</v>
      </c>
      <c r="D47" s="557">
        <v>11</v>
      </c>
      <c r="E47" s="537">
        <v>1.617</v>
      </c>
      <c r="F47" s="557">
        <v>147</v>
      </c>
      <c r="G47" s="558">
        <v>3.29289583333333</v>
      </c>
      <c r="H47" s="584">
        <v>209.80642859266749</v>
      </c>
      <c r="I47" s="584">
        <v>113.13312703426382</v>
      </c>
      <c r="J47" s="584">
        <v>62.806428592667487</v>
      </c>
      <c r="K47" s="584">
        <v>-33.866872965736178</v>
      </c>
      <c r="L47" s="560"/>
    </row>
    <row r="48" spans="3:28" ht="18.75" x14ac:dyDescent="0.3">
      <c r="C48" s="537" t="s">
        <v>666</v>
      </c>
      <c r="D48" s="557">
        <v>16</v>
      </c>
      <c r="E48" s="537">
        <v>5.1680000000000001</v>
      </c>
      <c r="F48" s="557">
        <v>323</v>
      </c>
      <c r="G48" s="558">
        <v>4.7896666666666698</v>
      </c>
      <c r="H48" s="584">
        <v>461.00324105735785</v>
      </c>
      <c r="I48" s="584">
        <v>248.58503423174975</v>
      </c>
      <c r="J48" s="584">
        <v>138.00324105735785</v>
      </c>
      <c r="K48" s="584">
        <v>-74.414965768250255</v>
      </c>
      <c r="L48" s="560"/>
    </row>
    <row r="49" spans="3:13" ht="18.75" x14ac:dyDescent="0.3">
      <c r="C49" s="537" t="s">
        <v>667</v>
      </c>
      <c r="D49" s="557">
        <v>12</v>
      </c>
      <c r="E49" s="537">
        <v>1.5840000000000001</v>
      </c>
      <c r="F49" s="557">
        <v>132</v>
      </c>
      <c r="G49" s="558">
        <v>3.5922499999999999</v>
      </c>
      <c r="H49" s="584">
        <v>188.39760934851779</v>
      </c>
      <c r="I49" s="584">
        <v>101.58893039811444</v>
      </c>
      <c r="J49" s="584">
        <v>56.39760934851779</v>
      </c>
      <c r="K49" s="584">
        <v>-30.411069601885558</v>
      </c>
      <c r="L49" s="560"/>
    </row>
    <row r="50" spans="3:13" ht="18.75" x14ac:dyDescent="0.3">
      <c r="C50" s="537" t="s">
        <v>668</v>
      </c>
      <c r="D50" s="557">
        <v>13</v>
      </c>
      <c r="E50" s="537">
        <v>3.653</v>
      </c>
      <c r="F50" s="557">
        <v>281</v>
      </c>
      <c r="G50" s="558">
        <v>3.8916041666666699</v>
      </c>
      <c r="H50" s="584">
        <v>401.05854717373859</v>
      </c>
      <c r="I50" s="584">
        <v>216.26128365053151</v>
      </c>
      <c r="J50" s="584">
        <v>120.05854717373859</v>
      </c>
      <c r="K50" s="584">
        <v>-64.73871634946849</v>
      </c>
      <c r="L50" s="560"/>
    </row>
    <row r="51" spans="3:13" ht="18.75" x14ac:dyDescent="0.3">
      <c r="C51" s="537" t="s">
        <v>669</v>
      </c>
      <c r="D51" s="557">
        <v>14</v>
      </c>
      <c r="E51" s="537">
        <v>3.15</v>
      </c>
      <c r="F51" s="557">
        <v>225</v>
      </c>
      <c r="G51" s="558">
        <v>4.19095833333333</v>
      </c>
      <c r="H51" s="584">
        <v>321.1322886622462</v>
      </c>
      <c r="I51" s="584">
        <v>173.16294954224054</v>
      </c>
      <c r="J51" s="584">
        <v>96.132288662246197</v>
      </c>
      <c r="K51" s="584">
        <v>-51.83705045775946</v>
      </c>
      <c r="L51" s="560"/>
    </row>
    <row r="52" spans="3:13" ht="18.75" x14ac:dyDescent="0.3">
      <c r="C52" s="537" t="s">
        <v>670</v>
      </c>
      <c r="D52" s="557">
        <v>19.8</v>
      </c>
      <c r="E52" s="537">
        <v>6.7122000000000002</v>
      </c>
      <c r="F52" s="557">
        <v>339</v>
      </c>
      <c r="G52" s="558">
        <v>5.9272125000000004</v>
      </c>
      <c r="H52" s="584">
        <v>483.83931491778418</v>
      </c>
      <c r="I52" s="584">
        <v>260.89884397697574</v>
      </c>
      <c r="J52" s="584">
        <v>144.83931491778418</v>
      </c>
      <c r="K52" s="584">
        <v>-78.101156023024259</v>
      </c>
      <c r="L52" s="560"/>
    </row>
    <row r="53" spans="3:13" ht="18.75" x14ac:dyDescent="0.3">
      <c r="C53" s="537" t="s">
        <v>671</v>
      </c>
      <c r="D53" s="557">
        <v>10.1</v>
      </c>
      <c r="E53" s="537">
        <v>4.1712999999999996</v>
      </c>
      <c r="F53" s="557">
        <v>413</v>
      </c>
      <c r="G53" s="558">
        <v>3.0234770833333302</v>
      </c>
      <c r="H53" s="584">
        <v>589.45615652225626</v>
      </c>
      <c r="I53" s="584">
        <v>317.85021404864591</v>
      </c>
      <c r="J53" s="584">
        <v>176.45615652225626</v>
      </c>
      <c r="K53" s="584">
        <v>-95.14978595135409</v>
      </c>
      <c r="L53" s="560"/>
    </row>
    <row r="54" spans="3:13" ht="18.75" x14ac:dyDescent="0.3">
      <c r="C54" s="537" t="s">
        <v>672</v>
      </c>
      <c r="D54" s="557">
        <v>11</v>
      </c>
      <c r="E54" s="537">
        <v>3.9929999999999999</v>
      </c>
      <c r="F54" s="557">
        <v>363</v>
      </c>
      <c r="G54" s="558">
        <v>3.29289583333333</v>
      </c>
      <c r="H54" s="584">
        <v>518.09342570842387</v>
      </c>
      <c r="I54" s="584">
        <v>279.36955859481475</v>
      </c>
      <c r="J54" s="584">
        <v>155.09342570842387</v>
      </c>
      <c r="K54" s="584">
        <v>-83.630441405185252</v>
      </c>
      <c r="L54" s="560"/>
    </row>
    <row r="55" spans="3:13" ht="18.75" x14ac:dyDescent="0.3">
      <c r="C55" s="537" t="s">
        <v>590</v>
      </c>
      <c r="D55" s="557">
        <v>14.5</v>
      </c>
      <c r="E55" s="537">
        <v>4.9155000000000006</v>
      </c>
      <c r="F55" s="557">
        <v>339</v>
      </c>
      <c r="G55" s="558">
        <v>4.3406354166666699</v>
      </c>
      <c r="H55" s="584">
        <v>483.83931491778424</v>
      </c>
      <c r="I55" s="584">
        <v>260.89884397697574</v>
      </c>
      <c r="J55" s="584">
        <v>144.83931491778424</v>
      </c>
      <c r="K55" s="584">
        <v>-78.101156023024259</v>
      </c>
      <c r="L55" s="560"/>
    </row>
    <row r="56" spans="3:13" ht="18.75" x14ac:dyDescent="0.3">
      <c r="C56" s="537" t="s">
        <v>591</v>
      </c>
      <c r="D56" s="557">
        <v>14</v>
      </c>
      <c r="E56" s="537">
        <v>7.266</v>
      </c>
      <c r="F56" s="557">
        <v>519</v>
      </c>
      <c r="G56" s="558">
        <v>4.19095833333333</v>
      </c>
      <c r="H56" s="584">
        <v>740.74514584758117</v>
      </c>
      <c r="I56" s="584">
        <v>399.42920361076818</v>
      </c>
      <c r="J56" s="584">
        <v>221.74514584758117</v>
      </c>
      <c r="K56" s="584">
        <v>-119.57079638923182</v>
      </c>
      <c r="L56" s="560"/>
    </row>
    <row r="57" spans="3:13" ht="18.75" x14ac:dyDescent="0.3">
      <c r="C57" s="537" t="s">
        <v>673</v>
      </c>
      <c r="D57" s="557">
        <v>14</v>
      </c>
      <c r="E57" s="537">
        <v>3.6960000000000002</v>
      </c>
      <c r="F57" s="557">
        <v>264</v>
      </c>
      <c r="G57" s="558">
        <v>4.19095833333333</v>
      </c>
      <c r="H57" s="584">
        <v>376.79521869703552</v>
      </c>
      <c r="I57" s="584">
        <v>203.17786079622891</v>
      </c>
      <c r="J57" s="584">
        <v>112.79521869703552</v>
      </c>
      <c r="K57" s="584">
        <v>-60.822139203771087</v>
      </c>
      <c r="L57" s="560"/>
    </row>
    <row r="58" spans="3:13" ht="18.75" x14ac:dyDescent="0.3">
      <c r="C58" s="537" t="s">
        <v>674</v>
      </c>
      <c r="D58" s="557">
        <v>14</v>
      </c>
      <c r="E58" s="537">
        <v>4.3959999999999999</v>
      </c>
      <c r="F58" s="557">
        <v>314</v>
      </c>
      <c r="G58" s="558">
        <v>4.19095833333333</v>
      </c>
      <c r="H58" s="584">
        <v>448.15794951086798</v>
      </c>
      <c r="I58" s="584">
        <v>241.65851625006013</v>
      </c>
      <c r="J58" s="584">
        <v>134.15794951086798</v>
      </c>
      <c r="K58" s="584">
        <v>-72.341483749939869</v>
      </c>
      <c r="L58" s="560"/>
    </row>
    <row r="59" spans="3:13" ht="18.75" x14ac:dyDescent="0.3">
      <c r="C59" s="537" t="s">
        <v>675</v>
      </c>
      <c r="D59" s="557">
        <v>17</v>
      </c>
      <c r="E59" s="537">
        <v>15.861000000000001</v>
      </c>
      <c r="F59" s="557">
        <v>933</v>
      </c>
      <c r="G59" s="558">
        <v>5.0890208333333398</v>
      </c>
      <c r="H59" s="584">
        <v>1331.6285569861143</v>
      </c>
      <c r="I59" s="584">
        <v>718.04903076849064</v>
      </c>
      <c r="J59" s="584">
        <v>398.62855698611429</v>
      </c>
      <c r="K59" s="584">
        <v>-214.95096923150936</v>
      </c>
      <c r="L59" s="560"/>
    </row>
    <row r="60" spans="3:13" ht="18.75" x14ac:dyDescent="0.3">
      <c r="C60" s="553" t="s">
        <v>663</v>
      </c>
      <c r="D60" s="589">
        <v>18.2</v>
      </c>
      <c r="E60" s="559">
        <v>1.1648000000000001</v>
      </c>
      <c r="F60" s="561">
        <v>64</v>
      </c>
      <c r="G60" s="562">
        <v>5.4482458333333303</v>
      </c>
      <c r="H60" s="585">
        <v>91.344295441705569</v>
      </c>
      <c r="I60" s="585">
        <v>49.255238980903975</v>
      </c>
      <c r="J60" s="585">
        <v>27.344295441705569</v>
      </c>
      <c r="K60" s="585">
        <v>-14.744761019096025</v>
      </c>
      <c r="L60" s="559" t="s">
        <v>647</v>
      </c>
    </row>
    <row r="61" spans="3:13" ht="18.75" x14ac:dyDescent="0.3">
      <c r="C61" s="613" t="s">
        <v>459</v>
      </c>
      <c r="D61" s="588">
        <v>20.8</v>
      </c>
      <c r="E61" s="564">
        <v>1.1232</v>
      </c>
      <c r="F61" s="563">
        <v>54</v>
      </c>
      <c r="G61" s="565">
        <v>6.2265666666666704</v>
      </c>
      <c r="H61" s="586">
        <v>77.07174927893908</v>
      </c>
      <c r="I61" s="586">
        <v>41.559107890137724</v>
      </c>
      <c r="J61" s="586">
        <v>23.07174927893908</v>
      </c>
      <c r="K61" s="586">
        <v>-12.440892109862276</v>
      </c>
      <c r="L61" s="566" t="s">
        <v>646</v>
      </c>
    </row>
    <row r="62" spans="3:13" ht="18.75" x14ac:dyDescent="0.3">
      <c r="C62" s="614" t="s">
        <v>738</v>
      </c>
      <c r="D62" s="561"/>
      <c r="E62" s="559"/>
      <c r="F62" s="561"/>
      <c r="G62" s="615"/>
      <c r="H62" s="559"/>
      <c r="I62" s="559"/>
      <c r="J62" s="559"/>
      <c r="K62" s="616"/>
      <c r="L62" s="616" t="s">
        <v>789</v>
      </c>
      <c r="M62" s="461"/>
    </row>
    <row r="63" spans="3:13" ht="18.75" x14ac:dyDescent="0.3">
      <c r="C63" s="617" t="s">
        <v>783</v>
      </c>
      <c r="D63" s="618">
        <v>17.550999999999998</v>
      </c>
      <c r="E63" s="619">
        <v>5.1248919999999991</v>
      </c>
      <c r="F63" s="620">
        <v>292</v>
      </c>
      <c r="G63" s="621">
        <v>5.2539649791666703</v>
      </c>
      <c r="H63" s="622">
        <v>416.75834795278172</v>
      </c>
      <c r="I63" s="622">
        <v>224.72702785037436</v>
      </c>
      <c r="J63" s="622">
        <v>124.75834795278172</v>
      </c>
      <c r="K63" s="623">
        <v>-67.272972149625645</v>
      </c>
      <c r="L63" s="624" t="s">
        <v>790</v>
      </c>
      <c r="M63" s="461"/>
    </row>
    <row r="64" spans="3:13" ht="18.75" x14ac:dyDescent="0.3">
      <c r="C64" s="617" t="s">
        <v>784</v>
      </c>
      <c r="D64" s="618">
        <v>17.550999999999998</v>
      </c>
      <c r="E64" s="619">
        <v>4.6334639999999991</v>
      </c>
      <c r="F64" s="620">
        <v>264</v>
      </c>
      <c r="G64" s="621">
        <v>5.2539649791666703</v>
      </c>
      <c r="H64" s="622">
        <v>376.79521869703552</v>
      </c>
      <c r="I64" s="622">
        <v>203.17786079622888</v>
      </c>
      <c r="J64" s="622">
        <v>112.79521869703552</v>
      </c>
      <c r="K64" s="623">
        <v>-60.822139203771115</v>
      </c>
      <c r="L64" s="624"/>
      <c r="M64" s="461"/>
    </row>
    <row r="65" spans="3:13" ht="18.75" x14ac:dyDescent="0.3">
      <c r="C65" s="625" t="s">
        <v>785</v>
      </c>
      <c r="D65" s="626">
        <v>17.550999999999998</v>
      </c>
      <c r="E65" s="564">
        <v>4.3877499999999996</v>
      </c>
      <c r="F65" s="563">
        <v>250</v>
      </c>
      <c r="G65" s="565">
        <v>5.2539649791666703</v>
      </c>
      <c r="H65" s="627">
        <v>356.81365406916245</v>
      </c>
      <c r="I65" s="627">
        <v>192.40327726915615</v>
      </c>
      <c r="J65" s="627">
        <v>106.81365406916245</v>
      </c>
      <c r="K65" s="628">
        <v>-57.596722730843851</v>
      </c>
      <c r="L65" s="624"/>
      <c r="M65" s="461"/>
    </row>
    <row r="66" spans="3:13" ht="18.75" x14ac:dyDescent="0.3">
      <c r="C66" s="614" t="s">
        <v>740</v>
      </c>
      <c r="D66" s="629"/>
      <c r="E66" s="559"/>
      <c r="F66" s="561"/>
      <c r="G66" s="615"/>
      <c r="H66" s="630"/>
      <c r="I66" s="630"/>
      <c r="J66" s="630"/>
      <c r="K66" s="631"/>
      <c r="L66" s="624"/>
      <c r="M66" s="461"/>
    </row>
    <row r="67" spans="3:13" ht="18.75" x14ac:dyDescent="0.3">
      <c r="C67" s="625" t="s">
        <v>786</v>
      </c>
      <c r="D67" s="626">
        <v>14.464506172839505</v>
      </c>
      <c r="E67" s="632">
        <v>4.8311450617283951</v>
      </c>
      <c r="F67" s="563">
        <v>334</v>
      </c>
      <c r="G67" s="565">
        <v>4.33001019161523</v>
      </c>
      <c r="H67" s="627">
        <v>476.70304183640098</v>
      </c>
      <c r="I67" s="627">
        <v>257.05077843159262</v>
      </c>
      <c r="J67" s="627">
        <v>142.70304183640098</v>
      </c>
      <c r="K67" s="628">
        <v>-76.949221568407381</v>
      </c>
      <c r="L67" s="624"/>
      <c r="M67" s="461"/>
    </row>
    <row r="68" spans="3:13" ht="18.75" x14ac:dyDescent="0.3">
      <c r="C68" s="614" t="s">
        <v>742</v>
      </c>
      <c r="D68" s="561"/>
      <c r="E68" s="559"/>
      <c r="F68" s="561"/>
      <c r="G68" s="562"/>
      <c r="H68" s="630"/>
      <c r="I68" s="630"/>
      <c r="J68" s="630"/>
      <c r="K68" s="631"/>
      <c r="L68" s="624"/>
      <c r="M68" s="461"/>
    </row>
    <row r="69" spans="3:13" ht="18.75" x14ac:dyDescent="0.3">
      <c r="C69" s="617" t="s">
        <v>791</v>
      </c>
      <c r="D69" s="620">
        <v>23</v>
      </c>
      <c r="E69" s="560">
        <v>8.0500000000000007</v>
      </c>
      <c r="F69" s="620">
        <v>350</v>
      </c>
      <c r="G69" s="621">
        <v>6.8851458333333397</v>
      </c>
      <c r="H69" s="622">
        <v>499.53911569682742</v>
      </c>
      <c r="I69" s="622">
        <v>269.36458817681864</v>
      </c>
      <c r="J69" s="622">
        <v>149.53911569682742</v>
      </c>
      <c r="K69" s="623">
        <v>-80.635411823181357</v>
      </c>
      <c r="L69" s="624"/>
      <c r="M69" s="461"/>
    </row>
    <row r="70" spans="3:13" ht="18.75" x14ac:dyDescent="0.3">
      <c r="C70" s="617" t="s">
        <v>787</v>
      </c>
      <c r="D70" s="620">
        <v>23</v>
      </c>
      <c r="E70" s="560">
        <v>7.3599999999999994</v>
      </c>
      <c r="F70" s="620">
        <v>320</v>
      </c>
      <c r="G70" s="621">
        <v>6.8851458333333397</v>
      </c>
      <c r="H70" s="622">
        <v>456.72147720852786</v>
      </c>
      <c r="I70" s="622">
        <v>246.27619490451985</v>
      </c>
      <c r="J70" s="622">
        <v>136.72147720852786</v>
      </c>
      <c r="K70" s="623">
        <v>-73.723805095480145</v>
      </c>
      <c r="L70" s="624"/>
      <c r="M70" s="461"/>
    </row>
    <row r="71" spans="3:13" ht="18.75" x14ac:dyDescent="0.3">
      <c r="C71" s="625" t="s">
        <v>788</v>
      </c>
      <c r="D71" s="563">
        <v>23</v>
      </c>
      <c r="E71" s="564">
        <v>8.1649999999999991</v>
      </c>
      <c r="F71" s="563">
        <v>355</v>
      </c>
      <c r="G71" s="565">
        <v>6.8851458333333397</v>
      </c>
      <c r="H71" s="627">
        <v>506.67538877821062</v>
      </c>
      <c r="I71" s="627">
        <v>273.21265372220171</v>
      </c>
      <c r="J71" s="627">
        <v>151.67538877821062</v>
      </c>
      <c r="K71" s="628">
        <v>-81.787346277798292</v>
      </c>
      <c r="L71" s="566"/>
      <c r="M71" s="46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AA9AC-A7BA-4CA7-98F9-348C652C87CF}">
  <dimension ref="A1:CA581"/>
  <sheetViews>
    <sheetView zoomScale="60" zoomScaleNormal="60" workbookViewId="0">
      <selection activeCell="C4" sqref="C4:M79"/>
    </sheetView>
  </sheetViews>
  <sheetFormatPr defaultRowHeight="15" x14ac:dyDescent="0.25"/>
  <cols>
    <col min="2" max="15" width="14.7109375"/>
    <col min="20" max="20" width="11.42578125"/>
    <col min="21" max="21" width="27.5703125" customWidth="1"/>
    <col min="22" max="22" width="18.140625" bestFit="1" customWidth="1"/>
    <col min="23" max="28" width="16.7109375" bestFit="1" customWidth="1"/>
    <col min="29" max="47" width="11.42578125"/>
    <col min="48" max="48" width="18" customWidth="1"/>
    <col min="49" max="52" width="11.42578125"/>
    <col min="53" max="53" width="11.42578125" customWidth="1"/>
    <col min="54" max="56" width="11.42578125"/>
    <col min="57" max="57" width="16.42578125" customWidth="1"/>
  </cols>
  <sheetData>
    <row r="1" spans="1:38" x14ac:dyDescent="0.25">
      <c r="A1" s="55"/>
      <c r="B1" s="296"/>
      <c r="C1" s="55"/>
      <c r="D1" s="55"/>
      <c r="E1" s="55"/>
      <c r="F1" s="55"/>
      <c r="G1" s="55"/>
      <c r="H1" s="55"/>
      <c r="I1" s="55"/>
      <c r="AH1" t="s">
        <v>429</v>
      </c>
      <c r="AI1" s="65">
        <f>'TFT +- SD'!$AE$26</f>
        <v>1.6E-2</v>
      </c>
      <c r="AK1" t="s">
        <v>778</v>
      </c>
      <c r="AL1">
        <f>AI2/AI1</f>
        <v>0.29935416666666675</v>
      </c>
    </row>
    <row r="2" spans="1:38" x14ac:dyDescent="0.25">
      <c r="A2" s="61"/>
      <c r="AH2" t="s">
        <v>295</v>
      </c>
      <c r="AI2">
        <f>'TFT +- SD'!$E$26</f>
        <v>4.7896666666666678E-3</v>
      </c>
    </row>
    <row r="3" spans="1:38" x14ac:dyDescent="0.25">
      <c r="A3" s="61"/>
    </row>
    <row r="4" spans="1:38" ht="56.25" x14ac:dyDescent="0.3">
      <c r="A4" s="61"/>
      <c r="C4" s="415" t="s">
        <v>421</v>
      </c>
      <c r="D4" s="464" t="s">
        <v>606</v>
      </c>
      <c r="E4" s="464" t="s">
        <v>659</v>
      </c>
      <c r="F4" s="413" t="s">
        <v>369</v>
      </c>
      <c r="G4" s="413" t="s">
        <v>370</v>
      </c>
      <c r="H4" s="413" t="s">
        <v>454</v>
      </c>
      <c r="I4" s="413" t="s">
        <v>451</v>
      </c>
      <c r="J4" s="413" t="s">
        <v>450</v>
      </c>
      <c r="K4" s="413" t="s">
        <v>655</v>
      </c>
      <c r="L4" s="552" t="s">
        <v>656</v>
      </c>
      <c r="M4" s="587" t="s">
        <v>595</v>
      </c>
    </row>
    <row r="5" spans="1:38" ht="18.75" x14ac:dyDescent="0.3">
      <c r="A5" s="61"/>
      <c r="C5" s="415" t="s">
        <v>658</v>
      </c>
      <c r="D5" s="567" t="s">
        <v>560</v>
      </c>
      <c r="E5" s="568" t="s">
        <v>611</v>
      </c>
      <c r="F5" s="551">
        <v>264.04210401118019</v>
      </c>
      <c r="G5" s="551">
        <v>142.37842517917551</v>
      </c>
      <c r="H5" s="574"/>
      <c r="I5" s="574"/>
      <c r="J5" s="574"/>
      <c r="K5" s="574"/>
      <c r="L5" s="575"/>
      <c r="M5" s="553" t="s">
        <v>457</v>
      </c>
    </row>
    <row r="6" spans="1:38" ht="18.75" x14ac:dyDescent="0.3">
      <c r="A6" s="61"/>
      <c r="C6" s="447" t="s">
        <v>607</v>
      </c>
      <c r="D6" s="463" t="s">
        <v>561</v>
      </c>
      <c r="E6" s="486" t="s">
        <v>612</v>
      </c>
      <c r="F6" s="487">
        <v>230.50162052867893</v>
      </c>
      <c r="G6" s="487">
        <v>124.29251711587486</v>
      </c>
      <c r="H6" s="576">
        <v>36</v>
      </c>
      <c r="I6" s="576">
        <v>51.381166185959401</v>
      </c>
      <c r="J6" s="576">
        <v>27.706071926758476</v>
      </c>
      <c r="K6" s="576">
        <v>-67.323125863645174</v>
      </c>
      <c r="L6" s="577">
        <v>146.41036397636304</v>
      </c>
      <c r="M6" s="554"/>
    </row>
    <row r="7" spans="1:38" ht="18.75" x14ac:dyDescent="0.3">
      <c r="A7" s="61"/>
      <c r="C7" s="447" t="s">
        <v>608</v>
      </c>
      <c r="D7" s="463" t="s">
        <v>562</v>
      </c>
      <c r="E7" s="486" t="s">
        <v>613</v>
      </c>
      <c r="F7" s="487">
        <v>189.34911242603553</v>
      </c>
      <c r="G7" s="487">
        <v>102.10200580416551</v>
      </c>
      <c r="H7" s="576">
        <v>33</v>
      </c>
      <c r="I7" s="576">
        <v>47.099402337129447</v>
      </c>
      <c r="J7" s="576">
        <v>25.397232599528614</v>
      </c>
      <c r="K7" s="576">
        <v>-47.929795453274203</v>
      </c>
      <c r="L7" s="577">
        <v>120.42643038993226</v>
      </c>
      <c r="M7" s="554"/>
    </row>
    <row r="8" spans="1:38" ht="18.75" x14ac:dyDescent="0.3">
      <c r="A8" s="61"/>
      <c r="C8" s="447"/>
      <c r="D8" s="463" t="s">
        <v>563</v>
      </c>
      <c r="E8" s="569">
        <v>110</v>
      </c>
      <c r="F8" s="487">
        <v>156.99800779043147</v>
      </c>
      <c r="G8" s="487">
        <v>84.657441998428695</v>
      </c>
      <c r="H8" s="576"/>
      <c r="I8" s="576"/>
      <c r="J8" s="576"/>
      <c r="K8" s="576"/>
      <c r="L8" s="577"/>
      <c r="M8" s="554"/>
    </row>
    <row r="9" spans="1:38" ht="18.75" x14ac:dyDescent="0.3">
      <c r="A9" s="61"/>
      <c r="C9" s="415" t="s">
        <v>657</v>
      </c>
      <c r="D9" s="567" t="s">
        <v>560</v>
      </c>
      <c r="E9" s="551" t="s">
        <v>614</v>
      </c>
      <c r="F9" s="551">
        <v>173.41143587761294</v>
      </c>
      <c r="G9" s="551">
        <v>93.507992752809869</v>
      </c>
      <c r="H9" s="574"/>
      <c r="I9" s="574"/>
      <c r="J9" s="574"/>
      <c r="K9" s="574"/>
      <c r="L9" s="575"/>
      <c r="M9" s="554"/>
    </row>
    <row r="10" spans="1:38" ht="18.75" x14ac:dyDescent="0.3">
      <c r="A10" s="61"/>
      <c r="C10" s="447" t="s">
        <v>607</v>
      </c>
      <c r="D10" s="463" t="s">
        <v>561</v>
      </c>
      <c r="E10" s="487" t="s">
        <v>615</v>
      </c>
      <c r="F10" s="487">
        <v>373.22708215634395</v>
      </c>
      <c r="G10" s="487">
        <v>201.25382802353732</v>
      </c>
      <c r="H10" s="576">
        <v>62</v>
      </c>
      <c r="I10" s="576">
        <v>88.489786209152271</v>
      </c>
      <c r="J10" s="576">
        <v>47.716012762750694</v>
      </c>
      <c r="K10" s="576">
        <v>-118.66728855885569</v>
      </c>
      <c r="L10" s="577">
        <v>254.87308753075865</v>
      </c>
      <c r="M10" s="554"/>
    </row>
    <row r="11" spans="1:38" ht="18.75" x14ac:dyDescent="0.3">
      <c r="A11" s="61"/>
      <c r="C11" s="447" t="s">
        <v>608</v>
      </c>
      <c r="D11" s="463" t="s">
        <v>562</v>
      </c>
      <c r="E11" s="487">
        <v>253</v>
      </c>
      <c r="F11" s="487">
        <v>361.09541791799239</v>
      </c>
      <c r="G11" s="487">
        <v>194.71211659638601</v>
      </c>
      <c r="H11" s="576">
        <v>63</v>
      </c>
      <c r="I11" s="576">
        <v>89.917040825428955</v>
      </c>
      <c r="J11" s="576">
        <v>48.485625871827352</v>
      </c>
      <c r="K11" s="576">
        <v>-76.466260496177426</v>
      </c>
      <c r="L11" s="577">
        <v>214.86892719343373</v>
      </c>
      <c r="M11" s="554"/>
    </row>
    <row r="12" spans="1:38" ht="19.5" thickBot="1" x14ac:dyDescent="0.35">
      <c r="A12" s="61"/>
      <c r="C12" s="448"/>
      <c r="D12" s="571" t="s">
        <v>563</v>
      </c>
      <c r="E12" s="471">
        <v>190</v>
      </c>
      <c r="F12" s="471">
        <v>271.17837709256344</v>
      </c>
      <c r="G12" s="471">
        <v>146.22649072455866</v>
      </c>
      <c r="H12" s="578">
        <v>60</v>
      </c>
      <c r="I12" s="578">
        <v>85.635276976598959</v>
      </c>
      <c r="J12" s="578">
        <v>46.176786544597476</v>
      </c>
      <c r="K12" s="578">
        <v>-39.316609391405819</v>
      </c>
      <c r="L12" s="579">
        <v>171.12867291260227</v>
      </c>
      <c r="M12" s="572"/>
    </row>
    <row r="13" spans="1:38" ht="18.75" x14ac:dyDescent="0.3">
      <c r="A13" s="61"/>
      <c r="C13" s="570" t="s">
        <v>653</v>
      </c>
      <c r="D13" s="416" t="s">
        <v>560</v>
      </c>
      <c r="E13" s="416"/>
      <c r="F13" s="416"/>
      <c r="G13" s="416"/>
      <c r="H13" s="576"/>
      <c r="I13" s="576"/>
      <c r="J13" s="576"/>
      <c r="K13" s="576"/>
      <c r="L13" s="577"/>
      <c r="M13" s="554" t="s">
        <v>621</v>
      </c>
    </row>
    <row r="14" spans="1:38" ht="18.75" x14ac:dyDescent="0.3">
      <c r="A14" s="61"/>
      <c r="C14" s="570" t="s">
        <v>610</v>
      </c>
      <c r="D14" s="463" t="s">
        <v>561</v>
      </c>
      <c r="E14" s="487">
        <v>135.23333333333332</v>
      </c>
      <c r="F14" s="487">
        <v>193.01239927447895</v>
      </c>
      <c r="G14" s="487">
        <v>104.07734611746218</v>
      </c>
      <c r="H14" s="576"/>
      <c r="I14" s="576"/>
      <c r="J14" s="576"/>
      <c r="K14" s="576"/>
      <c r="L14" s="577"/>
      <c r="M14" s="554"/>
    </row>
    <row r="15" spans="1:38" ht="18.75" x14ac:dyDescent="0.3">
      <c r="A15" s="61"/>
      <c r="C15" s="447" t="s">
        <v>608</v>
      </c>
      <c r="D15" s="463" t="s">
        <v>562</v>
      </c>
      <c r="E15" s="487">
        <v>148.92500000000001</v>
      </c>
      <c r="F15" s="487">
        <v>212.55389372900004</v>
      </c>
      <c r="G15" s="487">
        <v>114.6146322692363</v>
      </c>
      <c r="H15" s="576"/>
      <c r="I15" s="576"/>
      <c r="J15" s="576"/>
      <c r="K15" s="576"/>
      <c r="L15" s="577"/>
      <c r="M15" s="554"/>
    </row>
    <row r="16" spans="1:38" ht="18.75" x14ac:dyDescent="0.3">
      <c r="A16" s="61"/>
      <c r="C16" s="415" t="s">
        <v>616</v>
      </c>
      <c r="D16" s="413" t="s">
        <v>560</v>
      </c>
      <c r="E16" s="413">
        <v>156.32499999999999</v>
      </c>
      <c r="F16" s="413">
        <v>223.11557788944725</v>
      </c>
      <c r="G16" s="413">
        <v>120.30976927640332</v>
      </c>
      <c r="H16" s="574"/>
      <c r="I16" s="574"/>
      <c r="J16" s="574"/>
      <c r="K16" s="574"/>
      <c r="L16" s="575"/>
      <c r="M16" s="554"/>
    </row>
    <row r="17" spans="1:52" ht="18.75" x14ac:dyDescent="0.3">
      <c r="A17" s="61"/>
      <c r="C17" s="447" t="s">
        <v>617</v>
      </c>
      <c r="D17" s="416" t="s">
        <v>561</v>
      </c>
      <c r="E17" s="416">
        <v>118.60000000000001</v>
      </c>
      <c r="F17" s="416">
        <v>169.27239749041067</v>
      </c>
      <c r="G17" s="416">
        <v>91.276114736487671</v>
      </c>
      <c r="H17" s="576">
        <v>37.725000000000001</v>
      </c>
      <c r="I17" s="576">
        <v>53.843180399036591</v>
      </c>
      <c r="J17" s="576">
        <v>29.033654539915656</v>
      </c>
      <c r="K17" s="576">
        <v>-48.962628214007339</v>
      </c>
      <c r="L17" s="577">
        <v>131.83946315295958</v>
      </c>
      <c r="M17" s="554"/>
    </row>
    <row r="18" spans="1:52" ht="18.75" x14ac:dyDescent="0.3">
      <c r="A18" s="61"/>
      <c r="C18" s="447"/>
      <c r="D18" s="416" t="s">
        <v>562</v>
      </c>
      <c r="E18" s="416">
        <v>102.66666666666667</v>
      </c>
      <c r="F18" s="416">
        <v>146.53147393773602</v>
      </c>
      <c r="G18" s="416">
        <v>79.013612531866784</v>
      </c>
      <c r="H18" s="576">
        <v>17.949999999999996</v>
      </c>
      <c r="I18" s="576">
        <v>25.619220362165876</v>
      </c>
      <c r="J18" s="576">
        <v>13.81455530792541</v>
      </c>
      <c r="K18" s="576">
        <v>-56.585968037837276</v>
      </c>
      <c r="L18" s="577">
        <v>96.019743707928569</v>
      </c>
      <c r="M18" s="554"/>
    </row>
    <row r="19" spans="1:52" ht="18.75" x14ac:dyDescent="0.3">
      <c r="A19" s="61"/>
      <c r="C19" s="415" t="s">
        <v>618</v>
      </c>
      <c r="D19" s="413" t="s">
        <v>561</v>
      </c>
      <c r="E19" s="413">
        <v>125.77500000000001</v>
      </c>
      <c r="F19" s="413">
        <v>179.51294936219563</v>
      </c>
      <c r="G19" s="413">
        <v>96.798088794112445</v>
      </c>
      <c r="H19" s="574">
        <v>36.875</v>
      </c>
      <c r="I19" s="574">
        <v>52.63001397520145</v>
      </c>
      <c r="J19" s="574">
        <v>28.379483397200524</v>
      </c>
      <c r="K19" s="574">
        <v>-54.335377170882666</v>
      </c>
      <c r="L19" s="575">
        <v>135.34487454328465</v>
      </c>
      <c r="M19" s="554"/>
    </row>
    <row r="20" spans="1:52" ht="19.5" thickBot="1" x14ac:dyDescent="0.35">
      <c r="A20" s="61"/>
      <c r="C20" s="448" t="s">
        <v>619</v>
      </c>
      <c r="D20" s="430" t="s">
        <v>562</v>
      </c>
      <c r="E20" s="430">
        <v>96.4</v>
      </c>
      <c r="F20" s="430">
        <v>137.58734500906903</v>
      </c>
      <c r="G20" s="430">
        <v>74.190703714986597</v>
      </c>
      <c r="H20" s="578"/>
      <c r="I20" s="578"/>
      <c r="J20" s="578"/>
      <c r="K20" s="578"/>
      <c r="L20" s="579"/>
      <c r="M20" s="572"/>
      <c r="AD20" t="s">
        <v>431</v>
      </c>
      <c r="AE20" t="s">
        <v>443</v>
      </c>
      <c r="AF20" t="s">
        <v>423</v>
      </c>
      <c r="AG20" t="s">
        <v>449</v>
      </c>
      <c r="AH20" t="s">
        <v>445</v>
      </c>
      <c r="AI20" t="s">
        <v>447</v>
      </c>
      <c r="AJ20" t="s">
        <v>448</v>
      </c>
      <c r="AL20" t="s">
        <v>430</v>
      </c>
      <c r="AM20" t="s">
        <v>428</v>
      </c>
      <c r="AN20" s="512" t="s">
        <v>369</v>
      </c>
      <c r="AO20" s="512" t="s">
        <v>370</v>
      </c>
      <c r="AP20" t="s">
        <v>373</v>
      </c>
      <c r="AQ20" t="s">
        <v>374</v>
      </c>
      <c r="AR20" t="s">
        <v>377</v>
      </c>
      <c r="AS20" t="s">
        <v>378</v>
      </c>
      <c r="AT20" t="s">
        <v>454</v>
      </c>
      <c r="AU20" t="s">
        <v>451</v>
      </c>
      <c r="AV20" t="s">
        <v>450</v>
      </c>
      <c r="AW20" t="s">
        <v>452</v>
      </c>
      <c r="AX20" t="s">
        <v>453</v>
      </c>
      <c r="AY20" t="s">
        <v>455</v>
      </c>
      <c r="AZ20" t="s">
        <v>456</v>
      </c>
    </row>
    <row r="21" spans="1:52" ht="18.75" x14ac:dyDescent="0.3">
      <c r="A21" s="61"/>
      <c r="C21" s="573" t="s">
        <v>649</v>
      </c>
      <c r="D21" s="416" t="s">
        <v>560</v>
      </c>
      <c r="E21" s="416">
        <v>216.34184999999999</v>
      </c>
      <c r="F21" s="416">
        <v>308.7749041063305</v>
      </c>
      <c r="G21" s="416">
        <v>166.49952380188873</v>
      </c>
      <c r="H21" s="576"/>
      <c r="I21" s="576"/>
      <c r="J21" s="576"/>
      <c r="K21" s="576"/>
      <c r="L21" s="577"/>
      <c r="M21" s="554" t="s">
        <v>620</v>
      </c>
      <c r="AE21" t="s">
        <v>432</v>
      </c>
      <c r="AF21" s="286">
        <v>0.78</v>
      </c>
      <c r="AG21" s="286">
        <v>32</v>
      </c>
      <c r="AH21" s="286">
        <v>15</v>
      </c>
      <c r="AI21">
        <v>141</v>
      </c>
      <c r="AJ21">
        <v>32</v>
      </c>
      <c r="AL21">
        <f>AI21*(AH21/1000)</f>
        <v>2.1149999999999998</v>
      </c>
      <c r="AM21">
        <f>(AH21/1000)/($AI$1/$AI$2)</f>
        <v>4.4903125000000012E-3</v>
      </c>
      <c r="AN21">
        <f>AL21/((AH21/1000)-AM21)</f>
        <v>201.24290089500761</v>
      </c>
      <c r="AO21">
        <f>AL21/((AH21/1000)+AM21)</f>
        <v>108.51544837980404</v>
      </c>
      <c r="AP21">
        <f>AN21-AI21</f>
        <v>60.242900895007608</v>
      </c>
      <c r="AQ21">
        <f>AO21-AI21</f>
        <v>-32.484551620195958</v>
      </c>
      <c r="AR21">
        <f>((AN21/AI21)*100)-100</f>
        <v>42.72546162766497</v>
      </c>
      <c r="AS21">
        <f>((AO21/AI21)*100)-100</f>
        <v>-23.038689092337563</v>
      </c>
    </row>
    <row r="22" spans="1:52" ht="18.75" x14ac:dyDescent="0.3">
      <c r="A22" s="61"/>
      <c r="C22" s="447" t="s">
        <v>650</v>
      </c>
      <c r="D22" s="416" t="s">
        <v>561</v>
      </c>
      <c r="E22" s="416">
        <v>229.58587500000002</v>
      </c>
      <c r="F22" s="416">
        <v>327.67749992566382</v>
      </c>
      <c r="G22" s="416">
        <v>176.69229905882727</v>
      </c>
      <c r="H22" s="576">
        <v>73.455150000000003</v>
      </c>
      <c r="I22" s="576">
        <v>104.83920192679378</v>
      </c>
      <c r="J22" s="576">
        <v>56.532046369189828</v>
      </c>
      <c r="K22" s="576">
        <v>-47.640045357137524</v>
      </c>
      <c r="L22" s="577">
        <v>209.01129365312113</v>
      </c>
      <c r="M22" s="554"/>
      <c r="AE22" t="s">
        <v>433</v>
      </c>
      <c r="AF22" s="286"/>
      <c r="AG22" s="286">
        <v>56.6</v>
      </c>
      <c r="AH22" s="286">
        <v>15</v>
      </c>
      <c r="AI22">
        <v>187</v>
      </c>
      <c r="AJ22">
        <v>59</v>
      </c>
      <c r="AL22">
        <f>AI22*(AH22/1000)</f>
        <v>2.8049999999999997</v>
      </c>
      <c r="AM22">
        <f>(AH22/1000)/($AI$1/$AI$2)</f>
        <v>4.4903125000000012E-3</v>
      </c>
      <c r="AN22">
        <f>AL22/((AH22/1000)-AM22)</f>
        <v>266.8966132437335</v>
      </c>
      <c r="AO22">
        <f>AL22/((AH22/1000)+AM22)</f>
        <v>143.91765139732877</v>
      </c>
      <c r="AP22">
        <f>AN22-AI22</f>
        <v>79.896613243733498</v>
      </c>
      <c r="AQ22">
        <f>AO22-AI22</f>
        <v>-43.082348602671232</v>
      </c>
      <c r="AR22">
        <f>((AN22/AI22)*100)-100</f>
        <v>42.72546162766497</v>
      </c>
      <c r="AS22">
        <f>((AO22/AI22)*100)-100</f>
        <v>-23.038689092337563</v>
      </c>
    </row>
    <row r="23" spans="1:52" ht="18.75" x14ac:dyDescent="0.3">
      <c r="A23" s="61"/>
      <c r="C23" s="447" t="s">
        <v>617</v>
      </c>
      <c r="D23" s="416" t="s">
        <v>562</v>
      </c>
      <c r="E23" s="416">
        <v>158.40255000000002</v>
      </c>
      <c r="F23" s="416">
        <v>226.08077071749281</v>
      </c>
      <c r="G23" s="416">
        <v>121.90867899116546</v>
      </c>
      <c r="H23" s="576"/>
      <c r="I23" s="576"/>
      <c r="J23" s="576"/>
      <c r="K23" s="576"/>
      <c r="L23" s="577"/>
      <c r="M23" s="554"/>
      <c r="AE23" t="s">
        <v>434</v>
      </c>
      <c r="AF23" s="286">
        <v>1.2</v>
      </c>
      <c r="AG23" s="286">
        <v>38.5</v>
      </c>
      <c r="AH23" s="286"/>
    </row>
    <row r="24" spans="1:52" ht="18.75" x14ac:dyDescent="0.3">
      <c r="A24" s="61"/>
      <c r="C24" s="415" t="s">
        <v>623</v>
      </c>
      <c r="D24" s="413" t="s">
        <v>560</v>
      </c>
      <c r="E24" s="413">
        <v>286.51965730278761</v>
      </c>
      <c r="F24" s="413">
        <v>408.93650353940734</v>
      </c>
      <c r="G24" s="413">
        <v>220.50928426836737</v>
      </c>
      <c r="H24" s="574">
        <v>91.429943882787597</v>
      </c>
      <c r="I24" s="574">
        <v>130.4938094726237</v>
      </c>
      <c r="J24" s="574">
        <v>70.365683374333486</v>
      </c>
      <c r="K24" s="574">
        <v>-57.933409798416278</v>
      </c>
      <c r="L24" s="575">
        <v>258.79290264537349</v>
      </c>
      <c r="M24" s="554"/>
      <c r="AE24" t="s">
        <v>435</v>
      </c>
      <c r="AF24" s="286"/>
      <c r="AG24" s="286">
        <v>30</v>
      </c>
      <c r="AH24" s="286"/>
    </row>
    <row r="25" spans="1:52" ht="18.75" x14ac:dyDescent="0.3">
      <c r="A25" s="61"/>
      <c r="C25" s="447" t="s">
        <v>617</v>
      </c>
      <c r="D25" s="416" t="s">
        <v>561</v>
      </c>
      <c r="E25" s="416">
        <v>202.47359203000002</v>
      </c>
      <c r="F25" s="416">
        <v>288.98136889893254</v>
      </c>
      <c r="G25" s="416">
        <v>155.82633066812036</v>
      </c>
      <c r="H25" s="576">
        <v>64.141312819999996</v>
      </c>
      <c r="I25" s="576">
        <v>91.545984816389648</v>
      </c>
      <c r="J25" s="576">
        <v>49.363995179656555</v>
      </c>
      <c r="K25" s="576">
        <v>-41.609053414422569</v>
      </c>
      <c r="L25" s="577">
        <v>182.51903341046875</v>
      </c>
      <c r="M25" s="554"/>
      <c r="AE25" t="s">
        <v>436</v>
      </c>
      <c r="AF25" s="286"/>
      <c r="AG25" s="286">
        <v>45</v>
      </c>
      <c r="AH25" s="286"/>
    </row>
    <row r="26" spans="1:52" ht="18.75" x14ac:dyDescent="0.3">
      <c r="A26" s="61"/>
      <c r="C26" s="447"/>
      <c r="D26" s="416" t="s">
        <v>562</v>
      </c>
      <c r="E26" s="416">
        <v>138.33227921000002</v>
      </c>
      <c r="F26" s="416">
        <v>197.4353840825429</v>
      </c>
      <c r="G26" s="416">
        <v>106.46233548846381</v>
      </c>
      <c r="H26" s="576"/>
      <c r="I26" s="576"/>
      <c r="J26" s="576"/>
      <c r="K26" s="576"/>
      <c r="L26" s="577"/>
      <c r="M26" s="554"/>
      <c r="AE26" t="s">
        <v>437</v>
      </c>
      <c r="AF26" s="286">
        <v>1.5</v>
      </c>
      <c r="AG26" s="286">
        <v>46</v>
      </c>
      <c r="AH26" s="286">
        <v>15</v>
      </c>
      <c r="AI26">
        <v>178</v>
      </c>
      <c r="AJ26">
        <v>50</v>
      </c>
      <c r="AL26">
        <f t="shared" ref="AL26:AL31" si="0">AI26*(AH26/1000)</f>
        <v>2.67</v>
      </c>
      <c r="AM26">
        <f t="shared" ref="AM26:AM31" si="1">(AH26/1000)/($AI$1/$AI$2)</f>
        <v>4.4903125000000012E-3</v>
      </c>
      <c r="AN26">
        <f t="shared" ref="AN26:AN31" si="2">AL26/((AH26/1000)-AM26)</f>
        <v>254.05132169724365</v>
      </c>
      <c r="AO26">
        <f t="shared" ref="AO26:AO31" si="3">AL26/((AH26/1000)+AM26)</f>
        <v>136.99113341563915</v>
      </c>
      <c r="AP26">
        <f t="shared" ref="AP26:AP31" si="4">AN26-AI26</f>
        <v>76.051321697243651</v>
      </c>
      <c r="AQ26">
        <f t="shared" ref="AQ26:AQ31" si="5">AO26-AI26</f>
        <v>-41.008866584360845</v>
      </c>
      <c r="AR26">
        <f t="shared" ref="AR26:AR31" si="6">((AN26/AI26)*100)-100</f>
        <v>42.72546162766497</v>
      </c>
      <c r="AS26">
        <f t="shared" ref="AS26:AS31" si="7">((AO26/AI26)*100)-100</f>
        <v>-23.038689092337549</v>
      </c>
      <c r="AT26">
        <f>AI26-AI27</f>
        <v>34</v>
      </c>
      <c r="AU26">
        <f>AN26-AN27</f>
        <v>48.526656953406075</v>
      </c>
      <c r="AV26">
        <f>AO26-AO27</f>
        <v>26.166845708605223</v>
      </c>
      <c r="AW26">
        <f>AO26-AN27</f>
        <v>-68.533531328198421</v>
      </c>
      <c r="AX26">
        <f>AN26-AO27</f>
        <v>143.22703399020972</v>
      </c>
      <c r="AY26">
        <f>((AU26/$AT26)*100)-100</f>
        <v>42.725461627664941</v>
      </c>
      <c r="AZ26">
        <f>((AV26/$AT26)*100)-100</f>
        <v>-23.038689092337577</v>
      </c>
    </row>
    <row r="27" spans="1:52" ht="18.75" x14ac:dyDescent="0.3">
      <c r="A27" s="61"/>
      <c r="C27" s="415" t="s">
        <v>624</v>
      </c>
      <c r="D27" s="413" t="s">
        <v>560</v>
      </c>
      <c r="E27" s="413">
        <v>279.67743206499188</v>
      </c>
      <c r="F27" s="413">
        <v>399.17090598315872</v>
      </c>
      <c r="G27" s="413">
        <v>215.24341803010483</v>
      </c>
      <c r="H27" s="574">
        <v>58.546766389991873</v>
      </c>
      <c r="I27" s="574">
        <v>83.561142598186549</v>
      </c>
      <c r="J27" s="574">
        <v>45.058358907784488</v>
      </c>
      <c r="K27" s="574">
        <v>-100.36634535486738</v>
      </c>
      <c r="L27" s="575">
        <v>228.98584686083842</v>
      </c>
      <c r="M27" s="554"/>
      <c r="AE27" t="s">
        <v>438</v>
      </c>
      <c r="AF27" s="286">
        <v>0.73399999999999999</v>
      </c>
      <c r="AG27" s="286">
        <v>30.8</v>
      </c>
      <c r="AH27" s="286">
        <v>15</v>
      </c>
      <c r="AI27">
        <v>144</v>
      </c>
      <c r="AJ27">
        <v>33</v>
      </c>
      <c r="AL27">
        <f t="shared" si="0"/>
        <v>2.16</v>
      </c>
      <c r="AM27">
        <f t="shared" si="1"/>
        <v>4.4903125000000012E-3</v>
      </c>
      <c r="AN27">
        <f t="shared" si="2"/>
        <v>205.52466474383758</v>
      </c>
      <c r="AO27">
        <f t="shared" si="3"/>
        <v>110.82428770703393</v>
      </c>
      <c r="AP27">
        <f t="shared" si="4"/>
        <v>61.524664743837576</v>
      </c>
      <c r="AQ27">
        <f t="shared" si="5"/>
        <v>-33.175712292966068</v>
      </c>
      <c r="AR27">
        <f t="shared" si="6"/>
        <v>42.72546162766497</v>
      </c>
      <c r="AS27">
        <f t="shared" si="7"/>
        <v>-23.038689092337549</v>
      </c>
      <c r="AT27">
        <f>AI27-AI28</f>
        <v>34</v>
      </c>
      <c r="AU27">
        <f>AN27-AN28</f>
        <v>48.526656953406103</v>
      </c>
      <c r="AV27">
        <f>AO27-AO28</f>
        <v>26.166845708605237</v>
      </c>
      <c r="AW27">
        <f>AO27-AN28</f>
        <v>-46.173720083397541</v>
      </c>
      <c r="AX27">
        <f>AN27-AO28</f>
        <v>120.86722274540888</v>
      </c>
      <c r="AY27">
        <f t="shared" ref="AY27" si="8">((AU27/$AT27)*100)-100</f>
        <v>42.725461627665027</v>
      </c>
      <c r="AZ27">
        <f t="shared" ref="AZ27" si="9">((AV27/$AT27)*100)-100</f>
        <v>-23.038689092337535</v>
      </c>
    </row>
    <row r="28" spans="1:52" ht="18.75" x14ac:dyDescent="0.3">
      <c r="A28" s="61"/>
      <c r="C28" s="447" t="s">
        <v>619</v>
      </c>
      <c r="D28" s="416" t="s">
        <v>561</v>
      </c>
      <c r="E28" s="416">
        <v>221.13066567500002</v>
      </c>
      <c r="F28" s="416">
        <v>315.60976338497221</v>
      </c>
      <c r="G28" s="416">
        <v>170.18505912232035</v>
      </c>
      <c r="H28" s="576">
        <v>89.172641964779658</v>
      </c>
      <c r="I28" s="576">
        <v>127.27206488981665</v>
      </c>
      <c r="J28" s="576">
        <v>68.62843422709075</v>
      </c>
      <c r="K28" s="576">
        <v>-27.342550611203148</v>
      </c>
      <c r="L28" s="577">
        <v>223.24304972811055</v>
      </c>
      <c r="M28" s="554"/>
      <c r="AE28" t="s">
        <v>439</v>
      </c>
      <c r="AF28" s="286"/>
      <c r="AG28" s="286">
        <v>24.5</v>
      </c>
      <c r="AH28" s="286">
        <v>15</v>
      </c>
      <c r="AI28">
        <v>110</v>
      </c>
      <c r="AJ28">
        <v>25</v>
      </c>
      <c r="AL28">
        <f t="shared" si="0"/>
        <v>1.65</v>
      </c>
      <c r="AM28">
        <f t="shared" si="1"/>
        <v>4.4903125000000012E-3</v>
      </c>
      <c r="AN28">
        <f t="shared" si="2"/>
        <v>156.99800779043147</v>
      </c>
      <c r="AO28">
        <f t="shared" si="3"/>
        <v>84.657441998428695</v>
      </c>
      <c r="AP28">
        <f t="shared" si="4"/>
        <v>46.998007790431473</v>
      </c>
      <c r="AQ28">
        <f t="shared" si="5"/>
        <v>-25.342558001571305</v>
      </c>
      <c r="AR28">
        <f t="shared" si="6"/>
        <v>42.72546162766497</v>
      </c>
      <c r="AS28">
        <f t="shared" si="7"/>
        <v>-23.038689092337549</v>
      </c>
    </row>
    <row r="29" spans="1:52" ht="18.75" x14ac:dyDescent="0.3">
      <c r="A29" s="61"/>
      <c r="C29" s="447"/>
      <c r="D29" s="416" t="s">
        <v>562</v>
      </c>
      <c r="E29" s="416">
        <v>145.93206752855366</v>
      </c>
      <c r="F29" s="416">
        <v>208.282217042924</v>
      </c>
      <c r="G29" s="416">
        <v>112.31123220463009</v>
      </c>
      <c r="H29" s="576"/>
      <c r="I29" s="576"/>
      <c r="J29" s="576"/>
      <c r="K29" s="576"/>
      <c r="L29" s="577"/>
      <c r="M29" s="554"/>
      <c r="AE29" t="s">
        <v>440</v>
      </c>
      <c r="AF29" s="286">
        <v>1.52</v>
      </c>
      <c r="AG29" s="286">
        <v>51.9</v>
      </c>
      <c r="AH29" s="286">
        <v>15</v>
      </c>
      <c r="AI29">
        <v>183</v>
      </c>
      <c r="AJ29">
        <v>54</v>
      </c>
      <c r="AL29">
        <f t="shared" si="0"/>
        <v>2.7450000000000001</v>
      </c>
      <c r="AM29">
        <f t="shared" si="1"/>
        <v>4.4903125000000012E-3</v>
      </c>
      <c r="AN29">
        <f t="shared" si="2"/>
        <v>261.18759477862693</v>
      </c>
      <c r="AO29">
        <f t="shared" si="3"/>
        <v>140.83919896102228</v>
      </c>
      <c r="AP29">
        <f t="shared" si="4"/>
        <v>78.187594778626931</v>
      </c>
      <c r="AQ29">
        <f t="shared" si="5"/>
        <v>-42.160801038977723</v>
      </c>
      <c r="AR29">
        <f t="shared" si="6"/>
        <v>42.725461627664998</v>
      </c>
      <c r="AS29">
        <f t="shared" si="7"/>
        <v>-23.038689092337549</v>
      </c>
      <c r="AT29">
        <f>AI29-AI30</f>
        <v>38</v>
      </c>
      <c r="AU29">
        <f>AN29-AN30</f>
        <v>54.235675418512727</v>
      </c>
      <c r="AV29">
        <f>AO29-AO30</f>
        <v>29.245298144911729</v>
      </c>
      <c r="AW29">
        <f>AO29-AN30</f>
        <v>-66.112720399091927</v>
      </c>
      <c r="AX29">
        <f>AN29-AO30</f>
        <v>149.5936939625164</v>
      </c>
      <c r="AY29">
        <f t="shared" ref="AY29:AY30" si="10">((AU29/$AT29)*100)-100</f>
        <v>42.725461627665055</v>
      </c>
      <c r="AZ29">
        <f t="shared" ref="AZ29:AZ30" si="11">((AV29/$AT29)*100)-100</f>
        <v>-23.038689092337563</v>
      </c>
    </row>
    <row r="30" spans="1:52" ht="18.75" x14ac:dyDescent="0.3">
      <c r="A30" s="61"/>
      <c r="C30" s="415" t="s">
        <v>625</v>
      </c>
      <c r="D30" s="413" t="s">
        <v>560</v>
      </c>
      <c r="E30" s="413"/>
      <c r="F30" s="413"/>
      <c r="G30" s="413"/>
      <c r="H30" s="574"/>
      <c r="I30" s="574"/>
      <c r="J30" s="574"/>
      <c r="K30" s="574"/>
      <c r="L30" s="575"/>
      <c r="M30" s="554"/>
      <c r="AE30" t="s">
        <v>441</v>
      </c>
      <c r="AF30" s="286">
        <v>0.91</v>
      </c>
      <c r="AG30" s="286">
        <v>33.5</v>
      </c>
      <c r="AH30" s="286">
        <v>15</v>
      </c>
      <c r="AI30">
        <v>145</v>
      </c>
      <c r="AJ30">
        <v>36</v>
      </c>
      <c r="AL30">
        <f t="shared" si="0"/>
        <v>2.1749999999999998</v>
      </c>
      <c r="AM30">
        <f t="shared" si="1"/>
        <v>4.4903125000000012E-3</v>
      </c>
      <c r="AN30">
        <f t="shared" si="2"/>
        <v>206.9519193601142</v>
      </c>
      <c r="AO30">
        <f t="shared" si="3"/>
        <v>111.59390081611055</v>
      </c>
      <c r="AP30">
        <f t="shared" si="4"/>
        <v>61.951919360114204</v>
      </c>
      <c r="AQ30">
        <f t="shared" si="5"/>
        <v>-33.406099183889452</v>
      </c>
      <c r="AR30">
        <f t="shared" si="6"/>
        <v>42.72546162766497</v>
      </c>
      <c r="AS30">
        <f t="shared" si="7"/>
        <v>-23.038689092337549</v>
      </c>
      <c r="AT30">
        <f>AI30-AI31</f>
        <v>32</v>
      </c>
      <c r="AU30">
        <f>AN30-AN31</f>
        <v>45.672147720852792</v>
      </c>
      <c r="AV30">
        <f>AO30-AO31</f>
        <v>24.627619490451991</v>
      </c>
      <c r="AW30">
        <f>AO30-AN31</f>
        <v>-49.685870823150864</v>
      </c>
      <c r="AX30">
        <f>AN30-AO31</f>
        <v>119.98563803445565</v>
      </c>
      <c r="AY30">
        <f t="shared" si="10"/>
        <v>42.72546162766497</v>
      </c>
      <c r="AZ30">
        <f t="shared" si="11"/>
        <v>-23.038689092337535</v>
      </c>
    </row>
    <row r="31" spans="1:52" ht="18.75" x14ac:dyDescent="0.3">
      <c r="A31" s="61"/>
      <c r="C31" s="447" t="s">
        <v>610</v>
      </c>
      <c r="D31" s="416" t="s">
        <v>561</v>
      </c>
      <c r="E31" s="416">
        <v>205.04286000000002</v>
      </c>
      <c r="F31" s="416">
        <v>292.64836846956678</v>
      </c>
      <c r="G31" s="416">
        <v>157.80367297856304</v>
      </c>
      <c r="H31" s="576">
        <v>92.530200000000008</v>
      </c>
      <c r="I31" s="576">
        <v>132.06415509500169</v>
      </c>
      <c r="J31" s="576">
        <v>71.212454905481891</v>
      </c>
      <c r="K31" s="576">
        <v>-16.153969807177788</v>
      </c>
      <c r="L31" s="577">
        <v>219.43057980766139</v>
      </c>
      <c r="M31" s="554"/>
      <c r="AE31" t="s">
        <v>442</v>
      </c>
      <c r="AF31" s="286">
        <v>0.81499999999999995</v>
      </c>
      <c r="AG31" s="286">
        <v>20.6</v>
      </c>
      <c r="AH31" s="286">
        <v>15</v>
      </c>
      <c r="AI31">
        <v>113</v>
      </c>
      <c r="AJ31">
        <v>23</v>
      </c>
      <c r="AL31">
        <f t="shared" si="0"/>
        <v>1.6949999999999998</v>
      </c>
      <c r="AM31">
        <f t="shared" si="1"/>
        <v>4.4903125000000012E-3</v>
      </c>
      <c r="AN31">
        <f t="shared" si="2"/>
        <v>161.27977163926141</v>
      </c>
      <c r="AO31">
        <f t="shared" si="3"/>
        <v>86.966281325658557</v>
      </c>
      <c r="AP31">
        <f t="shared" si="4"/>
        <v>48.279771639261412</v>
      </c>
      <c r="AQ31">
        <f t="shared" si="5"/>
        <v>-26.033718674341443</v>
      </c>
      <c r="AR31">
        <f t="shared" si="6"/>
        <v>42.72546162766497</v>
      </c>
      <c r="AS31">
        <f t="shared" si="7"/>
        <v>-23.038689092337563</v>
      </c>
    </row>
    <row r="32" spans="1:52" ht="18.75" x14ac:dyDescent="0.3">
      <c r="A32" s="61"/>
      <c r="C32" s="447" t="s">
        <v>626</v>
      </c>
      <c r="D32" s="416" t="s">
        <v>562</v>
      </c>
      <c r="E32" s="416">
        <v>132.84809999999999</v>
      </c>
      <c r="F32" s="416">
        <v>189.60806398858199</v>
      </c>
      <c r="G32" s="416">
        <v>102.24163927592231</v>
      </c>
      <c r="H32" s="576"/>
      <c r="I32" s="576"/>
      <c r="J32" s="576"/>
      <c r="K32" s="576"/>
      <c r="L32" s="577"/>
      <c r="M32" s="554"/>
    </row>
    <row r="33" spans="1:67" ht="18.75" x14ac:dyDescent="0.3">
      <c r="A33" s="61"/>
      <c r="C33" s="415" t="s">
        <v>627</v>
      </c>
      <c r="D33" s="413" t="s">
        <v>560</v>
      </c>
      <c r="E33" s="413">
        <v>132.84809999999999</v>
      </c>
      <c r="F33" s="413">
        <v>189.60806398858199</v>
      </c>
      <c r="G33" s="413">
        <v>102.24163927592231</v>
      </c>
      <c r="H33" s="574"/>
      <c r="I33" s="574"/>
      <c r="J33" s="574"/>
      <c r="K33" s="574"/>
      <c r="L33" s="575"/>
      <c r="M33" s="554"/>
      <c r="AD33" t="s">
        <v>444</v>
      </c>
    </row>
    <row r="34" spans="1:67" ht="18.75" x14ac:dyDescent="0.3">
      <c r="A34" s="61"/>
      <c r="C34" s="447" t="s">
        <v>628</v>
      </c>
      <c r="D34" s="416" t="s">
        <v>561</v>
      </c>
      <c r="E34" s="416">
        <v>178.00814999999997</v>
      </c>
      <c r="F34" s="416">
        <v>254.06295382236627</v>
      </c>
      <c r="G34" s="416">
        <v>136.99740576247814</v>
      </c>
      <c r="H34" s="576">
        <v>80.68089999999998</v>
      </c>
      <c r="I34" s="576">
        <v>115.15218697035472</v>
      </c>
      <c r="J34" s="576">
        <v>62.093078292100223</v>
      </c>
      <c r="K34" s="576">
        <v>-20.213781484916055</v>
      </c>
      <c r="L34" s="577">
        <v>197.45904674737102</v>
      </c>
      <c r="M34" s="554"/>
      <c r="AE34" t="s">
        <v>440</v>
      </c>
      <c r="AF34" s="517">
        <v>13.3</v>
      </c>
      <c r="AG34" s="286">
        <v>53</v>
      </c>
      <c r="AH34" s="286">
        <v>15</v>
      </c>
      <c r="AI34" s="516">
        <v>315</v>
      </c>
      <c r="AJ34">
        <v>117</v>
      </c>
      <c r="AL34">
        <f>AI34*(AH34/1000)</f>
        <v>4.7249999999999996</v>
      </c>
      <c r="AM34">
        <f>(AH34/1000)/($AI$1/$AI$2)</f>
        <v>4.4903125000000012E-3</v>
      </c>
      <c r="AN34">
        <f>AL34/((AH34/1000)-AM34)</f>
        <v>449.58520412714466</v>
      </c>
      <c r="AO34">
        <f>AL34/((AH34/1000)+AM34)</f>
        <v>242.4281293591367</v>
      </c>
      <c r="AP34" s="516">
        <f>AN34-AI34</f>
        <v>134.58520412714466</v>
      </c>
      <c r="AQ34" s="516">
        <f>AO34-AI34</f>
        <v>-72.571870640863295</v>
      </c>
      <c r="AR34">
        <f>((AN34/AI34)*100)-100</f>
        <v>42.72546162766497</v>
      </c>
      <c r="AS34">
        <f>((AO34/AI34)*100)-100</f>
        <v>-23.038689092337549</v>
      </c>
      <c r="AT34">
        <f>AI34-AI35</f>
        <v>62</v>
      </c>
      <c r="AU34">
        <f t="shared" ref="AU34:AV36" si="12">AN34-AN35</f>
        <v>88.489786209152271</v>
      </c>
      <c r="AV34">
        <f t="shared" si="12"/>
        <v>47.716012762750694</v>
      </c>
      <c r="AW34">
        <f>AO34-AN35</f>
        <v>-118.66728855885569</v>
      </c>
      <c r="AX34">
        <f>AN34-AO35</f>
        <v>254.87308753075865</v>
      </c>
      <c r="AY34">
        <f t="shared" ref="AY34:AY36" si="13">((AU34/$AT34)*100)-100</f>
        <v>42.725461627664941</v>
      </c>
      <c r="AZ34">
        <f t="shared" ref="AZ34:AZ36" si="14">((AV34/$AT34)*100)-100</f>
        <v>-23.038689092337592</v>
      </c>
    </row>
    <row r="35" spans="1:67" ht="18.75" x14ac:dyDescent="0.3">
      <c r="A35" s="61"/>
      <c r="C35" s="447" t="s">
        <v>626</v>
      </c>
      <c r="D35" s="416" t="s">
        <v>562</v>
      </c>
      <c r="E35" s="416">
        <v>139.7876</v>
      </c>
      <c r="F35" s="416">
        <v>199.51249739823379</v>
      </c>
      <c r="G35" s="416">
        <v>107.58236944635955</v>
      </c>
      <c r="H35" s="576"/>
      <c r="I35" s="576"/>
      <c r="J35" s="576"/>
      <c r="K35" s="576"/>
      <c r="L35" s="577"/>
      <c r="M35" s="554"/>
      <c r="AE35" t="s">
        <v>441</v>
      </c>
      <c r="AF35" s="286">
        <v>15</v>
      </c>
      <c r="AG35" s="286">
        <v>53</v>
      </c>
      <c r="AH35" s="286">
        <v>15</v>
      </c>
      <c r="AI35">
        <v>253</v>
      </c>
      <c r="AJ35">
        <v>62</v>
      </c>
      <c r="AL35">
        <f>AI35*(AH35/1000)</f>
        <v>3.7949999999999999</v>
      </c>
      <c r="AM35">
        <f>(AH35/1000)/($AI$1/$AI$2)</f>
        <v>4.4903125000000012E-3</v>
      </c>
      <c r="AN35">
        <f>AL35/((AH35/1000)-AM35)</f>
        <v>361.09541791799239</v>
      </c>
      <c r="AO35">
        <f>AL35/((AH35/1000)+AM35)</f>
        <v>194.71211659638601</v>
      </c>
      <c r="AP35">
        <f>AN35-AI35</f>
        <v>108.09541791799239</v>
      </c>
      <c r="AQ35">
        <f>AO35-AI35</f>
        <v>-58.287883403613989</v>
      </c>
      <c r="AR35">
        <f>((AN35/AI35)*100)-100</f>
        <v>42.72546162766497</v>
      </c>
      <c r="AS35">
        <f>((AO35/AI35)*100)-100</f>
        <v>-23.038689092337549</v>
      </c>
      <c r="AT35">
        <f>AI35-AI36</f>
        <v>63</v>
      </c>
      <c r="AU35">
        <f t="shared" si="12"/>
        <v>89.917040825428955</v>
      </c>
      <c r="AV35">
        <f t="shared" si="12"/>
        <v>48.485625871827352</v>
      </c>
      <c r="AW35">
        <f>AO35-AN36</f>
        <v>-76.466260496177426</v>
      </c>
      <c r="AX35">
        <f>AN35-AO36</f>
        <v>214.86892719343373</v>
      </c>
      <c r="AY35">
        <f t="shared" si="13"/>
        <v>42.725461627665027</v>
      </c>
      <c r="AZ35">
        <f t="shared" si="14"/>
        <v>-23.038689092337535</v>
      </c>
    </row>
    <row r="36" spans="1:67" ht="18.75" x14ac:dyDescent="0.3">
      <c r="A36" s="61"/>
      <c r="C36" s="415" t="s">
        <v>631</v>
      </c>
      <c r="D36" s="413" t="s">
        <v>560</v>
      </c>
      <c r="E36" s="413">
        <v>132.84809999999999</v>
      </c>
      <c r="F36" s="413">
        <v>189.60806398858199</v>
      </c>
      <c r="G36" s="413">
        <v>102.24163927592231</v>
      </c>
      <c r="H36" s="574"/>
      <c r="I36" s="574"/>
      <c r="J36" s="574"/>
      <c r="K36" s="574"/>
      <c r="L36" s="575"/>
      <c r="M36" s="554"/>
      <c r="AE36" t="s">
        <v>442</v>
      </c>
      <c r="AF36" s="286">
        <v>3.8</v>
      </c>
      <c r="AG36" s="286">
        <v>31</v>
      </c>
      <c r="AH36" s="286">
        <v>15</v>
      </c>
      <c r="AI36">
        <v>190</v>
      </c>
      <c r="AJ36">
        <v>31</v>
      </c>
      <c r="AL36">
        <f>AI36*(AH36/1000)</f>
        <v>2.85</v>
      </c>
      <c r="AM36">
        <f>(AH36/1000)/($AI$1/$AI$2)</f>
        <v>4.4903125000000012E-3</v>
      </c>
      <c r="AN36">
        <f>AL36/((AH36/1000)-AM36)</f>
        <v>271.17837709256344</v>
      </c>
      <c r="AO36">
        <f>AL36/((AH36/1000)+AM36)</f>
        <v>146.22649072455866</v>
      </c>
      <c r="AP36">
        <f>AN36-AI36</f>
        <v>81.178377092563437</v>
      </c>
      <c r="AQ36">
        <f>AO36-AI36</f>
        <v>-43.773509275441342</v>
      </c>
      <c r="AR36">
        <f>((AN36/AI36)*100)-100</f>
        <v>42.72546162766497</v>
      </c>
      <c r="AS36">
        <f>((AO36/AI36)*100)-100</f>
        <v>-23.038689092337549</v>
      </c>
      <c r="AT36">
        <f>AI36-AI37</f>
        <v>60</v>
      </c>
      <c r="AU36">
        <f t="shared" si="12"/>
        <v>85.635276976598959</v>
      </c>
      <c r="AV36">
        <f t="shared" si="12"/>
        <v>46.176786544597476</v>
      </c>
      <c r="AW36">
        <f>AO36-AN37</f>
        <v>-39.316609391405819</v>
      </c>
      <c r="AX36">
        <f>AN36-AO37</f>
        <v>171.12867291260227</v>
      </c>
      <c r="AY36">
        <f t="shared" si="13"/>
        <v>42.725461627664941</v>
      </c>
      <c r="AZ36">
        <f t="shared" si="14"/>
        <v>-23.038689092337535</v>
      </c>
    </row>
    <row r="37" spans="1:67" ht="18.75" x14ac:dyDescent="0.3">
      <c r="A37" s="61"/>
      <c r="C37" s="447" t="s">
        <v>632</v>
      </c>
      <c r="D37" s="416" t="s">
        <v>561</v>
      </c>
      <c r="E37" s="416">
        <v>178.00814999999997</v>
      </c>
      <c r="F37" s="416">
        <v>254.06295382236627</v>
      </c>
      <c r="G37" s="416">
        <v>136.99740576247814</v>
      </c>
      <c r="H37" s="576">
        <v>80.68089999999998</v>
      </c>
      <c r="I37" s="576">
        <v>115.15218697035472</v>
      </c>
      <c r="J37" s="576">
        <v>62.093078292100223</v>
      </c>
      <c r="K37" s="576">
        <v>-20.213781484916055</v>
      </c>
      <c r="L37" s="577">
        <v>197.45904674737102</v>
      </c>
      <c r="M37" s="554"/>
      <c r="AE37" t="s">
        <v>446</v>
      </c>
      <c r="AF37" s="286">
        <v>0.79</v>
      </c>
      <c r="AG37" s="286">
        <v>7.6</v>
      </c>
      <c r="AH37" s="286">
        <v>15</v>
      </c>
      <c r="AI37">
        <v>130</v>
      </c>
      <c r="AJ37">
        <v>8</v>
      </c>
      <c r="AL37">
        <f>AI37*(AH37/1000)</f>
        <v>1.95</v>
      </c>
      <c r="AM37">
        <f>(AH37/1000)/($AI$1/$AI$2)</f>
        <v>4.4903125000000012E-3</v>
      </c>
      <c r="AN37">
        <f>AL37/((AH37/1000)-AM37)</f>
        <v>185.54310011596448</v>
      </c>
      <c r="AO37">
        <f>AL37/((AH37/1000)+AM37)</f>
        <v>100.04970417996118</v>
      </c>
      <c r="AP37">
        <f>AN37-AI37</f>
        <v>55.543100115964478</v>
      </c>
      <c r="AQ37">
        <f>AO37-AI37</f>
        <v>-29.950295820038818</v>
      </c>
      <c r="AR37">
        <f>((AN37/AI37)*100)-100</f>
        <v>42.72546162766497</v>
      </c>
      <c r="AS37">
        <f>((AO37/AI37)*100)-100</f>
        <v>-23.038689092337549</v>
      </c>
    </row>
    <row r="38" spans="1:67" ht="18.75" x14ac:dyDescent="0.3">
      <c r="A38" s="61"/>
      <c r="C38" s="447" t="s">
        <v>626</v>
      </c>
      <c r="D38" s="416" t="s">
        <v>562</v>
      </c>
      <c r="E38" s="416">
        <v>139.7876</v>
      </c>
      <c r="F38" s="416">
        <v>199.51249739823379</v>
      </c>
      <c r="G38" s="416">
        <v>107.58236944635955</v>
      </c>
      <c r="H38" s="576"/>
      <c r="I38" s="576"/>
      <c r="J38" s="576"/>
      <c r="K38" s="576"/>
      <c r="L38" s="577"/>
      <c r="M38" s="554"/>
      <c r="AE38" t="s">
        <v>436</v>
      </c>
      <c r="AF38" s="286">
        <v>16.399999999999999</v>
      </c>
      <c r="AG38" s="286">
        <v>57</v>
      </c>
      <c r="AH38" s="286">
        <v>15</v>
      </c>
      <c r="AI38" s="286"/>
      <c r="AJ38" s="286"/>
    </row>
    <row r="39" spans="1:67" ht="18.75" x14ac:dyDescent="0.3">
      <c r="A39" s="61"/>
      <c r="C39" s="415" t="s">
        <v>629</v>
      </c>
      <c r="D39" s="413" t="s">
        <v>560</v>
      </c>
      <c r="E39" s="413">
        <v>211.3709375</v>
      </c>
      <c r="F39" s="413"/>
      <c r="G39" s="413"/>
      <c r="H39" s="574"/>
      <c r="I39" s="574"/>
      <c r="J39" s="574"/>
      <c r="K39" s="574"/>
      <c r="L39" s="575"/>
      <c r="M39" s="554"/>
      <c r="AE39" t="s">
        <v>437</v>
      </c>
      <c r="AH39" s="286">
        <v>15</v>
      </c>
      <c r="AI39">
        <v>208</v>
      </c>
      <c r="AJ39">
        <v>48</v>
      </c>
      <c r="AL39">
        <f>AI39*(AH39/1000)</f>
        <v>3.12</v>
      </c>
      <c r="AM39">
        <f>(AH39/1000)/($AI$1/$AI$2)</f>
        <v>4.4903125000000012E-3</v>
      </c>
      <c r="AN39">
        <f>AL39/((AH39/1000)-AM39)</f>
        <v>296.86896018554319</v>
      </c>
      <c r="AO39">
        <f>AL39/((AH39/1000)+AM39)</f>
        <v>160.07952668793791</v>
      </c>
      <c r="AP39">
        <f>AN39-AI39</f>
        <v>88.868960185543187</v>
      </c>
      <c r="AQ39">
        <f>AO39-AI39</f>
        <v>-47.920473312062086</v>
      </c>
      <c r="AR39">
        <f>((AN39/AI39)*100)-100</f>
        <v>42.725461627664998</v>
      </c>
      <c r="AS39">
        <f>((AO39/AI39)*100)-100</f>
        <v>-23.038689092337535</v>
      </c>
      <c r="BG39" s="55" t="s">
        <v>477</v>
      </c>
      <c r="BH39" s="296">
        <v>15</v>
      </c>
      <c r="BI39" s="55">
        <v>2.1149999999999998</v>
      </c>
      <c r="BJ39" s="55">
        <v>141</v>
      </c>
      <c r="BK39" s="55">
        <v>4.4903125000000012E-3</v>
      </c>
      <c r="BL39" s="55">
        <v>201.24290089500761</v>
      </c>
      <c r="BM39" s="55">
        <v>108.51544837980404</v>
      </c>
      <c r="BN39" s="55">
        <v>60.242900895007608</v>
      </c>
      <c r="BO39" s="55">
        <v>-32.484551620195958</v>
      </c>
    </row>
    <row r="40" spans="1:67" ht="18.75" x14ac:dyDescent="0.3">
      <c r="A40" s="61"/>
      <c r="C40" s="447" t="s">
        <v>630</v>
      </c>
      <c r="D40" s="416" t="s">
        <v>561</v>
      </c>
      <c r="E40" s="416">
        <v>224.10303090800002</v>
      </c>
      <c r="F40" s="416">
        <v>319.85208538503173</v>
      </c>
      <c r="G40" s="416">
        <v>172.47263037060077</v>
      </c>
      <c r="H40" s="576">
        <v>74.067570590000003</v>
      </c>
      <c r="I40" s="576">
        <v>105.71328204097414</v>
      </c>
      <c r="J40" s="576">
        <v>57.003373283522265</v>
      </c>
      <c r="K40" s="576">
        <v>-40.618236588978057</v>
      </c>
      <c r="L40" s="577">
        <v>203.33489191347445</v>
      </c>
      <c r="M40" s="554"/>
      <c r="BG40" s="61" t="s">
        <v>478</v>
      </c>
      <c r="BH40" s="286">
        <v>15</v>
      </c>
      <c r="BI40">
        <v>2.8049999999999997</v>
      </c>
      <c r="BJ40">
        <v>187</v>
      </c>
      <c r="BK40">
        <v>4.4903125000000012E-3</v>
      </c>
      <c r="BL40">
        <v>266.8966132437335</v>
      </c>
      <c r="BM40">
        <v>143.91765139732877</v>
      </c>
      <c r="BN40">
        <v>79.896613243733498</v>
      </c>
      <c r="BO40">
        <v>-43.082348602671232</v>
      </c>
    </row>
    <row r="41" spans="1:67" ht="18.75" x14ac:dyDescent="0.3">
      <c r="A41" s="61"/>
      <c r="C41" s="447" t="s">
        <v>626</v>
      </c>
      <c r="D41" s="416" t="s">
        <v>562</v>
      </c>
      <c r="E41" s="416">
        <v>146.13905967199997</v>
      </c>
      <c r="F41" s="416">
        <v>208.57764753519078</v>
      </c>
      <c r="G41" s="416">
        <v>112.47053607170226</v>
      </c>
      <c r="H41" s="576"/>
      <c r="I41" s="576"/>
      <c r="J41" s="576"/>
      <c r="K41" s="576"/>
      <c r="L41" s="577"/>
      <c r="M41" s="554"/>
      <c r="AD41" t="s">
        <v>458</v>
      </c>
      <c r="AG41" t="s">
        <v>424</v>
      </c>
      <c r="AH41" t="s">
        <v>462</v>
      </c>
      <c r="AI41" t="s">
        <v>425</v>
      </c>
      <c r="AJ41" t="s">
        <v>426</v>
      </c>
      <c r="AL41" t="s">
        <v>430</v>
      </c>
      <c r="AM41" t="s">
        <v>428</v>
      </c>
      <c r="AN41" s="512" t="s">
        <v>369</v>
      </c>
      <c r="AO41" s="512" t="s">
        <v>370</v>
      </c>
      <c r="AP41" t="s">
        <v>373</v>
      </c>
      <c r="AQ41" t="s">
        <v>374</v>
      </c>
      <c r="AR41" t="s">
        <v>377</v>
      </c>
      <c r="AS41" t="s">
        <v>378</v>
      </c>
      <c r="BG41" s="61" t="s">
        <v>482</v>
      </c>
      <c r="BH41" s="286">
        <v>15</v>
      </c>
      <c r="BI41">
        <v>2.67</v>
      </c>
      <c r="BJ41">
        <v>178</v>
      </c>
      <c r="BK41">
        <v>4.4903125000000012E-3</v>
      </c>
      <c r="BL41">
        <v>254.05132169724365</v>
      </c>
      <c r="BM41">
        <v>136.99113341563915</v>
      </c>
      <c r="BN41">
        <v>76.051321697243651</v>
      </c>
      <c r="BO41">
        <v>-41.008866584360845</v>
      </c>
    </row>
    <row r="42" spans="1:67" ht="18.75" x14ac:dyDescent="0.3">
      <c r="A42" s="61"/>
      <c r="C42" s="415" t="s">
        <v>633</v>
      </c>
      <c r="D42" s="413" t="s">
        <v>560</v>
      </c>
      <c r="E42" s="413"/>
      <c r="F42" s="413"/>
      <c r="G42" s="413"/>
      <c r="H42" s="574"/>
      <c r="I42" s="574"/>
      <c r="J42" s="574"/>
      <c r="K42" s="574"/>
      <c r="L42" s="575"/>
      <c r="M42" s="554"/>
      <c r="AD42" t="s">
        <v>459</v>
      </c>
      <c r="AG42" t="s">
        <v>460</v>
      </c>
      <c r="AH42" s="286">
        <v>18.2</v>
      </c>
      <c r="AI42">
        <v>64</v>
      </c>
      <c r="AL42">
        <f>AI42*(AH42/1000)</f>
        <v>1.1648000000000001</v>
      </c>
      <c r="AM42">
        <f>(AH42/1000)/($AI$1/$AI$2)</f>
        <v>5.4482458333333346E-3</v>
      </c>
      <c r="AN42">
        <f>AL42/((AH42/1000)-AM42)</f>
        <v>91.344295441705569</v>
      </c>
      <c r="AO42">
        <f>AL42/((AH42/1000)+AM42)</f>
        <v>49.255238980903975</v>
      </c>
      <c r="AP42">
        <f>AN42-AI42</f>
        <v>27.344295441705569</v>
      </c>
      <c r="AQ42">
        <f>AO42-AI42</f>
        <v>-14.744761019096025</v>
      </c>
      <c r="AR42">
        <f>((AN42/AI42)*100)-100</f>
        <v>42.725461627664941</v>
      </c>
      <c r="AS42">
        <f>((AO42/AI42)*100)-100</f>
        <v>-23.038689092337535</v>
      </c>
      <c r="BG42" s="61" t="s">
        <v>500</v>
      </c>
      <c r="BH42" s="286">
        <v>15</v>
      </c>
      <c r="BI42">
        <v>2.16</v>
      </c>
      <c r="BJ42">
        <v>144</v>
      </c>
      <c r="BK42">
        <v>4.4903125000000012E-3</v>
      </c>
      <c r="BL42">
        <v>205.52466474383758</v>
      </c>
      <c r="BM42">
        <v>110.82428770703393</v>
      </c>
      <c r="BN42">
        <v>61.524664743837576</v>
      </c>
      <c r="BO42">
        <v>-33.175712292966068</v>
      </c>
    </row>
    <row r="43" spans="1:67" ht="18.75" x14ac:dyDescent="0.3">
      <c r="A43" s="61"/>
      <c r="C43" s="447" t="s">
        <v>634</v>
      </c>
      <c r="D43" s="416" t="s">
        <v>561</v>
      </c>
      <c r="E43" s="416">
        <v>227.88581999999997</v>
      </c>
      <c r="F43" s="416">
        <v>325.25108857898965</v>
      </c>
      <c r="G43" s="416">
        <v>175.38391444467601</v>
      </c>
      <c r="H43" s="576">
        <v>114.20430000000002</v>
      </c>
      <c r="I43" s="576">
        <v>162.99861437364336</v>
      </c>
      <c r="J43" s="576">
        <v>87.893126392919555</v>
      </c>
      <c r="K43" s="576">
        <v>-6.7548694978355996</v>
      </c>
      <c r="L43" s="577">
        <v>257.64661026439853</v>
      </c>
      <c r="M43" s="554"/>
      <c r="AD43" t="s">
        <v>463</v>
      </c>
      <c r="AH43" s="286">
        <v>20.8</v>
      </c>
      <c r="AI43">
        <v>54</v>
      </c>
      <c r="AL43">
        <f>AI43*(AH43/1000)</f>
        <v>1.1232</v>
      </c>
      <c r="AM43">
        <f>(AH43/1000)/($AI$1/$AI$2)</f>
        <v>6.2265666666666674E-3</v>
      </c>
      <c r="AN43">
        <f>AL43/((AH43/1000)-AM43)</f>
        <v>77.07174927893908</v>
      </c>
      <c r="AO43">
        <f>AL43/((AH43/1000)+AM43)</f>
        <v>41.559107890137724</v>
      </c>
      <c r="AP43">
        <f>AN43-AI43</f>
        <v>23.07174927893908</v>
      </c>
      <c r="AQ43">
        <f>AO43-AI43</f>
        <v>-12.440892109862276</v>
      </c>
      <c r="AR43">
        <f>((AN43/AI43)*100)-100</f>
        <v>42.72546162766497</v>
      </c>
      <c r="AS43">
        <f>((AO43/AI43)*100)-100</f>
        <v>-23.038689092337549</v>
      </c>
      <c r="BG43" t="s">
        <v>439</v>
      </c>
      <c r="BH43" s="286">
        <v>15</v>
      </c>
      <c r="BI43">
        <v>1.65</v>
      </c>
      <c r="BJ43">
        <v>110</v>
      </c>
      <c r="BK43">
        <v>4.4903125000000012E-3</v>
      </c>
      <c r="BL43">
        <v>156.99800779043147</v>
      </c>
      <c r="BM43">
        <v>84.657441998428695</v>
      </c>
      <c r="BN43">
        <v>46.998007790431473</v>
      </c>
      <c r="BO43">
        <v>-25.342558001571305</v>
      </c>
    </row>
    <row r="44" spans="1:67" ht="18.75" x14ac:dyDescent="0.3">
      <c r="A44" s="61"/>
      <c r="C44" s="447" t="s">
        <v>626</v>
      </c>
      <c r="D44" s="416" t="s">
        <v>562</v>
      </c>
      <c r="E44" s="416">
        <v>143.92034999999998</v>
      </c>
      <c r="F44" s="416">
        <v>205.41098391365114</v>
      </c>
      <c r="G44" s="416">
        <v>110.76298802289597</v>
      </c>
      <c r="H44" s="576"/>
      <c r="I44" s="576"/>
      <c r="J44" s="576"/>
      <c r="K44" s="576"/>
      <c r="L44" s="577"/>
      <c r="M44" s="554"/>
      <c r="AH44" s="286"/>
      <c r="BG44" t="s">
        <v>440</v>
      </c>
      <c r="BH44" s="286">
        <v>15</v>
      </c>
      <c r="BI44">
        <v>2.7450000000000001</v>
      </c>
      <c r="BJ44">
        <v>183</v>
      </c>
      <c r="BK44">
        <v>4.4903125000000012E-3</v>
      </c>
      <c r="BL44">
        <v>261.18759477862693</v>
      </c>
      <c r="BM44">
        <v>140.83919896102228</v>
      </c>
      <c r="BN44">
        <v>78.187594778626931</v>
      </c>
      <c r="BO44">
        <v>-42.160801038977723</v>
      </c>
    </row>
    <row r="45" spans="1:67" ht="18.75" x14ac:dyDescent="0.3">
      <c r="A45" s="61" t="s">
        <v>482</v>
      </c>
      <c r="C45" s="415" t="s">
        <v>635</v>
      </c>
      <c r="D45" s="413" t="s">
        <v>560</v>
      </c>
      <c r="E45" s="413"/>
      <c r="F45" s="413"/>
      <c r="G45" s="413"/>
      <c r="H45" s="574"/>
      <c r="I45" s="574"/>
      <c r="J45" s="574"/>
      <c r="K45" s="574"/>
      <c r="L45" s="575"/>
      <c r="M45" s="554"/>
      <c r="BG45" t="s">
        <v>441</v>
      </c>
      <c r="BH45" s="286">
        <v>15</v>
      </c>
      <c r="BI45">
        <v>2.1749999999999998</v>
      </c>
      <c r="BJ45">
        <v>145</v>
      </c>
      <c r="BK45">
        <v>4.4903125000000012E-3</v>
      </c>
      <c r="BL45">
        <v>206.9519193601142</v>
      </c>
      <c r="BM45">
        <v>111.59390081611055</v>
      </c>
      <c r="BN45">
        <v>61.951919360114204</v>
      </c>
      <c r="BO45">
        <v>-33.406099183889452</v>
      </c>
    </row>
    <row r="46" spans="1:67" ht="18.75" x14ac:dyDescent="0.3">
      <c r="A46" s="61" t="s">
        <v>500</v>
      </c>
      <c r="C46" s="447" t="s">
        <v>636</v>
      </c>
      <c r="D46" s="416" t="s">
        <v>561</v>
      </c>
      <c r="E46" s="416">
        <v>236.83206000000001</v>
      </c>
      <c r="F46" s="416">
        <v>338.01965091730847</v>
      </c>
      <c r="G46" s="416">
        <v>182.26905802562169</v>
      </c>
      <c r="H46" s="576">
        <v>104.13811400000002</v>
      </c>
      <c r="I46" s="576">
        <v>148.63160393684399</v>
      </c>
      <c r="J46" s="576">
        <v>80.14605768891596</v>
      </c>
      <c r="K46" s="576">
        <v>-19.387186049018126</v>
      </c>
      <c r="L46" s="577">
        <v>248.16484767477812</v>
      </c>
      <c r="M46" s="554"/>
      <c r="AD46" s="518" t="s">
        <v>467</v>
      </c>
      <c r="AG46" s="519" t="s">
        <v>468</v>
      </c>
      <c r="AH46" t="s">
        <v>445</v>
      </c>
      <c r="AI46" s="520" t="s">
        <v>503</v>
      </c>
      <c r="AJ46" s="524" t="s">
        <v>504</v>
      </c>
      <c r="AL46" t="s">
        <v>430</v>
      </c>
      <c r="AM46" t="s">
        <v>428</v>
      </c>
      <c r="AN46" s="512" t="s">
        <v>369</v>
      </c>
      <c r="AO46" s="512" t="s">
        <v>370</v>
      </c>
      <c r="AP46" t="s">
        <v>373</v>
      </c>
      <c r="AQ46" t="s">
        <v>374</v>
      </c>
      <c r="AR46" t="s">
        <v>377</v>
      </c>
      <c r="AS46" t="s">
        <v>378</v>
      </c>
      <c r="AT46" t="s">
        <v>454</v>
      </c>
      <c r="AU46" t="s">
        <v>451</v>
      </c>
      <c r="AV46" t="s">
        <v>450</v>
      </c>
      <c r="AW46" t="s">
        <v>452</v>
      </c>
      <c r="AX46" t="s">
        <v>453</v>
      </c>
      <c r="AY46" t="s">
        <v>455</v>
      </c>
      <c r="AZ46" t="s">
        <v>456</v>
      </c>
      <c r="BG46" t="s">
        <v>442</v>
      </c>
      <c r="BH46" s="286">
        <v>15</v>
      </c>
      <c r="BI46">
        <v>1.6949999999999998</v>
      </c>
      <c r="BJ46">
        <v>113</v>
      </c>
      <c r="BK46">
        <v>4.4903125000000012E-3</v>
      </c>
      <c r="BL46">
        <v>161.27977163926141</v>
      </c>
      <c r="BM46">
        <v>86.966281325658557</v>
      </c>
      <c r="BN46">
        <v>48.279771639261412</v>
      </c>
      <c r="BO46">
        <v>-26.033718674341443</v>
      </c>
    </row>
    <row r="47" spans="1:67" ht="19.5" thickBot="1" x14ac:dyDescent="0.35">
      <c r="A47" t="s">
        <v>439</v>
      </c>
      <c r="C47" s="448" t="s">
        <v>626</v>
      </c>
      <c r="D47" s="430" t="s">
        <v>562</v>
      </c>
      <c r="E47" s="430">
        <v>154.93029066666668</v>
      </c>
      <c r="F47" s="430">
        <v>221.12497255508313</v>
      </c>
      <c r="G47" s="430">
        <v>119.23638269011848</v>
      </c>
      <c r="H47" s="578"/>
      <c r="I47" s="578"/>
      <c r="J47" s="578"/>
      <c r="K47" s="578"/>
      <c r="L47" s="579"/>
      <c r="M47" s="572"/>
      <c r="AD47" s="518" t="s">
        <v>464</v>
      </c>
      <c r="AG47" s="521"/>
      <c r="AI47" s="520"/>
      <c r="BG47" t="s">
        <v>440</v>
      </c>
      <c r="BH47" s="286">
        <v>15</v>
      </c>
      <c r="BI47">
        <v>1.6949999999999998</v>
      </c>
      <c r="BJ47">
        <v>113</v>
      </c>
      <c r="BK47">
        <v>4.4903125000000012E-3</v>
      </c>
      <c r="BL47">
        <v>161.27977163926141</v>
      </c>
      <c r="BM47">
        <v>86.966281325658557</v>
      </c>
      <c r="BN47">
        <v>48.279771639261412</v>
      </c>
      <c r="BO47">
        <v>-26.033718674341443</v>
      </c>
    </row>
    <row r="48" spans="1:67" ht="18.75" x14ac:dyDescent="0.3">
      <c r="A48" t="s">
        <v>440</v>
      </c>
      <c r="C48" s="607" t="s">
        <v>773</v>
      </c>
      <c r="D48" s="416" t="s">
        <v>560</v>
      </c>
      <c r="E48" s="487">
        <v>280</v>
      </c>
      <c r="F48" s="416">
        <v>399.81469477565349</v>
      </c>
      <c r="G48" s="416">
        <v>215.5905658259712</v>
      </c>
      <c r="H48" s="416">
        <v>52.88250000000005</v>
      </c>
      <c r="I48" s="416">
        <v>75.47679224525001</v>
      </c>
      <c r="J48" s="416">
        <v>40.699065240744602</v>
      </c>
      <c r="K48" s="416">
        <v>-108.74733670443229</v>
      </c>
      <c r="L48" s="414">
        <v>224.9231941904269</v>
      </c>
      <c r="M48" s="414" t="s">
        <v>747</v>
      </c>
      <c r="AD48" s="518" t="s">
        <v>469</v>
      </c>
      <c r="AG48" s="519"/>
      <c r="AI48" s="520"/>
      <c r="BG48" t="s">
        <v>441</v>
      </c>
      <c r="BH48" s="286">
        <v>15</v>
      </c>
      <c r="BI48">
        <v>4.7249999999999996</v>
      </c>
      <c r="BJ48" s="516">
        <v>315</v>
      </c>
      <c r="BK48">
        <v>4.4903125000000012E-3</v>
      </c>
      <c r="BL48">
        <v>449.58520412714466</v>
      </c>
      <c r="BM48">
        <v>242.4281293591367</v>
      </c>
      <c r="BN48">
        <v>134.58520412714466</v>
      </c>
      <c r="BO48">
        <v>-72.571870640863295</v>
      </c>
    </row>
    <row r="49" spans="1:79" ht="18.75" x14ac:dyDescent="0.3">
      <c r="A49" t="s">
        <v>441</v>
      </c>
      <c r="C49" s="447" t="s">
        <v>765</v>
      </c>
      <c r="D49" s="416" t="s">
        <v>561</v>
      </c>
      <c r="E49" s="487" t="s">
        <v>768</v>
      </c>
      <c r="F49" s="416">
        <v>350.68635485117898</v>
      </c>
      <c r="G49" s="416">
        <v>189.09927688434956</v>
      </c>
      <c r="H49" s="416">
        <v>97.593499999999992</v>
      </c>
      <c r="I49" s="416">
        <v>139.2907733935952</v>
      </c>
      <c r="J49" s="416">
        <v>75.109236960669534</v>
      </c>
      <c r="K49" s="416">
        <v>-28.366642584060529</v>
      </c>
      <c r="L49" s="414">
        <v>242.76665293832525</v>
      </c>
      <c r="M49" s="414"/>
      <c r="AD49" s="522" t="s">
        <v>475</v>
      </c>
      <c r="AG49" s="521" t="s">
        <v>471</v>
      </c>
      <c r="AI49" s="523"/>
      <c r="BG49" t="s">
        <v>442</v>
      </c>
      <c r="BH49" s="286">
        <v>15</v>
      </c>
      <c r="BI49">
        <v>3.7949999999999999</v>
      </c>
      <c r="BJ49">
        <v>253</v>
      </c>
      <c r="BK49">
        <v>4.4903125000000012E-3</v>
      </c>
      <c r="BL49">
        <v>361.09541791799239</v>
      </c>
      <c r="BM49">
        <v>194.71211659638601</v>
      </c>
      <c r="BN49">
        <v>108.09541791799239</v>
      </c>
      <c r="BO49">
        <v>-58.287883403613989</v>
      </c>
    </row>
    <row r="50" spans="1:79" ht="18.75" x14ac:dyDescent="0.3">
      <c r="A50" t="s">
        <v>442</v>
      </c>
      <c r="C50" s="425" t="s">
        <v>608</v>
      </c>
      <c r="D50" s="449" t="s">
        <v>562</v>
      </c>
      <c r="E50" s="470" t="s">
        <v>769</v>
      </c>
      <c r="F50" s="449">
        <v>224.56980761797155</v>
      </c>
      <c r="G50" s="449">
        <v>121.0939280732415</v>
      </c>
      <c r="H50" s="105"/>
      <c r="I50" s="105"/>
      <c r="J50" s="105"/>
      <c r="K50" s="105"/>
      <c r="L50" s="101"/>
      <c r="M50" s="414"/>
      <c r="AD50" s="518" t="s">
        <v>476</v>
      </c>
      <c r="AG50" s="519">
        <v>33.04</v>
      </c>
      <c r="AH50">
        <v>15</v>
      </c>
      <c r="AI50" s="520">
        <v>141.19999999999999</v>
      </c>
      <c r="AL50">
        <f>AI50*(AH50/1000)</f>
        <v>2.1179999999999999</v>
      </c>
      <c r="AM50">
        <f>(AH50/1000)/($AI$1/$AI$2)</f>
        <v>4.4903125000000012E-3</v>
      </c>
      <c r="AN50">
        <f>AL50/((AH50/1000)-AM50)</f>
        <v>201.52835181826293</v>
      </c>
      <c r="AO50">
        <f>AL50/((AH50/1000)+AM50)</f>
        <v>108.66937100161937</v>
      </c>
      <c r="AP50">
        <f>AN50-$AI50</f>
        <v>60.328351818262945</v>
      </c>
      <c r="AQ50">
        <f>AO50-$AI50</f>
        <v>-32.530628998380621</v>
      </c>
      <c r="AR50">
        <f>((AN50/$AI50)*100)-100</f>
        <v>42.72546162766497</v>
      </c>
      <c r="AS50">
        <f>((AO50/$AI50)*100)-100</f>
        <v>-23.038689092337549</v>
      </c>
      <c r="AT50">
        <f>AI50-AI51</f>
        <v>-36.200000000000017</v>
      </c>
      <c r="AU50">
        <f>AN50-AN51</f>
        <v>-51.666617109214741</v>
      </c>
      <c r="AV50">
        <f>AO50-AO51</f>
        <v>-27.859994548573809</v>
      </c>
      <c r="AW50">
        <f>AO50-AN51</f>
        <v>-144.52559792585831</v>
      </c>
      <c r="AX50">
        <f>AN50-AO51</f>
        <v>64.998986268069757</v>
      </c>
      <c r="AY50">
        <f>((AU50/$AT50)*100)-100</f>
        <v>42.72546162766497</v>
      </c>
      <c r="AZ50">
        <f>((AV50/$AT50)*100)-100</f>
        <v>-23.038689092337577</v>
      </c>
      <c r="BG50" t="s">
        <v>446</v>
      </c>
      <c r="BH50" s="286">
        <v>15</v>
      </c>
      <c r="BI50">
        <v>2.85</v>
      </c>
      <c r="BJ50">
        <v>190</v>
      </c>
      <c r="BK50">
        <v>4.4903125000000012E-3</v>
      </c>
      <c r="BL50">
        <v>271.17837709256344</v>
      </c>
      <c r="BM50">
        <v>146.22649072455866</v>
      </c>
      <c r="BN50">
        <v>81.178377092563437</v>
      </c>
      <c r="BO50">
        <v>-43.773509275441342</v>
      </c>
    </row>
    <row r="51" spans="1:79" ht="18.75" x14ac:dyDescent="0.3">
      <c r="A51" t="s">
        <v>440</v>
      </c>
      <c r="C51" s="415" t="s">
        <v>770</v>
      </c>
      <c r="D51" s="413" t="s">
        <v>560</v>
      </c>
      <c r="E51" s="551" t="s">
        <v>771</v>
      </c>
      <c r="F51" s="413">
        <v>358.57527876066729</v>
      </c>
      <c r="G51" s="413">
        <v>193.35319148936168</v>
      </c>
      <c r="H51" s="413">
        <v>83.715125</v>
      </c>
      <c r="I51" s="413">
        <v>119.48279860842675</v>
      </c>
      <c r="J51" s="413">
        <v>64.428257627988245</v>
      </c>
      <c r="K51" s="413">
        <v>-45.739288662878863</v>
      </c>
      <c r="L51" s="552">
        <v>229.65034489929383</v>
      </c>
      <c r="M51" s="414"/>
      <c r="AD51" s="518" t="s">
        <v>477</v>
      </c>
      <c r="AG51" s="519">
        <v>49.96</v>
      </c>
      <c r="AH51">
        <v>15</v>
      </c>
      <c r="AI51" s="520">
        <v>177.4</v>
      </c>
      <c r="AL51">
        <f>AI51*(AH51/1000)</f>
        <v>2.661</v>
      </c>
      <c r="AM51">
        <f>(AH51/1000)/($AI$1/$AI$2)</f>
        <v>4.4903125000000012E-3</v>
      </c>
      <c r="AN51">
        <f>AL51/((AH51/1000)-AM51)</f>
        <v>253.19496892747767</v>
      </c>
      <c r="AO51">
        <f>AL51/((AH51/1000)+AM51)</f>
        <v>136.52936555019318</v>
      </c>
      <c r="AP51">
        <f>AN51-$AI51</f>
        <v>75.794968927477669</v>
      </c>
      <c r="AQ51">
        <f>AO51-$AI51</f>
        <v>-40.870634449806829</v>
      </c>
      <c r="AR51">
        <f>((AN51/$AI51)*100)-100</f>
        <v>42.72546162766497</v>
      </c>
      <c r="AS51">
        <f>((AO51/$AI51)*100)-100</f>
        <v>-23.038689092337563</v>
      </c>
      <c r="BG51" t="s">
        <v>436</v>
      </c>
      <c r="BH51" s="286">
        <v>15</v>
      </c>
      <c r="BI51">
        <v>1.95</v>
      </c>
      <c r="BJ51">
        <v>130</v>
      </c>
      <c r="BK51">
        <v>4.4903125000000012E-3</v>
      </c>
      <c r="BL51">
        <v>185.54310011596448</v>
      </c>
      <c r="BM51">
        <v>100.04970417996118</v>
      </c>
      <c r="BN51">
        <v>55.543100115964478</v>
      </c>
      <c r="BO51">
        <v>-29.950295820038818</v>
      </c>
    </row>
    <row r="52" spans="1:79" ht="18.75" x14ac:dyDescent="0.3">
      <c r="A52" t="s">
        <v>441</v>
      </c>
      <c r="C52" s="425" t="s">
        <v>608</v>
      </c>
      <c r="D52" s="449" t="s">
        <v>561</v>
      </c>
      <c r="E52" s="470" t="s">
        <v>772</v>
      </c>
      <c r="F52" s="449">
        <v>239.09248015224054</v>
      </c>
      <c r="G52" s="449">
        <v>128.92493386137343</v>
      </c>
      <c r="H52" s="105"/>
      <c r="I52" s="105"/>
      <c r="J52" s="105"/>
      <c r="K52" s="105"/>
      <c r="L52" s="101"/>
      <c r="M52" s="609"/>
      <c r="AD52" s="518" t="s">
        <v>470</v>
      </c>
      <c r="AG52" s="521"/>
      <c r="AI52" s="520"/>
      <c r="BG52" t="s">
        <v>437</v>
      </c>
      <c r="BH52" s="286">
        <v>15</v>
      </c>
      <c r="BI52">
        <v>3.12</v>
      </c>
      <c r="BJ52">
        <v>208</v>
      </c>
      <c r="BK52">
        <v>4.4903125000000012E-3</v>
      </c>
      <c r="BL52">
        <v>296.86896018554319</v>
      </c>
      <c r="BM52">
        <v>160.07952668793791</v>
      </c>
      <c r="BN52">
        <v>88.868960185543187</v>
      </c>
      <c r="BO52">
        <v>-47.920473312062086</v>
      </c>
    </row>
    <row r="53" spans="1:79" ht="18.75" x14ac:dyDescent="0.3">
      <c r="A53" t="s">
        <v>442</v>
      </c>
      <c r="C53" s="608" t="s">
        <v>648</v>
      </c>
      <c r="D53" s="413" t="s">
        <v>560</v>
      </c>
      <c r="E53" s="413"/>
      <c r="F53" s="413"/>
      <c r="G53" s="413"/>
      <c r="H53" s="574"/>
      <c r="I53" s="574"/>
      <c r="J53" s="574"/>
      <c r="K53" s="574"/>
      <c r="L53" s="575"/>
      <c r="M53" s="414" t="s">
        <v>652</v>
      </c>
      <c r="AD53" s="518" t="s">
        <v>478</v>
      </c>
      <c r="AG53" s="521" t="s">
        <v>471</v>
      </c>
      <c r="AI53" s="520"/>
    </row>
    <row r="54" spans="1:79" ht="18.75" x14ac:dyDescent="0.3">
      <c r="A54" t="s">
        <v>446</v>
      </c>
      <c r="C54" s="447" t="s">
        <v>637</v>
      </c>
      <c r="D54" s="416" t="s">
        <v>561</v>
      </c>
      <c r="E54" s="416">
        <v>188.5</v>
      </c>
      <c r="F54" s="416">
        <v>269.03749516814844</v>
      </c>
      <c r="G54" s="416">
        <v>145.0720710609437</v>
      </c>
      <c r="H54" s="576">
        <v>20.333333333333332</v>
      </c>
      <c r="I54" s="576">
        <v>29.020843864291844</v>
      </c>
      <c r="J54" s="576">
        <v>15.648799884558022</v>
      </c>
      <c r="K54" s="576">
        <v>-95.931042503712931</v>
      </c>
      <c r="L54" s="577">
        <v>140.60068625256281</v>
      </c>
      <c r="M54" s="414" t="s">
        <v>651</v>
      </c>
      <c r="AD54" s="518" t="s">
        <v>479</v>
      </c>
      <c r="AG54" s="519" t="s">
        <v>471</v>
      </c>
      <c r="AI54" s="520"/>
      <c r="BG54" t="s">
        <v>739</v>
      </c>
      <c r="BH54" s="43" t="s">
        <v>606</v>
      </c>
      <c r="BI54" t="s">
        <v>425</v>
      </c>
      <c r="BJ54" t="s">
        <v>369</v>
      </c>
      <c r="BK54" t="s">
        <v>370</v>
      </c>
      <c r="BL54" t="s">
        <v>454</v>
      </c>
      <c r="BM54" t="s">
        <v>451</v>
      </c>
      <c r="BN54" t="s">
        <v>450</v>
      </c>
      <c r="BO54" t="s">
        <v>452</v>
      </c>
      <c r="BP54" t="s">
        <v>453</v>
      </c>
      <c r="BR54" s="43"/>
      <c r="BS54" s="43"/>
      <c r="BT54" s="43"/>
      <c r="BU54" s="43"/>
      <c r="BV54" s="43"/>
      <c r="BW54" s="43"/>
      <c r="BX54" s="43"/>
      <c r="BY54" s="43"/>
      <c r="BZ54" s="43"/>
      <c r="CA54" s="43"/>
    </row>
    <row r="55" spans="1:79" ht="18.75" x14ac:dyDescent="0.3">
      <c r="A55" t="s">
        <v>436</v>
      </c>
      <c r="C55" s="447" t="s">
        <v>619</v>
      </c>
      <c r="D55" s="416" t="s">
        <v>562</v>
      </c>
      <c r="E55" s="416">
        <v>174</v>
      </c>
      <c r="F55" s="416">
        <v>248.34230323213708</v>
      </c>
      <c r="G55" s="416">
        <v>133.91268097933266</v>
      </c>
      <c r="H55" s="576">
        <v>34.666666666666664</v>
      </c>
      <c r="I55" s="576">
        <v>49.478160030923867</v>
      </c>
      <c r="J55" s="576">
        <v>26.679921114656313</v>
      </c>
      <c r="K55" s="576">
        <v>-62.101682357347094</v>
      </c>
      <c r="L55" s="577">
        <v>138.25976350292726</v>
      </c>
      <c r="M55" s="414"/>
      <c r="AD55" s="518" t="s">
        <v>480</v>
      </c>
      <c r="AG55" s="519">
        <v>34.64</v>
      </c>
      <c r="AH55">
        <v>15</v>
      </c>
      <c r="AI55" s="520">
        <v>145.6</v>
      </c>
      <c r="AL55">
        <f>AI55*(AH55/1000)</f>
        <v>2.1839999999999997</v>
      </c>
      <c r="AM55">
        <f>(AH55/1000)/($AI$1/$AI$2)</f>
        <v>4.4903125000000012E-3</v>
      </c>
      <c r="AN55">
        <f>AL55/((AH55/1000)-AM55)</f>
        <v>207.80827212988018</v>
      </c>
      <c r="AO55">
        <f>AL55/((AH55/1000)+AM55)</f>
        <v>112.05566868155651</v>
      </c>
      <c r="AP55">
        <f>AN55-$AI55</f>
        <v>62.208272129880186</v>
      </c>
      <c r="AQ55">
        <f>AO55-$AI55</f>
        <v>-33.544331318443483</v>
      </c>
      <c r="AR55">
        <f>((AN55/$AI55)*100)-100</f>
        <v>42.72546162766497</v>
      </c>
      <c r="AS55">
        <f>((AO55/$AI55)*100)-100</f>
        <v>-23.038689092337563</v>
      </c>
      <c r="BG55" s="55" t="s">
        <v>431</v>
      </c>
      <c r="BH55" s="46" t="s">
        <v>560</v>
      </c>
      <c r="BI55" s="548" t="s">
        <v>611</v>
      </c>
      <c r="BJ55" s="296">
        <f>AVERAGE(BL39,BL43)</f>
        <v>179.12045434271954</v>
      </c>
      <c r="BK55" s="296">
        <f>AVERAGE(BM39,BM43)</f>
        <v>96.586445189116375</v>
      </c>
      <c r="BL55" s="55"/>
      <c r="BM55" s="55"/>
      <c r="BN55" s="55"/>
      <c r="BO55" s="55"/>
      <c r="BP55" s="296"/>
      <c r="BQ55" s="55" t="s">
        <v>605</v>
      </c>
      <c r="BR55" s="676"/>
      <c r="BS55" s="199"/>
      <c r="BT55" s="199"/>
      <c r="BU55" s="43"/>
      <c r="BV55" s="43"/>
      <c r="BW55" s="43"/>
      <c r="BX55" s="43"/>
      <c r="BY55" s="199"/>
      <c r="BZ55" s="43"/>
      <c r="CA55" s="43"/>
    </row>
    <row r="56" spans="1:79" ht="18.75" x14ac:dyDescent="0.3">
      <c r="A56" t="s">
        <v>437</v>
      </c>
      <c r="C56" s="447"/>
      <c r="D56" s="416" t="s">
        <v>563</v>
      </c>
      <c r="E56" s="416">
        <v>141</v>
      </c>
      <c r="F56" s="416">
        <v>201.24290089500761</v>
      </c>
      <c r="G56" s="416">
        <v>108.51544837980404</v>
      </c>
      <c r="H56" s="576">
        <v>60.333333333333336</v>
      </c>
      <c r="I56" s="576">
        <v>86.111028515357859</v>
      </c>
      <c r="J56" s="576">
        <v>46.433324247623005</v>
      </c>
      <c r="K56" s="576">
        <v>-2.670574956645543</v>
      </c>
      <c r="L56" s="577">
        <v>135.21492771962642</v>
      </c>
      <c r="M56" s="414"/>
      <c r="AD56" s="518" t="s">
        <v>472</v>
      </c>
      <c r="AG56" s="519"/>
      <c r="AI56" s="520"/>
      <c r="BG56" t="s">
        <v>607</v>
      </c>
      <c r="BH56" s="61" t="s">
        <v>561</v>
      </c>
      <c r="BI56" s="297" t="s">
        <v>612</v>
      </c>
      <c r="BJ56" s="286">
        <f>AVERAGE(BL40,BL44)</f>
        <v>264.04210401118019</v>
      </c>
      <c r="BK56" s="286">
        <f>AVERAGE(BM40,BM44)</f>
        <v>142.37842517917551</v>
      </c>
      <c r="BL56" s="43">
        <f>AVERAGE(AT29,AT26)</f>
        <v>36</v>
      </c>
      <c r="BM56" s="43">
        <f t="shared" ref="BM56:BP57" si="15">AVERAGE(AL29,AL26)</f>
        <v>2.7075</v>
      </c>
      <c r="BN56" s="43">
        <f t="shared" si="15"/>
        <v>4.4903125000000012E-3</v>
      </c>
      <c r="BO56" s="43">
        <f t="shared" si="15"/>
        <v>257.61945823793531</v>
      </c>
      <c r="BP56" s="43">
        <f t="shared" si="15"/>
        <v>138.91516618833072</v>
      </c>
      <c r="BR56" s="676"/>
      <c r="BS56" s="199"/>
      <c r="BT56" s="199"/>
      <c r="BU56" s="43"/>
      <c r="BV56" s="43"/>
      <c r="BW56" s="43"/>
      <c r="BX56" s="43"/>
      <c r="BY56" s="43"/>
      <c r="BZ56" s="43"/>
      <c r="CA56" s="43"/>
    </row>
    <row r="57" spans="1:79" ht="18.75" x14ac:dyDescent="0.3">
      <c r="C57" s="447"/>
      <c r="D57" s="416" t="s">
        <v>564</v>
      </c>
      <c r="E57" s="416">
        <v>74.75</v>
      </c>
      <c r="F57" s="416">
        <v>106.68728256667957</v>
      </c>
      <c r="G57" s="416">
        <v>57.528579903477677</v>
      </c>
      <c r="H57" s="576">
        <v>76</v>
      </c>
      <c r="I57" s="576">
        <v>108.47135083702537</v>
      </c>
      <c r="J57" s="576">
        <v>58.490596289823458</v>
      </c>
      <c r="K57" s="576">
        <v>39.418992581022728</v>
      </c>
      <c r="L57" s="577">
        <v>127.54295454582611</v>
      </c>
      <c r="M57" s="414"/>
      <c r="U57" s="522" t="s">
        <v>481</v>
      </c>
      <c r="X57" s="521" t="s">
        <v>471</v>
      </c>
      <c r="Z57" s="520"/>
      <c r="BG57" t="s">
        <v>608</v>
      </c>
      <c r="BH57" s="61" t="s">
        <v>562</v>
      </c>
      <c r="BI57" s="297" t="s">
        <v>613</v>
      </c>
      <c r="BJ57" s="286">
        <f>AVERAGE(BL38,BL41,BL45)</f>
        <v>230.50162052867893</v>
      </c>
      <c r="BK57" s="286">
        <f>AVERAGE(BM38,BM41,BM45)</f>
        <v>124.29251711587486</v>
      </c>
      <c r="BL57" s="43">
        <f>AVERAGE(AT30,AT27)</f>
        <v>33</v>
      </c>
      <c r="BM57" s="43">
        <f t="shared" si="15"/>
        <v>2.1675</v>
      </c>
      <c r="BN57" s="43">
        <f t="shared" si="15"/>
        <v>4.4903125000000012E-3</v>
      </c>
      <c r="BO57" s="43">
        <f t="shared" si="15"/>
        <v>206.23829205197589</v>
      </c>
      <c r="BP57" s="43">
        <f t="shared" si="15"/>
        <v>111.20909426157223</v>
      </c>
    </row>
    <row r="58" spans="1:79" ht="18.75" x14ac:dyDescent="0.3">
      <c r="C58" s="425"/>
      <c r="D58" s="449" t="s">
        <v>565</v>
      </c>
      <c r="E58" s="449">
        <v>28.5</v>
      </c>
      <c r="F58" s="449">
        <v>40.676756563884517</v>
      </c>
      <c r="G58" s="449">
        <v>21.9339736086838</v>
      </c>
      <c r="H58" s="582"/>
      <c r="I58" s="582"/>
      <c r="J58" s="582"/>
      <c r="K58" s="582"/>
      <c r="L58" s="583"/>
      <c r="M58" s="414"/>
      <c r="U58" s="518" t="s">
        <v>482</v>
      </c>
      <c r="X58" s="519">
        <v>27.72</v>
      </c>
      <c r="Y58">
        <v>15</v>
      </c>
      <c r="Z58" s="520">
        <v>125.2</v>
      </c>
      <c r="AC58">
        <f>Z58*(Y58/1000)</f>
        <v>1.8779999999999999</v>
      </c>
      <c r="AD58">
        <f>(Y58/1000)/($AI$1/$AI$2)</f>
        <v>4.4903125000000012E-3</v>
      </c>
      <c r="AE58">
        <f>AC58/((Y58/1000)-AD58)</f>
        <v>178.69227795783655</v>
      </c>
      <c r="AF58">
        <f>AC58/((Y58/1000)+AD58)</f>
        <v>96.355561256393386</v>
      </c>
      <c r="AG58">
        <f>AE58-$Z58</f>
        <v>53.492277957836549</v>
      </c>
      <c r="AH58">
        <f>AF58-$Z58</f>
        <v>-28.844438743606617</v>
      </c>
      <c r="AI58">
        <f>((AE58/$Z58)*100)-100</f>
        <v>42.72546162766497</v>
      </c>
      <c r="AJ58">
        <f>((AF58/$Z58)*100)-100</f>
        <v>-23.038689092337549</v>
      </c>
      <c r="BH58" s="61" t="s">
        <v>563</v>
      </c>
      <c r="BI58" s="549">
        <f>BJ42</f>
        <v>144</v>
      </c>
      <c r="BJ58" s="286">
        <f>BL42</f>
        <v>205.52466474383758</v>
      </c>
      <c r="BK58" s="286">
        <f>BM42</f>
        <v>110.82428770703393</v>
      </c>
      <c r="BP58" s="286"/>
    </row>
    <row r="59" spans="1:79" ht="18.75" x14ac:dyDescent="0.3">
      <c r="C59" s="415" t="s">
        <v>639</v>
      </c>
      <c r="D59" s="413" t="s">
        <v>560</v>
      </c>
      <c r="E59" s="413"/>
      <c r="F59" s="413"/>
      <c r="G59" s="413"/>
      <c r="H59" s="574"/>
      <c r="I59" s="574"/>
      <c r="J59" s="574"/>
      <c r="K59" s="574"/>
      <c r="L59" s="575"/>
      <c r="M59" s="554"/>
      <c r="U59" s="518">
        <v>4</v>
      </c>
      <c r="X59" s="519"/>
      <c r="Z59" s="520"/>
      <c r="BG59" t="s">
        <v>444</v>
      </c>
      <c r="BH59" s="61" t="s">
        <v>560</v>
      </c>
      <c r="BI59" s="286" t="s">
        <v>614</v>
      </c>
      <c r="BJ59" s="286">
        <f>AVERAGE(BL46,BL50)</f>
        <v>216.22907436591242</v>
      </c>
      <c r="BK59" s="286">
        <f>AVERAGE(BM46,BM50)</f>
        <v>116.59638602510861</v>
      </c>
      <c r="BP59" s="286"/>
    </row>
    <row r="60" spans="1:79" ht="18.75" x14ac:dyDescent="0.3">
      <c r="C60" s="447" t="s">
        <v>617</v>
      </c>
      <c r="D60" s="416" t="s">
        <v>561</v>
      </c>
      <c r="E60" s="416">
        <v>185.25</v>
      </c>
      <c r="F60" s="416">
        <v>264.39891766524937</v>
      </c>
      <c r="G60" s="416">
        <v>142.57082845644467</v>
      </c>
      <c r="H60" s="576">
        <v>19</v>
      </c>
      <c r="I60" s="576">
        <v>27.117837709256335</v>
      </c>
      <c r="J60" s="576">
        <v>14.622649072455857</v>
      </c>
      <c r="K60" s="576">
        <v>-96.847586397948419</v>
      </c>
      <c r="L60" s="577">
        <v>138.58807317966063</v>
      </c>
      <c r="M60" s="554"/>
      <c r="U60" s="522" t="s">
        <v>483</v>
      </c>
      <c r="X60" s="521" t="s">
        <v>471</v>
      </c>
      <c r="Z60" s="520"/>
      <c r="BG60" t="s">
        <v>607</v>
      </c>
      <c r="BH60" s="61" t="s">
        <v>561</v>
      </c>
      <c r="BI60" s="286" t="s">
        <v>615</v>
      </c>
      <c r="BJ60" s="286">
        <f>AVERAGE(BL47,BL51)</f>
        <v>173.41143587761294</v>
      </c>
      <c r="BK60" s="286">
        <f>AVERAGE(BM47,BM51)</f>
        <v>93.507992752809869</v>
      </c>
      <c r="BL60">
        <f>AT34</f>
        <v>62</v>
      </c>
      <c r="BM60">
        <f t="shared" ref="BM60:BP62" si="16">AL34</f>
        <v>4.7249999999999996</v>
      </c>
      <c r="BN60">
        <f t="shared" si="16"/>
        <v>4.4903125000000012E-3</v>
      </c>
      <c r="BO60">
        <f t="shared" si="16"/>
        <v>449.58520412714466</v>
      </c>
      <c r="BP60">
        <f t="shared" si="16"/>
        <v>242.4281293591367</v>
      </c>
    </row>
    <row r="61" spans="1:79" ht="18.75" x14ac:dyDescent="0.3">
      <c r="C61" s="447"/>
      <c r="D61" s="416" t="s">
        <v>562</v>
      </c>
      <c r="E61" s="416">
        <v>175.25</v>
      </c>
      <c r="F61" s="416">
        <v>250.12637150248284</v>
      </c>
      <c r="G61" s="416">
        <v>134.87469736567846</v>
      </c>
      <c r="H61" s="576">
        <v>54</v>
      </c>
      <c r="I61" s="576">
        <v>77.07174927893908</v>
      </c>
      <c r="J61" s="576">
        <v>41.559107890137717</v>
      </c>
      <c r="K61" s="576">
        <v>-38.234728316798673</v>
      </c>
      <c r="L61" s="577">
        <v>156.86558548587547</v>
      </c>
      <c r="M61" s="554"/>
      <c r="U61" s="518" t="s">
        <v>484</v>
      </c>
      <c r="X61" s="519">
        <v>32.36</v>
      </c>
      <c r="Y61">
        <v>15</v>
      </c>
      <c r="Z61" s="520">
        <v>139.30000000000001</v>
      </c>
      <c r="AC61">
        <f>Z61*(Y61/1000)</f>
        <v>2.0895000000000001</v>
      </c>
      <c r="AD61">
        <f>(Y61/1000)/($AI$1/$AI$2)</f>
        <v>4.4903125000000012E-3</v>
      </c>
      <c r="AE61">
        <f>AC61/((Y61/1000)-AD61)</f>
        <v>198.81656804733731</v>
      </c>
      <c r="AF61">
        <f>AC61/((Y61/1000)+AD61)</f>
        <v>107.2071060943738</v>
      </c>
      <c r="AG61">
        <f>AE61-$Z61</f>
        <v>59.516568047337302</v>
      </c>
      <c r="AH61">
        <f>AF61-$Z61</f>
        <v>-32.092893905626212</v>
      </c>
      <c r="AI61">
        <f>((AE61/$Z61)*100)-100</f>
        <v>42.72546162766497</v>
      </c>
      <c r="AJ61">
        <f>((AF61/$Z61)*100)-100</f>
        <v>-23.038689092337549</v>
      </c>
      <c r="AK61">
        <f>Z61-Z62</f>
        <v>-6.7999999999999829</v>
      </c>
      <c r="AL61">
        <f>AE61-AE62</f>
        <v>-9.7053313906812093</v>
      </c>
      <c r="AM61">
        <f>AF61-AF62</f>
        <v>-5.2333691417210417</v>
      </c>
      <c r="AN61">
        <f>AF61-AE62</f>
        <v>-101.31479334364472</v>
      </c>
      <c r="AO61">
        <f>AE61-AF62</f>
        <v>86.376092811242472</v>
      </c>
      <c r="AP61">
        <f>((AL61/$AK61)*100)-100</f>
        <v>42.725461627665197</v>
      </c>
      <c r="AQ61">
        <f>((AM61/$AK61)*100)-100</f>
        <v>-23.038689092337421</v>
      </c>
      <c r="BG61" t="s">
        <v>608</v>
      </c>
      <c r="BH61" s="61" t="s">
        <v>562</v>
      </c>
      <c r="BI61" s="286">
        <f>BJ48</f>
        <v>315</v>
      </c>
      <c r="BJ61" s="286">
        <f>BL48</f>
        <v>449.58520412714466</v>
      </c>
      <c r="BK61" s="286">
        <f>BM48</f>
        <v>242.4281293591367</v>
      </c>
      <c r="BL61">
        <f>AT35</f>
        <v>63</v>
      </c>
      <c r="BM61">
        <f t="shared" si="16"/>
        <v>3.7949999999999999</v>
      </c>
      <c r="BN61">
        <f t="shared" si="16"/>
        <v>4.4903125000000012E-3</v>
      </c>
      <c r="BO61">
        <f t="shared" si="16"/>
        <v>361.09541791799239</v>
      </c>
      <c r="BP61">
        <f t="shared" si="16"/>
        <v>194.71211659638601</v>
      </c>
    </row>
    <row r="62" spans="1:79" ht="18.75" x14ac:dyDescent="0.3">
      <c r="C62" s="447"/>
      <c r="D62" s="416" t="s">
        <v>563</v>
      </c>
      <c r="E62" s="416">
        <v>123.25</v>
      </c>
      <c r="F62" s="416">
        <v>175.90913145609707</v>
      </c>
      <c r="G62" s="416">
        <v>94.854815693693979</v>
      </c>
      <c r="H62" s="576">
        <v>50.666666666666664</v>
      </c>
      <c r="I62" s="576">
        <v>72.314233891350256</v>
      </c>
      <c r="J62" s="576">
        <v>38.993730859882305</v>
      </c>
      <c r="K62" s="576">
        <v>-7.4796023155861393</v>
      </c>
      <c r="L62" s="577">
        <v>118.78756706681871</v>
      </c>
      <c r="M62" s="554"/>
      <c r="U62" s="518" t="s">
        <v>485</v>
      </c>
      <c r="X62" s="519">
        <v>34.840000000000003</v>
      </c>
      <c r="Y62">
        <v>15</v>
      </c>
      <c r="Z62" s="520">
        <v>146.1</v>
      </c>
      <c r="AC62">
        <f>Z62*(Y62/1000)</f>
        <v>2.1915</v>
      </c>
      <c r="AD62">
        <f>(Y62/1000)/($AI$1/$AI$2)</f>
        <v>4.4903125000000012E-3</v>
      </c>
      <c r="AE62">
        <f>AC62/((Y62/1000)-AD62)</f>
        <v>208.52189943801852</v>
      </c>
      <c r="AF62">
        <f>AC62/((Y62/1000)+AD62)</f>
        <v>112.44047523609484</v>
      </c>
      <c r="AG62">
        <f>AE62-$Z62</f>
        <v>62.421899438018528</v>
      </c>
      <c r="AH62">
        <f>AF62-$Z62</f>
        <v>-33.659524763905154</v>
      </c>
      <c r="AI62">
        <f>((AE62/$Z62)*100)-100</f>
        <v>42.72546162766497</v>
      </c>
      <c r="AJ62">
        <f>((AF62/$Z62)*100)-100</f>
        <v>-23.038689092337549</v>
      </c>
      <c r="BH62" s="61" t="s">
        <v>563</v>
      </c>
      <c r="BI62" s="286">
        <f>BJ49</f>
        <v>253</v>
      </c>
      <c r="BJ62" s="286">
        <f>BL49</f>
        <v>361.09541791799239</v>
      </c>
      <c r="BK62" s="286">
        <f>BM49</f>
        <v>194.71211659638601</v>
      </c>
      <c r="BL62">
        <f>AT36</f>
        <v>60</v>
      </c>
      <c r="BM62">
        <f t="shared" si="16"/>
        <v>2.85</v>
      </c>
      <c r="BN62">
        <f t="shared" si="16"/>
        <v>4.4903125000000012E-3</v>
      </c>
      <c r="BO62">
        <f t="shared" si="16"/>
        <v>271.17837709256344</v>
      </c>
      <c r="BP62">
        <f t="shared" si="16"/>
        <v>146.22649072455866</v>
      </c>
    </row>
    <row r="63" spans="1:79" ht="18.75" x14ac:dyDescent="0.3">
      <c r="C63" s="447"/>
      <c r="D63" s="416" t="s">
        <v>564</v>
      </c>
      <c r="E63" s="416">
        <v>65.25</v>
      </c>
      <c r="F63" s="416">
        <v>93.128363712051382</v>
      </c>
      <c r="G63" s="416">
        <v>50.217255367249741</v>
      </c>
      <c r="H63" s="576">
        <v>77</v>
      </c>
      <c r="I63" s="576">
        <v>109.89860545330203</v>
      </c>
      <c r="J63" s="576">
        <v>59.260209398900095</v>
      </c>
      <c r="K63" s="576">
        <v>38.215681168499287</v>
      </c>
      <c r="L63" s="577">
        <v>130.94313368370283</v>
      </c>
      <c r="M63" s="554"/>
      <c r="U63" s="518" t="s">
        <v>473</v>
      </c>
      <c r="X63" s="519"/>
      <c r="Z63" s="520"/>
      <c r="AP63" t="s">
        <v>559</v>
      </c>
      <c r="BG63" s="550" t="s">
        <v>609</v>
      </c>
      <c r="BH63" s="55" t="s">
        <v>560</v>
      </c>
      <c r="BI63" s="55"/>
      <c r="BJ63" s="55"/>
      <c r="BK63" s="55"/>
      <c r="BL63" s="55"/>
      <c r="BM63" s="55"/>
      <c r="BN63" s="55"/>
      <c r="BO63" s="55"/>
      <c r="BP63" s="55"/>
      <c r="BQ63" s="55" t="s">
        <v>621</v>
      </c>
    </row>
    <row r="64" spans="1:79" ht="18.75" x14ac:dyDescent="0.3">
      <c r="C64" s="447"/>
      <c r="D64" s="416" t="s">
        <v>565</v>
      </c>
      <c r="E64" s="416">
        <v>32</v>
      </c>
      <c r="F64" s="416">
        <v>45.672147720852792</v>
      </c>
      <c r="G64" s="416">
        <v>24.627619490451984</v>
      </c>
      <c r="H64" s="576"/>
      <c r="I64" s="576"/>
      <c r="J64" s="576"/>
      <c r="K64" s="576"/>
      <c r="L64" s="577"/>
      <c r="M64" s="554"/>
      <c r="U64" s="522" t="s">
        <v>486</v>
      </c>
      <c r="X64" s="521" t="s">
        <v>471</v>
      </c>
      <c r="Z64" s="520"/>
      <c r="AP64">
        <f>AVERAGE(Z48:Z66)</f>
        <v>134.30000000000001</v>
      </c>
      <c r="AQ64">
        <f>AVERAGE(AE50:AE66)</f>
        <v>191.68029496595403</v>
      </c>
      <c r="AR64">
        <f>AVERAGE(AF50:AF66)</f>
        <v>103.35904054899068</v>
      </c>
      <c r="BG64" s="524" t="s">
        <v>610</v>
      </c>
      <c r="BH64" s="61" t="s">
        <v>561</v>
      </c>
      <c r="BI64" s="286">
        <f t="shared" ref="BI64:BK65" si="17">AP66</f>
        <v>135.23333333333332</v>
      </c>
      <c r="BJ64" s="286">
        <f t="shared" si="17"/>
        <v>193.01239927447895</v>
      </c>
      <c r="BK64" s="286">
        <f t="shared" si="17"/>
        <v>104.07734611746218</v>
      </c>
      <c r="BP64" s="286"/>
    </row>
    <row r="65" spans="3:69" ht="18.75" x14ac:dyDescent="0.3">
      <c r="C65" s="415" t="s">
        <v>640</v>
      </c>
      <c r="D65" s="413" t="s">
        <v>560</v>
      </c>
      <c r="E65" s="413"/>
      <c r="F65" s="413"/>
      <c r="G65" s="413"/>
      <c r="H65" s="574"/>
      <c r="I65" s="574"/>
      <c r="J65" s="574"/>
      <c r="K65" s="574"/>
      <c r="L65" s="575"/>
      <c r="M65" s="554"/>
      <c r="U65" s="518" t="s">
        <v>488</v>
      </c>
      <c r="X65" s="519" t="s">
        <v>471</v>
      </c>
      <c r="Z65" s="520"/>
      <c r="AO65" t="s">
        <v>560</v>
      </c>
      <c r="BG65" t="s">
        <v>608</v>
      </c>
      <c r="BH65" s="61" t="s">
        <v>562</v>
      </c>
      <c r="BI65" s="286">
        <f t="shared" si="17"/>
        <v>148.92500000000001</v>
      </c>
      <c r="BJ65" s="286">
        <f t="shared" si="17"/>
        <v>212.55389372900004</v>
      </c>
      <c r="BK65" s="286">
        <f t="shared" si="17"/>
        <v>114.6146322692363</v>
      </c>
      <c r="BP65" s="286"/>
    </row>
    <row r="66" spans="3:69" ht="18.75" x14ac:dyDescent="0.3">
      <c r="C66" s="447" t="s">
        <v>617</v>
      </c>
      <c r="D66" s="416" t="s">
        <v>561</v>
      </c>
      <c r="E66" s="416">
        <v>189</v>
      </c>
      <c r="F66" s="416">
        <v>269.75112247628681</v>
      </c>
      <c r="G66" s="416">
        <v>145.45687761548203</v>
      </c>
      <c r="H66" s="576">
        <v>10</v>
      </c>
      <c r="I66" s="576">
        <v>12.845291546489833</v>
      </c>
      <c r="J66" s="576">
        <v>6.9265179816896136</v>
      </c>
      <c r="K66" s="576">
        <v>-111.77777406791495</v>
      </c>
      <c r="L66" s="577">
        <v>131.54958359609441</v>
      </c>
      <c r="M66" s="554"/>
      <c r="U66" s="518" t="s">
        <v>502</v>
      </c>
      <c r="X66" s="519">
        <v>28.17</v>
      </c>
      <c r="Y66">
        <v>15</v>
      </c>
      <c r="Z66" s="520">
        <v>126.6</v>
      </c>
      <c r="AC66">
        <f>Z66*(Y66/1000)</f>
        <v>1.8989999999999998</v>
      </c>
      <c r="AD66">
        <f>(Y66/1000)/($AI$1/$AI$2)</f>
        <v>4.4903125000000012E-3</v>
      </c>
      <c r="AE66">
        <f>AC66/((Y66/1000)-AD66)</f>
        <v>180.69043442062383</v>
      </c>
      <c r="AF66">
        <f>AC66/((Y66/1000)+AD66)</f>
        <v>97.433019609100654</v>
      </c>
      <c r="AG66">
        <f>AE66-$Z66</f>
        <v>54.090434420623836</v>
      </c>
      <c r="AH66">
        <f>AF66-$Z66</f>
        <v>-29.16698039089934</v>
      </c>
      <c r="AI66">
        <f>((AE66/$Z66)*100)-100</f>
        <v>42.725461627664941</v>
      </c>
      <c r="AJ66">
        <f>((AF66/$Z66)*100)-100</f>
        <v>-23.038689092337549</v>
      </c>
      <c r="AO66" t="s">
        <v>561</v>
      </c>
      <c r="AP66">
        <f>AVERAGE(AI50,Z58,Z61)</f>
        <v>135.23333333333332</v>
      </c>
      <c r="AQ66">
        <f>AVERAGE(AN50,AE58,AE61)</f>
        <v>193.01239927447895</v>
      </c>
      <c r="AR66">
        <f>AVERAGE(AO50,AF58,AF61)</f>
        <v>104.07734611746218</v>
      </c>
      <c r="AS66">
        <f>AVERAGE(AP50,AG58,AG61)</f>
        <v>57.779065941145596</v>
      </c>
      <c r="BG66" t="s">
        <v>616</v>
      </c>
      <c r="BH66" t="s">
        <v>560</v>
      </c>
      <c r="BI66">
        <v>156.32499999999999</v>
      </c>
      <c r="BJ66">
        <v>223.11557788944725</v>
      </c>
      <c r="BK66">
        <v>120.30976927640332</v>
      </c>
    </row>
    <row r="67" spans="3:69" ht="18.75" x14ac:dyDescent="0.3">
      <c r="C67" s="447"/>
      <c r="D67" s="416" t="s">
        <v>562</v>
      </c>
      <c r="E67" s="416">
        <v>181.75</v>
      </c>
      <c r="F67" s="416">
        <v>259.40352650828112</v>
      </c>
      <c r="G67" s="416">
        <v>139.87718257467651</v>
      </c>
      <c r="H67" s="576">
        <v>43.25</v>
      </c>
      <c r="I67" s="576">
        <v>61.728762153965107</v>
      </c>
      <c r="J67" s="576">
        <v>33.285766967564008</v>
      </c>
      <c r="K67" s="576">
        <v>-57.797581779639486</v>
      </c>
      <c r="L67" s="577">
        <v>152.81211090116861</v>
      </c>
      <c r="M67" s="554"/>
      <c r="U67" s="518">
        <v>6</v>
      </c>
      <c r="X67" s="519"/>
      <c r="Z67" s="520"/>
      <c r="AO67" t="s">
        <v>562</v>
      </c>
      <c r="AP67">
        <f>AVERAGE(AI51,AI55,Z62,Z66)</f>
        <v>148.92500000000001</v>
      </c>
      <c r="AQ67">
        <f>AVERAGE(AN51,AN55,AE62,AE66)</f>
        <v>212.55389372900004</v>
      </c>
      <c r="AR67">
        <f>AVERAGE(AO51,AO55,AF62,AF66)</f>
        <v>114.6146322692363</v>
      </c>
      <c r="AS67">
        <f>AVERAGE(AP51,AP55,AG62,AG66)</f>
        <v>63.628893729000055</v>
      </c>
      <c r="BG67" t="s">
        <v>617</v>
      </c>
      <c r="BH67" t="s">
        <v>561</v>
      </c>
      <c r="BI67">
        <v>118.60000000000001</v>
      </c>
      <c r="BJ67">
        <v>169.27239749041067</v>
      </c>
      <c r="BK67">
        <v>91.276114736487671</v>
      </c>
      <c r="BL67">
        <v>37.725000000000001</v>
      </c>
      <c r="BM67">
        <v>53.843180399036598</v>
      </c>
      <c r="BN67">
        <v>29.033654539915656</v>
      </c>
      <c r="BO67">
        <v>-48.962628214007339</v>
      </c>
      <c r="BP67">
        <v>131.83946315295958</v>
      </c>
    </row>
    <row r="68" spans="3:69" ht="18.75" x14ac:dyDescent="0.3">
      <c r="C68" s="447"/>
      <c r="D68" s="416" t="s">
        <v>563</v>
      </c>
      <c r="E68" s="416">
        <v>138.5</v>
      </c>
      <c r="F68" s="416">
        <v>197.67476435431601</v>
      </c>
      <c r="G68" s="416">
        <v>106.59141560711249</v>
      </c>
      <c r="H68" s="576">
        <v>58.25</v>
      </c>
      <c r="I68" s="576">
        <v>83.137581398114847</v>
      </c>
      <c r="J68" s="576">
        <v>44.829963603713381</v>
      </c>
      <c r="K68" s="576">
        <v>-7.9457673490886478</v>
      </c>
      <c r="L68" s="577">
        <v>135.91331235091687</v>
      </c>
      <c r="M68" s="554"/>
      <c r="U68" s="522" t="s">
        <v>487</v>
      </c>
      <c r="X68" s="521" t="s">
        <v>471</v>
      </c>
      <c r="Z68" s="520"/>
      <c r="BH68" t="s">
        <v>562</v>
      </c>
      <c r="BI68">
        <v>102.66666666666667</v>
      </c>
      <c r="BJ68">
        <v>146.53147393773602</v>
      </c>
      <c r="BK68">
        <v>79.013612531866784</v>
      </c>
      <c r="BL68">
        <v>17.949999999999996</v>
      </c>
      <c r="BM68">
        <v>25.619220362165876</v>
      </c>
      <c r="BN68">
        <v>13.81455530792541</v>
      </c>
      <c r="BO68">
        <v>-56.585968037837276</v>
      </c>
      <c r="BP68">
        <v>96.019743707928569</v>
      </c>
    </row>
    <row r="69" spans="3:69" ht="18.75" x14ac:dyDescent="0.3">
      <c r="C69" s="447"/>
      <c r="D69" s="416" t="s">
        <v>564</v>
      </c>
      <c r="E69" s="416">
        <v>80.25</v>
      </c>
      <c r="F69" s="416">
        <v>114.53718295620115</v>
      </c>
      <c r="G69" s="416">
        <v>61.761452003399114</v>
      </c>
      <c r="H69" s="576">
        <v>56.5</v>
      </c>
      <c r="I69" s="576">
        <v>80.639885819630706</v>
      </c>
      <c r="J69" s="576">
        <v>43.483140662829278</v>
      </c>
      <c r="K69" s="576">
        <v>28.3573859972287</v>
      </c>
      <c r="L69" s="577">
        <v>95.765640485231287</v>
      </c>
      <c r="M69" s="554"/>
      <c r="U69" s="518" t="s">
        <v>489</v>
      </c>
      <c r="X69" s="519">
        <v>27.31</v>
      </c>
      <c r="Y69">
        <v>15</v>
      </c>
      <c r="Z69" s="520">
        <v>123.8</v>
      </c>
      <c r="AC69">
        <f>Z69*(Y69/1000)</f>
        <v>1.857</v>
      </c>
      <c r="AD69">
        <f>(Y69/1000)/($AI$1/$AI$2)</f>
        <v>4.4903125000000012E-3</v>
      </c>
      <c r="AE69">
        <f>AC69/((Y69/1000)-AD69)</f>
        <v>176.69412149504925</v>
      </c>
      <c r="AF69">
        <f>AC69/((Y69/1000)+AD69)</f>
        <v>95.278102903686118</v>
      </c>
      <c r="AG69">
        <f>AE69-$Z69</f>
        <v>52.894121495049248</v>
      </c>
      <c r="AH69">
        <f>AF69-$Z69</f>
        <v>-28.521897096313879</v>
      </c>
      <c r="AI69">
        <f>((AE69/$Z69)*100)-100</f>
        <v>42.72546162766497</v>
      </c>
      <c r="AJ69">
        <f>((AF69/$Z69)*100)-100</f>
        <v>-23.038689092337535</v>
      </c>
      <c r="AK69">
        <f>Z69-Z70</f>
        <v>-16.799999999999997</v>
      </c>
      <c r="AL69">
        <f>AE69-AE70</f>
        <v>-23.977877553447712</v>
      </c>
      <c r="AM69">
        <f>AF69-AF70</f>
        <v>-12.929500232487285</v>
      </c>
      <c r="AN69">
        <f>AF69-AE70</f>
        <v>-105.39389614481084</v>
      </c>
      <c r="AO69">
        <f>AE69-AF70</f>
        <v>68.486518358875841</v>
      </c>
      <c r="AP69">
        <f>((AL69/$AK69)*100)-100</f>
        <v>42.72546162766497</v>
      </c>
      <c r="AQ69">
        <f>((AM69/$AK69)*100)-100</f>
        <v>-23.038689092337577</v>
      </c>
      <c r="BG69" t="s">
        <v>618</v>
      </c>
      <c r="BH69" t="s">
        <v>561</v>
      </c>
      <c r="BI69">
        <v>125.77500000000001</v>
      </c>
      <c r="BJ69">
        <v>179.51294936219563</v>
      </c>
      <c r="BK69">
        <v>96.798088794112445</v>
      </c>
      <c r="BL69">
        <v>36.875</v>
      </c>
      <c r="BM69">
        <v>52.63001397520145</v>
      </c>
      <c r="BN69">
        <v>28.379483397200524</v>
      </c>
      <c r="BO69">
        <v>-54.335377170882666</v>
      </c>
      <c r="BP69">
        <v>135.34487454328465</v>
      </c>
    </row>
    <row r="70" spans="3:69" ht="18.75" x14ac:dyDescent="0.3">
      <c r="C70" s="447"/>
      <c r="D70" s="416" t="s">
        <v>565</v>
      </c>
      <c r="E70" s="416">
        <v>23</v>
      </c>
      <c r="F70" s="416">
        <v>32.826856174362945</v>
      </c>
      <c r="G70" s="416">
        <v>17.701101508762363</v>
      </c>
      <c r="H70" s="576"/>
      <c r="I70" s="576"/>
      <c r="J70" s="576"/>
      <c r="K70" s="576"/>
      <c r="L70" s="577"/>
      <c r="M70" s="554"/>
      <c r="U70" s="518" t="s">
        <v>490</v>
      </c>
      <c r="X70" s="519">
        <v>32.82</v>
      </c>
      <c r="Y70">
        <v>15</v>
      </c>
      <c r="Z70" s="520">
        <v>140.6</v>
      </c>
      <c r="AC70">
        <f>Z70*(Y70/1000)</f>
        <v>2.109</v>
      </c>
      <c r="AD70">
        <f>(Y70/1000)/($AI$1/$AI$2)</f>
        <v>4.4903125000000012E-3</v>
      </c>
      <c r="AE70">
        <f>AC70/((Y70/1000)-AD70)</f>
        <v>200.67199904849696</v>
      </c>
      <c r="AF70">
        <f>AC70/((Y70/1000)+AD70)</f>
        <v>108.2076031361734</v>
      </c>
      <c r="AG70">
        <f>AE70-$Z70</f>
        <v>60.071999048496963</v>
      </c>
      <c r="AH70">
        <f>AF70-$Z70</f>
        <v>-32.39239686382659</v>
      </c>
      <c r="AI70">
        <f>((AE70/$Z70)*100)-100</f>
        <v>42.72546162766497</v>
      </c>
      <c r="AJ70">
        <f>((AF70/$Z70)*100)-100</f>
        <v>-23.038689092337549</v>
      </c>
      <c r="BG70" t="s">
        <v>619</v>
      </c>
      <c r="BH70" t="s">
        <v>562</v>
      </c>
      <c r="BI70">
        <v>96.4</v>
      </c>
      <c r="BJ70">
        <v>137.58734500906903</v>
      </c>
      <c r="BK70">
        <v>74.190703714986597</v>
      </c>
    </row>
    <row r="71" spans="3:69" ht="18.75" x14ac:dyDescent="0.3">
      <c r="C71" s="415" t="s">
        <v>641</v>
      </c>
      <c r="D71" s="413" t="s">
        <v>560</v>
      </c>
      <c r="E71" s="413"/>
      <c r="F71" s="413"/>
      <c r="G71" s="413"/>
      <c r="H71" s="574"/>
      <c r="I71" s="574"/>
      <c r="J71" s="574"/>
      <c r="K71" s="574"/>
      <c r="L71" s="575"/>
      <c r="M71" s="554"/>
      <c r="U71" s="518">
        <v>7</v>
      </c>
      <c r="X71" s="521"/>
      <c r="Z71" s="520"/>
      <c r="BG71" s="55" t="s">
        <v>622</v>
      </c>
      <c r="BH71" s="55" t="s">
        <v>560</v>
      </c>
      <c r="BI71" s="55">
        <v>216.34184999999999</v>
      </c>
      <c r="BJ71" s="55">
        <v>308.7749041063305</v>
      </c>
      <c r="BK71" s="55">
        <v>166.49952380188873</v>
      </c>
      <c r="BL71" s="55"/>
      <c r="BM71" s="55"/>
      <c r="BN71" s="55"/>
      <c r="BO71" s="55"/>
      <c r="BP71" s="55"/>
      <c r="BQ71" s="55" t="s">
        <v>620</v>
      </c>
    </row>
    <row r="72" spans="3:69" ht="18.75" x14ac:dyDescent="0.3">
      <c r="C72" s="447" t="s">
        <v>642</v>
      </c>
      <c r="D72" s="416" t="s">
        <v>561</v>
      </c>
      <c r="E72" s="416">
        <v>176</v>
      </c>
      <c r="F72" s="416">
        <v>251.19681246469034</v>
      </c>
      <c r="G72" s="416">
        <v>135.45190719748592</v>
      </c>
      <c r="H72" s="576">
        <v>35.25</v>
      </c>
      <c r="I72" s="576">
        <v>50.310725223751902</v>
      </c>
      <c r="J72" s="576">
        <v>27.12886209495101</v>
      </c>
      <c r="K72" s="576">
        <v>-65.434180043452542</v>
      </c>
      <c r="L72" s="577">
        <v>142.87376736215546</v>
      </c>
      <c r="M72" s="554"/>
      <c r="U72" s="522" t="s">
        <v>491</v>
      </c>
      <c r="X72" s="519">
        <v>16.149999999999999</v>
      </c>
      <c r="Y72">
        <v>15</v>
      </c>
      <c r="Z72" s="520">
        <v>82.6</v>
      </c>
      <c r="AC72">
        <f>Z72*(Y72/1000)</f>
        <v>1.2389999999999999</v>
      </c>
      <c r="AD72">
        <f>(Y72/1000)/($AI$1/$AI$2)</f>
        <v>4.4903125000000012E-3</v>
      </c>
      <c r="AE72">
        <f>AC72/((Y72/1000)-AD72)</f>
        <v>117.89123130445125</v>
      </c>
      <c r="AF72">
        <f>AC72/((Y72/1000)+AD72)</f>
        <v>63.570042809729181</v>
      </c>
      <c r="AG72">
        <f>AE72-$Z72</f>
        <v>35.291231304451259</v>
      </c>
      <c r="AH72">
        <f>AF72-$Z72</f>
        <v>-19.029957190270814</v>
      </c>
      <c r="AI72">
        <f>((AE72/$Z72)*100)-100</f>
        <v>42.72546162766497</v>
      </c>
      <c r="AJ72">
        <f>((AF72/$Z72)*100)-100</f>
        <v>-23.038689092337549</v>
      </c>
      <c r="AK72">
        <f>Z72-Z73</f>
        <v>-33.700000000000003</v>
      </c>
      <c r="AL72">
        <f>AE72-AE73</f>
        <v>-48.098480568523115</v>
      </c>
      <c r="AM72">
        <f>AF72-AF73</f>
        <v>-25.935961775882241</v>
      </c>
      <c r="AN72">
        <f>AF72-AE73</f>
        <v>-102.41966906324518</v>
      </c>
      <c r="AO72">
        <f>AE72-AF73</f>
        <v>28.385226718839832</v>
      </c>
      <c r="AP72">
        <f>((AL72/$AK72)*100)-100</f>
        <v>42.725461627665027</v>
      </c>
      <c r="AQ72">
        <f>((AM72/$AK72)*100)-100</f>
        <v>-23.038689092337577</v>
      </c>
      <c r="BG72" t="s">
        <v>617</v>
      </c>
      <c r="BH72" t="s">
        <v>561</v>
      </c>
      <c r="BI72">
        <v>229.58587500000002</v>
      </c>
      <c r="BJ72">
        <v>327.67749992566382</v>
      </c>
      <c r="BK72">
        <v>176.69229905882727</v>
      </c>
      <c r="BL72">
        <v>73.455150000000003</v>
      </c>
      <c r="BM72">
        <v>104.83920192679378</v>
      </c>
      <c r="BN72">
        <v>56.532046369189828</v>
      </c>
      <c r="BO72">
        <v>-47.640045357137524</v>
      </c>
      <c r="BP72">
        <v>209.01129365312113</v>
      </c>
    </row>
    <row r="73" spans="3:69" ht="18.75" x14ac:dyDescent="0.3">
      <c r="C73" s="447" t="s">
        <v>626</v>
      </c>
      <c r="D73" s="416" t="s">
        <v>562</v>
      </c>
      <c r="E73" s="416">
        <v>149</v>
      </c>
      <c r="F73" s="416">
        <v>212.6609378252208</v>
      </c>
      <c r="G73" s="416">
        <v>114.67235325241704</v>
      </c>
      <c r="H73" s="576">
        <v>62.75</v>
      </c>
      <c r="I73" s="576">
        <v>89.560227171359756</v>
      </c>
      <c r="J73" s="576">
        <v>48.293222594558181</v>
      </c>
      <c r="K73" s="576">
        <v>-14.182720589444216</v>
      </c>
      <c r="L73" s="577">
        <v>152.03617035536217</v>
      </c>
      <c r="M73" s="554"/>
      <c r="U73" s="518" t="s">
        <v>492</v>
      </c>
      <c r="X73" s="519">
        <v>25.05</v>
      </c>
      <c r="Y73">
        <v>15</v>
      </c>
      <c r="Z73" s="520">
        <v>116.3</v>
      </c>
      <c r="AC73">
        <f>Z73*(Y73/1000)</f>
        <v>1.7444999999999999</v>
      </c>
      <c r="AD73">
        <f>(Y73/1000)/($AI$1/$AI$2)</f>
        <v>4.4903125000000012E-3</v>
      </c>
      <c r="AE73">
        <f>AC73/((Y73/1000)-AD73)</f>
        <v>165.98971187297437</v>
      </c>
      <c r="AF73">
        <f>AC73/((Y73/1000)+AD73)</f>
        <v>89.506004585611421</v>
      </c>
      <c r="AG73">
        <f>AE73-$Z73</f>
        <v>49.689711872974371</v>
      </c>
      <c r="AH73">
        <f>AF73-$Z73</f>
        <v>-26.793995414388576</v>
      </c>
      <c r="AI73">
        <f>((AE73/$Z73)*100)-100</f>
        <v>42.72546162766497</v>
      </c>
      <c r="AJ73">
        <f>((AF73/$Z73)*100)-100</f>
        <v>-23.038689092337549</v>
      </c>
      <c r="BH73" t="s">
        <v>562</v>
      </c>
      <c r="BI73">
        <v>158.40255000000002</v>
      </c>
      <c r="BJ73">
        <v>226.08077071749281</v>
      </c>
      <c r="BK73">
        <v>121.90867899116546</v>
      </c>
    </row>
    <row r="74" spans="3:69" ht="18.75" x14ac:dyDescent="0.3">
      <c r="C74" s="447"/>
      <c r="D74" s="416" t="s">
        <v>563</v>
      </c>
      <c r="E74" s="416">
        <v>95</v>
      </c>
      <c r="F74" s="416">
        <v>135.58918854628172</v>
      </c>
      <c r="G74" s="416">
        <v>73.113245362279329</v>
      </c>
      <c r="H74" s="576">
        <v>55.25</v>
      </c>
      <c r="I74" s="576">
        <v>78.855817549284893</v>
      </c>
      <c r="J74" s="576">
        <v>42.521124276483512</v>
      </c>
      <c r="K74" s="576">
        <v>16.3798743652825</v>
      </c>
      <c r="L74" s="577">
        <v>104.99706746048591</v>
      </c>
      <c r="M74" s="554"/>
      <c r="U74" s="518">
        <v>8</v>
      </c>
      <c r="X74" s="519"/>
      <c r="Z74" s="520"/>
      <c r="BG74" t="s">
        <v>623</v>
      </c>
      <c r="BH74" t="s">
        <v>560</v>
      </c>
      <c r="BI74">
        <v>286.51965730278761</v>
      </c>
      <c r="BJ74">
        <v>408.93650353940734</v>
      </c>
      <c r="BK74">
        <v>220.50928426836737</v>
      </c>
      <c r="BL74">
        <v>91.429943882787597</v>
      </c>
      <c r="BM74">
        <v>130.4938094726237</v>
      </c>
      <c r="BN74">
        <v>70.365683374333486</v>
      </c>
      <c r="BO74">
        <v>-57.933409798416278</v>
      </c>
      <c r="BP74">
        <v>258.79290264537349</v>
      </c>
    </row>
    <row r="75" spans="3:69" ht="18.75" x14ac:dyDescent="0.3">
      <c r="C75" s="447"/>
      <c r="D75" s="416" t="s">
        <v>564</v>
      </c>
      <c r="E75" s="416">
        <v>38.6</v>
      </c>
      <c r="F75" s="416">
        <v>55.092028188278675</v>
      </c>
      <c r="G75" s="416">
        <v>29.707066010357703</v>
      </c>
      <c r="H75" s="576"/>
      <c r="I75" s="576"/>
      <c r="J75" s="576"/>
      <c r="K75" s="576"/>
      <c r="L75" s="577"/>
      <c r="M75" s="554"/>
      <c r="U75" s="522" t="s">
        <v>493</v>
      </c>
      <c r="X75" s="521" t="s">
        <v>471</v>
      </c>
      <c r="Z75" s="520"/>
      <c r="BG75" t="s">
        <v>617</v>
      </c>
      <c r="BH75" t="s">
        <v>561</v>
      </c>
      <c r="BI75">
        <v>202.47359203000002</v>
      </c>
      <c r="BJ75">
        <v>288.98136889893254</v>
      </c>
      <c r="BK75">
        <v>155.82633066812036</v>
      </c>
      <c r="BL75">
        <v>64.141312819999996</v>
      </c>
      <c r="BM75">
        <v>91.545984816389648</v>
      </c>
      <c r="BN75">
        <v>49.363995179656555</v>
      </c>
      <c r="BO75">
        <v>-41.609053414422569</v>
      </c>
      <c r="BP75">
        <v>182.51903341046875</v>
      </c>
    </row>
    <row r="76" spans="3:69" ht="18.75" x14ac:dyDescent="0.3">
      <c r="C76" s="415" t="s">
        <v>643</v>
      </c>
      <c r="D76" s="413" t="s">
        <v>560</v>
      </c>
      <c r="E76" s="413"/>
      <c r="F76" s="413"/>
      <c r="G76" s="413"/>
      <c r="H76" s="574"/>
      <c r="I76" s="574"/>
      <c r="J76" s="574"/>
      <c r="K76" s="574"/>
      <c r="L76" s="575"/>
      <c r="M76" s="554"/>
      <c r="U76" s="518" t="s">
        <v>494</v>
      </c>
      <c r="X76" s="519">
        <v>24.76</v>
      </c>
      <c r="Y76">
        <v>15</v>
      </c>
      <c r="Z76" s="520">
        <v>115.3</v>
      </c>
      <c r="AC76">
        <f>Z76*(Y76/1000)</f>
        <v>1.7294999999999998</v>
      </c>
      <c r="AD76">
        <f>(Y76/1000)/($AI$1/$AI$2)</f>
        <v>4.4903125000000012E-3</v>
      </c>
      <c r="AE76">
        <f>AC76/((Y76/1000)-AD76)</f>
        <v>164.56245725669771</v>
      </c>
      <c r="AF76">
        <f>AC76/((Y76/1000)+AD76)</f>
        <v>88.736391476534791</v>
      </c>
      <c r="AG76">
        <f>AE76-$Z76</f>
        <v>49.262457256697715</v>
      </c>
      <c r="AH76">
        <f>AF76-$Z76</f>
        <v>-26.563608523465206</v>
      </c>
      <c r="AI76">
        <f>((AE76/$Z76)*100)-100</f>
        <v>42.72546162766497</v>
      </c>
      <c r="AJ76">
        <f>((AF76/$Z76)*100)-100</f>
        <v>-23.038689092337563</v>
      </c>
      <c r="AK76">
        <f>Z76-Z77</f>
        <v>115.3</v>
      </c>
      <c r="AL76">
        <f>AE76-AE77</f>
        <v>164.56245725669771</v>
      </c>
      <c r="AM76">
        <f>AF76-AF77</f>
        <v>88.736391476534791</v>
      </c>
      <c r="AN76">
        <f>AF76-AE77</f>
        <v>88.736391476534791</v>
      </c>
      <c r="AO76">
        <f>AE76-AF77</f>
        <v>164.56245725669771</v>
      </c>
      <c r="AP76">
        <f>((AL76/$AK76)*100)-100</f>
        <v>42.72546162766497</v>
      </c>
      <c r="AQ76">
        <f>((AM76/$AK76)*100)-100</f>
        <v>-23.038689092337563</v>
      </c>
      <c r="BH76" t="s">
        <v>562</v>
      </c>
      <c r="BI76">
        <v>138.33227921000002</v>
      </c>
      <c r="BJ76">
        <v>197.4353840825429</v>
      </c>
      <c r="BK76">
        <v>106.46233548846381</v>
      </c>
    </row>
    <row r="77" spans="3:69" ht="18.75" x14ac:dyDescent="0.3">
      <c r="C77" s="447" t="s">
        <v>634</v>
      </c>
      <c r="D77" s="416" t="s">
        <v>561</v>
      </c>
      <c r="E77" s="416">
        <v>153.4</v>
      </c>
      <c r="F77" s="416">
        <v>218.9408581368381</v>
      </c>
      <c r="G77" s="416">
        <v>118.05865093235418</v>
      </c>
      <c r="H77" s="580">
        <v>49.6</v>
      </c>
      <c r="I77" s="580">
        <v>70.791828967321834</v>
      </c>
      <c r="J77" s="580">
        <v>38.172810210200566</v>
      </c>
      <c r="K77" s="580">
        <v>-30.090378237162042</v>
      </c>
      <c r="L77" s="581">
        <v>139.05501741468447</v>
      </c>
      <c r="M77" s="554"/>
      <c r="U77" s="518">
        <v>9</v>
      </c>
      <c r="X77" s="521"/>
      <c r="Z77" s="520"/>
      <c r="BG77" s="43" t="s">
        <v>624</v>
      </c>
      <c r="BH77" t="s">
        <v>560</v>
      </c>
      <c r="BI77">
        <v>279.67743206499188</v>
      </c>
      <c r="BJ77">
        <v>399.17090598315872</v>
      </c>
      <c r="BK77">
        <v>215.24341803010483</v>
      </c>
      <c r="BL77">
        <v>58.546766389991873</v>
      </c>
      <c r="BM77">
        <v>83.561142598186549</v>
      </c>
      <c r="BN77">
        <v>45.058358907784488</v>
      </c>
      <c r="BO77">
        <v>-100.36634535486738</v>
      </c>
      <c r="BP77">
        <v>228.98584686083842</v>
      </c>
    </row>
    <row r="78" spans="3:69" ht="18.75" x14ac:dyDescent="0.3">
      <c r="C78" s="447" t="s">
        <v>626</v>
      </c>
      <c r="D78" s="416" t="s">
        <v>562</v>
      </c>
      <c r="E78" s="416">
        <v>103.8</v>
      </c>
      <c r="F78" s="416">
        <v>148.14902916951624</v>
      </c>
      <c r="G78" s="416">
        <v>79.885840722153631</v>
      </c>
      <c r="H78" s="576">
        <v>61.6</v>
      </c>
      <c r="I78" s="576">
        <v>87.91888436264162</v>
      </c>
      <c r="J78" s="576">
        <v>47.40816751912007</v>
      </c>
      <c r="K78" s="576">
        <v>19.655695915279004</v>
      </c>
      <c r="L78" s="577">
        <v>115.67135596648268</v>
      </c>
      <c r="M78" s="554"/>
      <c r="U78" s="522" t="s">
        <v>495</v>
      </c>
      <c r="X78" s="519">
        <v>16.100000000000001</v>
      </c>
      <c r="Y78">
        <v>15</v>
      </c>
      <c r="Z78" s="520">
        <v>82.4</v>
      </c>
      <c r="AC78">
        <f>Z78*(Y78/1000)</f>
        <v>1.236</v>
      </c>
      <c r="AD78">
        <f>(Y78/1000)/($AI$1/$AI$2)</f>
        <v>4.4903125000000012E-3</v>
      </c>
      <c r="AE78">
        <f>AC78/((Y78/1000)-AD78)</f>
        <v>117.60578038119594</v>
      </c>
      <c r="AF78">
        <f>AC78/((Y78/1000)+AD78)</f>
        <v>63.416120187913862</v>
      </c>
      <c r="AG78">
        <f>AE78-$Z78</f>
        <v>35.205780381195936</v>
      </c>
      <c r="AH78">
        <f>AF78-$Z78</f>
        <v>-18.983879812086144</v>
      </c>
      <c r="AI78">
        <f>((AE78/$Z78)*100)-100</f>
        <v>42.72546162766497</v>
      </c>
      <c r="AJ78">
        <f>((AF78/$Z78)*100)-100</f>
        <v>-23.038689092337549</v>
      </c>
      <c r="AK78">
        <f>Z78-Z79</f>
        <v>-52.099999999999994</v>
      </c>
      <c r="AL78">
        <f>AE78-AE79</f>
        <v>-74.359965508013445</v>
      </c>
      <c r="AM78">
        <f>AF78-AF79</f>
        <v>-40.096842982892142</v>
      </c>
      <c r="AN78">
        <f>AF78-AE79</f>
        <v>-128.54962570129553</v>
      </c>
      <c r="AO78">
        <f>AE78-AF79</f>
        <v>14.092817210389939</v>
      </c>
      <c r="AP78">
        <f>((AL78/$AK78)*100)-100</f>
        <v>42.72546162766497</v>
      </c>
      <c r="AQ78">
        <f>((AM78/$AK78)*100)-100</f>
        <v>-23.038689092337535</v>
      </c>
      <c r="BG78" t="s">
        <v>619</v>
      </c>
      <c r="BH78" t="s">
        <v>561</v>
      </c>
      <c r="BI78">
        <v>221.13066567500002</v>
      </c>
      <c r="BJ78">
        <v>315.60976338497221</v>
      </c>
      <c r="BK78">
        <v>170.18505912232035</v>
      </c>
      <c r="BL78">
        <v>89.172641964779658</v>
      </c>
      <c r="BM78">
        <v>127.27206488981665</v>
      </c>
      <c r="BN78">
        <v>68.62843422709075</v>
      </c>
      <c r="BO78">
        <v>-27.342550611203148</v>
      </c>
      <c r="BP78">
        <v>223.24304972811055</v>
      </c>
    </row>
    <row r="79" spans="3:69" ht="18.75" x14ac:dyDescent="0.3">
      <c r="C79" s="425"/>
      <c r="D79" s="449" t="s">
        <v>563</v>
      </c>
      <c r="E79" s="449">
        <v>42.2</v>
      </c>
      <c r="F79" s="449">
        <v>60.230144806874613</v>
      </c>
      <c r="G79" s="449">
        <v>32.477673203033554</v>
      </c>
      <c r="H79" s="582"/>
      <c r="I79" s="582"/>
      <c r="J79" s="582"/>
      <c r="K79" s="582"/>
      <c r="L79" s="583"/>
      <c r="M79" s="424"/>
      <c r="U79" s="518" t="s">
        <v>496</v>
      </c>
      <c r="X79" s="519">
        <v>30.74</v>
      </c>
      <c r="Y79">
        <v>15</v>
      </c>
      <c r="Z79" s="520">
        <v>134.5</v>
      </c>
      <c r="AC79">
        <f>Z79*(Y79/1000)</f>
        <v>2.0175000000000001</v>
      </c>
      <c r="AD79">
        <f>(Y79/1000)/($AI$1/$AI$2)</f>
        <v>4.4903125000000012E-3</v>
      </c>
      <c r="AE79">
        <f>AC79/((Y79/1000)-AD79)</f>
        <v>191.96574588920939</v>
      </c>
      <c r="AF79">
        <f>AC79/((Y79/1000)+AD79)</f>
        <v>103.512963170806</v>
      </c>
      <c r="AG79">
        <f>AE79-$Z79</f>
        <v>57.465745889209387</v>
      </c>
      <c r="AH79">
        <f>AF79-$Z79</f>
        <v>-30.987036829193997</v>
      </c>
      <c r="AI79">
        <f>((AE79/$Z79)*100)-100</f>
        <v>42.72546162766497</v>
      </c>
      <c r="AJ79">
        <f>((AF79/$Z79)*100)-100</f>
        <v>-23.038689092337535</v>
      </c>
      <c r="BH79" t="s">
        <v>562</v>
      </c>
      <c r="BI79">
        <v>145.93206752855366</v>
      </c>
      <c r="BJ79">
        <v>208.282217042924</v>
      </c>
      <c r="BK79">
        <v>112.31123220463009</v>
      </c>
    </row>
    <row r="80" spans="3:69" x14ac:dyDescent="0.25">
      <c r="U80" s="518" t="s">
        <v>474</v>
      </c>
      <c r="X80" s="521"/>
      <c r="Z80" s="520"/>
      <c r="BG80" t="s">
        <v>625</v>
      </c>
      <c r="BH80" t="s">
        <v>560</v>
      </c>
    </row>
    <row r="81" spans="3:69" x14ac:dyDescent="0.25">
      <c r="U81" s="522" t="s">
        <v>497</v>
      </c>
      <c r="X81" s="519">
        <v>11.63</v>
      </c>
      <c r="Y81">
        <v>15</v>
      </c>
      <c r="Z81" s="520">
        <v>63.11</v>
      </c>
      <c r="AC81">
        <f>Z81*(Y81/1000)</f>
        <v>0.94664999999999999</v>
      </c>
      <c r="AD81">
        <f>(Y81/1000)/($AI$1/$AI$2)</f>
        <v>4.4903125000000012E-3</v>
      </c>
      <c r="AE81">
        <f>AC81/((Y81/1000)-AD81)</f>
        <v>90.074038833219362</v>
      </c>
      <c r="AF81">
        <f>AC81/((Y81/1000)+AD81)</f>
        <v>48.570283313825769</v>
      </c>
      <c r="AG81">
        <f>AE81-$Z81</f>
        <v>26.964038833219362</v>
      </c>
      <c r="AH81">
        <f>AF81-$Z81</f>
        <v>-14.539716686174231</v>
      </c>
      <c r="AI81">
        <f>((AE81/$Z81)*100)-100</f>
        <v>42.72546162766497</v>
      </c>
      <c r="AJ81">
        <f>((AF81/$Z81)*100)-100</f>
        <v>-23.038689092337549</v>
      </c>
      <c r="AK81">
        <f>Z81-Z82</f>
        <v>-23.989999999999995</v>
      </c>
      <c r="AL81">
        <f>AE81-AE82</f>
        <v>-34.239838244476815</v>
      </c>
      <c r="AM81">
        <f>AF81-AF82</f>
        <v>-18.463018486748211</v>
      </c>
      <c r="AN81">
        <f>AF81-AE82</f>
        <v>-75.743593763870408</v>
      </c>
      <c r="AO81">
        <f>AE81-AF82</f>
        <v>23.040737032645382</v>
      </c>
      <c r="AP81">
        <f>((AL81/$AK81)*100)-100</f>
        <v>42.725461627664941</v>
      </c>
      <c r="AQ81">
        <f>((AM81/$AK81)*100)-100</f>
        <v>-23.038689092337577</v>
      </c>
      <c r="BG81" t="s">
        <v>610</v>
      </c>
      <c r="BH81" t="s">
        <v>561</v>
      </c>
      <c r="BI81">
        <v>205.04286000000002</v>
      </c>
      <c r="BJ81">
        <v>292.64836846956678</v>
      </c>
      <c r="BK81">
        <v>157.80367297856304</v>
      </c>
      <c r="BL81">
        <v>92.530200000000008</v>
      </c>
      <c r="BM81">
        <v>132.06415509500169</v>
      </c>
      <c r="BN81">
        <v>71.212454905481891</v>
      </c>
      <c r="BO81">
        <v>-16.153969807177788</v>
      </c>
      <c r="BP81">
        <v>219.43057980766139</v>
      </c>
    </row>
    <row r="82" spans="3:69" x14ac:dyDescent="0.25">
      <c r="U82" s="518" t="s">
        <v>498</v>
      </c>
      <c r="X82" s="519">
        <v>17.25</v>
      </c>
      <c r="Y82">
        <v>15</v>
      </c>
      <c r="Z82" s="520">
        <v>87.1</v>
      </c>
      <c r="AC82">
        <f>Z82*(Y82/1000)</f>
        <v>1.3064999999999998</v>
      </c>
      <c r="AD82">
        <f>(Y82/1000)/($AI$1/$AI$2)</f>
        <v>4.4903125000000012E-3</v>
      </c>
      <c r="AE82">
        <f>AC82/((Y82/1000)-AD82)</f>
        <v>124.31387707769618</v>
      </c>
      <c r="AF82">
        <f>AC82/((Y82/1000)+AD82)</f>
        <v>67.03330180057398</v>
      </c>
      <c r="AG82">
        <f>AE82-$Z82</f>
        <v>37.213877077696182</v>
      </c>
      <c r="AH82">
        <f>AF82-$Z82</f>
        <v>-20.066698199426014</v>
      </c>
      <c r="AI82">
        <f>((AE82/$Z82)*100)-100</f>
        <v>42.72546162766497</v>
      </c>
      <c r="AJ82">
        <f>((AF82/$Z82)*100)-100</f>
        <v>-23.038689092337563</v>
      </c>
      <c r="BG82" t="s">
        <v>626</v>
      </c>
      <c r="BH82" t="s">
        <v>562</v>
      </c>
      <c r="BI82">
        <v>132.84809999999999</v>
      </c>
      <c r="BJ82">
        <v>189.60806398858199</v>
      </c>
      <c r="BK82">
        <v>102.24163927592231</v>
      </c>
    </row>
    <row r="83" spans="3:69" x14ac:dyDescent="0.25"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U83" s="518" t="s">
        <v>465</v>
      </c>
      <c r="X83" s="519"/>
      <c r="Z83" s="520"/>
      <c r="BG83" s="43" t="s">
        <v>627</v>
      </c>
      <c r="BH83" s="43" t="s">
        <v>560</v>
      </c>
      <c r="BI83" s="43">
        <v>132.84809999999999</v>
      </c>
      <c r="BJ83" s="43">
        <v>189.60806398858199</v>
      </c>
      <c r="BK83" s="43">
        <v>102.24163927592231</v>
      </c>
      <c r="BL83" s="43"/>
      <c r="BM83" s="43"/>
      <c r="BN83" s="43"/>
      <c r="BO83" s="43"/>
      <c r="BP83" s="43"/>
      <c r="BQ83" s="43"/>
    </row>
    <row r="84" spans="3:69" x14ac:dyDescent="0.25">
      <c r="C84" s="386"/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U84" s="518" t="s">
        <v>469</v>
      </c>
      <c r="X84" s="521"/>
      <c r="Z84" s="520"/>
      <c r="BG84" t="s">
        <v>628</v>
      </c>
      <c r="BH84" t="s">
        <v>561</v>
      </c>
      <c r="BI84">
        <v>178.00814999999997</v>
      </c>
      <c r="BJ84">
        <v>254.06295382236627</v>
      </c>
      <c r="BK84">
        <v>136.99740576247814</v>
      </c>
      <c r="BL84">
        <v>80.68089999999998</v>
      </c>
      <c r="BM84">
        <v>115.15218697035472</v>
      </c>
      <c r="BN84">
        <v>62.093078292100223</v>
      </c>
      <c r="BO84">
        <v>-20.213781484916055</v>
      </c>
      <c r="BP84">
        <v>197.45904674737102</v>
      </c>
    </row>
    <row r="85" spans="3:69" x14ac:dyDescent="0.25">
      <c r="C85" s="386"/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U85" s="522" t="s">
        <v>475</v>
      </c>
      <c r="X85" s="519">
        <v>53.77</v>
      </c>
      <c r="Y85">
        <v>15</v>
      </c>
      <c r="Z85" s="520">
        <v>154.1</v>
      </c>
      <c r="AC85">
        <f>Z85*(Y85/1000)</f>
        <v>2.3114999999999997</v>
      </c>
      <c r="AD85">
        <f>(Y85/1000)/($AI$1/$AI$2)</f>
        <v>4.4903125000000012E-3</v>
      </c>
      <c r="AE85">
        <f>AC85/((Y85/1000)-AD85)</f>
        <v>219.93993636823168</v>
      </c>
      <c r="AF85">
        <f>AC85/((Y85/1000)+AD85)</f>
        <v>118.59738010870782</v>
      </c>
      <c r="AG85">
        <f t="shared" ref="AG85:AH87" si="18">AE85-$Z85</f>
        <v>65.83993636823169</v>
      </c>
      <c r="AH85">
        <f t="shared" si="18"/>
        <v>-35.50261989129217</v>
      </c>
      <c r="AI85">
        <f t="shared" ref="AI85:AJ87" si="19">((AE85/$Z85)*100)-100</f>
        <v>42.725461627664941</v>
      </c>
      <c r="AJ85">
        <f t="shared" si="19"/>
        <v>-23.038689092337549</v>
      </c>
      <c r="AK85">
        <f>Z85-Z86</f>
        <v>39.799999999999997</v>
      </c>
      <c r="AL85">
        <f>AE85-AE86</f>
        <v>56.804733727810628</v>
      </c>
      <c r="AM85">
        <f>AF85-AF86</f>
        <v>30.630601741249649</v>
      </c>
      <c r="AN85">
        <f>AF85-AE86</f>
        <v>-44.537822531713232</v>
      </c>
      <c r="AO85">
        <f>AE85-AF86</f>
        <v>131.97315800077351</v>
      </c>
      <c r="AP85">
        <f>((AL85/$AK85)*100)-100</f>
        <v>42.725461627664913</v>
      </c>
      <c r="AQ85">
        <f>((AM85/$AK85)*100)-100</f>
        <v>-23.038689092337563</v>
      </c>
      <c r="BG85" t="s">
        <v>626</v>
      </c>
      <c r="BH85" t="s">
        <v>562</v>
      </c>
      <c r="BI85">
        <v>139.7876</v>
      </c>
      <c r="BJ85">
        <v>199.51249739823379</v>
      </c>
      <c r="BK85">
        <v>107.58236944635955</v>
      </c>
    </row>
    <row r="86" spans="3:69" x14ac:dyDescent="0.25"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U86" s="518" t="s">
        <v>476</v>
      </c>
      <c r="X86" s="519">
        <v>23.46</v>
      </c>
      <c r="Y86">
        <v>15</v>
      </c>
      <c r="Z86" s="520">
        <v>114.3</v>
      </c>
      <c r="AC86">
        <f>Z86*(Y86/1000)</f>
        <v>1.7144999999999999</v>
      </c>
      <c r="AD86">
        <f>(Y86/1000)/($AI$1/$AI$2)</f>
        <v>4.4903125000000012E-3</v>
      </c>
      <c r="AE86">
        <f>AC86/((Y86/1000)-AD86)</f>
        <v>163.13520264042106</v>
      </c>
      <c r="AF86">
        <f>AC86/((Y86/1000)+AD86)</f>
        <v>87.966778367458176</v>
      </c>
      <c r="AG86">
        <f t="shared" si="18"/>
        <v>48.835202640421059</v>
      </c>
      <c r="AH86">
        <f t="shared" si="18"/>
        <v>-26.333221632541822</v>
      </c>
      <c r="AI86">
        <f t="shared" si="19"/>
        <v>42.72546162766497</v>
      </c>
      <c r="AJ86">
        <f t="shared" si="19"/>
        <v>-23.038689092337549</v>
      </c>
      <c r="AK86">
        <f>Z86-Z87</f>
        <v>10.700000000000003</v>
      </c>
      <c r="AL86">
        <f>AE86-AE87</f>
        <v>15.27162439416017</v>
      </c>
      <c r="AM86">
        <f>AF86-AF87</f>
        <v>8.2348602671198847</v>
      </c>
      <c r="AN86">
        <f>AF86-AE87</f>
        <v>-59.89679987880271</v>
      </c>
      <c r="AO86">
        <f>AE86-AF87</f>
        <v>83.403284540082765</v>
      </c>
      <c r="AP86">
        <f>((AL86/$AK86)*100)-100</f>
        <v>42.725461627665112</v>
      </c>
      <c r="AQ86">
        <f>((AM86/$AK86)*100)-100</f>
        <v>-23.038689092337549</v>
      </c>
      <c r="BG86" t="s">
        <v>631</v>
      </c>
      <c r="BH86" t="s">
        <v>560</v>
      </c>
      <c r="BI86">
        <v>132.84809999999999</v>
      </c>
      <c r="BJ86">
        <v>189.60806398858199</v>
      </c>
      <c r="BK86">
        <v>102.24163927592231</v>
      </c>
    </row>
    <row r="87" spans="3:69" x14ac:dyDescent="0.25"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U87" s="518" t="s">
        <v>477</v>
      </c>
      <c r="X87" s="519">
        <v>19.600000000000001</v>
      </c>
      <c r="Y87">
        <v>15</v>
      </c>
      <c r="Z87" s="520">
        <v>103.6</v>
      </c>
      <c r="AC87">
        <f>Z87*(Y87/1000)</f>
        <v>1.5539999999999998</v>
      </c>
      <c r="AD87">
        <f>(Y87/1000)/($AI$1/$AI$2)</f>
        <v>4.4903125000000012E-3</v>
      </c>
      <c r="AE87">
        <f>AC87/((Y87/1000)-AD87)</f>
        <v>147.86357824626089</v>
      </c>
      <c r="AF87">
        <f>AC87/((Y87/1000)+AD87)</f>
        <v>79.731918100338291</v>
      </c>
      <c r="AG87">
        <f t="shared" si="18"/>
        <v>44.263578246260892</v>
      </c>
      <c r="AH87">
        <f t="shared" si="18"/>
        <v>-23.868081899661703</v>
      </c>
      <c r="AI87">
        <f t="shared" si="19"/>
        <v>42.725461627664941</v>
      </c>
      <c r="AJ87">
        <f t="shared" si="19"/>
        <v>-23.038689092337549</v>
      </c>
      <c r="BG87" t="s">
        <v>632</v>
      </c>
      <c r="BH87" t="s">
        <v>561</v>
      </c>
      <c r="BI87">
        <v>178.00814999999997</v>
      </c>
      <c r="BJ87">
        <v>254.06295382236627</v>
      </c>
      <c r="BK87">
        <v>136.99740576247814</v>
      </c>
      <c r="BL87">
        <v>80.68089999999998</v>
      </c>
      <c r="BM87">
        <v>115.15218697035472</v>
      </c>
      <c r="BN87">
        <v>62.093078292100223</v>
      </c>
      <c r="BO87">
        <v>-20.213781484916055</v>
      </c>
      <c r="BP87">
        <v>197.45904674737102</v>
      </c>
    </row>
    <row r="88" spans="3:69" x14ac:dyDescent="0.25"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U88" s="518" t="s">
        <v>499</v>
      </c>
      <c r="X88" s="519" t="s">
        <v>471</v>
      </c>
      <c r="Z88" s="520"/>
      <c r="BG88" t="s">
        <v>626</v>
      </c>
      <c r="BH88" t="s">
        <v>562</v>
      </c>
      <c r="BI88">
        <v>139.7876</v>
      </c>
      <c r="BJ88">
        <v>199.51249739823379</v>
      </c>
      <c r="BK88">
        <v>107.58236944635955</v>
      </c>
    </row>
    <row r="89" spans="3:69" x14ac:dyDescent="0.25">
      <c r="C89" s="386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U89" s="518" t="s">
        <v>470</v>
      </c>
      <c r="X89" s="521"/>
      <c r="Z89" s="520"/>
      <c r="BG89" t="s">
        <v>629</v>
      </c>
      <c r="BH89" t="s">
        <v>560</v>
      </c>
      <c r="BI89">
        <v>211.3709375</v>
      </c>
    </row>
    <row r="90" spans="3:69" x14ac:dyDescent="0.25">
      <c r="C90" s="386"/>
      <c r="D90" s="386"/>
      <c r="E90" s="386"/>
      <c r="F90" s="386"/>
      <c r="G90" s="386"/>
      <c r="H90" s="386"/>
      <c r="I90" s="386"/>
      <c r="J90" s="386"/>
      <c r="K90" s="386"/>
      <c r="L90" s="386"/>
      <c r="M90" s="386"/>
      <c r="U90" s="522" t="s">
        <v>478</v>
      </c>
      <c r="X90" s="519">
        <v>43.17</v>
      </c>
      <c r="Y90">
        <v>15</v>
      </c>
      <c r="Z90" s="520">
        <v>173.2</v>
      </c>
      <c r="AC90">
        <f>Z90*(Y90/1000)</f>
        <v>2.5979999999999999</v>
      </c>
      <c r="AD90">
        <f>(Y90/1000)/($AI$1/$AI$2)</f>
        <v>4.4903125000000012E-3</v>
      </c>
      <c r="AE90">
        <f>AC90/((Y90/1000)-AD90)</f>
        <v>247.20049953911573</v>
      </c>
      <c r="AF90">
        <f>AC90/((Y90/1000)+AD90)</f>
        <v>133.29699049207136</v>
      </c>
      <c r="AG90">
        <f t="shared" ref="AG90:AH92" si="20">AE90-$Z90</f>
        <v>74.000499539115737</v>
      </c>
      <c r="AH90">
        <f t="shared" si="20"/>
        <v>-39.90300950792863</v>
      </c>
      <c r="AI90">
        <f t="shared" ref="AI90:AJ92" si="21">((AE90/$Z90)*100)-100</f>
        <v>42.72546162766497</v>
      </c>
      <c r="AJ90">
        <f t="shared" si="21"/>
        <v>-23.038689092337549</v>
      </c>
      <c r="AK90">
        <f>Z90-Z91</f>
        <v>37.5</v>
      </c>
      <c r="AL90">
        <f>AE90-AE91</f>
        <v>53.522048110374357</v>
      </c>
      <c r="AM90">
        <f>AF90-AF91</f>
        <v>28.860491590373414</v>
      </c>
      <c r="AN90">
        <f>AF90-AE91</f>
        <v>-60.38146093667001</v>
      </c>
      <c r="AO90">
        <f>AE90-AF91</f>
        <v>142.76400063741778</v>
      </c>
      <c r="AP90">
        <f>((AL90/$AK90)*100)-100</f>
        <v>42.725461627664941</v>
      </c>
      <c r="AQ90">
        <f>((AM90/$AK90)*100)-100</f>
        <v>-23.038689092337563</v>
      </c>
      <c r="BG90" t="s">
        <v>630</v>
      </c>
      <c r="BH90" t="s">
        <v>561</v>
      </c>
      <c r="BI90">
        <v>224.10303090800002</v>
      </c>
      <c r="BJ90">
        <v>319.85208538503173</v>
      </c>
      <c r="BK90">
        <v>172.47263037060077</v>
      </c>
      <c r="BL90">
        <v>74.067570590000003</v>
      </c>
      <c r="BM90">
        <v>105.71328204097414</v>
      </c>
      <c r="BN90">
        <v>57.003373283522265</v>
      </c>
      <c r="BO90">
        <v>-40.618236588978057</v>
      </c>
      <c r="BP90">
        <v>203.33489191347445</v>
      </c>
    </row>
    <row r="91" spans="3:69" x14ac:dyDescent="0.25">
      <c r="C91" s="386"/>
      <c r="D91" s="386"/>
      <c r="E91" s="386"/>
      <c r="F91" s="386"/>
      <c r="G91" s="386"/>
      <c r="H91" s="386"/>
      <c r="I91" s="386"/>
      <c r="J91" s="386"/>
      <c r="K91" s="386"/>
      <c r="L91" s="386"/>
      <c r="M91" s="386"/>
      <c r="U91" s="518" t="s">
        <v>479</v>
      </c>
      <c r="X91" s="519">
        <v>30.16</v>
      </c>
      <c r="Y91">
        <v>15</v>
      </c>
      <c r="Z91" s="520">
        <v>135.69999999999999</v>
      </c>
      <c r="AC91">
        <f>Z91*(Y91/1000)</f>
        <v>2.0354999999999999</v>
      </c>
      <c r="AD91">
        <f>(Y91/1000)/($AI$1/$AI$2)</f>
        <v>4.4903125000000012E-3</v>
      </c>
      <c r="AE91">
        <f>AC91/((Y91/1000)-AD91)</f>
        <v>193.67845142874137</v>
      </c>
      <c r="AF91">
        <f>AC91/((Y91/1000)+AD91)</f>
        <v>104.43649890169795</v>
      </c>
      <c r="AG91">
        <f t="shared" si="20"/>
        <v>57.97845142874138</v>
      </c>
      <c r="AH91">
        <f t="shared" si="20"/>
        <v>-31.263501098302044</v>
      </c>
      <c r="AI91">
        <f t="shared" si="21"/>
        <v>42.725461627664998</v>
      </c>
      <c r="AJ91">
        <f t="shared" si="21"/>
        <v>-23.038689092337535</v>
      </c>
      <c r="AK91">
        <f>Z91-Z92</f>
        <v>25.199999999999989</v>
      </c>
      <c r="AL91">
        <f>AE91-AE92</f>
        <v>35.966816330171582</v>
      </c>
      <c r="AM91">
        <f>AF91-AF92</f>
        <v>19.394250348730935</v>
      </c>
      <c r="AN91">
        <f>AF91-AE92</f>
        <v>-53.275136196871841</v>
      </c>
      <c r="AO91">
        <f>AE91-AF92</f>
        <v>108.63620287577436</v>
      </c>
      <c r="AP91">
        <f>((AL91/$AK91)*100)-100</f>
        <v>42.725461627665055</v>
      </c>
      <c r="AQ91">
        <f>((AM91/$AK91)*100)-100</f>
        <v>-23.038689092337535</v>
      </c>
      <c r="BG91" t="s">
        <v>626</v>
      </c>
      <c r="BH91" t="s">
        <v>562</v>
      </c>
      <c r="BI91">
        <v>146.13905967199997</v>
      </c>
      <c r="BJ91">
        <v>208.57764753519078</v>
      </c>
      <c r="BK91">
        <v>112.47053607170226</v>
      </c>
    </row>
    <row r="92" spans="3:69" x14ac:dyDescent="0.25">
      <c r="C92" s="386"/>
      <c r="D92" s="386"/>
      <c r="E92" s="386"/>
      <c r="F92" s="386"/>
      <c r="G92" s="386"/>
      <c r="H92" s="386"/>
      <c r="I92" s="386"/>
      <c r="J92" s="386"/>
      <c r="K92" s="386"/>
      <c r="L92" s="386"/>
      <c r="M92" s="386"/>
      <c r="U92" s="518" t="s">
        <v>480</v>
      </c>
      <c r="X92" s="519" t="s">
        <v>471</v>
      </c>
      <c r="Y92">
        <v>15</v>
      </c>
      <c r="Z92" s="520">
        <v>110.5</v>
      </c>
      <c r="AC92">
        <f>Z92*(Y92/1000)</f>
        <v>1.6575</v>
      </c>
      <c r="AD92">
        <f>(Y92/1000)/($AI$1/$AI$2)</f>
        <v>4.4903125000000012E-3</v>
      </c>
      <c r="AE92">
        <f>AC92/((Y92/1000)-AD92)</f>
        <v>157.71163509856979</v>
      </c>
      <c r="AF92">
        <f>AC92/((Y92/1000)+AD92)</f>
        <v>85.04224855296701</v>
      </c>
      <c r="AG92">
        <f t="shared" si="20"/>
        <v>47.211635098569786</v>
      </c>
      <c r="AH92">
        <f t="shared" si="20"/>
        <v>-25.45775144703299</v>
      </c>
      <c r="AI92">
        <f t="shared" si="21"/>
        <v>42.72546162766497</v>
      </c>
      <c r="AJ92">
        <f t="shared" si="21"/>
        <v>-23.038689092337549</v>
      </c>
      <c r="BG92" t="s">
        <v>633</v>
      </c>
      <c r="BH92" t="s">
        <v>560</v>
      </c>
    </row>
    <row r="93" spans="3:69" x14ac:dyDescent="0.25"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U93" s="518">
        <v>3</v>
      </c>
      <c r="X93" s="521"/>
      <c r="Z93" s="520"/>
      <c r="BG93" t="s">
        <v>634</v>
      </c>
      <c r="BH93" t="s">
        <v>561</v>
      </c>
      <c r="BI93">
        <v>227.88581999999997</v>
      </c>
      <c r="BJ93">
        <v>325.25108857898965</v>
      </c>
      <c r="BK93">
        <v>175.38391444467601</v>
      </c>
      <c r="BL93">
        <v>114.20430000000002</v>
      </c>
      <c r="BM93">
        <v>162.99861437364336</v>
      </c>
      <c r="BN93">
        <v>87.893126392919555</v>
      </c>
      <c r="BO93">
        <v>-6.7548694978355996</v>
      </c>
      <c r="BP93">
        <v>257.64661026439853</v>
      </c>
    </row>
    <row r="94" spans="3:69" x14ac:dyDescent="0.25"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U94" s="522" t="s">
        <v>481</v>
      </c>
      <c r="X94" s="519">
        <v>45.17</v>
      </c>
      <c r="Y94">
        <v>15</v>
      </c>
      <c r="Z94" s="520">
        <v>147.6</v>
      </c>
      <c r="AC94">
        <f>Z94*(Y94/1000)</f>
        <v>2.214</v>
      </c>
      <c r="AD94">
        <f>(Y94/1000)/($AI$1/$AI$2)</f>
        <v>4.4903125000000012E-3</v>
      </c>
      <c r="AE94">
        <f>AC94/((Y94/1000)-AD94)</f>
        <v>210.66278136243349</v>
      </c>
      <c r="AF94">
        <f>AC94/((Y94/1000)+AD94)</f>
        <v>113.59489489970977</v>
      </c>
      <c r="AG94">
        <f t="shared" ref="AG94:AH98" si="22">AE94-$Z94</f>
        <v>63.062781362433498</v>
      </c>
      <c r="AH94">
        <f t="shared" si="22"/>
        <v>-34.005105100290223</v>
      </c>
      <c r="AI94">
        <f t="shared" ref="AI94:AJ98" si="23">((AE94/$Z94)*100)-100</f>
        <v>42.72546162766497</v>
      </c>
      <c r="AJ94">
        <f t="shared" si="23"/>
        <v>-23.038689092337549</v>
      </c>
      <c r="AK94">
        <f>Z94-Z95</f>
        <v>18.5</v>
      </c>
      <c r="AL94">
        <f>AE94-AE95</f>
        <v>26.404210401118007</v>
      </c>
      <c r="AM94">
        <f>AF94-AF95</f>
        <v>14.237842517917557</v>
      </c>
      <c r="AN94">
        <f>AF94-AE95</f>
        <v>-70.663676061605713</v>
      </c>
      <c r="AO94">
        <f>AE94-AF95</f>
        <v>111.30572898064128</v>
      </c>
      <c r="AP94">
        <f>((AL94/$AK94)*100)-100</f>
        <v>42.725461627664913</v>
      </c>
      <c r="AQ94">
        <f>((AM94/$AK94)*100)-100</f>
        <v>-23.038689092337535</v>
      </c>
      <c r="BG94" t="s">
        <v>626</v>
      </c>
      <c r="BH94" t="s">
        <v>562</v>
      </c>
      <c r="BI94">
        <v>143.92034999999998</v>
      </c>
      <c r="BJ94">
        <v>205.41098391365114</v>
      </c>
      <c r="BK94">
        <v>110.76298802289597</v>
      </c>
    </row>
    <row r="95" spans="3:69" x14ac:dyDescent="0.25"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U95" s="518" t="s">
        <v>482</v>
      </c>
      <c r="X95" s="519">
        <v>38.549999999999997</v>
      </c>
      <c r="Y95">
        <v>15</v>
      </c>
      <c r="Z95" s="520">
        <v>129.1</v>
      </c>
      <c r="AC95">
        <f>Z95*(Y95/1000)</f>
        <v>1.9364999999999999</v>
      </c>
      <c r="AD95">
        <f>(Y95/1000)/($AI$1/$AI$2)</f>
        <v>4.4903125000000012E-3</v>
      </c>
      <c r="AE95">
        <f>AC95/((Y95/1000)-AD95)</f>
        <v>184.25857096131548</v>
      </c>
      <c r="AF95">
        <f>AC95/((Y95/1000)+AD95)</f>
        <v>99.357052381792215</v>
      </c>
      <c r="AG95">
        <f t="shared" si="22"/>
        <v>55.15857096131549</v>
      </c>
      <c r="AH95">
        <f t="shared" si="22"/>
        <v>-29.742947618207779</v>
      </c>
      <c r="AI95">
        <f t="shared" si="23"/>
        <v>42.72546162766497</v>
      </c>
      <c r="AJ95">
        <f t="shared" si="23"/>
        <v>-23.038689092337549</v>
      </c>
      <c r="AK95">
        <f>Z95-Z96</f>
        <v>35.199999999999989</v>
      </c>
      <c r="AL95">
        <f>AE95-AE96</f>
        <v>50.239362492938056</v>
      </c>
      <c r="AM95">
        <f>AF95-AF96</f>
        <v>27.090381439497165</v>
      </c>
      <c r="AN95">
        <f>AF95-AE96</f>
        <v>-34.662156086585213</v>
      </c>
      <c r="AO95">
        <f>AE95-AF96</f>
        <v>111.99190001902043</v>
      </c>
      <c r="AP95">
        <f>((AL95/$AK95)*100)-100</f>
        <v>42.72546162766497</v>
      </c>
      <c r="AQ95">
        <f>((AM95/$AK95)*100)-100</f>
        <v>-23.038689092337577</v>
      </c>
      <c r="BG95" t="s">
        <v>635</v>
      </c>
      <c r="BH95" t="s">
        <v>560</v>
      </c>
    </row>
    <row r="96" spans="3:69" x14ac:dyDescent="0.25"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U96" s="518" t="s">
        <v>500</v>
      </c>
      <c r="X96" s="519" t="s">
        <v>471</v>
      </c>
      <c r="Y96">
        <v>15</v>
      </c>
      <c r="Z96" s="520">
        <v>93.9</v>
      </c>
      <c r="AC96">
        <f>Z96*(Y96/1000)</f>
        <v>1.4085000000000001</v>
      </c>
      <c r="AD96">
        <f>(Y96/1000)/($AI$1/$AI$2)</f>
        <v>4.4903125000000012E-3</v>
      </c>
      <c r="AE96">
        <f>AC96/((Y96/1000)-AD96)</f>
        <v>134.01920846837743</v>
      </c>
      <c r="AF96">
        <f>AC96/((Y96/1000)+AD96)</f>
        <v>72.26667094229505</v>
      </c>
      <c r="AG96">
        <f t="shared" si="22"/>
        <v>40.119208468377423</v>
      </c>
      <c r="AH96">
        <f t="shared" si="22"/>
        <v>-21.633329057704955</v>
      </c>
      <c r="AI96">
        <f t="shared" si="23"/>
        <v>42.72546162766497</v>
      </c>
      <c r="AJ96">
        <f t="shared" si="23"/>
        <v>-23.038689092337535</v>
      </c>
      <c r="BG96" t="s">
        <v>636</v>
      </c>
      <c r="BH96" t="s">
        <v>561</v>
      </c>
      <c r="BI96">
        <v>236.83206000000001</v>
      </c>
      <c r="BJ96">
        <v>338.01965091730847</v>
      </c>
      <c r="BK96">
        <v>182.26905802562169</v>
      </c>
      <c r="BL96">
        <v>104.13811400000002</v>
      </c>
      <c r="BM96">
        <v>148.63160393684399</v>
      </c>
      <c r="BN96">
        <v>80.14605768891596</v>
      </c>
      <c r="BO96">
        <v>-19.387186049018126</v>
      </c>
      <c r="BP96">
        <v>248.16484767477812</v>
      </c>
    </row>
    <row r="97" spans="3:69" x14ac:dyDescent="0.25"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M97" s="386"/>
      <c r="U97" s="518" t="s">
        <v>483</v>
      </c>
      <c r="X97" s="519">
        <v>30.24</v>
      </c>
      <c r="Y97">
        <v>15</v>
      </c>
      <c r="Z97" s="520">
        <v>150.4</v>
      </c>
      <c r="AC97">
        <f>Z97*(Y97/1000)</f>
        <v>2.2559999999999998</v>
      </c>
      <c r="AD97">
        <f>(Y97/1000)/($AI$1/$AI$2)</f>
        <v>4.4903125000000012E-3</v>
      </c>
      <c r="AE97">
        <f>AC97/((Y97/1000)-AD97)</f>
        <v>214.65909428800811</v>
      </c>
      <c r="AF97">
        <f>AC97/((Y97/1000)+AD97)</f>
        <v>115.74981160512432</v>
      </c>
      <c r="AG97">
        <f t="shared" si="22"/>
        <v>64.2590942880081</v>
      </c>
      <c r="AH97">
        <f t="shared" si="22"/>
        <v>-34.650188394875684</v>
      </c>
      <c r="AI97">
        <f t="shared" si="23"/>
        <v>42.725461627664941</v>
      </c>
      <c r="AJ97">
        <f t="shared" si="23"/>
        <v>-23.038689092337549</v>
      </c>
      <c r="AK97">
        <f>Z97-Z98</f>
        <v>55.100000000000009</v>
      </c>
      <c r="AL97">
        <f>AE97-AE98</f>
        <v>78.641729356843371</v>
      </c>
      <c r="AM97">
        <f>AF97-AF98</f>
        <v>42.405682310122003</v>
      </c>
      <c r="AN97">
        <f>AF97-AE98</f>
        <v>-20.267553326040414</v>
      </c>
      <c r="AO97">
        <f>AE97-AF98</f>
        <v>141.31496499300579</v>
      </c>
      <c r="AP97">
        <f>((AL97/$AK97)*100)-100</f>
        <v>42.725461627664913</v>
      </c>
      <c r="AQ97">
        <f>((AM97/$AK97)*100)-100</f>
        <v>-23.038689092337577</v>
      </c>
      <c r="AS97" s="247" t="s">
        <v>559</v>
      </c>
      <c r="AT97" s="99"/>
      <c r="BG97" t="s">
        <v>626</v>
      </c>
      <c r="BH97" t="s">
        <v>562</v>
      </c>
      <c r="BI97">
        <v>154.93029066666668</v>
      </c>
      <c r="BJ97">
        <v>221.12497255508313</v>
      </c>
      <c r="BK97">
        <v>119.23638269011848</v>
      </c>
    </row>
    <row r="98" spans="3:69" x14ac:dyDescent="0.25"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U98" s="518" t="s">
        <v>484</v>
      </c>
      <c r="X98" s="519">
        <v>20.8</v>
      </c>
      <c r="Y98">
        <v>15</v>
      </c>
      <c r="Z98" s="520">
        <v>95.3</v>
      </c>
      <c r="AC98">
        <f>Z98*(Y98/1000)</f>
        <v>1.4295</v>
      </c>
      <c r="AD98">
        <f>(Y98/1000)/($AI$1/$AI$2)</f>
        <v>4.4903125000000012E-3</v>
      </c>
      <c r="AE98">
        <f>AC98/((Y98/1000)-AD98)</f>
        <v>136.01736493116474</v>
      </c>
      <c r="AF98">
        <f>AC98/((Y98/1000)+AD98)</f>
        <v>73.344129295002318</v>
      </c>
      <c r="AG98">
        <f t="shared" si="22"/>
        <v>40.717364931164738</v>
      </c>
      <c r="AH98">
        <f t="shared" si="22"/>
        <v>-21.955870704997679</v>
      </c>
      <c r="AI98">
        <f t="shared" si="23"/>
        <v>42.725461627664998</v>
      </c>
      <c r="AJ98">
        <f t="shared" si="23"/>
        <v>-23.038689092337535</v>
      </c>
      <c r="AL98" s="247" t="s">
        <v>560</v>
      </c>
      <c r="AM98" s="55">
        <f>AVERAGE(Z85,Z90,Z94,Z97)</f>
        <v>156.32499999999999</v>
      </c>
      <c r="AN98" s="55">
        <f t="shared" ref="AN98:AO100" si="24">AVERAGE(AE85,AE90,AE94,AE97)</f>
        <v>223.11557788944725</v>
      </c>
      <c r="AO98" s="55">
        <f t="shared" si="24"/>
        <v>120.30976927640332</v>
      </c>
      <c r="AP98" s="55"/>
      <c r="AQ98" s="43"/>
      <c r="AR98" s="133"/>
      <c r="BG98" s="55" t="s">
        <v>767</v>
      </c>
      <c r="BH98" s="46" t="s">
        <v>560</v>
      </c>
      <c r="BI98" s="296">
        <v>280</v>
      </c>
      <c r="BJ98" s="296">
        <f>AVERAGE(AE564)</f>
        <v>399.81469477565349</v>
      </c>
      <c r="BK98" s="296">
        <f>AVERAGE(AF564)</f>
        <v>215.5905658259712</v>
      </c>
      <c r="BL98" s="55"/>
      <c r="BM98" s="55"/>
      <c r="BN98" s="55"/>
      <c r="BO98" s="55"/>
      <c r="BP98" s="55"/>
      <c r="BQ98" s="55" t="s">
        <v>747</v>
      </c>
    </row>
    <row r="99" spans="3:69" x14ac:dyDescent="0.25">
      <c r="C99" s="386"/>
      <c r="D99" s="386"/>
      <c r="E99" s="386"/>
      <c r="F99" s="386"/>
      <c r="G99" s="386"/>
      <c r="H99" s="386"/>
      <c r="I99" s="386"/>
      <c r="J99" s="386"/>
      <c r="K99" s="386"/>
      <c r="L99" s="386"/>
      <c r="M99" s="386"/>
      <c r="U99" s="518" t="s">
        <v>466</v>
      </c>
      <c r="X99" s="519"/>
      <c r="Z99" s="520"/>
      <c r="AL99" s="42" t="s">
        <v>561</v>
      </c>
      <c r="AM99" s="43">
        <f>AVERAGE(Z86,Z91,Z95,Z98)</f>
        <v>118.60000000000001</v>
      </c>
      <c r="AN99" s="43">
        <f t="shared" si="24"/>
        <v>169.27239749041067</v>
      </c>
      <c r="AO99" s="43">
        <f t="shared" si="24"/>
        <v>91.276114736487671</v>
      </c>
      <c r="AP99" s="43">
        <f>AVERAGE(AK85,AK90,AK94,AK97)</f>
        <v>37.725000000000001</v>
      </c>
      <c r="AQ99" s="43">
        <f>AVERAGE(AL85,AL90,AL94,AL97)</f>
        <v>53.843180399036591</v>
      </c>
      <c r="AR99" s="133">
        <f>AVERAGE(AM85,AM90,AM94,AM97)</f>
        <v>29.033654539915656</v>
      </c>
      <c r="AS99">
        <f>AVERAGE(AN85,AN90,AN94,AN97)</f>
        <v>-48.962628214007339</v>
      </c>
      <c r="AT99">
        <f>AVERAGE(AO85,AO90,AO94,AO97)</f>
        <v>131.83946315295958</v>
      </c>
      <c r="BG99" s="61" t="s">
        <v>765</v>
      </c>
      <c r="BH99" s="61" t="s">
        <v>561</v>
      </c>
      <c r="BI99" s="286" t="s">
        <v>768</v>
      </c>
      <c r="BJ99" s="286">
        <f>AVERAGE(AE565,AE566,AE568)</f>
        <v>350.68635485117898</v>
      </c>
      <c r="BK99" s="286">
        <f>AVERAGE(AF565,AF566,AF568)</f>
        <v>189.09927688434956</v>
      </c>
      <c r="BL99" s="610">
        <f>AVERAGE(AK564)</f>
        <v>52.88250000000005</v>
      </c>
      <c r="BM99" s="610">
        <f>AVERAGE(AL564)</f>
        <v>75.47679224525001</v>
      </c>
      <c r="BN99" s="610">
        <f>AVERAGE(AM564)</f>
        <v>40.699065240744602</v>
      </c>
      <c r="BO99" s="610">
        <f>AVERAGE(AN564)</f>
        <v>-108.74733670443229</v>
      </c>
      <c r="BP99" s="610">
        <f>AVERAGE(AO564)</f>
        <v>224.9231941904269</v>
      </c>
    </row>
    <row r="100" spans="3:69" x14ac:dyDescent="0.25"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U100" s="518">
        <v>1</v>
      </c>
      <c r="X100" s="521"/>
      <c r="Z100" s="520"/>
      <c r="AL100" s="109" t="s">
        <v>562</v>
      </c>
      <c r="AM100" s="105">
        <f>AVERAGE(Z87,Z92,Z96,Z99)</f>
        <v>102.66666666666667</v>
      </c>
      <c r="AN100" s="105">
        <f t="shared" si="24"/>
        <v>146.53147393773602</v>
      </c>
      <c r="AO100" s="105">
        <f t="shared" si="24"/>
        <v>79.013612531866784</v>
      </c>
      <c r="AP100" s="105">
        <f>AVERAGE(AK86,AK91,AK98)</f>
        <v>17.949999999999996</v>
      </c>
      <c r="AQ100" s="105">
        <f>AVERAGE(AL86,AL91,AL96)</f>
        <v>25.619220362165876</v>
      </c>
      <c r="AR100" s="105">
        <f>AVERAGE(AM86,AM91,AM96)</f>
        <v>13.81455530792541</v>
      </c>
      <c r="AS100" s="105">
        <f>AVERAGE(AN86,AN91,AN96)</f>
        <v>-56.585968037837276</v>
      </c>
      <c r="AT100" s="105">
        <f>AVERAGE(AO86,AO91,AO96)</f>
        <v>96.019743707928569</v>
      </c>
      <c r="BH100" s="61" t="s">
        <v>562</v>
      </c>
      <c r="BI100" s="286" t="s">
        <v>769</v>
      </c>
      <c r="BJ100" s="286">
        <f>AVERAGE(AE567,AE569)</f>
        <v>224.56980761797155</v>
      </c>
      <c r="BK100" s="286">
        <f>AVERAGE(AF567,AF569)</f>
        <v>121.0939280732415</v>
      </c>
      <c r="BL100" s="226">
        <f>AVERAGE(AK566,AK568)</f>
        <v>97.593499999999992</v>
      </c>
      <c r="BM100">
        <f>AVERAGE(AL566,AL568)</f>
        <v>139.2907733935952</v>
      </c>
      <c r="BN100">
        <f>AVERAGE(AM566,AM568)</f>
        <v>75.109236960669534</v>
      </c>
      <c r="BO100">
        <f>AVERAGE(AN566,AN568)</f>
        <v>-28.366642584060529</v>
      </c>
      <c r="BP100">
        <f>AVERAGE(AO566,AO568)</f>
        <v>242.76665293832525</v>
      </c>
    </row>
    <row r="101" spans="3:69" x14ac:dyDescent="0.25"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U101" s="522" t="s">
        <v>475</v>
      </c>
      <c r="X101" s="519">
        <v>37.97</v>
      </c>
      <c r="Y101">
        <v>15</v>
      </c>
      <c r="Z101" s="520">
        <v>182.5</v>
      </c>
      <c r="AC101">
        <f>Z101*(Y101/1000)</f>
        <v>2.7374999999999998</v>
      </c>
      <c r="AD101">
        <f>(Y101/1000)/($AI$1/$AI$2)</f>
        <v>4.4903125000000012E-3</v>
      </c>
      <c r="AE101">
        <f>AC101/((Y101/1000)-AD101)</f>
        <v>260.47396747048856</v>
      </c>
      <c r="AF101">
        <f>AC101/((Y101/1000)+AD101)</f>
        <v>140.45439240648398</v>
      </c>
      <c r="AG101">
        <f t="shared" ref="AG101:AH103" si="25">AE101-$Z101</f>
        <v>77.97396747048856</v>
      </c>
      <c r="AH101">
        <f t="shared" si="25"/>
        <v>-42.045607593516024</v>
      </c>
      <c r="AI101">
        <f t="shared" ref="AI101:AJ103" si="26">((AE101/$Z101)*100)-100</f>
        <v>42.72546162766497</v>
      </c>
      <c r="AJ101">
        <f t="shared" si="26"/>
        <v>-23.038689092337549</v>
      </c>
      <c r="AK101">
        <f>Z101-Z102</f>
        <v>71.8</v>
      </c>
      <c r="AL101">
        <f>AE101-AE102</f>
        <v>102.47688144866342</v>
      </c>
      <c r="AM101">
        <f>AF101-AF102</f>
        <v>55.25822123170164</v>
      </c>
      <c r="AN101">
        <f>AF101-AE102</f>
        <v>-17.542693615341165</v>
      </c>
      <c r="AO101" s="43">
        <f>AE101-AF102</f>
        <v>175.27779629570622</v>
      </c>
      <c r="AP101" s="43">
        <f>((AL101/$AK101)*100)-100</f>
        <v>42.725461627664941</v>
      </c>
      <c r="AQ101" s="43">
        <f>((AM101/$AK101)*100)-100</f>
        <v>-23.038689092337549</v>
      </c>
      <c r="AR101" s="43"/>
      <c r="BG101" t="s">
        <v>770</v>
      </c>
      <c r="BH101" s="61" t="s">
        <v>560</v>
      </c>
      <c r="BI101" s="286" t="s">
        <v>771</v>
      </c>
      <c r="BJ101" s="286">
        <f>AVERAGE(AE573,AE575,AE577,AE579)</f>
        <v>358.57527876066729</v>
      </c>
      <c r="BK101" s="286">
        <f>AVERAGE(AF573,AF575,AF577,AF579)</f>
        <v>193.35319148936168</v>
      </c>
    </row>
    <row r="102" spans="3:69" x14ac:dyDescent="0.25"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U102" s="518" t="s">
        <v>476</v>
      </c>
      <c r="X102" s="519">
        <v>24.49</v>
      </c>
      <c r="Y102">
        <v>15</v>
      </c>
      <c r="Z102" s="520">
        <v>110.7</v>
      </c>
      <c r="AC102">
        <f>Z102*(Y102/1000)</f>
        <v>1.6605000000000001</v>
      </c>
      <c r="AD102">
        <f>(Y102/1000)/($AI$1/$AI$2)</f>
        <v>4.4903125000000012E-3</v>
      </c>
      <c r="AE102">
        <f>AC102/((Y102/1000)-AD102)</f>
        <v>157.99708602182514</v>
      </c>
      <c r="AF102">
        <f>AC102/((Y102/1000)+AD102)</f>
        <v>85.196171174782336</v>
      </c>
      <c r="AG102">
        <f t="shared" si="25"/>
        <v>47.297086021825137</v>
      </c>
      <c r="AH102">
        <f t="shared" si="25"/>
        <v>-25.503828825217667</v>
      </c>
      <c r="AI102">
        <f t="shared" si="26"/>
        <v>42.72546162766497</v>
      </c>
      <c r="AJ102">
        <f t="shared" si="26"/>
        <v>-23.038689092337549</v>
      </c>
      <c r="AK102">
        <f>Z102-Z103</f>
        <v>14.299999999999997</v>
      </c>
      <c r="AL102">
        <f>AE102-AE103</f>
        <v>20.409741012756115</v>
      </c>
      <c r="AM102">
        <f>AF102-AF95</f>
        <v>-14.160881207009879</v>
      </c>
      <c r="AN102">
        <f>AF102-AE103</f>
        <v>-52.39117383428669</v>
      </c>
      <c r="AO102" s="43">
        <f>AE102-AF103</f>
        <v>83.806382306838543</v>
      </c>
      <c r="AP102" s="43">
        <f>((AL102/$AK102)*100)-100</f>
        <v>42.725461627665169</v>
      </c>
      <c r="AQ102" s="43">
        <f>((AM102/$AK102)*100)-100</f>
        <v>-199.02714130776141</v>
      </c>
      <c r="AR102" s="43"/>
      <c r="BH102" s="61" t="s">
        <v>561</v>
      </c>
      <c r="BI102" s="286" t="s">
        <v>772</v>
      </c>
      <c r="BJ102">
        <f>AVERAGE(AE574,AE576,AE578,AE580)</f>
        <v>239.09248015224054</v>
      </c>
      <c r="BK102">
        <f>AVERAGE(AF574,AF576,AF578,AF580)</f>
        <v>128.92493386137343</v>
      </c>
      <c r="BL102" s="226">
        <f>AVERAGE(AK573,AK575,AK577,AK579)</f>
        <v>83.715125</v>
      </c>
      <c r="BM102" s="226">
        <f>AVERAGE(AL573,AL575,AL577,AL579)</f>
        <v>119.48279860842675</v>
      </c>
      <c r="BN102" s="226">
        <f>AVERAGE(AM573,AM575,AM577,AM579)</f>
        <v>64.428257627988245</v>
      </c>
      <c r="BO102" s="226">
        <f>AVERAGE(AN573,AN575,AN577,AN579)</f>
        <v>-45.739288662878863</v>
      </c>
      <c r="BP102" s="226">
        <f>AVERAGE(AO573,AO575,AO577,AO579)</f>
        <v>229.65034489929383</v>
      </c>
    </row>
    <row r="103" spans="3:69" x14ac:dyDescent="0.25"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U103" s="518" t="s">
        <v>477</v>
      </c>
      <c r="X103" s="519">
        <v>21.49</v>
      </c>
      <c r="Y103">
        <v>15</v>
      </c>
      <c r="Z103" s="520">
        <v>96.4</v>
      </c>
      <c r="AC103">
        <f>Z103*(Y103/1000)</f>
        <v>1.446</v>
      </c>
      <c r="AD103">
        <f>(Y103/1000)/($AI$1/$AI$2)</f>
        <v>4.4903125000000012E-3</v>
      </c>
      <c r="AE103">
        <f>AC103/((Y103/1000)-AD103)</f>
        <v>137.58734500906903</v>
      </c>
      <c r="AF103">
        <f>AC103/((Y103/1000)+AD103)</f>
        <v>74.190703714986597</v>
      </c>
      <c r="AG103">
        <f t="shared" si="25"/>
        <v>41.18734500906902</v>
      </c>
      <c r="AH103">
        <f t="shared" si="25"/>
        <v>-22.209296285013409</v>
      </c>
      <c r="AI103">
        <f t="shared" si="26"/>
        <v>42.725461627664941</v>
      </c>
      <c r="AJ103">
        <f t="shared" si="26"/>
        <v>-23.038689092337563</v>
      </c>
    </row>
    <row r="104" spans="3:69" x14ac:dyDescent="0.25"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U104" s="518">
        <v>2</v>
      </c>
      <c r="X104" s="521"/>
      <c r="Z104" s="520"/>
      <c r="BG104" s="55" t="s">
        <v>638</v>
      </c>
      <c r="BH104" s="55" t="s">
        <v>560</v>
      </c>
      <c r="BI104" s="55"/>
      <c r="BJ104" s="55"/>
      <c r="BK104" s="55"/>
      <c r="BL104" s="55"/>
      <c r="BM104" s="55"/>
      <c r="BN104" s="55"/>
      <c r="BO104" s="55"/>
      <c r="BP104" s="55"/>
      <c r="BQ104" s="55" t="s">
        <v>526</v>
      </c>
    </row>
    <row r="105" spans="3:69" x14ac:dyDescent="0.25">
      <c r="C105" s="386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U105" s="522" t="s">
        <v>478</v>
      </c>
      <c r="X105" s="519">
        <v>47.26</v>
      </c>
      <c r="Y105">
        <v>15</v>
      </c>
      <c r="Z105" s="520">
        <v>165.6</v>
      </c>
      <c r="AC105">
        <f>Z105*(Y105/1000)</f>
        <v>2.484</v>
      </c>
      <c r="AD105">
        <f>(Y105/1000)/($AI$1/$AI$2)</f>
        <v>4.4903125000000012E-3</v>
      </c>
      <c r="AE105">
        <f>AC105/((Y105/1000)-AD105)</f>
        <v>236.35336445541321</v>
      </c>
      <c r="AF105">
        <f>AC105/((Y105/1000)+AD105)</f>
        <v>127.44793086308901</v>
      </c>
      <c r="AG105">
        <f>AE105-$Z105</f>
        <v>70.75336445541322</v>
      </c>
      <c r="AH105">
        <f>AF105-$Z105</f>
        <v>-38.152069136910981</v>
      </c>
      <c r="AI105">
        <f>((AE105/$Z105)*100)-100</f>
        <v>42.725461627664998</v>
      </c>
      <c r="AJ105">
        <f>((AF105/$Z105)*100)-100</f>
        <v>-23.038689092337549</v>
      </c>
      <c r="AK105">
        <f>Z105-Z106</f>
        <v>29.599999999999994</v>
      </c>
      <c r="AL105">
        <f>AE105-AE106</f>
        <v>42.246736641788829</v>
      </c>
      <c r="AM105">
        <f>AF105-AF106</f>
        <v>22.780548028668079</v>
      </c>
      <c r="AN105">
        <f>AF105-AE106</f>
        <v>-66.658696950535372</v>
      </c>
      <c r="AO105">
        <f>AE105-AF106</f>
        <v>131.68598162099227</v>
      </c>
      <c r="AP105">
        <f>((AL105/$AK105)*100)-100</f>
        <v>42.725461627664998</v>
      </c>
      <c r="AQ105">
        <f>((AM105/$AK105)*100)-100</f>
        <v>-23.038689092337563</v>
      </c>
      <c r="BG105" t="s">
        <v>619</v>
      </c>
      <c r="BH105" t="s">
        <v>561</v>
      </c>
      <c r="BI105">
        <v>188.5</v>
      </c>
      <c r="BJ105">
        <v>269.03749516814844</v>
      </c>
      <c r="BK105">
        <v>145.0720710609437</v>
      </c>
      <c r="BL105">
        <v>20.333333333333332</v>
      </c>
      <c r="BM105">
        <v>29.020843864291844</v>
      </c>
      <c r="BN105">
        <v>15.648799884558022</v>
      </c>
      <c r="BO105">
        <v>-95.931042503712931</v>
      </c>
      <c r="BP105">
        <v>140.60068625256281</v>
      </c>
    </row>
    <row r="106" spans="3:69" x14ac:dyDescent="0.25"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U106" s="518" t="s">
        <v>479</v>
      </c>
      <c r="X106" s="519">
        <v>31.13</v>
      </c>
      <c r="Y106">
        <v>15</v>
      </c>
      <c r="Z106" s="520">
        <v>136</v>
      </c>
      <c r="AC106">
        <f>Z106*(Y106/1000)</f>
        <v>2.04</v>
      </c>
      <c r="AD106">
        <f>(Y106/1000)/($AI$1/$AI$2)</f>
        <v>4.4903125000000012E-3</v>
      </c>
      <c r="AE106">
        <f>AC106/((Y106/1000)-AD106)</f>
        <v>194.10662781362439</v>
      </c>
      <c r="AF106">
        <f>AC106/((Y106/1000)+AD106)</f>
        <v>104.66738283442093</v>
      </c>
      <c r="AG106">
        <f>AE106-$Z106</f>
        <v>58.106627813624385</v>
      </c>
      <c r="AH106">
        <f>AF106-$Z106</f>
        <v>-31.332617165579066</v>
      </c>
      <c r="AI106">
        <f>((AE106/$Z106)*100)-100</f>
        <v>42.725461627664998</v>
      </c>
      <c r="AJ106">
        <f>((AF106/$Z106)*100)-100</f>
        <v>-23.038689092337549</v>
      </c>
      <c r="BH106" t="s">
        <v>562</v>
      </c>
      <c r="BI106">
        <v>174</v>
      </c>
      <c r="BJ106">
        <v>248.34230323213708</v>
      </c>
      <c r="BK106">
        <v>133.91268097933266</v>
      </c>
      <c r="BL106">
        <v>34.666666666666664</v>
      </c>
      <c r="BM106">
        <v>49.478160030923867</v>
      </c>
      <c r="BN106">
        <v>26.679921114656313</v>
      </c>
      <c r="BO106">
        <v>-62.101682357347094</v>
      </c>
      <c r="BP106">
        <v>138.25976350292726</v>
      </c>
    </row>
    <row r="107" spans="3:69" x14ac:dyDescent="0.25"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U107" s="518" t="s">
        <v>480</v>
      </c>
      <c r="X107" s="519">
        <v>23.4</v>
      </c>
      <c r="Z107" s="520"/>
      <c r="BH107" t="s">
        <v>563</v>
      </c>
      <c r="BI107">
        <v>141</v>
      </c>
      <c r="BJ107">
        <v>201.24290089500761</v>
      </c>
      <c r="BK107">
        <v>108.51544837980404</v>
      </c>
      <c r="BL107">
        <v>60.333333333333336</v>
      </c>
      <c r="BM107">
        <v>86.111028515357859</v>
      </c>
      <c r="BN107">
        <v>46.433324247623005</v>
      </c>
      <c r="BO107">
        <v>-2.670574956645543</v>
      </c>
      <c r="BP107">
        <v>135.21492771962642</v>
      </c>
    </row>
    <row r="108" spans="3:69" x14ac:dyDescent="0.25"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U108" s="518" t="s">
        <v>501</v>
      </c>
      <c r="X108" s="519" t="s">
        <v>471</v>
      </c>
      <c r="Z108" s="520"/>
      <c r="BH108" t="s">
        <v>564</v>
      </c>
      <c r="BI108">
        <v>74.75</v>
      </c>
      <c r="BJ108">
        <v>106.68728256667957</v>
      </c>
      <c r="BK108">
        <v>57.528579903477677</v>
      </c>
      <c r="BL108">
        <v>76</v>
      </c>
      <c r="BM108">
        <v>108.47135083702537</v>
      </c>
      <c r="BN108">
        <v>58.490596289823458</v>
      </c>
      <c r="BO108">
        <v>39.418992581022728</v>
      </c>
      <c r="BP108">
        <v>127.54295454582611</v>
      </c>
    </row>
    <row r="109" spans="3:69" x14ac:dyDescent="0.25"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U109" s="518">
        <v>3</v>
      </c>
      <c r="X109" s="521"/>
      <c r="Z109" s="520"/>
      <c r="BH109" t="s">
        <v>565</v>
      </c>
      <c r="BI109">
        <v>28.5</v>
      </c>
      <c r="BJ109">
        <v>40.676756563884517</v>
      </c>
      <c r="BK109">
        <v>21.9339736086838</v>
      </c>
    </row>
    <row r="110" spans="3:69" x14ac:dyDescent="0.25"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U110" s="522" t="s">
        <v>481</v>
      </c>
      <c r="X110" s="519">
        <v>35.4</v>
      </c>
      <c r="Y110">
        <v>15</v>
      </c>
      <c r="Z110" s="520">
        <v>169.5</v>
      </c>
      <c r="AC110">
        <f>Z110*(Y110/1000)</f>
        <v>2.5425</v>
      </c>
      <c r="AD110">
        <f>(Y110/1000)/($AI$1/$AI$2)</f>
        <v>4.4903125000000012E-3</v>
      </c>
      <c r="AE110">
        <f>AC110/((Y110/1000)-AD110)</f>
        <v>241.91965745889215</v>
      </c>
      <c r="AF110">
        <f>AC110/((Y110/1000)+AD110)</f>
        <v>130.44942198848784</v>
      </c>
      <c r="AG110">
        <f>AE110-$Z110</f>
        <v>72.419657458892146</v>
      </c>
      <c r="AH110">
        <f>AF110-$Z110</f>
        <v>-39.050578011512158</v>
      </c>
      <c r="AI110">
        <f>((AE110/$Z110)*100)-100</f>
        <v>42.72546162766497</v>
      </c>
      <c r="AJ110">
        <f>((AF110/$Z110)*100)-100</f>
        <v>-23.038689092337563</v>
      </c>
      <c r="AK110">
        <f>Z110-Z111</f>
        <v>14</v>
      </c>
      <c r="AL110">
        <f>AE110-AE111</f>
        <v>19.981564627873098</v>
      </c>
      <c r="AM110">
        <f>AF110-AF111</f>
        <v>10.774583527072735</v>
      </c>
      <c r="AN110">
        <f>AF110-AE111</f>
        <v>-91.488670842531207</v>
      </c>
      <c r="AO110">
        <f>AE110-AF111</f>
        <v>122.24481899747704</v>
      </c>
      <c r="AP110">
        <f>((AL110/$AK110)*100)-100</f>
        <v>42.725461627664998</v>
      </c>
      <c r="AQ110">
        <f>((AM110/$AK110)*100)-100</f>
        <v>-23.038689092337606</v>
      </c>
      <c r="BG110" t="s">
        <v>639</v>
      </c>
      <c r="BH110" t="s">
        <v>560</v>
      </c>
      <c r="BI110" t="e">
        <v>#DIV/0!</v>
      </c>
    </row>
    <row r="111" spans="3:69" x14ac:dyDescent="0.25"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U111" s="518" t="s">
        <v>482</v>
      </c>
      <c r="X111" s="519">
        <v>28.95</v>
      </c>
      <c r="Y111">
        <v>15</v>
      </c>
      <c r="Z111" s="520">
        <v>155.5</v>
      </c>
      <c r="AC111">
        <f>Z111*(Y111/1000)</f>
        <v>2.3325</v>
      </c>
      <c r="AD111">
        <f>(Y111/1000)/($AI$1/$AI$2)</f>
        <v>4.4903125000000012E-3</v>
      </c>
      <c r="AE111">
        <f>AC111/((Y111/1000)-AD111)</f>
        <v>221.93809283101905</v>
      </c>
      <c r="AF111">
        <f>AC111/((Y111/1000)+AD111)</f>
        <v>119.67483846141511</v>
      </c>
      <c r="AG111">
        <f>AE111-$Z111</f>
        <v>66.438092831019048</v>
      </c>
      <c r="AH111">
        <f>AF111-$Z111</f>
        <v>-35.825161538584894</v>
      </c>
      <c r="AI111">
        <f>((AE111/$Z111)*100)-100</f>
        <v>42.72546162766497</v>
      </c>
      <c r="AJ111">
        <f>((AF111/$Z111)*100)-100</f>
        <v>-23.038689092337549</v>
      </c>
      <c r="BG111" t="s">
        <v>617</v>
      </c>
      <c r="BH111" t="s">
        <v>561</v>
      </c>
      <c r="BI111">
        <v>185.25</v>
      </c>
      <c r="BJ111">
        <v>264.39891766524937</v>
      </c>
      <c r="BK111">
        <v>142.57082845644467</v>
      </c>
      <c r="BL111">
        <v>19</v>
      </c>
      <c r="BM111">
        <v>27.117837709256335</v>
      </c>
      <c r="BN111">
        <v>14.622649072455857</v>
      </c>
      <c r="BO111">
        <v>-96.847586397948419</v>
      </c>
      <c r="BP111">
        <v>138.58807317966063</v>
      </c>
    </row>
    <row r="112" spans="3:69" x14ac:dyDescent="0.25">
      <c r="C112" s="386"/>
      <c r="D112" s="386"/>
      <c r="E112" s="386"/>
      <c r="F112" s="386"/>
      <c r="G112" s="386"/>
      <c r="H112" s="386"/>
      <c r="I112" s="386"/>
      <c r="J112" s="386"/>
      <c r="K112" s="386"/>
      <c r="L112" s="386"/>
      <c r="M112" s="386"/>
      <c r="U112" s="518" t="s">
        <v>500</v>
      </c>
      <c r="X112" s="519">
        <v>18.98</v>
      </c>
      <c r="Z112" s="520"/>
      <c r="BH112" t="s">
        <v>562</v>
      </c>
      <c r="BI112">
        <v>175.25</v>
      </c>
      <c r="BJ112">
        <v>250.12637150248284</v>
      </c>
      <c r="BK112">
        <v>134.87469736567846</v>
      </c>
      <c r="BL112">
        <v>54</v>
      </c>
      <c r="BM112">
        <v>77.07174927893908</v>
      </c>
      <c r="BN112">
        <v>41.559107890137717</v>
      </c>
      <c r="BO112">
        <v>-38.234728316798673</v>
      </c>
      <c r="BP112">
        <v>156.86558548587547</v>
      </c>
    </row>
    <row r="113" spans="3:68" x14ac:dyDescent="0.25"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U113" s="518" t="s">
        <v>483</v>
      </c>
      <c r="X113" s="519">
        <v>36.49</v>
      </c>
      <c r="Y113">
        <v>15</v>
      </c>
      <c r="Z113" s="520">
        <v>133</v>
      </c>
      <c r="AC113">
        <f>Z113*(Y113/1000)</f>
        <v>1.9949999999999999</v>
      </c>
      <c r="AD113">
        <f>(Y113/1000)/($AI$1/$AI$2)</f>
        <v>4.4903125000000012E-3</v>
      </c>
      <c r="AE113">
        <f>AC113/((Y113/1000)-AD113)</f>
        <v>189.82486396479442</v>
      </c>
      <c r="AF113">
        <f>AC113/((Y113/1000)+AD113)</f>
        <v>102.35854350719106</v>
      </c>
      <c r="AG113">
        <f>AE113-$Z113</f>
        <v>56.824863964794417</v>
      </c>
      <c r="AH113">
        <f>AF113-$Z113</f>
        <v>-30.641456492808942</v>
      </c>
      <c r="AI113">
        <f>((AE113/$Z113)*100)-100</f>
        <v>42.72546162766497</v>
      </c>
      <c r="AJ113">
        <f>((AF113/$Z113)*100)-100</f>
        <v>-23.038689092337549</v>
      </c>
      <c r="AK113">
        <f>Z113-Z114</f>
        <v>32.099999999999994</v>
      </c>
      <c r="AL113">
        <f>AE113-AE114</f>
        <v>45.814873182480454</v>
      </c>
      <c r="AM113">
        <f>AF113-AF114</f>
        <v>24.70458080135964</v>
      </c>
      <c r="AN113">
        <f>AF113-AE114</f>
        <v>-41.651447275122905</v>
      </c>
      <c r="AO113">
        <f>AE113-AF114</f>
        <v>112.170901258963</v>
      </c>
      <c r="AP113">
        <f>((AL113/$AK113)*100)-100</f>
        <v>42.725461627664998</v>
      </c>
      <c r="AQ113">
        <f>((AM113/$AK113)*100)-100</f>
        <v>-23.038689092337563</v>
      </c>
      <c r="BH113" t="s">
        <v>563</v>
      </c>
      <c r="BI113">
        <v>123.25</v>
      </c>
      <c r="BJ113">
        <v>175.90913145609707</v>
      </c>
      <c r="BK113">
        <v>94.854815693693979</v>
      </c>
      <c r="BL113">
        <v>50.666666666666664</v>
      </c>
      <c r="BM113">
        <v>72.314233891350256</v>
      </c>
      <c r="BN113">
        <v>38.993730859882305</v>
      </c>
      <c r="BO113">
        <v>-7.4796023155861393</v>
      </c>
      <c r="BP113">
        <v>118.78756706681871</v>
      </c>
    </row>
    <row r="114" spans="3:68" x14ac:dyDescent="0.25"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U114" s="518" t="s">
        <v>484</v>
      </c>
      <c r="X114" s="519">
        <v>19.32</v>
      </c>
      <c r="Y114">
        <v>15</v>
      </c>
      <c r="Z114" s="520">
        <v>100.9</v>
      </c>
      <c r="AC114">
        <f>Z114*(Y114/1000)</f>
        <v>1.5135000000000001</v>
      </c>
      <c r="AD114">
        <f>(Y114/1000)/($AI$1/$AI$2)</f>
        <v>4.4903125000000012E-3</v>
      </c>
      <c r="AE114">
        <f>AC114/((Y114/1000)-AD114)</f>
        <v>144.00999078231396</v>
      </c>
      <c r="AF114">
        <f>AC114/((Y114/1000)+AD114)</f>
        <v>77.653962705831418</v>
      </c>
      <c r="AG114">
        <f>AE114-$Z114</f>
        <v>43.109990782313957</v>
      </c>
      <c r="AH114">
        <f>AF114-$Z114</f>
        <v>-23.246037294168588</v>
      </c>
      <c r="AI114">
        <f>((AE114/$Z114)*100)-100</f>
        <v>42.72546162766497</v>
      </c>
      <c r="AJ114">
        <f>((AF114/$Z114)*100)-100</f>
        <v>-23.038689092337549</v>
      </c>
      <c r="AT114" t="s">
        <v>559</v>
      </c>
      <c r="BH114" t="s">
        <v>564</v>
      </c>
      <c r="BI114">
        <v>65.25</v>
      </c>
      <c r="BJ114">
        <v>93.128363712051382</v>
      </c>
      <c r="BK114">
        <v>50.217255367249741</v>
      </c>
      <c r="BL114">
        <v>77</v>
      </c>
      <c r="BM114">
        <v>109.89860545330203</v>
      </c>
      <c r="BN114">
        <v>59.260209398900095</v>
      </c>
      <c r="BO114">
        <v>38.215681168499287</v>
      </c>
      <c r="BP114">
        <v>130.94313368370283</v>
      </c>
    </row>
    <row r="115" spans="3:68" x14ac:dyDescent="0.25"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AS115" t="s">
        <v>560</v>
      </c>
      <c r="AT115">
        <f>AVERAGE(Z101,Z105,Z110,Z113)</f>
        <v>162.65</v>
      </c>
      <c r="AU115">
        <f t="shared" ref="AU115:AV117" si="27">AVERAGE(AE101,AE105,AE110,AE113)</f>
        <v>232.14296333739708</v>
      </c>
      <c r="AV115">
        <f t="shared" si="27"/>
        <v>125.17757219131298</v>
      </c>
      <c r="BH115" t="s">
        <v>565</v>
      </c>
      <c r="BI115">
        <v>32</v>
      </c>
      <c r="BJ115">
        <v>45.672147720852792</v>
      </c>
      <c r="BK115">
        <v>24.627619490451984</v>
      </c>
    </row>
    <row r="116" spans="3:68" x14ac:dyDescent="0.25">
      <c r="C116" s="386"/>
      <c r="D116" s="386"/>
      <c r="E116" s="386"/>
      <c r="F116" s="386"/>
      <c r="G116" s="386"/>
      <c r="H116" s="386"/>
      <c r="I116" s="386"/>
      <c r="J116" s="386"/>
      <c r="K116" s="386"/>
      <c r="L116" s="386"/>
      <c r="M116" s="386"/>
      <c r="U116" t="s">
        <v>505</v>
      </c>
      <c r="AS116" t="s">
        <v>561</v>
      </c>
      <c r="AT116">
        <f>AVERAGE(Z102,Z106,Z111,Z114)</f>
        <v>125.77500000000001</v>
      </c>
      <c r="AU116">
        <f t="shared" si="27"/>
        <v>179.51294936219563</v>
      </c>
      <c r="AV116">
        <f t="shared" si="27"/>
        <v>96.798088794112445</v>
      </c>
      <c r="AW116">
        <f>AVERAGE(AK101,AK105,AK110,AK113)</f>
        <v>36.875</v>
      </c>
      <c r="AX116">
        <f>AVERAGE(AL101,AL105,AL110,AL113)</f>
        <v>52.63001397520145</v>
      </c>
      <c r="AY116">
        <f>AVERAGE(AM101,AM105,AM110,AM113)</f>
        <v>28.379483397200524</v>
      </c>
      <c r="AZ116">
        <f>AVERAGE(AN101,AN105,AN110,AN113)</f>
        <v>-54.335377170882666</v>
      </c>
      <c r="BA116">
        <f>AVERAGE(AO101,AO105,AO110,AO113)</f>
        <v>135.34487454328465</v>
      </c>
      <c r="BG116" t="s">
        <v>640</v>
      </c>
      <c r="BH116" t="s">
        <v>560</v>
      </c>
      <c r="BI116" t="e">
        <v>#DIV/0!</v>
      </c>
    </row>
    <row r="117" spans="3:68" x14ac:dyDescent="0.25"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U117" s="64" t="s">
        <v>545</v>
      </c>
      <c r="AC117" t="s">
        <v>430</v>
      </c>
      <c r="AD117" t="s">
        <v>428</v>
      </c>
      <c r="AE117" s="512" t="s">
        <v>369</v>
      </c>
      <c r="AF117" s="512" t="s">
        <v>370</v>
      </c>
      <c r="AG117" t="s">
        <v>373</v>
      </c>
      <c r="AH117" t="s">
        <v>374</v>
      </c>
      <c r="AI117" t="s">
        <v>377</v>
      </c>
      <c r="AJ117" t="s">
        <v>378</v>
      </c>
      <c r="AK117" t="s">
        <v>454</v>
      </c>
      <c r="AL117" t="s">
        <v>451</v>
      </c>
      <c r="AM117" t="s">
        <v>450</v>
      </c>
      <c r="AN117" t="s">
        <v>452</v>
      </c>
      <c r="AO117" t="s">
        <v>453</v>
      </c>
      <c r="AP117" t="s">
        <v>455</v>
      </c>
      <c r="AQ117" t="s">
        <v>456</v>
      </c>
      <c r="AS117" t="s">
        <v>562</v>
      </c>
      <c r="AT117">
        <f>AVERAGE(Z103,Z107,Z112,Z115)</f>
        <v>96.4</v>
      </c>
      <c r="AU117">
        <f t="shared" si="27"/>
        <v>137.58734500906903</v>
      </c>
      <c r="AV117">
        <f t="shared" si="27"/>
        <v>74.190703714986597</v>
      </c>
      <c r="BG117" t="s">
        <v>617</v>
      </c>
      <c r="BH117" t="s">
        <v>561</v>
      </c>
      <c r="BI117">
        <v>189</v>
      </c>
      <c r="BJ117">
        <v>269.75112247628681</v>
      </c>
      <c r="BK117">
        <v>145.45687761548203</v>
      </c>
      <c r="BL117">
        <v>10</v>
      </c>
      <c r="BM117">
        <v>12.845291546489833</v>
      </c>
      <c r="BN117">
        <v>6.9265179816896136</v>
      </c>
      <c r="BO117">
        <v>-111.77777406791495</v>
      </c>
      <c r="BP117">
        <v>131.54958359609441</v>
      </c>
    </row>
    <row r="118" spans="3:68" x14ac:dyDescent="0.25">
      <c r="C118" s="386"/>
      <c r="D118" s="386"/>
      <c r="E118" s="386"/>
      <c r="F118" s="386"/>
      <c r="G118" s="386"/>
      <c r="H118" s="386"/>
      <c r="I118" s="386"/>
      <c r="J118" s="386"/>
      <c r="K118" s="386"/>
      <c r="L118" s="386"/>
      <c r="M118" s="386"/>
      <c r="U118" s="45" t="s">
        <v>475</v>
      </c>
      <c r="X118">
        <v>39</v>
      </c>
      <c r="Y118">
        <v>15</v>
      </c>
      <c r="Z118">
        <v>201.7491</v>
      </c>
      <c r="AC118">
        <f>Z118*(Y118/1000)</f>
        <v>3.0262365</v>
      </c>
      <c r="AD118">
        <f>(Y118/1000)/($AI$1/$AI$2)</f>
        <v>4.4903125000000012E-3</v>
      </c>
      <c r="AE118">
        <f>AC118/((Y118/1000)-AD118)</f>
        <v>287.94733430465942</v>
      </c>
      <c r="AF118">
        <f>AC118/((Y118/1000)+AD118)</f>
        <v>155.26875210441082</v>
      </c>
      <c r="AG118">
        <f>AE118-$Z118</f>
        <v>86.198234304659422</v>
      </c>
      <c r="AH118">
        <f>AF118-$Z118</f>
        <v>-46.480347895589176</v>
      </c>
      <c r="AI118">
        <f>((AE118/$Z118)*100)-100</f>
        <v>42.72546162766497</v>
      </c>
      <c r="AJ118">
        <f>((AF118/$Z118)*100)-100</f>
        <v>-23.038689092337549</v>
      </c>
      <c r="AK118">
        <f>Z118-Z119</f>
        <v>-6.1178999999999917</v>
      </c>
      <c r="AL118">
        <f>AE118-AE119</f>
        <v>-8.7318010169188938</v>
      </c>
      <c r="AM118">
        <f>AF118-AF119</f>
        <v>-4.7084160400198698</v>
      </c>
      <c r="AN118">
        <f>AF118-AE119</f>
        <v>-141.41038321716749</v>
      </c>
      <c r="AO118">
        <f>AE118-AF119</f>
        <v>127.97016616022873</v>
      </c>
      <c r="AP118">
        <f>((AL118/$AK118)*100)-100</f>
        <v>42.725461627664828</v>
      </c>
      <c r="AQ118">
        <f>((AM118/$AK118)*100)-100</f>
        <v>-23.038689092337634</v>
      </c>
      <c r="BH118" t="s">
        <v>562</v>
      </c>
      <c r="BI118">
        <v>181.75</v>
      </c>
      <c r="BJ118">
        <v>259.40352650828112</v>
      </c>
      <c r="BK118">
        <v>139.87718257467651</v>
      </c>
      <c r="BL118">
        <v>43.25</v>
      </c>
      <c r="BM118">
        <v>61.728762153965107</v>
      </c>
      <c r="BN118">
        <v>33.285766967564008</v>
      </c>
      <c r="BO118">
        <v>-57.797581779639486</v>
      </c>
      <c r="BP118">
        <v>152.81211090116861</v>
      </c>
    </row>
    <row r="119" spans="3:68" x14ac:dyDescent="0.25">
      <c r="C119" s="386"/>
      <c r="D119" s="386"/>
      <c r="E119" s="386"/>
      <c r="F119" s="386"/>
      <c r="G119" s="386"/>
      <c r="H119" s="386"/>
      <c r="I119" s="386"/>
      <c r="J119" s="386"/>
      <c r="K119" s="386"/>
      <c r="L119" s="386"/>
      <c r="M119" s="386"/>
      <c r="U119" s="45" t="s">
        <v>476</v>
      </c>
      <c r="X119">
        <v>42</v>
      </c>
      <c r="Y119">
        <v>15</v>
      </c>
      <c r="Z119">
        <v>207.86699999999999</v>
      </c>
      <c r="AC119">
        <f>Z119*(Y119/1000)</f>
        <v>3.1180049999999997</v>
      </c>
      <c r="AD119">
        <f>(Y119/1000)/($AI$1/$AI$2)</f>
        <v>4.4903125000000012E-3</v>
      </c>
      <c r="AE119">
        <f>AC119/((Y119/1000)-AD119)</f>
        <v>296.67913532157831</v>
      </c>
      <c r="AF119">
        <f>AC119/((Y119/1000)+AD119)</f>
        <v>159.97716814443069</v>
      </c>
      <c r="AG119">
        <f>AE119-$Z119</f>
        <v>88.812135321578324</v>
      </c>
      <c r="AH119">
        <f>AF119-$Z119</f>
        <v>-47.889831855569298</v>
      </c>
      <c r="AI119">
        <f>((AE119/$Z119)*100)-100</f>
        <v>42.72546162766497</v>
      </c>
      <c r="AJ119">
        <f>((AF119/$Z119)*100)-100</f>
        <v>-23.038689092337549</v>
      </c>
      <c r="BH119" t="s">
        <v>563</v>
      </c>
      <c r="BI119">
        <v>138.5</v>
      </c>
      <c r="BJ119">
        <v>197.67476435431601</v>
      </c>
      <c r="BK119">
        <v>106.59141560711249</v>
      </c>
      <c r="BL119">
        <v>58.25</v>
      </c>
      <c r="BM119">
        <v>83.137581398114847</v>
      </c>
      <c r="BN119">
        <v>44.829963603713381</v>
      </c>
      <c r="BO119">
        <v>-7.9457673490886478</v>
      </c>
      <c r="BP119">
        <v>135.91331235091687</v>
      </c>
    </row>
    <row r="120" spans="3:68" x14ac:dyDescent="0.25">
      <c r="C120" s="386"/>
      <c r="D120" s="386"/>
      <c r="E120" s="386"/>
      <c r="F120" s="386"/>
      <c r="G120" s="386"/>
      <c r="H120" s="386"/>
      <c r="I120" s="386"/>
      <c r="J120" s="386"/>
      <c r="K120" s="386"/>
      <c r="L120" s="386"/>
      <c r="M120" s="386"/>
      <c r="U120" s="45" t="s">
        <v>477</v>
      </c>
      <c r="BH120" t="s">
        <v>564</v>
      </c>
      <c r="BI120">
        <v>80.25</v>
      </c>
      <c r="BJ120">
        <v>114.53718295620115</v>
      </c>
      <c r="BK120">
        <v>61.761452003399114</v>
      </c>
      <c r="BL120">
        <v>56.5</v>
      </c>
      <c r="BM120">
        <v>80.639885819630706</v>
      </c>
      <c r="BN120">
        <v>43.483140662829278</v>
      </c>
      <c r="BO120">
        <v>28.3573859972287</v>
      </c>
      <c r="BP120">
        <v>95.765640485231287</v>
      </c>
    </row>
    <row r="121" spans="3:68" x14ac:dyDescent="0.25">
      <c r="C121" s="386"/>
      <c r="D121" s="386"/>
      <c r="E121" s="386"/>
      <c r="F121" s="386"/>
      <c r="G121" s="386"/>
      <c r="H121" s="386"/>
      <c r="I121" s="386"/>
      <c r="J121" s="386"/>
      <c r="K121" s="386"/>
      <c r="L121" s="386"/>
      <c r="M121" s="386"/>
      <c r="U121" s="45" t="s">
        <v>478</v>
      </c>
      <c r="BH121" t="s">
        <v>565</v>
      </c>
      <c r="BI121">
        <v>23</v>
      </c>
      <c r="BJ121">
        <v>32.826856174362945</v>
      </c>
      <c r="BK121">
        <v>17.701101508762363</v>
      </c>
    </row>
    <row r="122" spans="3:68" x14ac:dyDescent="0.25">
      <c r="C122" s="386"/>
      <c r="D122" s="386"/>
      <c r="E122" s="386"/>
      <c r="F122" s="386"/>
      <c r="G122" s="386"/>
      <c r="H122" s="386"/>
      <c r="I122" s="386"/>
      <c r="J122" s="386"/>
      <c r="K122" s="386"/>
      <c r="L122" s="386"/>
      <c r="M122" s="386"/>
      <c r="U122" s="45" t="s">
        <v>479</v>
      </c>
      <c r="X122">
        <v>81</v>
      </c>
      <c r="Y122">
        <v>15</v>
      </c>
      <c r="Z122">
        <v>274.62330000000003</v>
      </c>
      <c r="AC122">
        <f>Z122*(Y122/1000)</f>
        <v>4.1193495000000002</v>
      </c>
      <c r="AD122">
        <f>(Y122/1000)/($AI$1/$AI$2)</f>
        <v>4.4903125000000012E-3</v>
      </c>
      <c r="AE122">
        <f>AC122/((Y122/1000)-AD122)</f>
        <v>391.95737266212728</v>
      </c>
      <c r="AF122">
        <f>AC122/((Y122/1000)+AD122)</f>
        <v>211.3536917378826</v>
      </c>
      <c r="AG122">
        <f t="shared" ref="AG122:AH125" si="28">AE122-$Z122</f>
        <v>117.33407266212726</v>
      </c>
      <c r="AH122">
        <f t="shared" si="28"/>
        <v>-63.26960826211743</v>
      </c>
      <c r="AI122">
        <f t="shared" ref="AI122:AJ125" si="29">((AE122/$Z122)*100)-100</f>
        <v>42.72546162766497</v>
      </c>
      <c r="AJ122">
        <f t="shared" si="29"/>
        <v>-23.038689092337549</v>
      </c>
      <c r="AK122">
        <f>Z122-Z123</f>
        <v>126.87180000000004</v>
      </c>
      <c r="AL122">
        <f>AE122-AE123</f>
        <v>181.07836222532791</v>
      </c>
      <c r="AM122">
        <f>AF122-AF123</f>
        <v>97.642200452147733</v>
      </c>
      <c r="AN122">
        <f>AF122-AE123</f>
        <v>0.47468130108322271</v>
      </c>
      <c r="AO122">
        <f>AE122-AF123</f>
        <v>278.24588137639239</v>
      </c>
      <c r="AP122">
        <f>((AL122/$AK122)*100)-100</f>
        <v>42.72546162766497</v>
      </c>
      <c r="AQ122">
        <f>((AM122/$AK122)*100)-100</f>
        <v>-23.038689092337535</v>
      </c>
      <c r="BG122" t="s">
        <v>641</v>
      </c>
      <c r="BH122" t="s">
        <v>560</v>
      </c>
    </row>
    <row r="123" spans="3:68" x14ac:dyDescent="0.25"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U123" s="45" t="s">
        <v>480</v>
      </c>
      <c r="X123">
        <v>15</v>
      </c>
      <c r="Y123">
        <v>15</v>
      </c>
      <c r="Z123">
        <v>147.75149999999999</v>
      </c>
      <c r="AC123">
        <f>Z123*(Y123/1000)</f>
        <v>2.2162724999999996</v>
      </c>
      <c r="AD123">
        <f>(Y123/1000)/($AI$1/$AI$2)</f>
        <v>4.4903125000000012E-3</v>
      </c>
      <c r="AE123">
        <f>AC123/((Y123/1000)-AD123)</f>
        <v>210.87901043679938</v>
      </c>
      <c r="AF123">
        <f>AC123/((Y123/1000)+AD123)</f>
        <v>113.71149128573487</v>
      </c>
      <c r="AG123">
        <f t="shared" si="28"/>
        <v>63.127510436799383</v>
      </c>
      <c r="AH123">
        <f t="shared" si="28"/>
        <v>-34.040008714265127</v>
      </c>
      <c r="AI123">
        <f t="shared" si="29"/>
        <v>42.725461627664941</v>
      </c>
      <c r="AJ123">
        <f t="shared" si="29"/>
        <v>-23.038689092337563</v>
      </c>
      <c r="BG123" t="s">
        <v>642</v>
      </c>
      <c r="BH123" t="s">
        <v>561</v>
      </c>
      <c r="BI123">
        <v>176</v>
      </c>
      <c r="BJ123">
        <v>251.19681246469034</v>
      </c>
      <c r="BK123">
        <v>135.45190719748592</v>
      </c>
      <c r="BL123">
        <v>35.25</v>
      </c>
      <c r="BM123">
        <v>50.310725223751902</v>
      </c>
      <c r="BN123">
        <v>27.12886209495101</v>
      </c>
      <c r="BO123">
        <v>-65.434180043452542</v>
      </c>
      <c r="BP123">
        <v>142.87376736215546</v>
      </c>
    </row>
    <row r="124" spans="3:68" x14ac:dyDescent="0.25">
      <c r="C124" s="386"/>
      <c r="D124" s="386"/>
      <c r="E124" s="386"/>
      <c r="F124" s="386"/>
      <c r="G124" s="386"/>
      <c r="H124" s="386"/>
      <c r="I124" s="386"/>
      <c r="J124" s="386"/>
      <c r="K124" s="386"/>
      <c r="L124" s="386"/>
      <c r="M124" s="386"/>
      <c r="U124" s="45" t="s">
        <v>481</v>
      </c>
      <c r="X124">
        <v>54</v>
      </c>
      <c r="Y124">
        <v>15</v>
      </c>
      <c r="Z124">
        <v>230.93459999999999</v>
      </c>
      <c r="AC124">
        <f>Z124*(Y124/1000)</f>
        <v>3.4640189999999995</v>
      </c>
      <c r="AD124">
        <f>(Y124/1000)/($AI$1/$AI$2)</f>
        <v>4.4903125000000012E-3</v>
      </c>
      <c r="AE124">
        <f>AC124/((Y124/1000)-AD124)</f>
        <v>329.60247390800157</v>
      </c>
      <c r="AF124">
        <f>AC124/((Y124/1000)+AD124)</f>
        <v>177.73029549936663</v>
      </c>
      <c r="AG124">
        <f t="shared" si="28"/>
        <v>98.667873908001582</v>
      </c>
      <c r="AH124">
        <f t="shared" si="28"/>
        <v>-53.204304500633356</v>
      </c>
      <c r="AI124">
        <f t="shared" si="29"/>
        <v>42.72546162766497</v>
      </c>
      <c r="AJ124">
        <f t="shared" si="29"/>
        <v>-23.038689092337549</v>
      </c>
      <c r="AK124">
        <f>Z124-Z125</f>
        <v>-15.82650000000001</v>
      </c>
      <c r="AL124">
        <f>AE124-AE125</f>
        <v>-22.588445184502405</v>
      </c>
      <c r="AM124">
        <f>AF124-AF125</f>
        <v>-12.180281870801196</v>
      </c>
      <c r="AN124">
        <f>AF124-AE125</f>
        <v>-174.46062359313734</v>
      </c>
      <c r="AO124">
        <f>AE124-AF125</f>
        <v>139.69189653783374</v>
      </c>
      <c r="AP124">
        <f>((AL124/$AK124)*100)-100</f>
        <v>42.725461627664941</v>
      </c>
      <c r="AQ124">
        <f>((AM124/$AK124)*100)-100</f>
        <v>-23.03868909233762</v>
      </c>
      <c r="BG124" t="s">
        <v>626</v>
      </c>
      <c r="BH124" t="s">
        <v>562</v>
      </c>
      <c r="BI124">
        <v>149</v>
      </c>
      <c r="BJ124">
        <v>212.6609378252208</v>
      </c>
      <c r="BK124">
        <v>114.67235325241704</v>
      </c>
      <c r="BL124">
        <v>62.75</v>
      </c>
      <c r="BM124">
        <v>89.560227171359756</v>
      </c>
      <c r="BN124">
        <v>48.293222594558181</v>
      </c>
      <c r="BO124">
        <v>-14.182720589444216</v>
      </c>
      <c r="BP124">
        <v>152.03617035536217</v>
      </c>
    </row>
    <row r="125" spans="3:68" x14ac:dyDescent="0.25">
      <c r="C125" s="386"/>
      <c r="D125" s="386"/>
      <c r="E125" s="386"/>
      <c r="F125" s="386"/>
      <c r="G125" s="386"/>
      <c r="H125" s="386"/>
      <c r="I125" s="386"/>
      <c r="J125" s="386"/>
      <c r="K125" s="386"/>
      <c r="L125" s="386"/>
      <c r="M125" s="386"/>
      <c r="U125" s="45" t="s">
        <v>482</v>
      </c>
      <c r="X125">
        <v>63</v>
      </c>
      <c r="Y125">
        <v>15</v>
      </c>
      <c r="Z125">
        <v>246.7611</v>
      </c>
      <c r="AC125">
        <f>Z125*(Y125/1000)</f>
        <v>3.7014164999999997</v>
      </c>
      <c r="AD125">
        <f>(Y125/1000)/($AI$1/$AI$2)</f>
        <v>4.4903125000000012E-3</v>
      </c>
      <c r="AE125">
        <f>AC125/((Y125/1000)-AD125)</f>
        <v>352.19091909250398</v>
      </c>
      <c r="AF125">
        <f>AC125/((Y125/1000)+AD125)</f>
        <v>189.91057737016783</v>
      </c>
      <c r="AG125">
        <f t="shared" si="28"/>
        <v>105.42981909250398</v>
      </c>
      <c r="AH125">
        <f t="shared" si="28"/>
        <v>-56.85052262983217</v>
      </c>
      <c r="AI125">
        <f t="shared" si="29"/>
        <v>42.72546162766497</v>
      </c>
      <c r="AJ125">
        <f t="shared" si="29"/>
        <v>-23.038689092337563</v>
      </c>
      <c r="BH125" t="s">
        <v>563</v>
      </c>
      <c r="BI125">
        <v>95</v>
      </c>
      <c r="BJ125">
        <v>135.58918854628172</v>
      </c>
      <c r="BK125">
        <v>73.113245362279329</v>
      </c>
      <c r="BL125">
        <v>55.25</v>
      </c>
      <c r="BM125">
        <v>78.855817549284893</v>
      </c>
      <c r="BN125">
        <v>42.521124276483512</v>
      </c>
      <c r="BO125">
        <v>16.3798743652825</v>
      </c>
      <c r="BP125">
        <v>104.99706746048591</v>
      </c>
    </row>
    <row r="126" spans="3:68" x14ac:dyDescent="0.25">
      <c r="C126" s="386"/>
      <c r="D126" s="386"/>
      <c r="E126" s="386"/>
      <c r="F126" s="386"/>
      <c r="G126" s="386"/>
      <c r="H126" s="386"/>
      <c r="I126" s="386"/>
      <c r="J126" s="386"/>
      <c r="K126" s="386"/>
      <c r="L126" s="386"/>
      <c r="M126" s="386"/>
      <c r="U126" s="45" t="s">
        <v>500</v>
      </c>
      <c r="BH126" t="s">
        <v>564</v>
      </c>
      <c r="BI126">
        <v>38.6</v>
      </c>
      <c r="BJ126">
        <v>55.092028188278675</v>
      </c>
      <c r="BK126">
        <v>29.707066010357703</v>
      </c>
    </row>
    <row r="127" spans="3:68" x14ac:dyDescent="0.25">
      <c r="C127" s="386"/>
      <c r="D127" s="386"/>
      <c r="E127" s="386"/>
      <c r="F127" s="386"/>
      <c r="G127" s="386"/>
      <c r="H127" s="386"/>
      <c r="I127" s="386"/>
      <c r="J127" s="386"/>
      <c r="K127" s="386"/>
      <c r="L127" s="386"/>
      <c r="M127" s="386"/>
      <c r="U127" s="45" t="s">
        <v>483</v>
      </c>
      <c r="BG127" t="s">
        <v>643</v>
      </c>
      <c r="BH127" t="s">
        <v>560</v>
      </c>
    </row>
    <row r="128" spans="3:68" x14ac:dyDescent="0.25"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U128" s="45" t="s">
        <v>484</v>
      </c>
      <c r="X128">
        <v>33</v>
      </c>
      <c r="Y128">
        <v>15</v>
      </c>
      <c r="Z128">
        <v>189.09209999999999</v>
      </c>
      <c r="AC128">
        <f>Z128*(Y128/1000)</f>
        <v>2.8363814999999999</v>
      </c>
      <c r="AD128">
        <f>(Y128/1000)/($AI$1/$AI$2)</f>
        <v>4.4903125000000012E-3</v>
      </c>
      <c r="AE128">
        <f>AC128/((Y128/1000)-AD128)</f>
        <v>269.88257262644589</v>
      </c>
      <c r="AF128">
        <f>AC128/((Y128/1000)+AD128)</f>
        <v>145.52775898282798</v>
      </c>
      <c r="AG128">
        <f>AE128-$Z128</f>
        <v>80.790472626445904</v>
      </c>
      <c r="AH128">
        <f>AF128-$Z128</f>
        <v>-43.564341017172012</v>
      </c>
      <c r="AI128">
        <f>((AE128/$Z128)*100)-100</f>
        <v>42.725461627664998</v>
      </c>
      <c r="AJ128">
        <f>((AF128/$Z128)*100)-100</f>
        <v>-23.038689092337549</v>
      </c>
      <c r="AK128">
        <f>Z128-Z129</f>
        <v>20.038499999999971</v>
      </c>
      <c r="AL128">
        <f>AE128-AE129</f>
        <v>28.600041628259646</v>
      </c>
      <c r="AM128">
        <f>AF128-AF129</f>
        <v>15.421892286231923</v>
      </c>
      <c r="AN128">
        <f>AF128-AE129</f>
        <v>-95.75477201535827</v>
      </c>
      <c r="AO128">
        <f>AE128-AF129</f>
        <v>139.77670592984984</v>
      </c>
      <c r="AP128">
        <f>((AL128/$AK128)*100)-100</f>
        <v>42.725461627665197</v>
      </c>
      <c r="AQ128">
        <f>((AM128/$AK128)*100)-100</f>
        <v>-23.03868909233752</v>
      </c>
      <c r="BG128" t="s">
        <v>644</v>
      </c>
      <c r="BH128" t="s">
        <v>561</v>
      </c>
      <c r="BI128">
        <v>153.4</v>
      </c>
      <c r="BJ128">
        <v>218.9408581368381</v>
      </c>
      <c r="BK128">
        <v>118.05865093235418</v>
      </c>
      <c r="BL128" s="80">
        <v>49.6</v>
      </c>
      <c r="BM128" s="80">
        <v>70.791828967321834</v>
      </c>
      <c r="BN128" s="80">
        <v>38.172810210200566</v>
      </c>
      <c r="BO128" s="80">
        <v>-30.090378237162042</v>
      </c>
      <c r="BP128" s="80">
        <v>139.05501741468447</v>
      </c>
    </row>
    <row r="129" spans="3:68" x14ac:dyDescent="0.25"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U129" s="45" t="s">
        <v>485</v>
      </c>
      <c r="X129">
        <v>24</v>
      </c>
      <c r="Y129">
        <v>15</v>
      </c>
      <c r="Z129">
        <v>169.05360000000002</v>
      </c>
      <c r="AC129">
        <f>Z129*(Y129/1000)</f>
        <v>2.5358040000000002</v>
      </c>
      <c r="AD129">
        <f>(Y129/1000)/($AI$1/$AI$2)</f>
        <v>4.4903125000000012E-3</v>
      </c>
      <c r="AE129">
        <f>AC129/((Y129/1000)-AD129)</f>
        <v>241.28253099818625</v>
      </c>
      <c r="AF129">
        <f>AC129/((Y129/1000)+AD129)</f>
        <v>130.10586669659605</v>
      </c>
      <c r="AG129">
        <f>AE129-$Z129</f>
        <v>72.228930998186229</v>
      </c>
      <c r="AH129">
        <f>AF129-$Z129</f>
        <v>-38.947733303403965</v>
      </c>
      <c r="AI129">
        <f>((AE129/$Z129)*100)-100</f>
        <v>42.72546162766497</v>
      </c>
      <c r="AJ129">
        <f>((AF129/$Z129)*100)-100</f>
        <v>-23.038689092337549</v>
      </c>
      <c r="AT129" t="s">
        <v>559</v>
      </c>
      <c r="BH129" t="s">
        <v>562</v>
      </c>
      <c r="BI129">
        <v>103.8</v>
      </c>
      <c r="BJ129">
        <v>148.14902916951624</v>
      </c>
      <c r="BK129">
        <v>79.885840722153631</v>
      </c>
      <c r="BL129">
        <v>61.6</v>
      </c>
      <c r="BM129">
        <v>87.91888436264162</v>
      </c>
      <c r="BN129">
        <v>47.40816751912007</v>
      </c>
      <c r="BO129">
        <v>19.655695915279004</v>
      </c>
      <c r="BP129">
        <v>115.67135596648268</v>
      </c>
    </row>
    <row r="130" spans="3:68" x14ac:dyDescent="0.25">
      <c r="C130" s="386"/>
      <c r="D130" s="386"/>
      <c r="E130" s="386"/>
      <c r="F130" s="386"/>
      <c r="G130" s="386"/>
      <c r="H130" s="386"/>
      <c r="I130" s="386"/>
      <c r="J130" s="386"/>
      <c r="K130" s="386"/>
      <c r="L130" s="386"/>
      <c r="M130" s="386"/>
      <c r="U130" s="525" t="s">
        <v>546</v>
      </c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t="s">
        <v>560</v>
      </c>
      <c r="AT130">
        <f>AVERAGE(Z118,Z124)</f>
        <v>216.34184999999999</v>
      </c>
      <c r="AU130">
        <f>AVERAGE(AE118,AE124)</f>
        <v>308.7749041063305</v>
      </c>
      <c r="AV130">
        <f>AVERAGE(AF118,AF124)</f>
        <v>166.49952380188873</v>
      </c>
      <c r="BH130" t="s">
        <v>563</v>
      </c>
      <c r="BI130">
        <v>42.2</v>
      </c>
      <c r="BJ130">
        <v>60.230144806874613</v>
      </c>
      <c r="BK130">
        <v>32.477673203033554</v>
      </c>
    </row>
    <row r="131" spans="3:68" x14ac:dyDescent="0.25">
      <c r="C131" s="386"/>
      <c r="D131" s="386"/>
      <c r="E131" s="386"/>
      <c r="F131" s="386"/>
      <c r="G131" s="386"/>
      <c r="H131" s="386"/>
      <c r="I131" s="386"/>
      <c r="J131" s="386"/>
      <c r="K131" s="386"/>
      <c r="L131" s="386"/>
      <c r="M131" s="386"/>
      <c r="U131" t="s">
        <v>475</v>
      </c>
      <c r="X131">
        <v>89.890104572194005</v>
      </c>
      <c r="Y131">
        <v>15</v>
      </c>
      <c r="Z131">
        <v>286.51965730278761</v>
      </c>
      <c r="AC131">
        <f>Z131*(Y131/1000)</f>
        <v>4.2977948595418143</v>
      </c>
      <c r="AD131">
        <f>(Y131/1000)/($AI$1/$AI$2)</f>
        <v>4.4903125000000012E-3</v>
      </c>
      <c r="AE131">
        <f>AC131/((Y131/1000)-AD131)</f>
        <v>408.93650353940734</v>
      </c>
      <c r="AF131">
        <f>AC131/((Y131/1000)+AD131)</f>
        <v>220.50928426836737</v>
      </c>
      <c r="AG131">
        <f t="shared" ref="AG131:AH133" si="30">AE131-$Z131</f>
        <v>122.41684623661973</v>
      </c>
      <c r="AH131">
        <f t="shared" si="30"/>
        <v>-66.01037303442024</v>
      </c>
      <c r="AI131">
        <f t="shared" ref="AI131:AJ133" si="31">((AE131/$Z131)*100)-100</f>
        <v>42.72546162766497</v>
      </c>
      <c r="AJ131">
        <f t="shared" si="31"/>
        <v>-23.038689092337535</v>
      </c>
      <c r="AK131">
        <f>Z131-Z132</f>
        <v>91.429943882787597</v>
      </c>
      <c r="AL131">
        <f>AE131-AE132</f>
        <v>130.4938094726237</v>
      </c>
      <c r="AM131">
        <f>AF131-AF132</f>
        <v>70.365683374333486</v>
      </c>
      <c r="AN131">
        <f>AF131-AE132</f>
        <v>-57.933409798416278</v>
      </c>
      <c r="AO131">
        <f>AE131-AF132</f>
        <v>258.79290264537349</v>
      </c>
      <c r="AP131">
        <f>((AL131/$AK131)*100)-100</f>
        <v>42.725461627665027</v>
      </c>
      <c r="AQ131">
        <f>((AM131/$AK131)*100)-100</f>
        <v>-23.038689092337535</v>
      </c>
      <c r="AS131" t="s">
        <v>561</v>
      </c>
      <c r="AT131">
        <f>AVERAGE(Z119,Z122,Z125,Z128)</f>
        <v>229.58587500000002</v>
      </c>
      <c r="AU131">
        <f>AVERAGE(AE119,AE122,AE125,AE128)</f>
        <v>327.67749992566382</v>
      </c>
      <c r="AV131">
        <f>AVERAGE(AF119,AF122,AF125,AF128)</f>
        <v>176.69229905882727</v>
      </c>
      <c r="AW131">
        <f>AVERAGE(AK122,AK128)</f>
        <v>73.455150000000003</v>
      </c>
      <c r="AX131">
        <f>AVERAGE(AL122,AL128)</f>
        <v>104.83920192679378</v>
      </c>
      <c r="AY131">
        <f>AVERAGE(AM122,AM128)</f>
        <v>56.532046369189828</v>
      </c>
      <c r="AZ131">
        <f>AVERAGE(AN122,AN128)</f>
        <v>-47.640045357137524</v>
      </c>
      <c r="BA131">
        <f>AVERAGE(AO122,AO128)</f>
        <v>209.01129365312113</v>
      </c>
    </row>
    <row r="132" spans="3:68" x14ac:dyDescent="0.25">
      <c r="C132" s="386"/>
      <c r="D132" s="386"/>
      <c r="E132" s="386"/>
      <c r="F132" s="386"/>
      <c r="G132" s="386"/>
      <c r="H132" s="386"/>
      <c r="I132" s="386"/>
      <c r="J132" s="386"/>
      <c r="K132" s="386"/>
      <c r="L132" s="386"/>
      <c r="M132" s="386"/>
      <c r="U132" t="s">
        <v>476</v>
      </c>
      <c r="X132">
        <v>35.81</v>
      </c>
      <c r="Y132">
        <v>15</v>
      </c>
      <c r="Z132">
        <v>195.08971342000001</v>
      </c>
      <c r="AC132">
        <f>Z132*(Y132/1000)</f>
        <v>2.9263457012999998</v>
      </c>
      <c r="AD132">
        <f>(Y132/1000)/($AI$1/$AI$2)</f>
        <v>4.4903125000000012E-3</v>
      </c>
      <c r="AE132">
        <f>AC132/((Y132/1000)-AD132)</f>
        <v>278.44269406678364</v>
      </c>
      <c r="AF132">
        <f>AC132/((Y132/1000)+AD132)</f>
        <v>150.14360089403388</v>
      </c>
      <c r="AG132">
        <f t="shared" si="30"/>
        <v>83.352980646783635</v>
      </c>
      <c r="AH132">
        <f t="shared" si="30"/>
        <v>-44.946112525966129</v>
      </c>
      <c r="AI132">
        <f t="shared" si="31"/>
        <v>42.725461627664941</v>
      </c>
      <c r="AJ132">
        <f t="shared" si="31"/>
        <v>-23.038689092337549</v>
      </c>
      <c r="AK132">
        <f>Z132-Z133</f>
        <v>51.553100940000007</v>
      </c>
      <c r="AL132">
        <f>AE132-AE133</f>
        <v>73.579401299991048</v>
      </c>
      <c r="AM132">
        <f>AF132-AF133</f>
        <v>39.675942296974455</v>
      </c>
      <c r="AN132">
        <f>AF132-AE133</f>
        <v>-54.719691872758716</v>
      </c>
      <c r="AO132">
        <f>AE132-AF133</f>
        <v>167.97503546972422</v>
      </c>
      <c r="AP132">
        <f>((AL132/$AK132)*100)-100</f>
        <v>42.725461627664856</v>
      </c>
      <c r="AQ132">
        <f>((AM132/$AK132)*100)-100</f>
        <v>-23.038689092337563</v>
      </c>
      <c r="AS132" t="s">
        <v>562</v>
      </c>
      <c r="AT132">
        <f>AVERAGE(Z123,Z129)</f>
        <v>158.40255000000002</v>
      </c>
      <c r="AU132">
        <f>AVERAGE(AE123,AE129)</f>
        <v>226.08077071749281</v>
      </c>
      <c r="AV132">
        <f>AVERAGE(AF123,AF129)</f>
        <v>121.90867899116546</v>
      </c>
    </row>
    <row r="133" spans="3:68" x14ac:dyDescent="0.25">
      <c r="C133" s="386"/>
      <c r="D133" s="386"/>
      <c r="E133" s="386"/>
      <c r="F133" s="386"/>
      <c r="G133" s="386"/>
      <c r="H133" s="386"/>
      <c r="I133" s="386"/>
      <c r="J133" s="386"/>
      <c r="K133" s="386"/>
      <c r="L133" s="386"/>
      <c r="M133" s="386"/>
      <c r="U133" t="s">
        <v>477</v>
      </c>
      <c r="X133">
        <v>13.28</v>
      </c>
      <c r="Y133">
        <v>15</v>
      </c>
      <c r="Z133">
        <v>143.53661248</v>
      </c>
      <c r="AC133">
        <f>Z133*(Y133/1000)</f>
        <v>2.1530491872000002</v>
      </c>
      <c r="AD133">
        <f>(Y133/1000)/($AI$1/$AI$2)</f>
        <v>4.4903125000000012E-3</v>
      </c>
      <c r="AE133">
        <f>AC133/((Y133/1000)-AD133)</f>
        <v>204.8632927667926</v>
      </c>
      <c r="AF133">
        <f>AC133/((Y133/1000)+AD133)</f>
        <v>110.46765859705943</v>
      </c>
      <c r="AG133">
        <f t="shared" si="30"/>
        <v>61.326680286792595</v>
      </c>
      <c r="AH133">
        <f t="shared" si="30"/>
        <v>-33.068953882940576</v>
      </c>
      <c r="AI133">
        <f t="shared" si="31"/>
        <v>42.725461627664998</v>
      </c>
      <c r="AJ133">
        <f t="shared" si="31"/>
        <v>-23.038689092337549</v>
      </c>
    </row>
    <row r="134" spans="3:68" x14ac:dyDescent="0.25"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U134" t="s">
        <v>478</v>
      </c>
    </row>
    <row r="135" spans="3:68" x14ac:dyDescent="0.25"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U135" t="s">
        <v>479</v>
      </c>
      <c r="X135">
        <v>36.53</v>
      </c>
      <c r="Y135">
        <v>15</v>
      </c>
      <c r="Z135">
        <v>196.60664398</v>
      </c>
      <c r="AC135">
        <f>Z135*(Y135/1000)</f>
        <v>2.9490996596999999</v>
      </c>
      <c r="AD135">
        <f>(Y135/1000)/($AI$1/$AI$2)</f>
        <v>4.4903125000000012E-3</v>
      </c>
      <c r="AE135">
        <f>AC135/((Y135/1000)-AD135)</f>
        <v>280.60774021111479</v>
      </c>
      <c r="AF135">
        <f>AC135/((Y135/1000)+AD135)</f>
        <v>151.31105053856882</v>
      </c>
      <c r="AG135">
        <f>AE135-$Z135</f>
        <v>84.001096231114786</v>
      </c>
      <c r="AH135">
        <f>AF135-$Z135</f>
        <v>-45.29559344143118</v>
      </c>
      <c r="AI135">
        <f>((AE135/$Z135)*100)-100</f>
        <v>42.72546162766497</v>
      </c>
      <c r="AJ135">
        <f>((AF135/$Z135)*100)-100</f>
        <v>-23.038689092337549</v>
      </c>
      <c r="AK135">
        <f>Z135-Z136</f>
        <v>87.166643980000003</v>
      </c>
      <c r="AL135">
        <f>AE135-AE136</f>
        <v>124.40899500579823</v>
      </c>
      <c r="AM135">
        <f>AF135-AF136</f>
        <v>67.084591881223034</v>
      </c>
      <c r="AN135">
        <f>AF135-AE136</f>
        <v>-4.8876946667477341</v>
      </c>
      <c r="AO135">
        <f>AE135-AF136</f>
        <v>196.38128155376899</v>
      </c>
      <c r="AP135">
        <f>((AL135/$AK135)*100)-100</f>
        <v>42.725461627664941</v>
      </c>
      <c r="AQ135">
        <f>((AM135/$AK135)*100)-100</f>
        <v>-23.038689092337549</v>
      </c>
    </row>
    <row r="136" spans="3:68" x14ac:dyDescent="0.25">
      <c r="C136" s="386"/>
      <c r="D136" s="386"/>
      <c r="E136" s="386"/>
      <c r="F136" s="386"/>
      <c r="G136" s="386"/>
      <c r="H136" s="386"/>
      <c r="I136" s="386"/>
      <c r="J136" s="386"/>
      <c r="K136" s="386"/>
      <c r="L136" s="386"/>
      <c r="M136" s="386"/>
      <c r="U136" t="s">
        <v>480</v>
      </c>
      <c r="Y136">
        <v>15</v>
      </c>
      <c r="Z136">
        <v>109.44</v>
      </c>
      <c r="AC136">
        <f>Z136*(Y136/1000)</f>
        <v>1.6415999999999999</v>
      </c>
      <c r="AD136">
        <f>(Y136/1000)/($AI$1/$AI$2)</f>
        <v>4.4903125000000012E-3</v>
      </c>
      <c r="AE136">
        <f>AC136/((Y136/1000)-AD136)</f>
        <v>156.19874520531656</v>
      </c>
      <c r="AF136">
        <f>AC136/((Y136/1000)+AD136)</f>
        <v>84.226458657345788</v>
      </c>
      <c r="AG136">
        <f>AE136-$Z136</f>
        <v>46.758745205316558</v>
      </c>
      <c r="AH136">
        <f>AF136-$Z136</f>
        <v>-25.21354134265421</v>
      </c>
      <c r="AI136">
        <f>((AE136/$Z136)*100)-100</f>
        <v>42.72546162766497</v>
      </c>
      <c r="AJ136">
        <f>((AF136/$Z136)*100)-100</f>
        <v>-23.038689092337549</v>
      </c>
    </row>
    <row r="137" spans="3:68" x14ac:dyDescent="0.25">
      <c r="C137" s="386"/>
      <c r="D137" s="386"/>
      <c r="E137" s="386"/>
      <c r="F137" s="386"/>
      <c r="G137" s="386"/>
      <c r="H137" s="386"/>
      <c r="I137" s="386"/>
      <c r="J137" s="386"/>
      <c r="K137" s="386"/>
      <c r="L137" s="386"/>
      <c r="M137" s="386"/>
      <c r="U137" t="s">
        <v>481</v>
      </c>
    </row>
    <row r="138" spans="3:68" x14ac:dyDescent="0.25">
      <c r="C138" s="386"/>
      <c r="D138" s="386"/>
      <c r="E138" s="386"/>
      <c r="F138" s="386"/>
      <c r="G138" s="386"/>
      <c r="H138" s="386"/>
      <c r="I138" s="386"/>
      <c r="J138" s="386"/>
      <c r="K138" s="386"/>
      <c r="L138" s="386"/>
      <c r="M138" s="386"/>
      <c r="U138" t="s">
        <v>482</v>
      </c>
      <c r="X138">
        <v>41.24</v>
      </c>
      <c r="Y138">
        <v>15</v>
      </c>
      <c r="Z138">
        <v>206.33041072</v>
      </c>
      <c r="AC138">
        <f>Z138*(Y138/1000)</f>
        <v>3.0949561607999998</v>
      </c>
      <c r="AD138">
        <f>(Y138/1000)/($AI$1/$AI$2)</f>
        <v>4.4903125000000012E-3</v>
      </c>
      <c r="AE138">
        <f>AC138/((Y138/1000)-AD138)</f>
        <v>294.48603117837712</v>
      </c>
      <c r="AF138">
        <f>AC138/((Y138/1000)+AD138)</f>
        <v>158.79458889127608</v>
      </c>
      <c r="AG138">
        <f>AE138-$Z138</f>
        <v>88.155620458377115</v>
      </c>
      <c r="AH138">
        <f>AF138-$Z138</f>
        <v>-47.535821828723925</v>
      </c>
      <c r="AI138">
        <f>((AE138/$Z138)*100)-100</f>
        <v>42.725461627664941</v>
      </c>
      <c r="AJ138">
        <f>((AF138/$Z138)*100)-100</f>
        <v>-23.038689092337563</v>
      </c>
      <c r="AK138">
        <f>Z138-Z139</f>
        <v>41.273446339999992</v>
      </c>
      <c r="AL138">
        <f>AE138-AE139</f>
        <v>58.907716818411586</v>
      </c>
      <c r="AM138">
        <f>AF138-AF139</f>
        <v>31.764585360034616</v>
      </c>
      <c r="AN138">
        <f>AF138-AE139</f>
        <v>-76.783725468689454</v>
      </c>
      <c r="AO138">
        <f>AE138-AF139</f>
        <v>167.45602764713567</v>
      </c>
      <c r="AP138">
        <f>((AL138/$AK138)*100)-100</f>
        <v>42.72546162766497</v>
      </c>
      <c r="AQ138">
        <f>((AM138/$AK138)*100)-100</f>
        <v>-23.038689092337563</v>
      </c>
    </row>
    <row r="139" spans="3:68" x14ac:dyDescent="0.25"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386"/>
      <c r="U139" t="s">
        <v>500</v>
      </c>
      <c r="X139">
        <v>22.27</v>
      </c>
      <c r="Y139">
        <v>15</v>
      </c>
      <c r="Z139">
        <v>165.05696438000001</v>
      </c>
      <c r="AC139">
        <f>Z139*(Y139/1000)</f>
        <v>2.4758544656999999</v>
      </c>
      <c r="AD139">
        <f>(Y139/1000)/($AI$1/$AI$2)</f>
        <v>4.4903125000000012E-3</v>
      </c>
      <c r="AE139">
        <f>AC139/((Y139/1000)-AD139)</f>
        <v>235.57831435996553</v>
      </c>
      <c r="AF139">
        <f>AC139/((Y139/1000)+AD139)</f>
        <v>127.03000353124146</v>
      </c>
      <c r="AG139">
        <f>AE139-$Z139</f>
        <v>70.521349979965521</v>
      </c>
      <c r="AH139">
        <f>AF139-$Z139</f>
        <v>-38.026960848758549</v>
      </c>
      <c r="AI139">
        <f>((AE139/$Z139)*100)-100</f>
        <v>42.725461627664941</v>
      </c>
      <c r="AJ139">
        <f>((AF139/$Z139)*100)-100</f>
        <v>-23.038689092337563</v>
      </c>
    </row>
    <row r="140" spans="3:68" x14ac:dyDescent="0.25"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386"/>
      <c r="U140" t="s">
        <v>483</v>
      </c>
    </row>
    <row r="141" spans="3:68" x14ac:dyDescent="0.25">
      <c r="C141" s="386"/>
      <c r="D141" s="386"/>
      <c r="E141" s="386"/>
      <c r="F141" s="386"/>
      <c r="G141" s="386"/>
      <c r="H141" s="386"/>
      <c r="I141" s="386"/>
      <c r="J141" s="386"/>
      <c r="K141" s="386"/>
      <c r="L141" s="386"/>
      <c r="M141" s="386"/>
      <c r="U141" t="s">
        <v>484</v>
      </c>
      <c r="X141">
        <v>44</v>
      </c>
      <c r="Y141">
        <v>15</v>
      </c>
      <c r="Z141">
        <v>211.86760000000001</v>
      </c>
      <c r="AC141">
        <f>Z141*(Y141/1000)</f>
        <v>3.1780140000000001</v>
      </c>
      <c r="AD141">
        <f>(Y141/1000)/($AI$1/$AI$2)</f>
        <v>4.4903125000000012E-3</v>
      </c>
      <c r="AE141">
        <f>AC141/((Y141/1000)-AD141)</f>
        <v>302.38901013945474</v>
      </c>
      <c r="AF141">
        <f>AC141/((Y141/1000)+AD141)</f>
        <v>163.05608234860264</v>
      </c>
      <c r="AG141">
        <f>AE141-$Z141</f>
        <v>90.52141013945473</v>
      </c>
      <c r="AH141">
        <f>AF141-$Z141</f>
        <v>-48.811517651397367</v>
      </c>
      <c r="AI141">
        <f>((AE141/$Z141)*100)-100</f>
        <v>42.72546162766497</v>
      </c>
      <c r="AJ141">
        <f>((AF141/$Z141)*100)-100</f>
        <v>-23.038689092337563</v>
      </c>
      <c r="AK141">
        <f>Z141-Z142</f>
        <v>76.572060020000009</v>
      </c>
      <c r="AL141">
        <f>AE141-AE142</f>
        <v>109.28782614135773</v>
      </c>
      <c r="AM141">
        <f>AF141-AF142</f>
        <v>58.930861180394103</v>
      </c>
      <c r="AN141">
        <f>AF141-AE142</f>
        <v>-30.04510164949437</v>
      </c>
      <c r="AO141">
        <f>AE141-AF142</f>
        <v>198.26378897124619</v>
      </c>
      <c r="AP141">
        <f>((AL141/$AK141)*100)-100</f>
        <v>42.725461627664998</v>
      </c>
      <c r="AQ141">
        <f>((AM141/$AK141)*100)-100</f>
        <v>-23.038689092337549</v>
      </c>
    </row>
    <row r="142" spans="3:68" x14ac:dyDescent="0.25">
      <c r="C142" s="386"/>
      <c r="D142" s="386"/>
      <c r="E142" s="386"/>
      <c r="F142" s="386"/>
      <c r="G142" s="386"/>
      <c r="H142" s="386"/>
      <c r="I142" s="386"/>
      <c r="J142" s="386"/>
      <c r="K142" s="386"/>
      <c r="L142" s="386"/>
      <c r="M142" s="386"/>
      <c r="U142" t="s">
        <v>485</v>
      </c>
      <c r="X142">
        <v>9.9700000000000006</v>
      </c>
      <c r="Y142">
        <v>15</v>
      </c>
      <c r="Z142">
        <v>135.29553998</v>
      </c>
      <c r="AC142">
        <f>Z142*(Y142/1000)</f>
        <v>2.0294330996999999</v>
      </c>
      <c r="AD142">
        <f>(Y142/1000)/($AI$1/$AI$2)</f>
        <v>4.4903125000000012E-3</v>
      </c>
      <c r="AE142">
        <f>AC142/((Y142/1000)-AD142)</f>
        <v>193.10118399809701</v>
      </c>
      <c r="AF142">
        <f>AC142/((Y142/1000)+AD142)</f>
        <v>104.12522116820854</v>
      </c>
      <c r="AG142">
        <f>AE142-$Z142</f>
        <v>57.805644018097013</v>
      </c>
      <c r="AH142">
        <f>AF142-$Z142</f>
        <v>-31.170318811791461</v>
      </c>
      <c r="AI142">
        <f>((AE142/$Z142)*100)-100</f>
        <v>42.72546162766497</v>
      </c>
      <c r="AJ142">
        <f>((AF142/$Z142)*100)-100</f>
        <v>-23.038689092337563</v>
      </c>
      <c r="AT142" t="s">
        <v>559</v>
      </c>
    </row>
    <row r="143" spans="3:68" x14ac:dyDescent="0.25">
      <c r="C143" s="386"/>
      <c r="D143" s="386"/>
      <c r="E143" s="386"/>
      <c r="F143" s="386"/>
      <c r="G143" s="386"/>
      <c r="H143" s="386"/>
      <c r="I143" s="386"/>
      <c r="J143" s="386"/>
      <c r="K143" s="386"/>
      <c r="L143" s="386"/>
      <c r="M143" s="386"/>
      <c r="U143" s="55" t="s">
        <v>547</v>
      </c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t="s">
        <v>560</v>
      </c>
      <c r="AT143">
        <f>AVERAGE(Z131)</f>
        <v>286.51965730278761</v>
      </c>
      <c r="AU143">
        <f>AVERAGE(AE131)</f>
        <v>408.93650353940734</v>
      </c>
      <c r="AV143">
        <f>AVERAGE(AF131)</f>
        <v>220.50928426836737</v>
      </c>
      <c r="AW143">
        <f>AVERAGE(AK131)</f>
        <v>91.429943882787597</v>
      </c>
      <c r="AX143">
        <f>AVERAGE(AL131)</f>
        <v>130.4938094726237</v>
      </c>
      <c r="AY143">
        <f>AVERAGE(AM131)</f>
        <v>70.365683374333486</v>
      </c>
      <c r="AZ143">
        <f>AVERAGE(AN131)</f>
        <v>-57.933409798416278</v>
      </c>
      <c r="BA143">
        <f>AVERAGE(AO131)</f>
        <v>258.79290264537349</v>
      </c>
    </row>
    <row r="144" spans="3:68" x14ac:dyDescent="0.25">
      <c r="C144" s="386"/>
      <c r="D144" s="386"/>
      <c r="E144" s="386"/>
      <c r="F144" s="386"/>
      <c r="G144" s="386"/>
      <c r="H144" s="386"/>
      <c r="I144" s="386"/>
      <c r="J144" s="386"/>
      <c r="K144" s="386"/>
      <c r="L144" s="386"/>
      <c r="M144" s="386"/>
      <c r="U144" t="s">
        <v>475</v>
      </c>
      <c r="X144">
        <v>75.383128999999997</v>
      </c>
      <c r="Y144">
        <v>15</v>
      </c>
      <c r="Z144">
        <v>266.47146999682099</v>
      </c>
      <c r="AC144">
        <f t="shared" ref="AC144:AC151" si="32">Z144*(Y144/1000)</f>
        <v>3.9970720499523145</v>
      </c>
      <c r="AD144">
        <f t="shared" ref="AD144:AD151" si="33">(Y144/1000)/($AI$1/$AI$2)</f>
        <v>4.4903125000000012E-3</v>
      </c>
      <c r="AE144">
        <f t="shared" ref="AE144:AE151" si="34">AC144/((Y144/1000)-AD144)</f>
        <v>380.32263565898751</v>
      </c>
      <c r="AF144">
        <f t="shared" ref="AF144:AF151" si="35">AC144/((Y144/1000)+AD144)</f>
        <v>205.07993650447185</v>
      </c>
      <c r="AG144">
        <f t="shared" ref="AG144:AH151" si="36">AE144-$Z144</f>
        <v>113.85116566216652</v>
      </c>
      <c r="AH144">
        <f t="shared" si="36"/>
        <v>-61.39153349234914</v>
      </c>
      <c r="AI144">
        <f t="shared" ref="AI144:AJ151" si="37">((AE144/$Z144)*100)-100</f>
        <v>42.72546162766497</v>
      </c>
      <c r="AJ144">
        <f t="shared" si="37"/>
        <v>-23.038689092337563</v>
      </c>
      <c r="AK144">
        <f>Z144-Z145</f>
        <v>8.4956968768210004</v>
      </c>
      <c r="AL144">
        <f>AE144-AE145</f>
        <v>12.1255225859299</v>
      </c>
      <c r="AM144">
        <f>AF144-AF145</f>
        <v>6.5383996871427712</v>
      </c>
      <c r="AN144">
        <f>AF144-AE145</f>
        <v>-163.11717656858576</v>
      </c>
      <c r="AO144">
        <f>AE144-AF145</f>
        <v>181.78109884165843</v>
      </c>
      <c r="AP144">
        <f>((AL144/$AK144)*100)-100</f>
        <v>42.725461627665112</v>
      </c>
      <c r="AQ144">
        <f>((AM144/$AK144)*100)-100</f>
        <v>-23.038689092337634</v>
      </c>
      <c r="AS144" t="s">
        <v>561</v>
      </c>
      <c r="AT144">
        <f>AVERAGE(Z132,Z135,Z138,Z141)</f>
        <v>202.47359203000002</v>
      </c>
      <c r="AU144">
        <f>AVERAGE(AE132,AE135,AE138,AE141)</f>
        <v>288.98136889893254</v>
      </c>
      <c r="AV144">
        <f>AVERAGE(AF132,AF135,AF138,AF141)</f>
        <v>155.82633066812036</v>
      </c>
      <c r="AW144">
        <f>AVERAGE(AK132,AK135,AK138,AK141)</f>
        <v>64.141312819999996</v>
      </c>
      <c r="AX144">
        <f>AVERAGE(AL132,AL135,AL138,AL141)</f>
        <v>91.545984816389648</v>
      </c>
      <c r="AY144">
        <f>AVERAGE(AM132,AM135,AM138,AM141)</f>
        <v>49.363995179656555</v>
      </c>
      <c r="AZ144">
        <f>AVERAGE(AN132,AN135,AN138,AN141)</f>
        <v>-41.609053414422569</v>
      </c>
      <c r="BA144">
        <f>AVERAGE(AO132,AO135,AO138,AO141)</f>
        <v>182.51903341046875</v>
      </c>
    </row>
    <row r="145" spans="3:53" x14ac:dyDescent="0.25">
      <c r="C145" s="386"/>
      <c r="D145" s="386"/>
      <c r="E145" s="386"/>
      <c r="F145" s="386"/>
      <c r="G145" s="386"/>
      <c r="H145" s="386"/>
      <c r="I145" s="386"/>
      <c r="J145" s="386"/>
      <c r="K145" s="386"/>
      <c r="L145" s="386"/>
      <c r="M145" s="386"/>
      <c r="U145" t="s">
        <v>476</v>
      </c>
      <c r="X145">
        <v>69.86</v>
      </c>
      <c r="Y145">
        <v>15</v>
      </c>
      <c r="Z145">
        <v>257.97577311999999</v>
      </c>
      <c r="AC145">
        <f t="shared" si="32"/>
        <v>3.8696365967999995</v>
      </c>
      <c r="AD145">
        <f t="shared" si="33"/>
        <v>4.4903125000000012E-3</v>
      </c>
      <c r="AE145">
        <f t="shared" si="34"/>
        <v>368.19711307305761</v>
      </c>
      <c r="AF145">
        <f t="shared" si="35"/>
        <v>198.54153681732907</v>
      </c>
      <c r="AG145">
        <f t="shared" si="36"/>
        <v>110.22133995305762</v>
      </c>
      <c r="AH145">
        <f t="shared" si="36"/>
        <v>-59.434236302670911</v>
      </c>
      <c r="AI145">
        <f t="shared" si="37"/>
        <v>42.72546162766497</v>
      </c>
      <c r="AJ145">
        <f t="shared" si="37"/>
        <v>-23.038689092337549</v>
      </c>
      <c r="AK145">
        <f>Z145-Z146</f>
        <v>89.151921119999997</v>
      </c>
      <c r="AL145">
        <f>AE145-AE146</f>
        <v>127.2424909684517</v>
      </c>
      <c r="AM145">
        <f>AF145-AF146</f>
        <v>68.612487193317179</v>
      </c>
      <c r="AN145">
        <f>AF145-AE146</f>
        <v>-42.413085287276829</v>
      </c>
      <c r="AO145">
        <f>AE145-AF146</f>
        <v>238.26806344904571</v>
      </c>
      <c r="AP145">
        <f>((AL145/$AK145)*100)-100</f>
        <v>42.725461627664941</v>
      </c>
      <c r="AQ145">
        <f>((AM145/$AK145)*100)-100</f>
        <v>-23.038689092337549</v>
      </c>
      <c r="AS145" t="s">
        <v>562</v>
      </c>
      <c r="AT145">
        <f>AVERAGE(Z133,Z136,Z139,Z142)</f>
        <v>138.33227921000002</v>
      </c>
      <c r="AU145">
        <f>AVERAGE(AE133,AE136,AE139,AE142)</f>
        <v>197.4353840825429</v>
      </c>
      <c r="AV145">
        <f>AVERAGE(AF133,AF136,AF139,AF142)</f>
        <v>106.46233548846381</v>
      </c>
    </row>
    <row r="146" spans="3:53" x14ac:dyDescent="0.25">
      <c r="C146" s="386"/>
      <c r="D146" s="386"/>
      <c r="E146" s="386"/>
      <c r="F146" s="386"/>
      <c r="G146" s="386"/>
      <c r="H146" s="386"/>
      <c r="I146" s="386"/>
      <c r="J146" s="386"/>
      <c r="K146" s="386"/>
      <c r="L146" s="386"/>
      <c r="M146" s="386"/>
      <c r="U146" t="s">
        <v>477</v>
      </c>
      <c r="X146">
        <v>23.9</v>
      </c>
      <c r="Y146">
        <v>15</v>
      </c>
      <c r="Z146">
        <v>168.82385199999999</v>
      </c>
      <c r="AC146">
        <f t="shared" si="32"/>
        <v>2.5323577799999999</v>
      </c>
      <c r="AD146">
        <f t="shared" si="33"/>
        <v>4.4903125000000012E-3</v>
      </c>
      <c r="AE146">
        <f t="shared" si="34"/>
        <v>240.9546221046059</v>
      </c>
      <c r="AF146">
        <f t="shared" si="35"/>
        <v>129.9290496240119</v>
      </c>
      <c r="AG146">
        <f t="shared" si="36"/>
        <v>72.130770104605915</v>
      </c>
      <c r="AH146">
        <f t="shared" si="36"/>
        <v>-38.894802375988093</v>
      </c>
      <c r="AI146">
        <f t="shared" si="37"/>
        <v>42.72546162766497</v>
      </c>
      <c r="AJ146">
        <f t="shared" si="37"/>
        <v>-23.038689092337549</v>
      </c>
    </row>
    <row r="147" spans="3:53" x14ac:dyDescent="0.25"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6"/>
      <c r="U147" t="s">
        <v>478</v>
      </c>
      <c r="X147">
        <v>111.13569</v>
      </c>
      <c r="Y147">
        <v>15</v>
      </c>
      <c r="Z147">
        <v>309.95563714314642</v>
      </c>
      <c r="AC147">
        <f t="shared" si="32"/>
        <v>4.6493345571471965</v>
      </c>
      <c r="AD147">
        <f t="shared" si="33"/>
        <v>4.4903125000000012E-3</v>
      </c>
      <c r="AE147">
        <f t="shared" si="34"/>
        <v>442.38561395352593</v>
      </c>
      <c r="AF147">
        <f t="shared" si="35"/>
        <v>238.54592157756301</v>
      </c>
      <c r="AG147">
        <f t="shared" si="36"/>
        <v>132.42997681037951</v>
      </c>
      <c r="AH147">
        <f t="shared" si="36"/>
        <v>-71.409715565583411</v>
      </c>
      <c r="AI147">
        <f t="shared" si="37"/>
        <v>42.72546162766497</v>
      </c>
      <c r="AJ147">
        <f t="shared" si="37"/>
        <v>-23.038689092337535</v>
      </c>
      <c r="AK147">
        <f>Z147-Z148</f>
        <v>83.678894263146418</v>
      </c>
      <c r="AL147">
        <f>AE147-AE148</f>
        <v>119.43108812200143</v>
      </c>
      <c r="AM147">
        <f>AF147-AF148</f>
        <v>64.400373977954274</v>
      </c>
      <c r="AN147">
        <f>AF147-AE148</f>
        <v>-84.408604253961499</v>
      </c>
      <c r="AO147">
        <f>AE147-AF148</f>
        <v>268.2400663539172</v>
      </c>
      <c r="AP147">
        <f>((AL147/$AK147)*100)-100</f>
        <v>42.725461627665027</v>
      </c>
      <c r="AQ147">
        <f>((AM147/$AK147)*100)-100</f>
        <v>-23.038689092337506</v>
      </c>
    </row>
    <row r="148" spans="3:53" x14ac:dyDescent="0.25">
      <c r="C148" s="386"/>
      <c r="D148" s="386"/>
      <c r="E148" s="386"/>
      <c r="F148" s="386"/>
      <c r="G148" s="386"/>
      <c r="H148" s="386"/>
      <c r="I148" s="386"/>
      <c r="J148" s="386"/>
      <c r="K148" s="386"/>
      <c r="L148" s="386"/>
      <c r="M148" s="386"/>
      <c r="U148" t="s">
        <v>479</v>
      </c>
      <c r="X148">
        <v>51.48</v>
      </c>
      <c r="Y148">
        <v>15</v>
      </c>
      <c r="Z148">
        <v>226.27674288</v>
      </c>
      <c r="AC148">
        <f t="shared" si="32"/>
        <v>3.3941511431999998</v>
      </c>
      <c r="AD148">
        <f t="shared" si="33"/>
        <v>4.4903125000000012E-3</v>
      </c>
      <c r="AE148">
        <f t="shared" si="34"/>
        <v>322.95452583152451</v>
      </c>
      <c r="AF148">
        <f t="shared" si="35"/>
        <v>174.14554759960873</v>
      </c>
      <c r="AG148">
        <f t="shared" si="36"/>
        <v>96.677782951524506</v>
      </c>
      <c r="AH148">
        <f t="shared" si="36"/>
        <v>-52.131195280391267</v>
      </c>
      <c r="AI148">
        <f t="shared" si="37"/>
        <v>42.725461627664941</v>
      </c>
      <c r="AJ148">
        <f t="shared" si="37"/>
        <v>-23.038689092337563</v>
      </c>
      <c r="AK148">
        <f>Z148-Z149</f>
        <v>90.629176260000008</v>
      </c>
      <c r="AL148">
        <f>AE148-AE149</f>
        <v>129.35091018643513</v>
      </c>
      <c r="AM148">
        <f>AF148-AF149</f>
        <v>69.74940211451198</v>
      </c>
      <c r="AN148">
        <f>AF148-AE149</f>
        <v>-19.458068045480644</v>
      </c>
      <c r="AO148">
        <f>AE148-AF149</f>
        <v>218.55838034642775</v>
      </c>
      <c r="AP148">
        <f>((AL148/$AK148)*100)-100</f>
        <v>42.725461627664941</v>
      </c>
      <c r="AQ148">
        <f>((AM148/$AK148)*100)-100</f>
        <v>-23.038689092337577</v>
      </c>
    </row>
    <row r="149" spans="3:53" x14ac:dyDescent="0.25">
      <c r="C149" s="386"/>
      <c r="D149" s="386"/>
      <c r="E149" s="386"/>
      <c r="F149" s="386"/>
      <c r="G149" s="386"/>
      <c r="H149" s="386"/>
      <c r="I149" s="386"/>
      <c r="J149" s="386"/>
      <c r="K149" s="386"/>
      <c r="L149" s="386"/>
      <c r="M149" s="386"/>
      <c r="U149" t="s">
        <v>480</v>
      </c>
      <c r="X149">
        <v>10.11</v>
      </c>
      <c r="Y149">
        <v>15</v>
      </c>
      <c r="Z149">
        <v>135.64756661999999</v>
      </c>
      <c r="AC149">
        <f t="shared" si="32"/>
        <v>2.0347134993</v>
      </c>
      <c r="AD149">
        <f t="shared" si="33"/>
        <v>4.4903125000000012E-3</v>
      </c>
      <c r="AE149">
        <f t="shared" si="34"/>
        <v>193.60361564508938</v>
      </c>
      <c r="AF149">
        <f t="shared" si="35"/>
        <v>104.39614548509675</v>
      </c>
      <c r="AG149">
        <f t="shared" si="36"/>
        <v>57.956049025089385</v>
      </c>
      <c r="AH149">
        <f t="shared" si="36"/>
        <v>-31.251421134903239</v>
      </c>
      <c r="AI149">
        <f t="shared" si="37"/>
        <v>42.72546162766497</v>
      </c>
      <c r="AJ149">
        <f t="shared" si="37"/>
        <v>-23.038689092337535</v>
      </c>
    </row>
    <row r="150" spans="3:53" x14ac:dyDescent="0.25">
      <c r="C150" s="386"/>
      <c r="D150" s="386"/>
      <c r="E150" s="386"/>
      <c r="F150" s="386"/>
      <c r="G150" s="386"/>
      <c r="H150" s="386"/>
      <c r="I150" s="386"/>
      <c r="J150" s="386"/>
      <c r="K150" s="386"/>
      <c r="L150" s="386"/>
      <c r="M150" s="386"/>
      <c r="U150" t="s">
        <v>481</v>
      </c>
      <c r="X150">
        <v>89.4</v>
      </c>
      <c r="Y150">
        <v>15</v>
      </c>
      <c r="Z150">
        <v>285.89593200000002</v>
      </c>
      <c r="AC150">
        <f t="shared" si="32"/>
        <v>4.2884389800000005</v>
      </c>
      <c r="AD150">
        <f t="shared" si="33"/>
        <v>4.4903125000000012E-3</v>
      </c>
      <c r="AE150">
        <f t="shared" si="34"/>
        <v>408.0462887217152</v>
      </c>
      <c r="AF150">
        <f t="shared" si="35"/>
        <v>220.02925709887924</v>
      </c>
      <c r="AG150">
        <f t="shared" si="36"/>
        <v>122.15035672171518</v>
      </c>
      <c r="AH150">
        <f t="shared" si="36"/>
        <v>-65.866674901120774</v>
      </c>
      <c r="AI150">
        <f t="shared" si="37"/>
        <v>42.72546162766497</v>
      </c>
      <c r="AJ150">
        <f t="shared" si="37"/>
        <v>-23.038689092337549</v>
      </c>
      <c r="AK150">
        <f>Z150-Z151</f>
        <v>106.68739778000003</v>
      </c>
      <c r="AL150">
        <f>AE150-AE151</f>
        <v>152.27008098004828</v>
      </c>
      <c r="AM150">
        <f>AF150-AF151</f>
        <v>82.108019904760397</v>
      </c>
      <c r="AN150">
        <f>AF150-AE151</f>
        <v>-35.746950642787681</v>
      </c>
      <c r="AO150">
        <f>AE150-AF151</f>
        <v>270.12505152759638</v>
      </c>
      <c r="AP150">
        <f>((AL150/$AK150)*100)-100</f>
        <v>42.725461627665027</v>
      </c>
      <c r="AQ150">
        <f>((AM150/$AK150)*100)-100</f>
        <v>-23.038689092337535</v>
      </c>
    </row>
    <row r="151" spans="3:53" x14ac:dyDescent="0.25">
      <c r="C151" s="386"/>
      <c r="D151" s="386"/>
      <c r="E151" s="386"/>
      <c r="F151" s="386"/>
      <c r="G151" s="386"/>
      <c r="H151" s="386"/>
      <c r="I151" s="386"/>
      <c r="J151" s="386"/>
      <c r="K151" s="386"/>
      <c r="L151" s="386"/>
      <c r="M151" s="386"/>
      <c r="U151" t="s">
        <v>482</v>
      </c>
      <c r="X151">
        <v>28.49</v>
      </c>
      <c r="Y151">
        <v>15</v>
      </c>
      <c r="Z151">
        <v>179.20853421999999</v>
      </c>
      <c r="AC151">
        <f t="shared" si="32"/>
        <v>2.6881280132999996</v>
      </c>
      <c r="AD151">
        <f t="shared" si="33"/>
        <v>4.4903125000000012E-3</v>
      </c>
      <c r="AE151">
        <f t="shared" si="34"/>
        <v>255.77620774166692</v>
      </c>
      <c r="AF151">
        <f t="shared" si="35"/>
        <v>137.92123719411885</v>
      </c>
      <c r="AG151">
        <f t="shared" si="36"/>
        <v>76.567673521666933</v>
      </c>
      <c r="AH151">
        <f t="shared" si="36"/>
        <v>-41.287297025881145</v>
      </c>
      <c r="AI151">
        <f t="shared" si="37"/>
        <v>42.72546162766497</v>
      </c>
      <c r="AJ151">
        <f t="shared" si="37"/>
        <v>-23.038689092337549</v>
      </c>
    </row>
    <row r="152" spans="3:53" x14ac:dyDescent="0.25">
      <c r="C152" s="386"/>
      <c r="D152" s="386"/>
      <c r="E152" s="386"/>
      <c r="F152" s="386"/>
      <c r="G152" s="386"/>
      <c r="H152" s="386"/>
      <c r="I152" s="386"/>
      <c r="J152" s="386"/>
      <c r="K152" s="386"/>
      <c r="L152" s="386"/>
      <c r="M152" s="386"/>
      <c r="U152" t="s">
        <v>500</v>
      </c>
    </row>
    <row r="153" spans="3:53" x14ac:dyDescent="0.25">
      <c r="C153" s="386"/>
      <c r="D153" s="386"/>
      <c r="E153" s="386"/>
      <c r="F153" s="386"/>
      <c r="G153" s="386"/>
      <c r="H153" s="386"/>
      <c r="I153" s="386"/>
      <c r="J153" s="386"/>
      <c r="K153" s="386"/>
      <c r="L153" s="386"/>
      <c r="M153" s="386"/>
      <c r="U153" t="s">
        <v>483</v>
      </c>
      <c r="X153">
        <v>68.86</v>
      </c>
      <c r="Y153">
        <v>15</v>
      </c>
      <c r="Z153">
        <v>256.38668912000003</v>
      </c>
      <c r="AC153">
        <f>Z153*(Y153/1000)</f>
        <v>3.8458003368000004</v>
      </c>
      <c r="AD153">
        <f>(Y153/1000)/($AI$1/$AI$2)</f>
        <v>4.4903125000000012E-3</v>
      </c>
      <c r="AE153">
        <f>AC153/((Y153/1000)-AD153)</f>
        <v>365.92908559840635</v>
      </c>
      <c r="AF153">
        <f>AC153/((Y153/1000)+AD153)</f>
        <v>197.31855693950521</v>
      </c>
      <c r="AG153">
        <f t="shared" ref="AG153:AH155" si="38">AE153-$Z153</f>
        <v>109.54239647840632</v>
      </c>
      <c r="AH153">
        <f t="shared" si="38"/>
        <v>-59.068132180494814</v>
      </c>
      <c r="AI153">
        <f t="shared" ref="AI153:AJ155" si="39">((AE153/$Z153)*100)-100</f>
        <v>42.72546162766497</v>
      </c>
      <c r="AJ153">
        <f t="shared" si="39"/>
        <v>-23.038689092337535</v>
      </c>
      <c r="AK153">
        <f>Z153-Z154</f>
        <v>35.325076640000049</v>
      </c>
      <c r="AL153">
        <f>AE153-AE154</f>
        <v>50.417878704766565</v>
      </c>
      <c r="AM153">
        <f>AF153-AF154</f>
        <v>27.186642061280509</v>
      </c>
      <c r="AN153">
        <f>AF153-AE154</f>
        <v>-118.19264995413457</v>
      </c>
      <c r="AO153">
        <f>AE153-AF154</f>
        <v>195.79717072018164</v>
      </c>
      <c r="AP153">
        <f>((AL153/$AK153)*100)-100</f>
        <v>42.72546162766514</v>
      </c>
      <c r="AQ153">
        <f>((AM153/$AK153)*100)-100</f>
        <v>-23.038689092337464</v>
      </c>
    </row>
    <row r="154" spans="3:53" x14ac:dyDescent="0.25"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6"/>
      <c r="U154" t="s">
        <v>484</v>
      </c>
      <c r="X154">
        <v>48.72</v>
      </c>
      <c r="Y154">
        <v>15</v>
      </c>
      <c r="Z154">
        <v>221.06161247999998</v>
      </c>
      <c r="AC154">
        <f>Z154*(Y154/1000)</f>
        <v>3.3159241871999994</v>
      </c>
      <c r="AD154">
        <f>(Y154/1000)/($AI$1/$AI$2)</f>
        <v>4.4903125000000012E-3</v>
      </c>
      <c r="AE154">
        <f>AC154/((Y154/1000)-AD154)</f>
        <v>315.51120689363978</v>
      </c>
      <c r="AF154">
        <f>AC154/((Y154/1000)+AD154)</f>
        <v>170.13191487822471</v>
      </c>
      <c r="AG154">
        <f t="shared" si="38"/>
        <v>94.449594413639801</v>
      </c>
      <c r="AH154">
        <f t="shared" si="38"/>
        <v>-50.929697601775274</v>
      </c>
      <c r="AI154">
        <f t="shared" si="39"/>
        <v>42.725461627664941</v>
      </c>
      <c r="AJ154">
        <f t="shared" si="39"/>
        <v>-23.038689092337563</v>
      </c>
      <c r="AK154">
        <f>Z154-Z155</f>
        <v>87.73682851433901</v>
      </c>
      <c r="AL154">
        <f>AE154-AE155</f>
        <v>125.22279351456311</v>
      </c>
      <c r="AM154">
        <f>AF154-AF155</f>
        <v>67.523413373443077</v>
      </c>
      <c r="AN154">
        <f>AF154-AE155</f>
        <v>-20.156498500851967</v>
      </c>
      <c r="AO154">
        <f>AE154-AF155</f>
        <v>212.90270538885815</v>
      </c>
      <c r="AP154">
        <f>((AL154/$AK154)*100)-100</f>
        <v>42.725461627664941</v>
      </c>
      <c r="AQ154">
        <f>((AM154/$AK154)*100)-100</f>
        <v>-23.038689092337563</v>
      </c>
    </row>
    <row r="155" spans="3:53" x14ac:dyDescent="0.25">
      <c r="C155" s="386"/>
      <c r="D155" s="386"/>
      <c r="E155" s="386"/>
      <c r="F155" s="386"/>
      <c r="G155" s="386"/>
      <c r="H155" s="386"/>
      <c r="I155" s="386"/>
      <c r="J155" s="386"/>
      <c r="K155" s="386"/>
      <c r="L155" s="386"/>
      <c r="M155" s="386"/>
      <c r="U155" t="s">
        <v>485</v>
      </c>
      <c r="X155">
        <v>9.1884700000000006</v>
      </c>
      <c r="Y155">
        <v>15</v>
      </c>
      <c r="Z155">
        <v>133.32478396566097</v>
      </c>
      <c r="AC155">
        <f>Z155*(Y155/1000)</f>
        <v>1.9998717594849145</v>
      </c>
      <c r="AD155">
        <f>(Y155/1000)/($AI$1/$AI$2)</f>
        <v>4.4903125000000012E-3</v>
      </c>
      <c r="AE155">
        <f>AC155/((Y155/1000)-AD155)</f>
        <v>190.28841337907667</v>
      </c>
      <c r="AF155">
        <f>AC155/((Y155/1000)+AD155)</f>
        <v>102.60850150478163</v>
      </c>
      <c r="AG155">
        <f t="shared" si="38"/>
        <v>56.963629413415703</v>
      </c>
      <c r="AH155">
        <f t="shared" si="38"/>
        <v>-30.716282460879341</v>
      </c>
      <c r="AI155">
        <f t="shared" si="39"/>
        <v>42.72546162766497</v>
      </c>
      <c r="AJ155">
        <f t="shared" si="39"/>
        <v>-23.038689092337549</v>
      </c>
      <c r="AT155" t="s">
        <v>559</v>
      </c>
    </row>
    <row r="156" spans="3:53" x14ac:dyDescent="0.25"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U156" s="525" t="s">
        <v>548</v>
      </c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t="s">
        <v>560</v>
      </c>
      <c r="AT156">
        <f>AVERAGE(Z144,Z147,Z150,Z153)</f>
        <v>279.67743206499188</v>
      </c>
      <c r="AU156">
        <f t="shared" ref="AU156:AV158" si="40">AVERAGE(AE144,AE147,AE150,AE153)</f>
        <v>399.17090598315872</v>
      </c>
      <c r="AV156">
        <f t="shared" si="40"/>
        <v>215.24341803010483</v>
      </c>
      <c r="AW156">
        <f t="shared" ref="AW156:BA157" si="41">AVERAGE(AK144,AK147,AK150,AK153)</f>
        <v>58.546766389991873</v>
      </c>
      <c r="AX156">
        <f t="shared" si="41"/>
        <v>83.561142598186549</v>
      </c>
      <c r="AY156">
        <f t="shared" si="41"/>
        <v>45.058358907784488</v>
      </c>
      <c r="AZ156">
        <f t="shared" si="41"/>
        <v>-100.36634535486738</v>
      </c>
      <c r="BA156">
        <f t="shared" si="41"/>
        <v>228.98584686083842</v>
      </c>
    </row>
    <row r="157" spans="3:53" x14ac:dyDescent="0.25">
      <c r="C157" s="386"/>
      <c r="D157" s="386"/>
      <c r="E157" s="386"/>
      <c r="F157" s="386"/>
      <c r="G157" s="386"/>
      <c r="H157" s="386"/>
      <c r="I157" s="386"/>
      <c r="J157" s="386"/>
      <c r="K157" s="386"/>
      <c r="L157" s="386"/>
      <c r="M157" s="386"/>
      <c r="U157" t="s">
        <v>475</v>
      </c>
      <c r="AS157" t="s">
        <v>561</v>
      </c>
      <c r="AT157">
        <f>AVERAGE(Z145,Z148,Z151,Z154)</f>
        <v>221.13066567500002</v>
      </c>
      <c r="AU157">
        <f t="shared" si="40"/>
        <v>315.60976338497221</v>
      </c>
      <c r="AV157">
        <f t="shared" si="40"/>
        <v>170.18505912232035</v>
      </c>
      <c r="AW157">
        <f t="shared" si="41"/>
        <v>89.172641964779658</v>
      </c>
      <c r="AX157">
        <f t="shared" si="41"/>
        <v>127.27206488981665</v>
      </c>
      <c r="AY157">
        <f t="shared" si="41"/>
        <v>68.62843422709075</v>
      </c>
      <c r="AZ157">
        <f t="shared" si="41"/>
        <v>-27.342550611203148</v>
      </c>
      <c r="BA157">
        <f t="shared" si="41"/>
        <v>223.24304972811055</v>
      </c>
    </row>
    <row r="158" spans="3:53" x14ac:dyDescent="0.25">
      <c r="C158" s="386"/>
      <c r="D158" s="386"/>
      <c r="E158" s="386"/>
      <c r="F158" s="386"/>
      <c r="G158" s="386"/>
      <c r="H158" s="386"/>
      <c r="I158" s="386"/>
      <c r="J158" s="386"/>
      <c r="K158" s="386"/>
      <c r="L158" s="386"/>
      <c r="M158" s="386"/>
      <c r="U158" t="s">
        <v>476</v>
      </c>
      <c r="X158" s="47">
        <v>54</v>
      </c>
      <c r="Y158">
        <v>15</v>
      </c>
      <c r="Z158" s="61">
        <v>230.93459999999999</v>
      </c>
      <c r="AC158">
        <f>Z158*(Y158/1000)</f>
        <v>3.4640189999999995</v>
      </c>
      <c r="AD158">
        <f>(Y158/1000)/($AI$1/$AI$2)</f>
        <v>4.4903125000000012E-3</v>
      </c>
      <c r="AE158">
        <f>AC158/((Y158/1000)-AD158)</f>
        <v>329.60247390800157</v>
      </c>
      <c r="AF158">
        <f>AC158/((Y158/1000)+AD158)</f>
        <v>177.73029549936663</v>
      </c>
      <c r="AG158">
        <f>AE158-$Z158</f>
        <v>98.667873908001582</v>
      </c>
      <c r="AH158">
        <f>AF158-$Z158</f>
        <v>-53.204304500633356</v>
      </c>
      <c r="AI158">
        <f>((AE158/$Z158)*100)-100</f>
        <v>42.72546162766497</v>
      </c>
      <c r="AJ158">
        <f>((AF158/$Z158)*100)-100</f>
        <v>-23.038689092337549</v>
      </c>
      <c r="AS158" t="s">
        <v>562</v>
      </c>
      <c r="AT158">
        <f>AVERAGE(Z146,Z149,Z152,Z155)</f>
        <v>145.93206752855366</v>
      </c>
      <c r="AU158">
        <f t="shared" si="40"/>
        <v>208.282217042924</v>
      </c>
      <c r="AV158">
        <f t="shared" si="40"/>
        <v>112.31123220463009</v>
      </c>
    </row>
    <row r="159" spans="3:53" x14ac:dyDescent="0.25">
      <c r="C159" s="386"/>
      <c r="D159" s="386"/>
      <c r="E159" s="386"/>
      <c r="F159" s="386"/>
      <c r="G159" s="386"/>
      <c r="H159" s="386"/>
      <c r="I159" s="386"/>
      <c r="J159" s="386"/>
      <c r="K159" s="386"/>
      <c r="L159" s="386"/>
      <c r="M159" s="386"/>
      <c r="U159" t="s">
        <v>477</v>
      </c>
    </row>
    <row r="160" spans="3:53" x14ac:dyDescent="0.25">
      <c r="C160" s="386"/>
      <c r="D160" s="386"/>
      <c r="E160" s="386"/>
      <c r="F160" s="386"/>
      <c r="G160" s="386"/>
      <c r="H160" s="386"/>
      <c r="I160" s="386"/>
      <c r="J160" s="386"/>
      <c r="K160" s="386"/>
      <c r="L160" s="386"/>
      <c r="M160" s="386"/>
      <c r="U160" t="s">
        <v>478</v>
      </c>
    </row>
    <row r="161" spans="3:53" x14ac:dyDescent="0.25">
      <c r="C161" s="386"/>
      <c r="D161" s="386"/>
      <c r="E161" s="386"/>
      <c r="F161" s="386"/>
      <c r="G161" s="386"/>
      <c r="H161" s="386"/>
      <c r="I161" s="386"/>
      <c r="J161" s="386"/>
      <c r="K161" s="386"/>
      <c r="L161" s="386"/>
      <c r="M161" s="386"/>
      <c r="U161" t="s">
        <v>479</v>
      </c>
      <c r="X161" s="47">
        <v>21</v>
      </c>
      <c r="Y161">
        <v>15</v>
      </c>
      <c r="Z161" s="61">
        <v>162.0933</v>
      </c>
      <c r="AC161">
        <f>Z161*(Y161/1000)</f>
        <v>2.4313994999999999</v>
      </c>
      <c r="AD161">
        <f>(Y161/1000)/($AI$1/$AI$2)</f>
        <v>4.4903125000000012E-3</v>
      </c>
      <c r="AE161">
        <f>AC161/((Y161/1000)-AD161)</f>
        <v>231.34841069251587</v>
      </c>
      <c r="AF161">
        <f>AC161/((Y161/1000)+AD161)</f>
        <v>124.74912857349001</v>
      </c>
      <c r="AG161">
        <f>AE161-$Z161</f>
        <v>69.255110692515871</v>
      </c>
      <c r="AH161">
        <f>AF161-$Z161</f>
        <v>-37.344171426509988</v>
      </c>
      <c r="AI161">
        <f>((AE161/$Z161)*100)-100</f>
        <v>42.72546162766497</v>
      </c>
      <c r="AJ161">
        <f>((AF161/$Z161)*100)-100</f>
        <v>-23.038689092337549</v>
      </c>
    </row>
    <row r="162" spans="3:53" x14ac:dyDescent="0.25">
      <c r="C162" s="386"/>
      <c r="D162" s="386"/>
      <c r="E162" s="386"/>
      <c r="F162" s="386"/>
      <c r="G162" s="386"/>
      <c r="H162" s="386"/>
      <c r="I162" s="386"/>
      <c r="J162" s="386"/>
      <c r="K162" s="386"/>
      <c r="L162" s="386"/>
      <c r="M162" s="386"/>
      <c r="U162" t="s">
        <v>480</v>
      </c>
    </row>
    <row r="163" spans="3:53" x14ac:dyDescent="0.25">
      <c r="C163" s="386"/>
      <c r="D163" s="386"/>
      <c r="E163" s="386"/>
      <c r="F163" s="386"/>
      <c r="G163" s="386"/>
      <c r="H163" s="386"/>
      <c r="I163" s="386"/>
      <c r="J163" s="386"/>
      <c r="K163" s="386"/>
      <c r="L163" s="386"/>
      <c r="M163" s="386"/>
      <c r="U163" t="s">
        <v>481</v>
      </c>
    </row>
    <row r="164" spans="3:53" x14ac:dyDescent="0.25">
      <c r="C164" s="386"/>
      <c r="D164" s="386"/>
      <c r="E164" s="386"/>
      <c r="F164" s="386"/>
      <c r="G164" s="386"/>
      <c r="H164" s="386"/>
      <c r="I164" s="386"/>
      <c r="J164" s="386"/>
      <c r="K164" s="386"/>
      <c r="L164" s="386"/>
      <c r="M164" s="386"/>
      <c r="U164" t="s">
        <v>482</v>
      </c>
      <c r="X164" s="47">
        <v>51</v>
      </c>
      <c r="Y164">
        <v>15</v>
      </c>
      <c r="Z164" s="61">
        <v>225.3783</v>
      </c>
      <c r="AC164">
        <f>Z164*(Y164/1000)</f>
        <v>3.3806745</v>
      </c>
      <c r="AD164">
        <f>(Y164/1000)/($AI$1/$AI$2)</f>
        <v>4.4903125000000012E-3</v>
      </c>
      <c r="AE164">
        <f>AC164/((Y164/1000)-AD164)</f>
        <v>321.67221908358368</v>
      </c>
      <c r="AF164">
        <f>AC164/((Y164/1000)+AD164)</f>
        <v>173.4540941814042</v>
      </c>
      <c r="AG164">
        <f>AE164-$Z164</f>
        <v>96.293919083583688</v>
      </c>
      <c r="AH164">
        <f>AF164-$Z164</f>
        <v>-51.924205818595794</v>
      </c>
      <c r="AI164">
        <f>((AE164/$Z164)*100)-100</f>
        <v>42.725461627664998</v>
      </c>
      <c r="AJ164">
        <f>((AF164/$Z164)*100)-100</f>
        <v>-23.038689092337549</v>
      </c>
      <c r="AK164">
        <f>Z164-Z165</f>
        <v>92.530200000000008</v>
      </c>
      <c r="AL164">
        <f>AE164-AE165</f>
        <v>132.06415509500169</v>
      </c>
      <c r="AM164">
        <f>AF164-AF165</f>
        <v>71.212454905481891</v>
      </c>
      <c r="AN164">
        <f>AF164-AE165</f>
        <v>-16.153969807177788</v>
      </c>
      <c r="AO164">
        <f>AE164-AF165</f>
        <v>219.43057980766139</v>
      </c>
      <c r="AP164">
        <f>((AL164/$AK164)*100)-100</f>
        <v>42.725461627664998</v>
      </c>
      <c r="AQ164">
        <f>((AM164/$AK164)*100)-100</f>
        <v>-23.038689092337549</v>
      </c>
    </row>
    <row r="165" spans="3:53" x14ac:dyDescent="0.25">
      <c r="C165" s="386"/>
      <c r="D165" s="386"/>
      <c r="E165" s="386"/>
      <c r="F165" s="386"/>
      <c r="G165" s="386"/>
      <c r="H165" s="386"/>
      <c r="I165" s="386"/>
      <c r="J165" s="386"/>
      <c r="K165" s="386"/>
      <c r="L165" s="386"/>
      <c r="M165" s="386"/>
      <c r="U165" t="s">
        <v>500</v>
      </c>
      <c r="X165" s="47">
        <v>9</v>
      </c>
      <c r="Y165">
        <v>15</v>
      </c>
      <c r="Z165" s="61">
        <v>132.84809999999999</v>
      </c>
      <c r="AC165">
        <f>Z165*(Y165/1000)</f>
        <v>1.9927214999999998</v>
      </c>
      <c r="AD165">
        <f>(Y165/1000)/($AI$1/$AI$2)</f>
        <v>4.4903125000000012E-3</v>
      </c>
      <c r="AE165">
        <f>AC165/((Y165/1000)-AD165)</f>
        <v>189.60806398858199</v>
      </c>
      <c r="AF165">
        <f>AC165/((Y165/1000)+AD165)</f>
        <v>102.24163927592231</v>
      </c>
      <c r="AG165">
        <f>AE165-$Z165</f>
        <v>56.759963988582001</v>
      </c>
      <c r="AH165">
        <f>AF165-$Z165</f>
        <v>-30.606460724077678</v>
      </c>
      <c r="AI165">
        <f>((AE165/$Z165)*100)-100</f>
        <v>42.72546162766497</v>
      </c>
      <c r="AJ165">
        <f>((AF165/$Z165)*100)-100</f>
        <v>-23.038689092337549</v>
      </c>
    </row>
    <row r="166" spans="3:53" x14ac:dyDescent="0.25"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U166" t="s">
        <v>483</v>
      </c>
    </row>
    <row r="167" spans="3:53" x14ac:dyDescent="0.25">
      <c r="C167" s="386"/>
      <c r="D167" s="386"/>
      <c r="E167" s="386"/>
      <c r="F167" s="386"/>
      <c r="G167" s="386"/>
      <c r="H167" s="386"/>
      <c r="I167" s="386"/>
      <c r="J167" s="386"/>
      <c r="K167" s="386"/>
      <c r="L167" s="386"/>
      <c r="M167" s="386"/>
      <c r="U167" t="s">
        <v>484</v>
      </c>
      <c r="X167" s="47">
        <v>27</v>
      </c>
      <c r="Y167">
        <v>15</v>
      </c>
      <c r="Z167" s="61">
        <v>175.87349999999998</v>
      </c>
      <c r="AC167">
        <f>Z167*(Y167/1000)</f>
        <v>2.6381024999999996</v>
      </c>
      <c r="AD167">
        <f>(Y167/1000)/($AI$1/$AI$2)</f>
        <v>4.4903125000000012E-3</v>
      </c>
      <c r="AE167">
        <f>AC167/((Y167/1000)-AD167)</f>
        <v>251.01626475573133</v>
      </c>
      <c r="AF167">
        <f>AC167/((Y167/1000)+AD167)</f>
        <v>135.35455113918769</v>
      </c>
      <c r="AG167">
        <f>AE167-$Z167</f>
        <v>75.142764755731349</v>
      </c>
      <c r="AH167">
        <f>AF167-$Z167</f>
        <v>-40.518948860812287</v>
      </c>
      <c r="AI167">
        <f>((AE167/$Z167)*100)-100</f>
        <v>42.72546162766497</v>
      </c>
      <c r="AJ167">
        <f>((AF167/$Z167)*100)-100</f>
        <v>-23.038689092337563</v>
      </c>
    </row>
    <row r="168" spans="3:53" x14ac:dyDescent="0.25">
      <c r="C168" s="386"/>
      <c r="D168" s="386"/>
      <c r="E168" s="386"/>
      <c r="F168" s="386"/>
      <c r="G168" s="386"/>
      <c r="H168" s="386"/>
      <c r="I168" s="386"/>
      <c r="J168" s="386"/>
      <c r="K168" s="386"/>
      <c r="L168" s="386"/>
      <c r="M168" s="386"/>
      <c r="U168" t="s">
        <v>485</v>
      </c>
    </row>
    <row r="169" spans="3:53" x14ac:dyDescent="0.25">
      <c r="C169" s="386"/>
      <c r="D169" s="386"/>
      <c r="E169" s="386"/>
      <c r="F169" s="386"/>
      <c r="G169" s="386"/>
      <c r="H169" s="386"/>
      <c r="I169" s="386"/>
      <c r="J169" s="386"/>
      <c r="K169" s="386"/>
      <c r="L169" s="386"/>
      <c r="M169" s="386"/>
      <c r="U169" t="s">
        <v>486</v>
      </c>
    </row>
    <row r="170" spans="3:53" x14ac:dyDescent="0.25">
      <c r="C170" s="386"/>
      <c r="D170" s="386"/>
      <c r="E170" s="386"/>
      <c r="F170" s="386"/>
      <c r="G170" s="386"/>
      <c r="H170" s="386"/>
      <c r="I170" s="386"/>
      <c r="J170" s="386"/>
      <c r="K170" s="386"/>
      <c r="L170" s="386"/>
      <c r="M170" s="386"/>
      <c r="U170" t="s">
        <v>488</v>
      </c>
      <c r="X170" s="47">
        <v>54</v>
      </c>
      <c r="Y170">
        <v>15</v>
      </c>
      <c r="Z170" s="61">
        <v>230.93459999999999</v>
      </c>
      <c r="AC170">
        <f>Z170*(Y170/1000)</f>
        <v>3.4640189999999995</v>
      </c>
      <c r="AD170">
        <f>(Y170/1000)/($AI$1/$AI$2)</f>
        <v>4.4903125000000012E-3</v>
      </c>
      <c r="AE170">
        <f>AC170/((Y170/1000)-AD170)</f>
        <v>329.60247390800157</v>
      </c>
      <c r="AF170">
        <f>AC170/((Y170/1000)+AD170)</f>
        <v>177.73029549936663</v>
      </c>
      <c r="AG170">
        <f>AE170-$Z170</f>
        <v>98.667873908001582</v>
      </c>
      <c r="AH170">
        <f>AF170-$Z170</f>
        <v>-53.204304500633356</v>
      </c>
      <c r="AI170">
        <f>((AE170/$Z170)*100)-100</f>
        <v>42.72546162766497</v>
      </c>
      <c r="AJ170">
        <f>((AF170/$Z170)*100)-100</f>
        <v>-23.038689092337549</v>
      </c>
    </row>
    <row r="171" spans="3:53" x14ac:dyDescent="0.25">
      <c r="C171" s="386"/>
      <c r="D171" s="386"/>
      <c r="E171" s="386"/>
      <c r="F171" s="386"/>
      <c r="G171" s="386"/>
      <c r="H171" s="386"/>
      <c r="I171" s="386"/>
      <c r="J171" s="386"/>
      <c r="K171" s="386"/>
      <c r="L171" s="386"/>
      <c r="M171" s="386"/>
      <c r="U171" t="s">
        <v>502</v>
      </c>
      <c r="AT171" t="s">
        <v>559</v>
      </c>
    </row>
    <row r="172" spans="3:53" x14ac:dyDescent="0.25">
      <c r="C172" s="386"/>
      <c r="D172" s="386"/>
      <c r="E172" s="386"/>
      <c r="F172" s="386"/>
      <c r="G172" s="386"/>
      <c r="H172" s="386"/>
      <c r="I172" s="386"/>
      <c r="J172" s="386"/>
      <c r="K172" s="386"/>
      <c r="L172" s="386"/>
      <c r="M172" s="386"/>
      <c r="U172" t="s">
        <v>487</v>
      </c>
      <c r="AS172" t="s">
        <v>560</v>
      </c>
    </row>
    <row r="173" spans="3:53" x14ac:dyDescent="0.25">
      <c r="C173" s="386"/>
      <c r="D173" s="386"/>
      <c r="E173" s="386"/>
      <c r="F173" s="386"/>
      <c r="G173" s="386"/>
      <c r="H173" s="386"/>
      <c r="I173" s="386"/>
      <c r="J173" s="386"/>
      <c r="K173" s="386"/>
      <c r="L173" s="386"/>
      <c r="M173" s="386"/>
      <c r="U173" t="s">
        <v>489</v>
      </c>
      <c r="X173" s="47">
        <v>45</v>
      </c>
      <c r="Y173">
        <v>15</v>
      </c>
      <c r="Z173" s="61">
        <v>213.84449999999998</v>
      </c>
      <c r="AC173">
        <f>Z173*(Y173/1000)</f>
        <v>3.2076674999999994</v>
      </c>
      <c r="AD173">
        <f>(Y173/1000)/($AI$1/$AI$2)</f>
        <v>4.4903125000000012E-3</v>
      </c>
      <c r="AE173">
        <f>AC173/((Y173/1000)-AD173)</f>
        <v>305.210549790372</v>
      </c>
      <c r="AF173">
        <f>AC173/((Y173/1000)+AD173)</f>
        <v>164.5775305039362</v>
      </c>
      <c r="AG173">
        <f>AE173-$Z173</f>
        <v>91.366049790372017</v>
      </c>
      <c r="AH173">
        <f>AF173-$Z173</f>
        <v>-49.26696949606378</v>
      </c>
      <c r="AI173">
        <f>((AE173/$Z173)*100)-100</f>
        <v>42.72546162766497</v>
      </c>
      <c r="AJ173">
        <f>((AF173/$Z173)*100)-100</f>
        <v>-23.038689092337563</v>
      </c>
      <c r="AS173" t="s">
        <v>561</v>
      </c>
      <c r="AT173">
        <f>AVERAGE(Z158,Z161,Z164,Z167,Z170)</f>
        <v>205.04286000000002</v>
      </c>
      <c r="AU173">
        <f>AVERAGE(AE158,AE161,AE164,AE167,AE170)</f>
        <v>292.64836846956678</v>
      </c>
      <c r="AV173">
        <f>AVERAGE(AF158,AF161,AF164,AF167,AF170)</f>
        <v>157.80367297856304</v>
      </c>
      <c r="AW173">
        <f>AVERAGE(AK161,AK164,AK167,AK170)</f>
        <v>92.530200000000008</v>
      </c>
      <c r="AX173">
        <f>AVERAGE(AL161,AL164,AL167,AL170)</f>
        <v>132.06415509500169</v>
      </c>
      <c r="AY173">
        <f>AVERAGE(AM161,AM164,AM167,AM170)</f>
        <v>71.212454905481891</v>
      </c>
      <c r="AZ173">
        <f>AVERAGE(AN161,AN164,AN167,AN170)</f>
        <v>-16.153969807177788</v>
      </c>
      <c r="BA173">
        <f>AVERAGE(AO161,AO164,AO167,AO170)</f>
        <v>219.43057980766139</v>
      </c>
    </row>
    <row r="174" spans="3:53" x14ac:dyDescent="0.25">
      <c r="C174" s="386"/>
      <c r="D174" s="386"/>
      <c r="E174" s="386"/>
      <c r="F174" s="386"/>
      <c r="G174" s="386"/>
      <c r="H174" s="386"/>
      <c r="I174" s="386"/>
      <c r="J174" s="386"/>
      <c r="K174" s="386"/>
      <c r="L174" s="386"/>
      <c r="M174" s="386"/>
      <c r="U174" t="s">
        <v>490</v>
      </c>
      <c r="AS174" t="s">
        <v>562</v>
      </c>
      <c r="AT174">
        <f>AVERAGE(Z159,Z162,Z165,Z168,Z171)</f>
        <v>132.84809999999999</v>
      </c>
      <c r="AU174">
        <f>AVERAGE(AE162,AE165,AE168,AE171)</f>
        <v>189.60806398858199</v>
      </c>
      <c r="AV174">
        <f>AVERAGE(AF162,AF165,AF168,AF171)</f>
        <v>102.24163927592231</v>
      </c>
    </row>
    <row r="175" spans="3:53" x14ac:dyDescent="0.25">
      <c r="C175" s="386"/>
      <c r="D175" s="386"/>
      <c r="E175" s="386"/>
      <c r="F175" s="386"/>
      <c r="G175" s="386"/>
      <c r="H175" s="386"/>
      <c r="I175" s="386"/>
      <c r="J175" s="386"/>
      <c r="K175" s="386"/>
      <c r="L175" s="386"/>
      <c r="M175" s="386"/>
      <c r="U175" t="s">
        <v>491</v>
      </c>
    </row>
    <row r="176" spans="3:53" x14ac:dyDescent="0.25">
      <c r="C176" s="386"/>
      <c r="D176" s="386"/>
      <c r="E176" s="386"/>
      <c r="F176" s="386"/>
      <c r="G176" s="386"/>
      <c r="H176" s="386"/>
      <c r="I176" s="386"/>
      <c r="J176" s="386"/>
      <c r="K176" s="386"/>
      <c r="L176" s="386"/>
      <c r="M176" s="386"/>
      <c r="U176" t="s">
        <v>492</v>
      </c>
      <c r="X176" s="47">
        <v>72</v>
      </c>
      <c r="Y176">
        <v>15</v>
      </c>
      <c r="Z176" s="61">
        <v>261.32399999999996</v>
      </c>
      <c r="AC176">
        <f>Z176*(Y176/1000)</f>
        <v>3.919859999999999</v>
      </c>
      <c r="AD176">
        <f>(Y176/1000)/($AI$1/$AI$2)</f>
        <v>4.4903125000000012E-3</v>
      </c>
      <c r="AE176">
        <f>AC176/((Y176/1000)-AD176)</f>
        <v>372.97588534387916</v>
      </c>
      <c r="AF176">
        <f>AC176/((Y176/1000)+AD176)</f>
        <v>201.11837611633976</v>
      </c>
      <c r="AG176">
        <f>AE176-$Z176</f>
        <v>111.6518853438792</v>
      </c>
      <c r="AH176">
        <f>AF176-$Z176</f>
        <v>-60.205623883660195</v>
      </c>
      <c r="AI176">
        <f>((AE176/$Z176)*100)-100</f>
        <v>42.72546162766497</v>
      </c>
      <c r="AJ176">
        <f>((AF176/$Z176)*100)-100</f>
        <v>-23.038689092337563</v>
      </c>
      <c r="AK176">
        <f>Z176-Z177</f>
        <v>99.230699999999956</v>
      </c>
      <c r="AL176">
        <f>AE176-AE177</f>
        <v>141.62747465136329</v>
      </c>
      <c r="AM176">
        <f>AF176-AF177</f>
        <v>76.369247542849749</v>
      </c>
      <c r="AN176">
        <f>AF176-AE177</f>
        <v>-30.230034576176109</v>
      </c>
      <c r="AO176">
        <f>AE176-AF177</f>
        <v>248.22675677038916</v>
      </c>
      <c r="AP176">
        <f>((AL176/$AK176)*100)-100</f>
        <v>42.72546162766497</v>
      </c>
      <c r="AQ176">
        <f>((AM176/$AK176)*100)-100</f>
        <v>-23.038689092337577</v>
      </c>
    </row>
    <row r="177" spans="3:43" x14ac:dyDescent="0.25">
      <c r="C177" s="386"/>
      <c r="D177" s="386"/>
      <c r="E177" s="386"/>
      <c r="F177" s="386"/>
      <c r="G177" s="386"/>
      <c r="H177" s="386"/>
      <c r="I177" s="386"/>
      <c r="J177" s="386"/>
      <c r="K177" s="386"/>
      <c r="L177" s="386"/>
      <c r="M177" s="386"/>
      <c r="U177" t="s">
        <v>506</v>
      </c>
      <c r="X177" s="47">
        <v>21</v>
      </c>
      <c r="Y177">
        <v>15</v>
      </c>
      <c r="Z177" s="47">
        <v>162.0933</v>
      </c>
      <c r="AC177">
        <f>Z177*(Y177/1000)</f>
        <v>2.4313994999999999</v>
      </c>
      <c r="AD177">
        <f>(Y177/1000)/($AI$1/$AI$2)</f>
        <v>4.4903125000000012E-3</v>
      </c>
      <c r="AE177">
        <f>AC177/((Y177/1000)-AD177)</f>
        <v>231.34841069251587</v>
      </c>
      <c r="AF177">
        <f>AC177/((Y177/1000)+AD177)</f>
        <v>124.74912857349001</v>
      </c>
      <c r="AG177">
        <f>AE177-$Z177</f>
        <v>69.255110692515871</v>
      </c>
      <c r="AH177">
        <f>AF177-$Z177</f>
        <v>-37.344171426509988</v>
      </c>
      <c r="AI177">
        <f>((AE177/$Z177)*100)-100</f>
        <v>42.72546162766497</v>
      </c>
      <c r="AJ177">
        <f>((AF177/$Z177)*100)-100</f>
        <v>-23.038689092337549</v>
      </c>
    </row>
    <row r="178" spans="3:43" x14ac:dyDescent="0.25">
      <c r="C178" s="386"/>
      <c r="D178" s="386"/>
      <c r="E178" s="386"/>
      <c r="F178" s="386"/>
      <c r="G178" s="386"/>
      <c r="H178" s="386"/>
      <c r="I178" s="386"/>
      <c r="J178" s="386"/>
      <c r="K178" s="386"/>
      <c r="L178" s="386"/>
      <c r="M178" s="386"/>
      <c r="U178" t="s">
        <v>493</v>
      </c>
    </row>
    <row r="179" spans="3:43" x14ac:dyDescent="0.25">
      <c r="C179" s="386"/>
      <c r="D179" s="386"/>
      <c r="E179" s="386"/>
      <c r="F179" s="386"/>
      <c r="G179" s="386"/>
      <c r="H179" s="386"/>
      <c r="I179" s="386"/>
      <c r="J179" s="386"/>
      <c r="K179" s="386"/>
      <c r="L179" s="386"/>
      <c r="M179" s="386"/>
      <c r="U179" t="s">
        <v>494</v>
      </c>
      <c r="X179" s="47">
        <v>54</v>
      </c>
      <c r="Y179">
        <v>15</v>
      </c>
      <c r="Z179" s="61">
        <v>230.93459999999999</v>
      </c>
      <c r="AC179">
        <f>Z179*(Y179/1000)</f>
        <v>3.4640189999999995</v>
      </c>
      <c r="AD179">
        <f>(Y179/1000)/($AI$1/$AI$2)</f>
        <v>4.4903125000000012E-3</v>
      </c>
      <c r="AE179">
        <f>AC179/((Y179/1000)-AD179)</f>
        <v>329.60247390800157</v>
      </c>
      <c r="AF179">
        <f>AC179/((Y179/1000)+AD179)</f>
        <v>177.73029549936663</v>
      </c>
      <c r="AG179">
        <f>AE179-$Z179</f>
        <v>98.667873908001582</v>
      </c>
      <c r="AH179">
        <f>AF179-$Z179</f>
        <v>-53.204304500633356</v>
      </c>
      <c r="AI179">
        <f>((AE179/$Z179)*100)-100</f>
        <v>42.72546162766497</v>
      </c>
      <c r="AJ179">
        <f>((AF179/$Z179)*100)-100</f>
        <v>-23.038689092337549</v>
      </c>
      <c r="AK179">
        <f>Z179-Z180</f>
        <v>113.55149999999999</v>
      </c>
      <c r="AL179">
        <f>AE179-AE180</f>
        <v>162.06690256013798</v>
      </c>
      <c r="AM179">
        <f>AF179-AF180</f>
        <v>87.390722955314317</v>
      </c>
      <c r="AN179">
        <f>AF179-AE180</f>
        <v>10.194724151503038</v>
      </c>
      <c r="AO179">
        <f>AE179-AF180</f>
        <v>239.26290136394925</v>
      </c>
      <c r="AP179">
        <f>((AL179/$AK179)*100)-100</f>
        <v>42.72546162766497</v>
      </c>
      <c r="AQ179">
        <f>((AM179/$AK179)*100)-100</f>
        <v>-23.038689092337549</v>
      </c>
    </row>
    <row r="180" spans="3:43" x14ac:dyDescent="0.25">
      <c r="U180" t="s">
        <v>507</v>
      </c>
      <c r="X180" s="47">
        <v>3</v>
      </c>
      <c r="Y180">
        <v>15</v>
      </c>
      <c r="Z180" s="47">
        <v>117.3831</v>
      </c>
      <c r="AC180">
        <f>Z180*(Y180/1000)</f>
        <v>1.7607465</v>
      </c>
      <c r="AD180">
        <f>(Y180/1000)/($AI$1/$AI$2)</f>
        <v>4.4903125000000012E-3</v>
      </c>
      <c r="AE180">
        <f>AC180/((Y180/1000)-AD180)</f>
        <v>167.53557134786359</v>
      </c>
      <c r="AF180">
        <f>AC180/((Y180/1000)+AD180)</f>
        <v>90.339572544052317</v>
      </c>
      <c r="AG180">
        <f>AE180-$Z180</f>
        <v>50.152471347863596</v>
      </c>
      <c r="AH180">
        <f>AF180-$Z180</f>
        <v>-27.043527455947682</v>
      </c>
      <c r="AI180">
        <f>((AE180/$Z180)*100)-100</f>
        <v>42.72546162766497</v>
      </c>
      <c r="AJ180">
        <f>((AF180/$Z180)*100)-100</f>
        <v>-23.038689092337549</v>
      </c>
    </row>
    <row r="181" spans="3:43" x14ac:dyDescent="0.25">
      <c r="U181" t="s">
        <v>495</v>
      </c>
    </row>
    <row r="182" spans="3:43" x14ac:dyDescent="0.25">
      <c r="U182" t="s">
        <v>496</v>
      </c>
      <c r="X182" s="47">
        <v>30</v>
      </c>
      <c r="Y182">
        <v>15</v>
      </c>
      <c r="Z182" s="61">
        <v>182.553</v>
      </c>
      <c r="AC182">
        <f>Z182*(Y182/1000)</f>
        <v>2.7382949999999999</v>
      </c>
      <c r="AD182">
        <f>(Y182/1000)/($AI$1/$AI$2)</f>
        <v>4.4903125000000012E-3</v>
      </c>
      <c r="AE182">
        <f>AC182/((Y182/1000)-AD182)</f>
        <v>260.54961196515126</v>
      </c>
      <c r="AF182">
        <f>AC182/((Y182/1000)+AD182)</f>
        <v>140.49518190126503</v>
      </c>
      <c r="AG182">
        <f>AE182-$Z182</f>
        <v>77.99661196515126</v>
      </c>
      <c r="AH182">
        <f>AF182-$Z182</f>
        <v>-42.05781809873497</v>
      </c>
      <c r="AI182">
        <f>((AE182/$Z182)*100)-100</f>
        <v>42.725461627664998</v>
      </c>
      <c r="AJ182">
        <f>((AF182/$Z182)*100)-100</f>
        <v>-23.038689092337549</v>
      </c>
    </row>
    <row r="183" spans="3:43" x14ac:dyDescent="0.25">
      <c r="U183" t="s">
        <v>508</v>
      </c>
    </row>
    <row r="184" spans="3:43" x14ac:dyDescent="0.25">
      <c r="U184" t="s">
        <v>497</v>
      </c>
    </row>
    <row r="185" spans="3:43" x14ac:dyDescent="0.25">
      <c r="U185" t="s">
        <v>498</v>
      </c>
      <c r="X185" s="47">
        <v>12</v>
      </c>
      <c r="Y185">
        <v>15</v>
      </c>
      <c r="Z185" s="61">
        <v>140.37</v>
      </c>
      <c r="AC185">
        <f>Z185*(Y185/1000)</f>
        <v>2.10555</v>
      </c>
      <c r="AD185">
        <f>(Y185/1000)/($AI$1/$AI$2)</f>
        <v>4.4903125000000012E-3</v>
      </c>
      <c r="AE185">
        <f>AC185/((Y185/1000)-AD185)</f>
        <v>200.34373048675334</v>
      </c>
      <c r="AF185">
        <f>AC185/((Y185/1000)+AD185)</f>
        <v>108.03059212108579</v>
      </c>
      <c r="AG185">
        <f>AE185-$Z185</f>
        <v>59.97373048675334</v>
      </c>
      <c r="AH185">
        <f>AF185-$Z185</f>
        <v>-32.339407878914216</v>
      </c>
      <c r="AI185">
        <f>((AE185/$Z185)*100)-100</f>
        <v>42.72546162766497</v>
      </c>
      <c r="AJ185">
        <f>((AF185/$Z185)*100)-100</f>
        <v>-23.038689092337549</v>
      </c>
    </row>
    <row r="186" spans="3:43" x14ac:dyDescent="0.25">
      <c r="U186" t="s">
        <v>509</v>
      </c>
    </row>
    <row r="187" spans="3:43" x14ac:dyDescent="0.25">
      <c r="U187" t="s">
        <v>510</v>
      </c>
    </row>
    <row r="188" spans="3:43" x14ac:dyDescent="0.25">
      <c r="U188" t="s">
        <v>511</v>
      </c>
      <c r="X188" s="47">
        <v>45</v>
      </c>
      <c r="Y188">
        <v>15</v>
      </c>
      <c r="Z188" s="61">
        <v>213.84449999999998</v>
      </c>
      <c r="AC188">
        <f>Z188*(Y188/1000)</f>
        <v>3.2076674999999994</v>
      </c>
      <c r="AD188">
        <f>(Y188/1000)/($AI$1/$AI$2)</f>
        <v>4.4903125000000012E-3</v>
      </c>
      <c r="AE188">
        <f>AC188/((Y188/1000)-AD188)</f>
        <v>305.210549790372</v>
      </c>
      <c r="AF188">
        <f>AC188/((Y188/1000)+AD188)</f>
        <v>164.5775305039362</v>
      </c>
      <c r="AG188">
        <f>AE188-$Z188</f>
        <v>91.366049790372017</v>
      </c>
      <c r="AH188">
        <f>AF188-$Z188</f>
        <v>-49.26696949606378</v>
      </c>
      <c r="AI188">
        <f>((AE188/$Z188)*100)-100</f>
        <v>42.72546162766497</v>
      </c>
      <c r="AJ188">
        <f>((AF188/$Z188)*100)-100</f>
        <v>-23.038689092337563</v>
      </c>
    </row>
    <row r="189" spans="3:43" x14ac:dyDescent="0.25">
      <c r="U189" t="s">
        <v>512</v>
      </c>
    </row>
    <row r="190" spans="3:43" x14ac:dyDescent="0.25">
      <c r="U190" t="s">
        <v>513</v>
      </c>
    </row>
    <row r="191" spans="3:43" x14ac:dyDescent="0.25">
      <c r="U191" t="s">
        <v>514</v>
      </c>
      <c r="X191" s="47">
        <v>24</v>
      </c>
      <c r="Y191">
        <v>15</v>
      </c>
      <c r="Z191" s="61">
        <v>169.05360000000002</v>
      </c>
      <c r="AC191">
        <f>Z191*(Y191/1000)</f>
        <v>2.5358040000000002</v>
      </c>
      <c r="AD191">
        <f>(Y191/1000)/($AI$1/$AI$2)</f>
        <v>4.4903125000000012E-3</v>
      </c>
      <c r="AE191">
        <f>AC191/((Y191/1000)-AD191)</f>
        <v>241.28253099818625</v>
      </c>
      <c r="AF191">
        <f>AC191/((Y191/1000)+AD191)</f>
        <v>130.10586669659605</v>
      </c>
      <c r="AG191">
        <f>AE191-$Z191</f>
        <v>72.228930998186229</v>
      </c>
      <c r="AH191">
        <f>AF191-$Z191</f>
        <v>-38.947733303403965</v>
      </c>
      <c r="AI191">
        <f>((AE191/$Z191)*100)-100</f>
        <v>42.72546162766497</v>
      </c>
      <c r="AJ191">
        <f>((AF191/$Z191)*100)-100</f>
        <v>-23.038689092337549</v>
      </c>
    </row>
    <row r="192" spans="3:43" x14ac:dyDescent="0.25">
      <c r="U192" t="s">
        <v>515</v>
      </c>
    </row>
    <row r="193" spans="21:46" x14ac:dyDescent="0.25">
      <c r="U193" s="55" t="s">
        <v>549</v>
      </c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</row>
    <row r="194" spans="21:46" x14ac:dyDescent="0.25">
      <c r="U194" t="s">
        <v>475</v>
      </c>
    </row>
    <row r="195" spans="21:46" x14ac:dyDescent="0.25">
      <c r="U195" t="s">
        <v>476</v>
      </c>
      <c r="X195">
        <v>38.26</v>
      </c>
      <c r="Y195">
        <v>15</v>
      </c>
      <c r="Z195">
        <v>200.21843072000001</v>
      </c>
      <c r="AC195">
        <f>Z195*(Y195/1000)</f>
        <v>3.0032764608</v>
      </c>
      <c r="AD195">
        <f>(Y195/1000)/($AI$1/$AI$2)</f>
        <v>4.4903125000000012E-3</v>
      </c>
      <c r="AE195">
        <f>AC195/((Y195/1000)-AD195)</f>
        <v>285.76267950878656</v>
      </c>
      <c r="AF195">
        <f>AC195/((Y195/1000)+AD195)</f>
        <v>154.09072896086195</v>
      </c>
      <c r="AG195">
        <f>AE195-$Z195</f>
        <v>85.544248788786547</v>
      </c>
      <c r="AH195">
        <f>AF195-$Z195</f>
        <v>-46.127701759138063</v>
      </c>
      <c r="AI195">
        <f>((AE195/$Z195)*100)-100</f>
        <v>42.725461627664941</v>
      </c>
      <c r="AJ195">
        <f>((AF195/$Z195)*100)-100</f>
        <v>-23.038689092337549</v>
      </c>
    </row>
    <row r="196" spans="21:46" x14ac:dyDescent="0.25">
      <c r="U196" t="s">
        <v>477</v>
      </c>
    </row>
    <row r="197" spans="21:46" x14ac:dyDescent="0.25">
      <c r="U197" t="s">
        <v>478</v>
      </c>
    </row>
    <row r="198" spans="21:46" x14ac:dyDescent="0.25">
      <c r="U198" t="s">
        <v>479</v>
      </c>
      <c r="X198">
        <v>69.78</v>
      </c>
      <c r="Y198">
        <v>15</v>
      </c>
      <c r="Z198">
        <v>257.84922047999999</v>
      </c>
      <c r="AC198">
        <f>Z198*(Y198/1000)</f>
        <v>3.8677383071999998</v>
      </c>
      <c r="AD198">
        <f>(Y198/1000)/($AI$1/$AI$2)</f>
        <v>4.4903125000000012E-3</v>
      </c>
      <c r="AE198">
        <f>AC198/((Y198/1000)-AD198)</f>
        <v>368.01649023341565</v>
      </c>
      <c r="AF198">
        <f>AC198/((Y198/1000)+AD198)</f>
        <v>198.44414024659685</v>
      </c>
      <c r="AG198">
        <f>AE198-$Z198</f>
        <v>110.16726975341567</v>
      </c>
      <c r="AH198">
        <f>AF198-$Z198</f>
        <v>-59.40508023340314</v>
      </c>
      <c r="AI198">
        <f>((AE198/$Z198)*100)-100</f>
        <v>42.72546162766497</v>
      </c>
      <c r="AJ198">
        <f>((AF198/$Z198)*100)-100</f>
        <v>-23.038689092337535</v>
      </c>
      <c r="AK198">
        <f>Z198-Z199</f>
        <v>128.78918025999999</v>
      </c>
      <c r="AL198">
        <f>AE198-AE199</f>
        <v>183.81495205257059</v>
      </c>
      <c r="AM198">
        <f>AF198-AF199</f>
        <v>99.117841435328458</v>
      </c>
      <c r="AN198">
        <f>AF198-AE199</f>
        <v>14.242602065751782</v>
      </c>
      <c r="AO198">
        <f>AE198-AF199</f>
        <v>268.69019142214728</v>
      </c>
      <c r="AP198">
        <f>((AL198/$AK198)*100)-100</f>
        <v>42.725461627664998</v>
      </c>
      <c r="AQ198">
        <f>((AM198/$AK198)*100)-100</f>
        <v>-23.038689092337535</v>
      </c>
    </row>
    <row r="199" spans="21:46" x14ac:dyDescent="0.25">
      <c r="U199" t="s">
        <v>480</v>
      </c>
      <c r="X199">
        <v>7.51</v>
      </c>
      <c r="Y199">
        <v>15</v>
      </c>
      <c r="Z199">
        <v>129.06004021999999</v>
      </c>
      <c r="AC199">
        <f>Z199*(Y199/1000)</f>
        <v>1.9359006032999997</v>
      </c>
      <c r="AD199">
        <f>(Y199/1000)/($AI$1/$AI$2)</f>
        <v>4.4903125000000012E-3</v>
      </c>
      <c r="AE199">
        <f>AC199/((Y199/1000)-AD199)</f>
        <v>184.20153818084506</v>
      </c>
      <c r="AF199">
        <f>AC199/((Y199/1000)+AD199)</f>
        <v>99.326298811268387</v>
      </c>
      <c r="AG199">
        <f>AE199-$Z199</f>
        <v>55.141497960845072</v>
      </c>
      <c r="AH199">
        <f>AF199-$Z199</f>
        <v>-29.733741408731603</v>
      </c>
      <c r="AI199">
        <f>((AE199/$Z199)*100)-100</f>
        <v>42.72546162766497</v>
      </c>
      <c r="AJ199">
        <f>((AF199/$Z199)*100)-100</f>
        <v>-23.038689092337563</v>
      </c>
    </row>
    <row r="200" spans="21:46" x14ac:dyDescent="0.25">
      <c r="U200" t="s">
        <v>481</v>
      </c>
    </row>
    <row r="201" spans="21:46" x14ac:dyDescent="0.25">
      <c r="U201" t="s">
        <v>482</v>
      </c>
      <c r="X201">
        <v>28.51</v>
      </c>
      <c r="Y201">
        <v>15</v>
      </c>
      <c r="Z201">
        <v>179.25306422</v>
      </c>
      <c r="AC201">
        <f>Z201*(Y201/1000)</f>
        <v>2.6887959633</v>
      </c>
      <c r="AD201">
        <f>(Y201/1000)/($AI$1/$AI$2)</f>
        <v>4.4903125000000012E-3</v>
      </c>
      <c r="AE201">
        <f>AC201/((Y201/1000)-AD201)</f>
        <v>255.83976338972977</v>
      </c>
      <c r="AF201">
        <f>AC201/((Y201/1000)+AD201)</f>
        <v>137.95550806586604</v>
      </c>
      <c r="AG201">
        <f>AE201-$Z201</f>
        <v>76.586699169729769</v>
      </c>
      <c r="AH201">
        <f>AF201-$Z201</f>
        <v>-41.297556154133957</v>
      </c>
      <c r="AI201">
        <f>((AE201/$Z201)*100)-100</f>
        <v>42.72546162766497</v>
      </c>
      <c r="AJ201">
        <f>((AF201/$Z201)*100)-100</f>
        <v>-23.038689092337549</v>
      </c>
      <c r="AK201">
        <f>Z201-Z202</f>
        <v>54.067264219999998</v>
      </c>
      <c r="AL201">
        <f>AE201-AE202</f>
        <v>77.167752447444371</v>
      </c>
      <c r="AM201">
        <f>AF201-AF202</f>
        <v>41.610875315621541</v>
      </c>
      <c r="AN201">
        <f>AF201-AE202</f>
        <v>-40.716502876419355</v>
      </c>
      <c r="AO201">
        <f>AE201-AF202</f>
        <v>159.49513063948527</v>
      </c>
      <c r="AP201">
        <f>((AL201/$AK201)*100)-100</f>
        <v>42.725461627665027</v>
      </c>
      <c r="AQ201">
        <f>((AM201/$AK201)*100)-100</f>
        <v>-23.038689092337535</v>
      </c>
    </row>
    <row r="202" spans="21:46" x14ac:dyDescent="0.25">
      <c r="U202" t="s">
        <v>500</v>
      </c>
      <c r="X202">
        <v>6</v>
      </c>
      <c r="Y202">
        <v>15</v>
      </c>
      <c r="Z202">
        <v>125.1858</v>
      </c>
      <c r="AC202">
        <f>Z202*(Y202/1000)</f>
        <v>1.8777869999999999</v>
      </c>
      <c r="AD202">
        <f>(Y202/1000)/($AI$1/$AI$2)</f>
        <v>4.4903125000000012E-3</v>
      </c>
      <c r="AE202">
        <f>AC202/((Y202/1000)-AD202)</f>
        <v>178.6720109422854</v>
      </c>
      <c r="AF202">
        <f>AC202/((Y202/1000)+AD202)</f>
        <v>96.3446327502445</v>
      </c>
      <c r="AG202">
        <f>AE202-$Z202</f>
        <v>53.486210942285396</v>
      </c>
      <c r="AH202">
        <f>AF202-$Z202</f>
        <v>-28.8411672497555</v>
      </c>
      <c r="AI202">
        <f>((AE202/$Z202)*100)-100</f>
        <v>42.725461627664941</v>
      </c>
      <c r="AJ202">
        <f>((AF202/$Z202)*100)-100</f>
        <v>-23.038689092337549</v>
      </c>
    </row>
    <row r="203" spans="21:46" x14ac:dyDescent="0.25">
      <c r="U203" t="s">
        <v>483</v>
      </c>
    </row>
    <row r="204" spans="21:46" x14ac:dyDescent="0.25">
      <c r="U204" t="s">
        <v>484</v>
      </c>
      <c r="X204">
        <v>25.51</v>
      </c>
      <c r="Y204">
        <v>15</v>
      </c>
      <c r="Z204">
        <v>172.50383221999999</v>
      </c>
      <c r="AC204">
        <f>Z204*(Y204/1000)</f>
        <v>2.5875574832999999</v>
      </c>
      <c r="AD204">
        <f>(Y204/1000)/($AI$1/$AI$2)</f>
        <v>4.4903125000000012E-3</v>
      </c>
      <c r="AE204">
        <f>AC204/((Y204/1000)-AD204)</f>
        <v>246.20689086140766</v>
      </c>
      <c r="AF204">
        <f>AC204/((Y204/1000)+AD204)</f>
        <v>132.76121064246658</v>
      </c>
      <c r="AG204">
        <f>AE204-$Z204</f>
        <v>73.703058641407665</v>
      </c>
      <c r="AH204">
        <f>AF204-$Z204</f>
        <v>-39.742621577533413</v>
      </c>
      <c r="AI204">
        <f>((AE204/$Z204)*100)-100</f>
        <v>42.72546162766497</v>
      </c>
      <c r="AJ204">
        <f>((AF204/$Z204)*100)-100</f>
        <v>-23.038689092337549</v>
      </c>
    </row>
    <row r="205" spans="21:46" x14ac:dyDescent="0.25">
      <c r="U205" t="s">
        <v>485</v>
      </c>
    </row>
    <row r="206" spans="21:46" x14ac:dyDescent="0.25">
      <c r="U206" t="s">
        <v>486</v>
      </c>
    </row>
    <row r="207" spans="21:46" x14ac:dyDescent="0.25">
      <c r="U207" t="s">
        <v>488</v>
      </c>
      <c r="X207">
        <v>52.51</v>
      </c>
      <c r="Y207">
        <v>15</v>
      </c>
      <c r="Z207">
        <v>228.19252022000001</v>
      </c>
      <c r="AC207">
        <f>Z207*(Y207/1000)</f>
        <v>3.4228878033000001</v>
      </c>
      <c r="AD207">
        <f>(Y207/1000)/($AI$1/$AI$2)</f>
        <v>4.4903125000000012E-3</v>
      </c>
      <c r="AE207">
        <f>AC207/((Y207/1000)-AD207)</f>
        <v>325.68882788379773</v>
      </c>
      <c r="AF207">
        <f>AC207/((Y207/1000)+AD207)</f>
        <v>175.61995495454471</v>
      </c>
      <c r="AG207">
        <f>AE207-$Z207</f>
        <v>97.496307663797722</v>
      </c>
      <c r="AH207">
        <f>AF207-$Z207</f>
        <v>-52.572565265455296</v>
      </c>
      <c r="AI207">
        <f>((AE207/$Z207)*100)-100</f>
        <v>42.72546162766497</v>
      </c>
      <c r="AJ207">
        <f>((AF207/$Z207)*100)-100</f>
        <v>-23.038689092337549</v>
      </c>
      <c r="AK207">
        <f>Z207-Z208</f>
        <v>106.89052022000001</v>
      </c>
      <c r="AL207">
        <f>AE207-AE208</f>
        <v>152.55998842020756</v>
      </c>
      <c r="AM207">
        <f>AF207-AF208</f>
        <v>82.26434559733201</v>
      </c>
      <c r="AN207">
        <f>AF207-AE208</f>
        <v>2.4911154909545417</v>
      </c>
      <c r="AO207">
        <f>AE207-AF208</f>
        <v>232.33321852658503</v>
      </c>
      <c r="AP207">
        <f>((AL207/$AK207)*100)-100</f>
        <v>42.725461627664941</v>
      </c>
      <c r="AQ207">
        <f>((AM207/$AK207)*100)-100</f>
        <v>-23.038689092337549</v>
      </c>
    </row>
    <row r="208" spans="21:46" x14ac:dyDescent="0.25">
      <c r="U208" t="s">
        <v>502</v>
      </c>
      <c r="X208">
        <v>4.5</v>
      </c>
      <c r="Y208">
        <v>15</v>
      </c>
      <c r="Z208">
        <v>121.30199999999999</v>
      </c>
      <c r="AC208">
        <f>Z208*(Y208/1000)</f>
        <v>1.8195299999999999</v>
      </c>
      <c r="AD208">
        <f>(Y208/1000)/($AI$1/$AI$2)</f>
        <v>4.4903125000000012E-3</v>
      </c>
      <c r="AE208">
        <f>AC208/((Y208/1000)-AD208)</f>
        <v>173.12883946359017</v>
      </c>
      <c r="AF208">
        <f>AC208/((Y208/1000)+AD208)</f>
        <v>93.3556093572127</v>
      </c>
      <c r="AG208">
        <f>AE208-$Z208</f>
        <v>51.826839463590176</v>
      </c>
      <c r="AH208">
        <f>AF208-$Z208</f>
        <v>-27.946390642787293</v>
      </c>
      <c r="AI208">
        <f>((AE208/$Z208)*100)-100</f>
        <v>42.72546162766497</v>
      </c>
      <c r="AJ208">
        <f>((AF208/$Z208)*100)-100</f>
        <v>-23.038689092337549</v>
      </c>
      <c r="AT208" t="s">
        <v>559</v>
      </c>
    </row>
    <row r="209" spans="21:53" x14ac:dyDescent="0.25">
      <c r="U209" t="s">
        <v>487</v>
      </c>
      <c r="AS209" t="s">
        <v>560</v>
      </c>
    </row>
    <row r="210" spans="21:53" x14ac:dyDescent="0.25">
      <c r="U210" t="s">
        <v>489</v>
      </c>
      <c r="X210">
        <v>34.51</v>
      </c>
      <c r="Y210">
        <v>15</v>
      </c>
      <c r="Z210">
        <v>192.33032822000001</v>
      </c>
      <c r="AC210">
        <f>Z210*(Y210/1000)</f>
        <v>2.8849549233</v>
      </c>
      <c r="AD210">
        <f>(Y210/1000)/($AI$1/$AI$2)</f>
        <v>4.4903125000000012E-3</v>
      </c>
      <c r="AE210">
        <f>AC210/((Y210/1000)-AD210)</f>
        <v>274.50434880199822</v>
      </c>
      <c r="AF210">
        <f>AC210/((Y210/1000)+AD210)</f>
        <v>148.01994187112186</v>
      </c>
      <c r="AG210">
        <f>AE210-$Z210</f>
        <v>82.174020581998207</v>
      </c>
      <c r="AH210">
        <f>AF210-$Z210</f>
        <v>-44.310386348878154</v>
      </c>
      <c r="AI210">
        <f>((AE210/$Z210)*100)-100</f>
        <v>42.72546162766497</v>
      </c>
      <c r="AJ210">
        <f>((AF210/$Z210)*100)-100</f>
        <v>-23.038689092337549</v>
      </c>
      <c r="AS210" t="s">
        <v>561</v>
      </c>
      <c r="AT210">
        <f>AVERAGE(Z195,Z198,Z201,Z204,Z207)</f>
        <v>207.60341357199999</v>
      </c>
      <c r="AU210">
        <f>AVERAGE(AE195,AE198,AE201,AE204,AE207)</f>
        <v>296.30293037542748</v>
      </c>
      <c r="AV210">
        <f>AVERAGE(AF195,AF198,AF201,AF204,AF207)</f>
        <v>159.77430857406722</v>
      </c>
      <c r="AW210">
        <f>AVERAGE(AK198,AK201,AK204,AK207)</f>
        <v>96.582321566666678</v>
      </c>
      <c r="AX210">
        <f>AVERAGE(AL198,AL201,AL204,AL207)</f>
        <v>137.84756430674085</v>
      </c>
      <c r="AY210">
        <f>AVERAGE(AM198,AM201,AM204,AM207)</f>
        <v>74.331020782760675</v>
      </c>
      <c r="AZ210">
        <f>AVERAGE(AN198,AN201,AN204,AN207)</f>
        <v>-7.9942617732376773</v>
      </c>
      <c r="BA210">
        <f>AVERAGE(AO198,AO201,AO204,AO207)</f>
        <v>220.17284686273919</v>
      </c>
    </row>
    <row r="211" spans="21:53" x14ac:dyDescent="0.25">
      <c r="U211" t="s">
        <v>490</v>
      </c>
      <c r="AS211" t="s">
        <v>562</v>
      </c>
      <c r="AT211">
        <f>AVERAGE(Z196,Z199,Z202,Z205,Z208)</f>
        <v>125.18261340666668</v>
      </c>
      <c r="AU211">
        <f>AVERAGE(AE199,AE202,AE205,AE208)</f>
        <v>178.6674628622402</v>
      </c>
      <c r="AV211">
        <f>AVERAGE(AF199,AF202,AF205,AF208)</f>
        <v>96.342180306241858</v>
      </c>
    </row>
    <row r="212" spans="21:53" x14ac:dyDescent="0.25">
      <c r="U212" t="s">
        <v>491</v>
      </c>
    </row>
    <row r="213" spans="21:53" x14ac:dyDescent="0.25">
      <c r="U213" t="s">
        <v>492</v>
      </c>
      <c r="X213">
        <v>15.01</v>
      </c>
      <c r="Y213">
        <v>15</v>
      </c>
      <c r="Z213">
        <v>147.77587022</v>
      </c>
      <c r="AC213">
        <f>Z213*(Y213/1000)</f>
        <v>2.2166380533000001</v>
      </c>
      <c r="AD213">
        <f>(Y213/1000)/($AI$1/$AI$2)</f>
        <v>4.4903125000000012E-3</v>
      </c>
      <c r="AE213">
        <f>AC213/((Y213/1000)-AD213)</f>
        <v>210.91379294579411</v>
      </c>
      <c r="AF213">
        <f>AC213/((Y213/1000)+AD213)</f>
        <v>113.73024692651798</v>
      </c>
      <c r="AG213">
        <f>AE213-$Z213</f>
        <v>63.137922725794112</v>
      </c>
      <c r="AH213">
        <f>AF213-$Z213</f>
        <v>-34.045623293482024</v>
      </c>
      <c r="AI213">
        <f>((AE213/$Z213)*100)-100</f>
        <v>42.725461627664998</v>
      </c>
      <c r="AJ213">
        <f>((AF213/$Z213)*100)-100</f>
        <v>-23.038689092337535</v>
      </c>
    </row>
    <row r="214" spans="21:53" x14ac:dyDescent="0.25">
      <c r="U214" t="s">
        <v>506</v>
      </c>
    </row>
    <row r="215" spans="21:53" x14ac:dyDescent="0.25">
      <c r="U215" t="s">
        <v>493</v>
      </c>
    </row>
    <row r="216" spans="21:53" x14ac:dyDescent="0.25">
      <c r="U216" t="s">
        <v>494</v>
      </c>
      <c r="X216">
        <v>42.01</v>
      </c>
      <c r="Y216">
        <v>15</v>
      </c>
      <c r="Z216">
        <v>207.88715822</v>
      </c>
      <c r="AC216">
        <f>Z216*(Y216/1000)</f>
        <v>3.1183073733</v>
      </c>
      <c r="AD216">
        <f>(Y216/1000)/($AI$1/$AI$2)</f>
        <v>4.4903125000000012E-3</v>
      </c>
      <c r="AE216">
        <f>AC216/((Y216/1000)-AD216)</f>
        <v>296.70790623412927</v>
      </c>
      <c r="AF216">
        <f>AC216/((Y216/1000)+AD216)</f>
        <v>159.99268217479835</v>
      </c>
      <c r="AG216">
        <f>AE216-$Z216</f>
        <v>88.820748014129265</v>
      </c>
      <c r="AH216">
        <f>AF216-$Z216</f>
        <v>-47.894476045201657</v>
      </c>
      <c r="AI216">
        <f>((AE216/$Z216)*100)-100</f>
        <v>42.72546162766497</v>
      </c>
      <c r="AJ216">
        <f>((AF216/$Z216)*100)-100</f>
        <v>-23.038689092337563</v>
      </c>
      <c r="AK216">
        <f>Z216-Z217</f>
        <v>90.504058220000005</v>
      </c>
      <c r="AL216">
        <f>AE216-AE217</f>
        <v>129.17233488626567</v>
      </c>
      <c r="AM216">
        <f>AF216-AF217</f>
        <v>69.65310963074603</v>
      </c>
      <c r="AN216">
        <f>AF216-AE217</f>
        <v>-7.5428891730652481</v>
      </c>
      <c r="AO216">
        <f>AE216-AF217</f>
        <v>206.36833369007695</v>
      </c>
      <c r="AP216">
        <f>((AL216/$AK216)*100)-100</f>
        <v>42.72546162766497</v>
      </c>
      <c r="AQ216">
        <f>((AM216/$AK216)*100)-100</f>
        <v>-23.038689092337563</v>
      </c>
    </row>
    <row r="217" spans="21:53" x14ac:dyDescent="0.25">
      <c r="U217" t="s">
        <v>507</v>
      </c>
      <c r="X217">
        <v>3</v>
      </c>
      <c r="Y217">
        <v>15</v>
      </c>
      <c r="Z217">
        <v>117.3831</v>
      </c>
      <c r="AC217">
        <f>Z217*(Y217/1000)</f>
        <v>1.7607465</v>
      </c>
      <c r="AD217">
        <f>(Y217/1000)/($AI$1/$AI$2)</f>
        <v>4.4903125000000012E-3</v>
      </c>
      <c r="AE217">
        <f>AC217/((Y217/1000)-AD217)</f>
        <v>167.53557134786359</v>
      </c>
      <c r="AF217">
        <f>AC217/((Y217/1000)+AD217)</f>
        <v>90.339572544052317</v>
      </c>
      <c r="AG217">
        <f>AE217-$Z217</f>
        <v>50.152471347863596</v>
      </c>
      <c r="AH217">
        <f>AF217-$Z217</f>
        <v>-27.043527455947682</v>
      </c>
      <c r="AI217">
        <f>((AE217/$Z217)*100)-100</f>
        <v>42.72546162766497</v>
      </c>
      <c r="AJ217">
        <f>((AF217/$Z217)*100)-100</f>
        <v>-23.038689092337549</v>
      </c>
    </row>
    <row r="218" spans="21:53" x14ac:dyDescent="0.25">
      <c r="U218" t="s">
        <v>495</v>
      </c>
    </row>
    <row r="219" spans="21:53" x14ac:dyDescent="0.25">
      <c r="U219" t="s">
        <v>496</v>
      </c>
      <c r="X219">
        <v>27.01</v>
      </c>
      <c r="Y219">
        <v>15</v>
      </c>
      <c r="Z219">
        <v>175.89599822</v>
      </c>
      <c r="AC219">
        <f>Z219*(Y219/1000)</f>
        <v>2.6384399732999997</v>
      </c>
      <c r="AD219">
        <f>(Y219/1000)/($AI$1/$AI$2)</f>
        <v>4.4903125000000012E-3</v>
      </c>
      <c r="AE219">
        <f>AC219/((Y219/1000)-AD219)</f>
        <v>251.04837544408434</v>
      </c>
      <c r="AF219">
        <f>AC219/((Y219/1000)+AD219)</f>
        <v>135.3718660642306</v>
      </c>
      <c r="AG219">
        <f>AE219-$Z219</f>
        <v>75.152377224084347</v>
      </c>
      <c r="AH219">
        <f>AF219-$Z219</f>
        <v>-40.524132155769394</v>
      </c>
      <c r="AI219">
        <f>((AE219/$Z219)*100)-100</f>
        <v>42.72546162766497</v>
      </c>
      <c r="AJ219">
        <f>((AF219/$Z219)*100)-100</f>
        <v>-23.038689092337549</v>
      </c>
    </row>
    <row r="220" spans="21:53" x14ac:dyDescent="0.25">
      <c r="U220" t="s">
        <v>508</v>
      </c>
    </row>
    <row r="221" spans="21:53" x14ac:dyDescent="0.25">
      <c r="U221" t="s">
        <v>497</v>
      </c>
    </row>
    <row r="222" spans="21:53" x14ac:dyDescent="0.25">
      <c r="U222" t="s">
        <v>498</v>
      </c>
      <c r="X222">
        <v>9.01</v>
      </c>
      <c r="Y222">
        <v>15</v>
      </c>
      <c r="Z222">
        <v>132.87340621999999</v>
      </c>
      <c r="AC222">
        <f>Z222*(Y222/1000)</f>
        <v>1.9931010932999997</v>
      </c>
      <c r="AD222">
        <f>(Y222/1000)/($AI$1/$AI$2)</f>
        <v>4.4903125000000012E-3</v>
      </c>
      <c r="AE222">
        <f>AC222/((Y222/1000)-AD222)</f>
        <v>189.64418240789749</v>
      </c>
      <c r="AF222">
        <f>AC222/((Y222/1000)+AD222)</f>
        <v>102.26111527457549</v>
      </c>
      <c r="AG222">
        <f>AE222-$Z222</f>
        <v>56.770776187897496</v>
      </c>
      <c r="AH222">
        <f>AF222-$Z222</f>
        <v>-30.612290945424505</v>
      </c>
      <c r="AI222">
        <f>((AE222/$Z222)*100)-100</f>
        <v>42.72546162766497</v>
      </c>
      <c r="AJ222">
        <f>((AF222/$Z222)*100)-100</f>
        <v>-23.038689092337549</v>
      </c>
    </row>
    <row r="223" spans="21:53" x14ac:dyDescent="0.25">
      <c r="U223" t="s">
        <v>509</v>
      </c>
    </row>
    <row r="224" spans="21:53" x14ac:dyDescent="0.25">
      <c r="U224" t="s">
        <v>510</v>
      </c>
    </row>
    <row r="225" spans="21:46" x14ac:dyDescent="0.25">
      <c r="U225" t="s">
        <v>511</v>
      </c>
      <c r="X225">
        <v>44.26</v>
      </c>
      <c r="Y225">
        <v>15</v>
      </c>
      <c r="Z225">
        <v>212.38309472</v>
      </c>
      <c r="AC225">
        <f>Z225*(Y225/1000)</f>
        <v>3.1857464207999997</v>
      </c>
      <c r="AD225">
        <f>(Y225/1000)/($AI$1/$AI$2)</f>
        <v>4.4903125000000012E-3</v>
      </c>
      <c r="AE225">
        <f>AC225/((Y225/1000)-AD225)</f>
        <v>303.12475235824093</v>
      </c>
      <c r="AF225">
        <f>AC225/((Y225/1000)+AD225)</f>
        <v>163.45281384277442</v>
      </c>
      <c r="AG225">
        <f>AE225-$Z225</f>
        <v>90.741657638240923</v>
      </c>
      <c r="AH225">
        <f>AF225-$Z225</f>
        <v>-48.930280877225584</v>
      </c>
      <c r="AI225">
        <f>((AE225/$Z225)*100)-100</f>
        <v>42.725461627664941</v>
      </c>
      <c r="AJ225">
        <f>((AF225/$Z225)*100)-100</f>
        <v>-23.038689092337563</v>
      </c>
    </row>
    <row r="226" spans="21:46" x14ac:dyDescent="0.25">
      <c r="U226" t="s">
        <v>512</v>
      </c>
    </row>
    <row r="227" spans="21:46" x14ac:dyDescent="0.25">
      <c r="U227" t="s">
        <v>513</v>
      </c>
    </row>
    <row r="228" spans="21:46" x14ac:dyDescent="0.25">
      <c r="U228" t="s">
        <v>514</v>
      </c>
      <c r="X228">
        <v>26.26</v>
      </c>
      <c r="Y228">
        <v>15</v>
      </c>
      <c r="Z228">
        <v>174.20430272000002</v>
      </c>
      <c r="AC228">
        <f>Z228*(Y228/1000)</f>
        <v>2.6130645407999999</v>
      </c>
      <c r="AD228">
        <f>(Y228/1000)/($AI$1/$AI$2)</f>
        <v>4.4903125000000012E-3</v>
      </c>
      <c r="AE228">
        <f>AC228/((Y228/1000)-AD228)</f>
        <v>248.63389523237493</v>
      </c>
      <c r="AF228">
        <f>AC228/((Y228/1000)+AD228)</f>
        <v>134.06991503086468</v>
      </c>
      <c r="AG228">
        <f>AE228-$Z228</f>
        <v>74.42959251237491</v>
      </c>
      <c r="AH228">
        <f>AF228-$Z228</f>
        <v>-40.134387689135337</v>
      </c>
      <c r="AI228">
        <f>((AE228/$Z228)*100)-100</f>
        <v>42.725461627664941</v>
      </c>
      <c r="AJ228">
        <f>((AF228/$Z228)*100)-100</f>
        <v>-23.038689092337549</v>
      </c>
    </row>
    <row r="229" spans="21:46" x14ac:dyDescent="0.25">
      <c r="U229" t="s">
        <v>515</v>
      </c>
    </row>
    <row r="230" spans="21:46" x14ac:dyDescent="0.25">
      <c r="U230" s="55" t="s">
        <v>550</v>
      </c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</row>
    <row r="231" spans="21:46" x14ac:dyDescent="0.25">
      <c r="U231" t="s">
        <v>475</v>
      </c>
      <c r="X231">
        <v>9</v>
      </c>
      <c r="Y231">
        <v>15</v>
      </c>
      <c r="Z231">
        <v>132.84809999999999</v>
      </c>
      <c r="AC231">
        <f>Z231*(Y231/1000)</f>
        <v>1.9927214999999998</v>
      </c>
      <c r="AD231">
        <f>(Y231/1000)/($AI$1/$AI$2)</f>
        <v>4.4903125000000012E-3</v>
      </c>
      <c r="AE231">
        <f>AC231/((Y231/1000)-AD231)</f>
        <v>189.60806398858199</v>
      </c>
      <c r="AF231">
        <f>AC231/((Y231/1000)+AD231)</f>
        <v>102.24163927592231</v>
      </c>
      <c r="AG231">
        <f>AE231-$Z231</f>
        <v>56.759963988582001</v>
      </c>
      <c r="AH231">
        <f>AF231-$Z231</f>
        <v>-30.606460724077678</v>
      </c>
      <c r="AI231">
        <f>((AE231/$Z231)*100)-100</f>
        <v>42.72546162766497</v>
      </c>
      <c r="AJ231">
        <f>((AF231/$Z231)*100)-100</f>
        <v>-23.038689092337549</v>
      </c>
    </row>
    <row r="232" spans="21:46" x14ac:dyDescent="0.25">
      <c r="U232" t="s">
        <v>476</v>
      </c>
    </row>
    <row r="233" spans="21:46" x14ac:dyDescent="0.25">
      <c r="U233" t="s">
        <v>477</v>
      </c>
    </row>
    <row r="234" spans="21:46" x14ac:dyDescent="0.25">
      <c r="U234" t="s">
        <v>478</v>
      </c>
    </row>
    <row r="235" spans="21:46" x14ac:dyDescent="0.25">
      <c r="U235" t="s">
        <v>479</v>
      </c>
      <c r="X235">
        <v>16</v>
      </c>
      <c r="Y235">
        <v>15</v>
      </c>
      <c r="Z235">
        <v>150.1808</v>
      </c>
      <c r="AC235">
        <f>Z235*(Y235/1000)</f>
        <v>2.2527119999999998</v>
      </c>
      <c r="AD235">
        <f>(Y235/1000)/($AI$1/$AI$2)</f>
        <v>4.4903125000000012E-3</v>
      </c>
      <c r="AE235">
        <f>AC235/((Y235/1000)-AD235)</f>
        <v>214.34624007612027</v>
      </c>
      <c r="AF235">
        <f>AC235/((Y235/1000)+AD235)</f>
        <v>115.58111241161473</v>
      </c>
      <c r="AG235">
        <f>AE235-$Z235</f>
        <v>64.165440076120262</v>
      </c>
      <c r="AH235">
        <f>AF235-$Z235</f>
        <v>-34.599687588385279</v>
      </c>
      <c r="AI235">
        <f>((AE235/$Z235)*100)-100</f>
        <v>42.725461627664941</v>
      </c>
      <c r="AJ235">
        <f>((AF235/$Z235)*100)-100</f>
        <v>-23.038689092337549</v>
      </c>
      <c r="AK235">
        <f>Z235-Z236</f>
        <v>-18.872800000000012</v>
      </c>
      <c r="AL235">
        <f>AE235-AE236</f>
        <v>-26.936290922065979</v>
      </c>
      <c r="AM235">
        <f>AF235-AF236</f>
        <v>-14.524754284981327</v>
      </c>
      <c r="AN235">
        <f>AF235-AE236</f>
        <v>-125.70141858657152</v>
      </c>
      <c r="AO235">
        <f>AE235-AF236</f>
        <v>84.240373379524215</v>
      </c>
      <c r="AP235">
        <f>((AL235/$AK235)*100)-100</f>
        <v>42.725461627664998</v>
      </c>
      <c r="AQ235">
        <f>((AM235/$AK235)*100)-100</f>
        <v>-23.038689092337563</v>
      </c>
    </row>
    <row r="236" spans="21:46" x14ac:dyDescent="0.25">
      <c r="U236" t="s">
        <v>480</v>
      </c>
      <c r="X236">
        <v>24</v>
      </c>
      <c r="Y236">
        <v>15</v>
      </c>
      <c r="Z236">
        <v>169.05360000000002</v>
      </c>
      <c r="AC236">
        <f>Z236*(Y236/1000)</f>
        <v>2.5358040000000002</v>
      </c>
      <c r="AD236">
        <f>(Y236/1000)/($AI$1/$AI$2)</f>
        <v>4.4903125000000012E-3</v>
      </c>
      <c r="AE236">
        <f>AC236/((Y236/1000)-AD236)</f>
        <v>241.28253099818625</v>
      </c>
      <c r="AF236">
        <f>AC236/((Y236/1000)+AD236)</f>
        <v>130.10586669659605</v>
      </c>
      <c r="AG236">
        <f>AE236-$Z236</f>
        <v>72.228930998186229</v>
      </c>
      <c r="AH236">
        <f>AF236-$Z236</f>
        <v>-38.947733303403965</v>
      </c>
      <c r="AI236">
        <f>((AE236/$Z236)*100)-100</f>
        <v>42.72546162766497</v>
      </c>
      <c r="AJ236">
        <f>((AF236/$Z236)*100)-100</f>
        <v>-23.038689092337549</v>
      </c>
    </row>
    <row r="237" spans="21:46" x14ac:dyDescent="0.25">
      <c r="U237" t="s">
        <v>481</v>
      </c>
    </row>
    <row r="238" spans="21:46" x14ac:dyDescent="0.25">
      <c r="U238" t="s">
        <v>482</v>
      </c>
      <c r="X238">
        <v>40</v>
      </c>
      <c r="Y238">
        <v>15</v>
      </c>
      <c r="Z238">
        <v>203.80399999999997</v>
      </c>
      <c r="AC238">
        <f>Z238*(Y238/1000)</f>
        <v>3.0570599999999994</v>
      </c>
      <c r="AD238">
        <f>(Y238/1000)/($AI$1/$AI$2)</f>
        <v>4.4903125000000012E-3</v>
      </c>
      <c r="AE238">
        <f>AC238/((Y238/1000)-AD238)</f>
        <v>290.88019981564628</v>
      </c>
      <c r="AF238">
        <f>AC238/((Y238/1000)+AD238)</f>
        <v>156.85023008225235</v>
      </c>
      <c r="AG238">
        <f>AE238-$Z238</f>
        <v>87.076199815646305</v>
      </c>
      <c r="AH238">
        <f>AF238-$Z238</f>
        <v>-46.953769917747621</v>
      </c>
      <c r="AI238">
        <f>((AE238/$Z238)*100)-100</f>
        <v>42.72546162766497</v>
      </c>
      <c r="AJ238">
        <f>((AF238/$Z238)*100)-100</f>
        <v>-23.038689092337549</v>
      </c>
      <c r="AK238">
        <f>Z238-Z239</f>
        <v>83.804399999999973</v>
      </c>
      <c r="AL238">
        <f>AE238-AE239</f>
        <v>119.61021676429482</v>
      </c>
      <c r="AM238">
        <f>AF238-AF239</f>
        <v>64.496964838301054</v>
      </c>
      <c r="AN238">
        <f>AF238-AE239</f>
        <v>-14.419752969099108</v>
      </c>
      <c r="AO238">
        <f>AE238-AF239</f>
        <v>198.52693457169499</v>
      </c>
      <c r="AP238">
        <f>((AL238/$AK238)*100)-100</f>
        <v>42.72546162766497</v>
      </c>
      <c r="AQ238">
        <f>((AM238/$AK238)*100)-100</f>
        <v>-23.038689092337549</v>
      </c>
    </row>
    <row r="239" spans="21:46" x14ac:dyDescent="0.25">
      <c r="U239" t="s">
        <v>500</v>
      </c>
      <c r="X239">
        <v>4</v>
      </c>
      <c r="Y239">
        <v>15</v>
      </c>
      <c r="Z239">
        <v>119.9996</v>
      </c>
      <c r="AC239">
        <f>Z239*(Y239/1000)</f>
        <v>1.7999939999999999</v>
      </c>
      <c r="AD239">
        <f>(Y239/1000)/($AI$1/$AI$2)</f>
        <v>4.4903125000000012E-3</v>
      </c>
      <c r="AE239">
        <f>AC239/((Y239/1000)-AD239)</f>
        <v>171.26998305135146</v>
      </c>
      <c r="AF239">
        <f>AC239/((Y239/1000)+AD239)</f>
        <v>92.353265243951299</v>
      </c>
      <c r="AG239">
        <f>AE239-$Z239</f>
        <v>51.270383051351459</v>
      </c>
      <c r="AH239">
        <f>AF239-$Z239</f>
        <v>-27.646334756048702</v>
      </c>
      <c r="AI239">
        <f>((AE239/$Z239)*100)-100</f>
        <v>42.72546162766497</v>
      </c>
      <c r="AJ239">
        <f>((AF239/$Z239)*100)-100</f>
        <v>-23.038689092337563</v>
      </c>
    </row>
    <row r="240" spans="21:46" x14ac:dyDescent="0.25">
      <c r="U240" t="s">
        <v>483</v>
      </c>
    </row>
    <row r="241" spans="21:53" x14ac:dyDescent="0.25">
      <c r="U241" t="s">
        <v>484</v>
      </c>
      <c r="X241">
        <v>42</v>
      </c>
      <c r="Y241">
        <v>15</v>
      </c>
      <c r="Z241">
        <v>207.86699999999999</v>
      </c>
      <c r="AC241">
        <f>Z241*(Y241/1000)</f>
        <v>3.1180049999999997</v>
      </c>
      <c r="AD241">
        <f>(Y241/1000)/($AI$1/$AI$2)</f>
        <v>4.4903125000000012E-3</v>
      </c>
      <c r="AE241">
        <f>AC241/((Y241/1000)-AD241)</f>
        <v>296.67913532157831</v>
      </c>
      <c r="AF241">
        <f>AC241/((Y241/1000)+AD241)</f>
        <v>159.97716814443069</v>
      </c>
      <c r="AG241">
        <f>AE241-$Z241</f>
        <v>88.812135321578324</v>
      </c>
      <c r="AH241">
        <f>AF241-$Z241</f>
        <v>-47.889831855569298</v>
      </c>
      <c r="AI241">
        <f>((AE241/$Z241)*100)-100</f>
        <v>42.72546162766497</v>
      </c>
      <c r="AJ241">
        <f>((AF241/$Z241)*100)-100</f>
        <v>-23.038689092337549</v>
      </c>
      <c r="AK241">
        <f>Z241-Z242</f>
        <v>77.557400000000001</v>
      </c>
      <c r="AL241">
        <f>AE241-AE242</f>
        <v>110.69415717641462</v>
      </c>
      <c r="AM241">
        <f>AF241-AF242</f>
        <v>59.689191745899393</v>
      </c>
      <c r="AN241">
        <f>AF241-AE242</f>
        <v>-26.007810000733002</v>
      </c>
      <c r="AO241">
        <f>AE241-AF242</f>
        <v>196.39115892304702</v>
      </c>
      <c r="AP241">
        <f>((AL241/$AK241)*100)-100</f>
        <v>42.725461627664941</v>
      </c>
      <c r="AQ241">
        <f>((AM241/$AK241)*100)-100</f>
        <v>-23.038689092337563</v>
      </c>
    </row>
    <row r="242" spans="21:53" x14ac:dyDescent="0.25">
      <c r="U242" t="s">
        <v>485</v>
      </c>
      <c r="X242">
        <v>8</v>
      </c>
      <c r="Y242">
        <v>15</v>
      </c>
      <c r="Z242">
        <v>130.30959999999999</v>
      </c>
      <c r="AC242">
        <f>Z242*(Y242/1000)</f>
        <v>1.9546439999999998</v>
      </c>
      <c r="AD242">
        <f>(Y242/1000)/($AI$1/$AI$2)</f>
        <v>4.4903125000000012E-3</v>
      </c>
      <c r="AE242">
        <f>AC242/((Y242/1000)-AD242)</f>
        <v>185.98497814516369</v>
      </c>
      <c r="AF242">
        <f>AC242/((Y242/1000)+AD242)</f>
        <v>100.2879763985313</v>
      </c>
      <c r="AG242">
        <f>AE242-$Z242</f>
        <v>55.675378145163705</v>
      </c>
      <c r="AH242">
        <f>AF242-$Z242</f>
        <v>-30.02162360146869</v>
      </c>
      <c r="AI242">
        <f>((AE242/$Z242)*100)-100</f>
        <v>42.72546162766497</v>
      </c>
      <c r="AJ242">
        <f>((AF242/$Z242)*100)-100</f>
        <v>-23.038689092337549</v>
      </c>
    </row>
    <row r="243" spans="21:53" x14ac:dyDescent="0.25">
      <c r="U243" t="s">
        <v>486</v>
      </c>
    </row>
    <row r="244" spans="21:53" x14ac:dyDescent="0.25">
      <c r="U244" t="s">
        <v>488</v>
      </c>
      <c r="X244">
        <v>16</v>
      </c>
      <c r="Y244">
        <v>15</v>
      </c>
      <c r="Z244">
        <v>150.1808</v>
      </c>
      <c r="AC244">
        <f>Z244*(Y244/1000)</f>
        <v>2.2527119999999998</v>
      </c>
      <c r="AD244">
        <f>(Y244/1000)/($AI$1/$AI$2)</f>
        <v>4.4903125000000012E-3</v>
      </c>
      <c r="AE244">
        <f>AC244/((Y244/1000)-AD244)</f>
        <v>214.34624007612027</v>
      </c>
      <c r="AF244">
        <f>AC244/((Y244/1000)+AD244)</f>
        <v>115.58111241161473</v>
      </c>
      <c r="AG244">
        <f>AE244-$Z244</f>
        <v>64.165440076120262</v>
      </c>
      <c r="AH244">
        <f>AF244-$Z244</f>
        <v>-34.599687588385279</v>
      </c>
      <c r="AI244">
        <f>((AE244/$Z244)*100)-100</f>
        <v>42.725461627664941</v>
      </c>
      <c r="AJ244">
        <f>((AF244/$Z244)*100)-100</f>
        <v>-23.038689092337549</v>
      </c>
    </row>
    <row r="245" spans="21:53" x14ac:dyDescent="0.25">
      <c r="U245" t="s">
        <v>502</v>
      </c>
    </row>
    <row r="246" spans="21:53" x14ac:dyDescent="0.25">
      <c r="U246" t="s">
        <v>487</v>
      </c>
      <c r="AT246" t="s">
        <v>559</v>
      </c>
    </row>
    <row r="247" spans="21:53" x14ac:dyDescent="0.25">
      <c r="U247" t="s">
        <v>489</v>
      </c>
      <c r="X247">
        <v>36</v>
      </c>
      <c r="Y247">
        <v>15</v>
      </c>
      <c r="Z247">
        <v>195.49079999999998</v>
      </c>
      <c r="AC247">
        <f>Z247*(Y247/1000)</f>
        <v>2.9323619999999995</v>
      </c>
      <c r="AD247">
        <f>(Y247/1000)/($AI$1/$AI$2)</f>
        <v>4.4903125000000012E-3</v>
      </c>
      <c r="AE247">
        <f>AC247/((Y247/1000)-AD247)</f>
        <v>279.01514673961526</v>
      </c>
      <c r="AF247">
        <f>AC247/((Y247/1000)+AD247)</f>
        <v>150.45228238387656</v>
      </c>
      <c r="AG247">
        <f>AE247-$Z247</f>
        <v>83.524346739615282</v>
      </c>
      <c r="AH247">
        <f>AF247-$Z247</f>
        <v>-45.038517616123414</v>
      </c>
      <c r="AI247">
        <f>((AE247/$Z247)*100)-100</f>
        <v>42.72546162766497</v>
      </c>
      <c r="AJ247">
        <f>((AF247/$Z247)*100)-100</f>
        <v>-23.038689092337549</v>
      </c>
      <c r="AS247" t="s">
        <v>560</v>
      </c>
      <c r="AT247">
        <f>Z231</f>
        <v>132.84809999999999</v>
      </c>
      <c r="AU247">
        <f>AVERAGE(AE231)</f>
        <v>189.60806398858199</v>
      </c>
      <c r="AV247">
        <f>AVERAGE(AF231)</f>
        <v>102.24163927592231</v>
      </c>
    </row>
    <row r="248" spans="21:53" x14ac:dyDescent="0.25">
      <c r="U248" t="s">
        <v>490</v>
      </c>
      <c r="AS248" t="s">
        <v>561</v>
      </c>
      <c r="AT248">
        <f>AVERAGE(Z235,Z238,Z241,Z244)</f>
        <v>178.00814999999997</v>
      </c>
      <c r="AU248">
        <f>AVERAGE(AE235,AE238,AE241,AE244)</f>
        <v>254.06295382236627</v>
      </c>
      <c r="AV248">
        <f>AVERAGE(AF235,AF238,AF241,AF244)</f>
        <v>136.99740576247814</v>
      </c>
      <c r="AW248">
        <f>AVERAGE(AK238,AK241)</f>
        <v>80.68089999999998</v>
      </c>
      <c r="AX248">
        <f>AVERAGE(AL238,AL241)</f>
        <v>115.15218697035472</v>
      </c>
      <c r="AY248">
        <f>AVERAGE(AM238,AM241)</f>
        <v>62.093078292100223</v>
      </c>
      <c r="AZ248">
        <f>AVERAGE(AN238,AN241)</f>
        <v>-20.213781484916055</v>
      </c>
      <c r="BA248">
        <f>AVERAGE(AO238,AO241)</f>
        <v>197.45904674737102</v>
      </c>
    </row>
    <row r="249" spans="21:53" x14ac:dyDescent="0.25">
      <c r="U249" t="s">
        <v>491</v>
      </c>
      <c r="AS249" t="s">
        <v>562</v>
      </c>
      <c r="AT249">
        <f>AVERAGE(Z236,Z239,Z242,Z245)</f>
        <v>139.7876</v>
      </c>
      <c r="AU249">
        <f>AVERAGE(AE236,AE239,AE242,AE245)</f>
        <v>199.51249739823379</v>
      </c>
      <c r="AV249">
        <f>AVERAGE(AF236,AF239,AF242,AF245)</f>
        <v>107.58236944635955</v>
      </c>
    </row>
    <row r="250" spans="21:53" x14ac:dyDescent="0.25">
      <c r="U250" t="s">
        <v>492</v>
      </c>
      <c r="X250">
        <v>16</v>
      </c>
      <c r="Y250">
        <v>15</v>
      </c>
      <c r="Z250">
        <v>150.1808</v>
      </c>
      <c r="AC250">
        <f>Z250*(Y250/1000)</f>
        <v>2.2527119999999998</v>
      </c>
      <c r="AD250">
        <f>(Y250/1000)/($AI$1/$AI$2)</f>
        <v>4.4903125000000012E-3</v>
      </c>
      <c r="AE250">
        <f>AC250/((Y250/1000)-AD250)</f>
        <v>214.34624007612027</v>
      </c>
      <c r="AF250">
        <f>AC250/((Y250/1000)+AD250)</f>
        <v>115.58111241161473</v>
      </c>
      <c r="AG250">
        <f>AE250-$Z250</f>
        <v>64.165440076120262</v>
      </c>
      <c r="AH250">
        <f>AF250-$Z250</f>
        <v>-34.599687588385279</v>
      </c>
      <c r="AI250">
        <f>((AE250/$Z250)*100)-100</f>
        <v>42.725461627664941</v>
      </c>
      <c r="AJ250">
        <f>((AF250/$Z250)*100)-100</f>
        <v>-23.038689092337549</v>
      </c>
    </row>
    <row r="251" spans="21:53" x14ac:dyDescent="0.25">
      <c r="U251" t="s">
        <v>506</v>
      </c>
    </row>
    <row r="252" spans="21:53" x14ac:dyDescent="0.25">
      <c r="U252" t="s">
        <v>493</v>
      </c>
    </row>
    <row r="253" spans="21:53" x14ac:dyDescent="0.25">
      <c r="U253" t="s">
        <v>494</v>
      </c>
      <c r="X253">
        <v>12</v>
      </c>
      <c r="Y253">
        <v>15</v>
      </c>
      <c r="Z253">
        <v>140.37</v>
      </c>
      <c r="AC253">
        <f>Z253*(Y253/1000)</f>
        <v>2.10555</v>
      </c>
      <c r="AD253">
        <f>(Y253/1000)/($AI$1/$AI$2)</f>
        <v>4.4903125000000012E-3</v>
      </c>
      <c r="AE253">
        <f>AC253/((Y253/1000)-AD253)</f>
        <v>200.34373048675334</v>
      </c>
      <c r="AF253">
        <f>AC253/((Y253/1000)+AD253)</f>
        <v>108.03059212108579</v>
      </c>
      <c r="AG253">
        <f>AE253-$Z253</f>
        <v>59.97373048675334</v>
      </c>
      <c r="AH253">
        <f>AF253-$Z253</f>
        <v>-32.339407878914216</v>
      </c>
      <c r="AI253">
        <f>((AE253/$Z253)*100)-100</f>
        <v>42.72546162766497</v>
      </c>
      <c r="AJ253">
        <f>((AF253/$Z253)*100)-100</f>
        <v>-23.038689092337549</v>
      </c>
    </row>
    <row r="254" spans="21:53" x14ac:dyDescent="0.25">
      <c r="U254" t="s">
        <v>507</v>
      </c>
    </row>
    <row r="255" spans="21:53" x14ac:dyDescent="0.25">
      <c r="U255" t="s">
        <v>495</v>
      </c>
    </row>
    <row r="256" spans="21:53" x14ac:dyDescent="0.25">
      <c r="U256" t="s">
        <v>496</v>
      </c>
      <c r="X256">
        <v>4</v>
      </c>
      <c r="Y256">
        <v>15</v>
      </c>
      <c r="Z256">
        <v>119.9996</v>
      </c>
      <c r="AC256">
        <f>Z256*(Y256/1000)</f>
        <v>1.7999939999999999</v>
      </c>
      <c r="AD256">
        <f>(Y256/1000)/($AI$1/$AI$2)</f>
        <v>4.4903125000000012E-3</v>
      </c>
      <c r="AE256">
        <f>AC256/((Y256/1000)-AD256)</f>
        <v>171.26998305135146</v>
      </c>
      <c r="AF256">
        <f>AC256/((Y256/1000)+AD256)</f>
        <v>92.353265243951299</v>
      </c>
      <c r="AG256">
        <f>AE256-$Z256</f>
        <v>51.270383051351459</v>
      </c>
      <c r="AH256">
        <f>AF256-$Z256</f>
        <v>-27.646334756048702</v>
      </c>
      <c r="AI256">
        <f>((AE256/$Z256)*100)-100</f>
        <v>42.72546162766497</v>
      </c>
      <c r="AJ256">
        <f>((AF256/$Z256)*100)-100</f>
        <v>-23.038689092337563</v>
      </c>
    </row>
    <row r="257" spans="21:46" x14ac:dyDescent="0.25">
      <c r="U257" t="s">
        <v>508</v>
      </c>
    </row>
    <row r="258" spans="21:46" x14ac:dyDescent="0.25">
      <c r="U258" t="s">
        <v>497</v>
      </c>
    </row>
    <row r="259" spans="21:46" x14ac:dyDescent="0.25">
      <c r="U259" t="s">
        <v>498</v>
      </c>
      <c r="X259">
        <v>25.66</v>
      </c>
      <c r="Y259">
        <v>15</v>
      </c>
      <c r="Z259">
        <v>172.84462832</v>
      </c>
      <c r="AC259">
        <f>Z259*(Y259/1000)</f>
        <v>2.5926694248</v>
      </c>
      <c r="AD259">
        <f>(Y259/1000)/($AI$1/$AI$2)</f>
        <v>4.4903125000000012E-3</v>
      </c>
      <c r="AE259">
        <f>AC259/((Y259/1000)-AD259)</f>
        <v>246.69329366834174</v>
      </c>
      <c r="AF259">
        <f>AC259/((Y259/1000)+AD259)</f>
        <v>133.02349178854877</v>
      </c>
      <c r="AG259">
        <f>AE259-$Z259</f>
        <v>73.84866534834174</v>
      </c>
      <c r="AH259">
        <f>AF259-$Z259</f>
        <v>-39.821136531451231</v>
      </c>
      <c r="AI259">
        <f>((AE259/$Z259)*100)-100</f>
        <v>42.72546162766497</v>
      </c>
      <c r="AJ259">
        <f>((AF259/$Z259)*100)-100</f>
        <v>-23.038689092337563</v>
      </c>
      <c r="AK259">
        <f>Z259-Z260</f>
        <v>42.535028320000009</v>
      </c>
      <c r="AL259">
        <f>AE259-AE260</f>
        <v>60.708315523178044</v>
      </c>
      <c r="AM259">
        <f>AF259-AF260</f>
        <v>32.735515390017468</v>
      </c>
      <c r="AN259">
        <f>AF259-AE260</f>
        <v>-52.961486356614927</v>
      </c>
      <c r="AO259">
        <f>AE259-AF260</f>
        <v>146.40531726981044</v>
      </c>
      <c r="AP259">
        <f>((AL259/$AK259)*100)-100</f>
        <v>42.72546162766497</v>
      </c>
      <c r="AQ259">
        <f>((AM259/$AK259)*100)-100</f>
        <v>-23.038689092337577</v>
      </c>
    </row>
    <row r="260" spans="21:46" x14ac:dyDescent="0.25">
      <c r="U260" t="s">
        <v>509</v>
      </c>
      <c r="X260">
        <v>8</v>
      </c>
      <c r="Y260">
        <v>15</v>
      </c>
      <c r="Z260">
        <v>130.30959999999999</v>
      </c>
      <c r="AC260">
        <f>Z260*(Y260/1000)</f>
        <v>1.9546439999999998</v>
      </c>
      <c r="AD260">
        <f>(Y260/1000)/($AI$1/$AI$2)</f>
        <v>4.4903125000000012E-3</v>
      </c>
      <c r="AE260">
        <f>AC260/((Y260/1000)-AD260)</f>
        <v>185.98497814516369</v>
      </c>
      <c r="AF260">
        <f>AC260/((Y260/1000)+AD260)</f>
        <v>100.2879763985313</v>
      </c>
      <c r="AG260">
        <f>AE260-$Z260</f>
        <v>55.675378145163705</v>
      </c>
      <c r="AH260">
        <f>AF260-$Z260</f>
        <v>-30.02162360146869</v>
      </c>
      <c r="AI260">
        <f>((AE260/$Z260)*100)-100</f>
        <v>42.72546162766497</v>
      </c>
      <c r="AJ260">
        <f>((AF260/$Z260)*100)-100</f>
        <v>-23.038689092337549</v>
      </c>
    </row>
    <row r="261" spans="21:46" x14ac:dyDescent="0.25">
      <c r="U261" t="s">
        <v>510</v>
      </c>
    </row>
    <row r="262" spans="21:46" x14ac:dyDescent="0.25">
      <c r="U262" t="s">
        <v>511</v>
      </c>
    </row>
    <row r="263" spans="21:46" x14ac:dyDescent="0.25">
      <c r="U263" t="s">
        <v>512</v>
      </c>
    </row>
    <row r="264" spans="21:46" x14ac:dyDescent="0.25">
      <c r="U264" t="s">
        <v>513</v>
      </c>
    </row>
    <row r="265" spans="21:46" x14ac:dyDescent="0.25">
      <c r="U265" t="s">
        <v>514</v>
      </c>
    </row>
    <row r="266" spans="21:46" x14ac:dyDescent="0.25">
      <c r="U266" t="s">
        <v>515</v>
      </c>
    </row>
    <row r="267" spans="21:46" x14ac:dyDescent="0.25">
      <c r="U267" t="s">
        <v>516</v>
      </c>
    </row>
    <row r="268" spans="21:46" x14ac:dyDescent="0.25">
      <c r="U268" t="s">
        <v>517</v>
      </c>
    </row>
    <row r="269" spans="21:46" x14ac:dyDescent="0.25">
      <c r="U269" t="s">
        <v>518</v>
      </c>
    </row>
    <row r="270" spans="21:46" x14ac:dyDescent="0.25">
      <c r="U270" s="55" t="s">
        <v>551</v>
      </c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</row>
    <row r="271" spans="21:46" x14ac:dyDescent="0.25">
      <c r="U271" t="s">
        <v>475</v>
      </c>
      <c r="X271" t="s">
        <v>519</v>
      </c>
      <c r="Y271">
        <v>15</v>
      </c>
    </row>
    <row r="272" spans="21:46" x14ac:dyDescent="0.25">
      <c r="U272" t="s">
        <v>476</v>
      </c>
      <c r="X272">
        <v>53.75</v>
      </c>
      <c r="Y272">
        <v>15</v>
      </c>
      <c r="Z272">
        <v>230.47693750000002</v>
      </c>
      <c r="AC272">
        <f>Z272*(Y272/1000)</f>
        <v>3.4571540625000003</v>
      </c>
      <c r="AD272">
        <f>(Y272/1000)/($AI$1/$AI$2)</f>
        <v>4.4903125000000012E-3</v>
      </c>
      <c r="AE272">
        <f>AC272/((Y272/1000)-AD272)</f>
        <v>328.94927299217994</v>
      </c>
      <c r="AF272">
        <f>AC272/((Y272/1000)+AD272)</f>
        <v>177.37807243983389</v>
      </c>
      <c r="AG272">
        <f>AE272-$Z272</f>
        <v>98.472335492179923</v>
      </c>
      <c r="AH272">
        <f>AF272-$Z272</f>
        <v>-53.098865060166133</v>
      </c>
      <c r="AI272">
        <f>((AE272/$Z272)*100)-100</f>
        <v>42.725461627664998</v>
      </c>
      <c r="AJ272">
        <f>((AF272/$Z272)*100)-100</f>
        <v>-23.038689092337549</v>
      </c>
      <c r="AK272">
        <f>Z272-Z273</f>
        <v>93.549573820000035</v>
      </c>
      <c r="AL272">
        <f>AE272-AE273</f>
        <v>133.51906108530832</v>
      </c>
      <c r="AM272">
        <f>AF272-AF273</f>
        <v>71.996978360403432</v>
      </c>
      <c r="AN272">
        <f>AF272-AE273</f>
        <v>-18.052139467037733</v>
      </c>
      <c r="AO272">
        <f>AE272-AF273</f>
        <v>223.56817891274949</v>
      </c>
      <c r="AP272">
        <f>((AL272/$AK272)*100)-100</f>
        <v>42.725461627665027</v>
      </c>
      <c r="AQ272">
        <f>((AM272/$AK272)*100)-100</f>
        <v>-23.038689092337535</v>
      </c>
    </row>
    <row r="273" spans="21:53" x14ac:dyDescent="0.25">
      <c r="U273" t="s">
        <v>477</v>
      </c>
      <c r="X273">
        <v>10.62</v>
      </c>
      <c r="Y273">
        <v>15</v>
      </c>
      <c r="Z273">
        <v>136.92736367999998</v>
      </c>
      <c r="AC273">
        <f>Z273*(Y273/1000)</f>
        <v>2.0539104551999996</v>
      </c>
      <c r="AD273">
        <f>(Y273/1000)/($AI$1/$AI$2)</f>
        <v>4.4903125000000012E-3</v>
      </c>
      <c r="AE273">
        <f>AC273/((Y273/1000)-AD273)</f>
        <v>195.43021190687162</v>
      </c>
      <c r="AF273">
        <f>AC273/((Y273/1000)+AD273)</f>
        <v>105.38109407943045</v>
      </c>
      <c r="AG273">
        <f>AE273-$Z273</f>
        <v>58.502848226871635</v>
      </c>
      <c r="AH273">
        <f>AF273-$Z273</f>
        <v>-31.546269600569531</v>
      </c>
      <c r="AI273">
        <f>((AE273/$Z273)*100)-100</f>
        <v>42.725461627664941</v>
      </c>
      <c r="AJ273">
        <f>((AF273/$Z273)*100)-100</f>
        <v>-23.038689092337549</v>
      </c>
    </row>
    <row r="274" spans="21:53" x14ac:dyDescent="0.25">
      <c r="U274" t="s">
        <v>478</v>
      </c>
      <c r="X274" t="s">
        <v>520</v>
      </c>
      <c r="Y274">
        <v>15</v>
      </c>
    </row>
    <row r="275" spans="21:53" x14ac:dyDescent="0.25">
      <c r="U275" t="s">
        <v>479</v>
      </c>
      <c r="X275">
        <v>51.25</v>
      </c>
      <c r="Y275">
        <v>15</v>
      </c>
      <c r="Z275">
        <v>225.8466875</v>
      </c>
      <c r="AC275">
        <f>Z275*(Y275/1000)</f>
        <v>3.3877003124999998</v>
      </c>
      <c r="AD275">
        <f>(Y275/1000)/($AI$1/$AI$2)</f>
        <v>4.4903125000000012E-3</v>
      </c>
      <c r="AE275">
        <f>AC275/((Y275/1000)-AD275)</f>
        <v>322.34072730516493</v>
      </c>
      <c r="AF275">
        <f>AC275/((Y275/1000)+AD275)</f>
        <v>173.81457134153183</v>
      </c>
      <c r="AG275">
        <f>AE275-$Z275</f>
        <v>96.494039805164931</v>
      </c>
      <c r="AH275">
        <f>AF275-$Z275</f>
        <v>-52.03211615846817</v>
      </c>
      <c r="AI275">
        <f>((AE275/$Z275)*100)-100</f>
        <v>42.72546162766497</v>
      </c>
      <c r="AJ275">
        <f>((AF275/$Z275)*100)-100</f>
        <v>-23.038689092337549</v>
      </c>
      <c r="AK275">
        <f>Z275-Z276</f>
        <v>66.104687500000011</v>
      </c>
      <c r="AL275">
        <f>AE275-AE276</f>
        <v>94.348220391900355</v>
      </c>
      <c r="AM275">
        <f>AF275-AF276</f>
        <v>50.87503407141368</v>
      </c>
      <c r="AN275">
        <f>AF275-AE276</f>
        <v>-54.177935571732746</v>
      </c>
      <c r="AO275">
        <f>AE275-AF276</f>
        <v>199.4011900350468</v>
      </c>
      <c r="AP275">
        <f>((AL275/$AK275)*100)-100</f>
        <v>42.72546162766497</v>
      </c>
      <c r="AQ275">
        <f>((AM275/$AK275)*100)-100</f>
        <v>-23.038689092337563</v>
      </c>
    </row>
    <row r="276" spans="21:53" x14ac:dyDescent="0.25">
      <c r="U276" t="s">
        <v>480</v>
      </c>
      <c r="X276">
        <v>20</v>
      </c>
      <c r="Y276">
        <v>15</v>
      </c>
      <c r="Z276">
        <v>159.74199999999999</v>
      </c>
      <c r="AC276">
        <f>Z276*(Y276/1000)</f>
        <v>2.3961299999999999</v>
      </c>
      <c r="AD276">
        <f>(Y276/1000)/($AI$1/$AI$2)</f>
        <v>4.4903125000000012E-3</v>
      </c>
      <c r="AE276">
        <f>AC276/((Y276/1000)-AD276)</f>
        <v>227.99250691326458</v>
      </c>
      <c r="AF276">
        <f>AC276/((Y276/1000)+AD276)</f>
        <v>122.93953727011815</v>
      </c>
      <c r="AG276">
        <f>AE276-$Z276</f>
        <v>68.250506913264587</v>
      </c>
      <c r="AH276">
        <f>AF276-$Z276</f>
        <v>-36.802462729881839</v>
      </c>
      <c r="AI276">
        <f>((AE276/$Z276)*100)-100</f>
        <v>42.72546162766497</v>
      </c>
      <c r="AJ276">
        <f>((AF276/$Z276)*100)-100</f>
        <v>-23.038689092337549</v>
      </c>
    </row>
    <row r="277" spans="21:53" x14ac:dyDescent="0.25">
      <c r="U277" t="s">
        <v>481</v>
      </c>
      <c r="X277" t="s">
        <v>521</v>
      </c>
      <c r="Y277">
        <v>15</v>
      </c>
    </row>
    <row r="278" spans="21:53" x14ac:dyDescent="0.25">
      <c r="U278" t="s">
        <v>482</v>
      </c>
      <c r="X278">
        <v>45.63</v>
      </c>
      <c r="Y278">
        <v>15</v>
      </c>
      <c r="Z278">
        <v>215.08193718000001</v>
      </c>
      <c r="AC278">
        <f>Z278*(Y278/1000)</f>
        <v>3.2262290576999999</v>
      </c>
      <c r="AD278">
        <f>(Y278/1000)/($AI$1/$AI$2)</f>
        <v>4.4903125000000012E-3</v>
      </c>
      <c r="AE278">
        <f>AC278/((Y278/1000)-AD278)</f>
        <v>306.97668771787937</v>
      </c>
      <c r="AF278">
        <f>AC278/((Y278/1000)+AD278)</f>
        <v>165.52987837932304</v>
      </c>
      <c r="AG278">
        <f t="shared" ref="AG278:AH282" si="42">AE278-$Z278</f>
        <v>91.894750537879361</v>
      </c>
      <c r="AH278">
        <f t="shared" si="42"/>
        <v>-49.552058800676974</v>
      </c>
      <c r="AI278">
        <f t="shared" ref="AI278:AJ282" si="43">((AE278/$Z278)*100)-100</f>
        <v>42.725461627664941</v>
      </c>
      <c r="AJ278">
        <f t="shared" si="43"/>
        <v>-23.038689092337549</v>
      </c>
      <c r="AK278">
        <f>Z278-Z279</f>
        <v>86.047437180000003</v>
      </c>
      <c r="AL278">
        <f>AE278-AE279</f>
        <v>122.81160193393001</v>
      </c>
      <c r="AM278">
        <f>AF278-AF279</f>
        <v>66.223235656175333</v>
      </c>
      <c r="AN278">
        <f>AF278-AE279</f>
        <v>-18.635207404626328</v>
      </c>
      <c r="AO278">
        <f>AE278-AF279</f>
        <v>207.67004499473165</v>
      </c>
      <c r="AP278">
        <f>((AL278/$AK278)*100)-100</f>
        <v>42.725461627664941</v>
      </c>
      <c r="AQ278">
        <f>((AM278/$AK278)*100)-100</f>
        <v>-23.038689092337549</v>
      </c>
    </row>
    <row r="279" spans="21:53" x14ac:dyDescent="0.25">
      <c r="U279" t="s">
        <v>500</v>
      </c>
      <c r="X279">
        <v>7.5</v>
      </c>
      <c r="Y279">
        <v>15</v>
      </c>
      <c r="Z279">
        <v>129.03450000000001</v>
      </c>
      <c r="AC279">
        <f>Z279*(Y279/1000)</f>
        <v>1.9355175</v>
      </c>
      <c r="AD279">
        <f>(Y279/1000)/($AI$1/$AI$2)</f>
        <v>4.4903125000000012E-3</v>
      </c>
      <c r="AE279">
        <f>AC279/((Y279/1000)-AD279)</f>
        <v>184.16508578394937</v>
      </c>
      <c r="AF279">
        <f>AC279/((Y279/1000)+AD279)</f>
        <v>99.306642723147704</v>
      </c>
      <c r="AG279">
        <f t="shared" si="42"/>
        <v>55.130585783949357</v>
      </c>
      <c r="AH279">
        <f t="shared" si="42"/>
        <v>-29.727857276852305</v>
      </c>
      <c r="AI279">
        <f t="shared" si="43"/>
        <v>42.72546162766497</v>
      </c>
      <c r="AJ279">
        <f t="shared" si="43"/>
        <v>-23.038689092337563</v>
      </c>
    </row>
    <row r="280" spans="21:53" x14ac:dyDescent="0.25">
      <c r="U280" t="s">
        <v>483</v>
      </c>
      <c r="X280">
        <v>43.75</v>
      </c>
      <c r="Y280">
        <v>15</v>
      </c>
      <c r="Z280">
        <v>211.3709375</v>
      </c>
      <c r="AC280">
        <f>Z280*(Y280/1000)</f>
        <v>3.1705640625</v>
      </c>
      <c r="AD280">
        <f>(Y280/1000)/($AI$1/$AI$2)</f>
        <v>4.4903125000000012E-3</v>
      </c>
      <c r="AE280">
        <f>AC280/((Y280/1000)-AD280)</f>
        <v>301.68014629359823</v>
      </c>
      <c r="AF280">
        <f>AC280/((Y280/1000)+AD280)</f>
        <v>162.67384437781587</v>
      </c>
      <c r="AG280">
        <f t="shared" si="42"/>
        <v>90.309208793598231</v>
      </c>
      <c r="AH280">
        <f t="shared" si="42"/>
        <v>-48.697093122184128</v>
      </c>
      <c r="AI280">
        <f t="shared" si="43"/>
        <v>42.72546162766497</v>
      </c>
      <c r="AJ280">
        <f t="shared" si="43"/>
        <v>-23.038689092337549</v>
      </c>
      <c r="AK280">
        <f>Z280-Z281</f>
        <v>-20.239213679999978</v>
      </c>
      <c r="AL280">
        <f>AE280-AE281</f>
        <v>-28.886511154589471</v>
      </c>
      <c r="AM280">
        <f>AF280-AF281</f>
        <v>-15.576364165530947</v>
      </c>
      <c r="AN280">
        <f>AF280-AE281</f>
        <v>-167.89281307037183</v>
      </c>
      <c r="AO280">
        <f>AE280-AF281</f>
        <v>123.42993775025141</v>
      </c>
      <c r="AP280">
        <f>((AL280/$AK280)*100)-100</f>
        <v>42.725461627664885</v>
      </c>
      <c r="AQ280">
        <f>((AM280/$AK280)*100)-100</f>
        <v>-23.038689092337478</v>
      </c>
    </row>
    <row r="281" spans="21:53" x14ac:dyDescent="0.25">
      <c r="U281" t="s">
        <v>484</v>
      </c>
      <c r="X281">
        <v>54.37</v>
      </c>
      <c r="Y281">
        <v>15</v>
      </c>
      <c r="Z281">
        <v>231.61015117999997</v>
      </c>
      <c r="AC281">
        <f>Z281*(Y281/1000)</f>
        <v>3.4741522676999996</v>
      </c>
      <c r="AD281">
        <f>(Y281/1000)/($AI$1/$AI$2)</f>
        <v>4.4903125000000012E-3</v>
      </c>
      <c r="AE281">
        <f>AC281/((Y281/1000)-AD281)</f>
        <v>330.5666574481877</v>
      </c>
      <c r="AF281">
        <f>AC281/((Y281/1000)+AD281)</f>
        <v>178.25020854334682</v>
      </c>
      <c r="AG281">
        <f t="shared" si="42"/>
        <v>98.956506268187724</v>
      </c>
      <c r="AH281">
        <f t="shared" si="42"/>
        <v>-53.359942636653159</v>
      </c>
      <c r="AI281">
        <f t="shared" si="43"/>
        <v>42.72546162766497</v>
      </c>
      <c r="AJ281">
        <f t="shared" si="43"/>
        <v>-23.038689092337549</v>
      </c>
      <c r="AK281">
        <f>Z281-Z282</f>
        <v>58.833653999999996</v>
      </c>
      <c r="AL281">
        <f>AE281-AE282</f>
        <v>83.970604263923178</v>
      </c>
      <c r="AM281">
        <f>AF281-AF282</f>
        <v>45.279151373278381</v>
      </c>
      <c r="AN281">
        <f>AF281-AE282</f>
        <v>-68.345844640917704</v>
      </c>
      <c r="AO281">
        <f>AE281-AF282</f>
        <v>197.59560027811926</v>
      </c>
      <c r="AP281">
        <f>((AL281/$AK281)*100)-100</f>
        <v>42.72546162766497</v>
      </c>
      <c r="AQ281">
        <f>((AM281/$AK281)*100)-100</f>
        <v>-23.038689092337549</v>
      </c>
    </row>
    <row r="282" spans="21:53" x14ac:dyDescent="0.25">
      <c r="U282" t="s">
        <v>485</v>
      </c>
      <c r="X282">
        <v>25.63</v>
      </c>
      <c r="Y282">
        <v>15</v>
      </c>
      <c r="Z282">
        <v>172.77649717999998</v>
      </c>
      <c r="AC282">
        <f>Z282*(Y282/1000)</f>
        <v>2.5916474576999997</v>
      </c>
      <c r="AD282">
        <f>(Y282/1000)/($AI$1/$AI$2)</f>
        <v>4.4903125000000012E-3</v>
      </c>
      <c r="AE282">
        <f>AC282/((Y282/1000)-AD282)</f>
        <v>246.59605318426452</v>
      </c>
      <c r="AF282">
        <f>AC282/((Y282/1000)+AD282)</f>
        <v>132.97105717006843</v>
      </c>
      <c r="AG282">
        <f t="shared" si="42"/>
        <v>73.819556004264541</v>
      </c>
      <c r="AH282">
        <f t="shared" si="42"/>
        <v>-39.805440009931544</v>
      </c>
      <c r="AI282">
        <f t="shared" si="43"/>
        <v>42.72546162766497</v>
      </c>
      <c r="AJ282">
        <f t="shared" si="43"/>
        <v>-23.038689092337549</v>
      </c>
    </row>
    <row r="283" spans="21:53" x14ac:dyDescent="0.25">
      <c r="U283" t="s">
        <v>486</v>
      </c>
      <c r="X283" t="s">
        <v>522</v>
      </c>
      <c r="Y283">
        <v>15</v>
      </c>
    </row>
    <row r="284" spans="21:53" x14ac:dyDescent="0.25">
      <c r="U284" t="s">
        <v>488</v>
      </c>
      <c r="X284">
        <v>46.87</v>
      </c>
      <c r="Y284">
        <v>15</v>
      </c>
      <c r="Z284">
        <v>217.49944118000002</v>
      </c>
      <c r="AC284">
        <f>Z284*(Y284/1000)</f>
        <v>3.2624916177000003</v>
      </c>
      <c r="AD284">
        <f>(Y284/1000)/($AI$1/$AI$2)</f>
        <v>4.4903125000000012E-3</v>
      </c>
      <c r="AE284">
        <f>AC284/((Y284/1000)-AD284)</f>
        <v>310.4270814617467</v>
      </c>
      <c r="AF284">
        <f>AC284/((Y284/1000)+AD284)</f>
        <v>167.39042114896824</v>
      </c>
      <c r="AG284">
        <f>AE284-$Z284</f>
        <v>92.927640281746676</v>
      </c>
      <c r="AH284">
        <f>AF284-$Z284</f>
        <v>-50.109020031031775</v>
      </c>
      <c r="AI284">
        <f>((AE284/$Z284)*100)-100</f>
        <v>42.72546162766497</v>
      </c>
      <c r="AJ284">
        <f>((AF284/$Z284)*100)-100</f>
        <v>-23.038689092337535</v>
      </c>
      <c r="AK284">
        <f>Z284-Z285</f>
        <v>85.284503680000029</v>
      </c>
      <c r="AL284">
        <f>AE284-AE285</f>
        <v>121.722701574143</v>
      </c>
      <c r="AM284">
        <f>AF284-AF285</f>
        <v>65.636072033221666</v>
      </c>
      <c r="AN284">
        <f>AF284-AE285</f>
        <v>-21.313958738635449</v>
      </c>
      <c r="AO284">
        <f>AE284-AF285</f>
        <v>208.67273234600012</v>
      </c>
      <c r="AP284">
        <f>((AL284/$AK284)*100)-100</f>
        <v>42.725461627665027</v>
      </c>
      <c r="AQ284">
        <f>((AM284/$AK284)*100)-100</f>
        <v>-23.038689092337535</v>
      </c>
    </row>
    <row r="285" spans="21:53" x14ac:dyDescent="0.25">
      <c r="U285" t="s">
        <v>502</v>
      </c>
      <c r="X285">
        <v>8.75</v>
      </c>
      <c r="Y285">
        <v>15</v>
      </c>
      <c r="Z285">
        <v>132.21493749999999</v>
      </c>
      <c r="AC285">
        <f>Z285*(Y285/1000)</f>
        <v>1.9832240624999997</v>
      </c>
      <c r="AD285">
        <f>(Y285/1000)/($AI$1/$AI$2)</f>
        <v>4.4903125000000012E-3</v>
      </c>
      <c r="AE285">
        <f>AC285/((Y285/1000)-AD285)</f>
        <v>188.70437988760369</v>
      </c>
      <c r="AF285">
        <f>AC285/((Y285/1000)+AD285)</f>
        <v>101.75434911574658</v>
      </c>
      <c r="AG285">
        <f>AE285-$Z285</f>
        <v>56.489442387603702</v>
      </c>
      <c r="AH285">
        <f>AF285-$Z285</f>
        <v>-30.460588384253413</v>
      </c>
      <c r="AI285">
        <f>((AE285/$Z285)*100)-100</f>
        <v>42.725461627664941</v>
      </c>
      <c r="AJ285">
        <f>((AF285/$Z285)*100)-100</f>
        <v>-23.038689092337549</v>
      </c>
    </row>
    <row r="286" spans="21:53" x14ac:dyDescent="0.25">
      <c r="U286" t="s">
        <v>487</v>
      </c>
      <c r="AT286" t="s">
        <v>559</v>
      </c>
    </row>
    <row r="287" spans="21:53" x14ac:dyDescent="0.25">
      <c r="U287" t="s">
        <v>489</v>
      </c>
      <c r="X287">
        <v>31.25</v>
      </c>
      <c r="Y287">
        <v>15</v>
      </c>
      <c r="Z287">
        <v>185.29468750000001</v>
      </c>
      <c r="AC287">
        <f>Z287*(Y287/1000)</f>
        <v>2.7794203125000001</v>
      </c>
      <c r="AD287">
        <f>(Y287/1000)/($AI$1/$AI$2)</f>
        <v>4.4903125000000012E-3</v>
      </c>
      <c r="AE287">
        <f>AC287/((Y287/1000)-AD287)</f>
        <v>264.46269810591423</v>
      </c>
      <c r="AF287">
        <f>AC287/((Y287/1000)+AD287)</f>
        <v>142.60522054225655</v>
      </c>
      <c r="AG287">
        <f>AE287-$Z287</f>
        <v>79.168010605914219</v>
      </c>
      <c r="AH287">
        <f>AF287-$Z287</f>
        <v>-42.689466957743463</v>
      </c>
      <c r="AI287">
        <f>((AE287/$Z287)*100)-100</f>
        <v>42.72546162766497</v>
      </c>
      <c r="AJ287">
        <f>((AF287/$Z287)*100)-100</f>
        <v>-23.038689092337563</v>
      </c>
      <c r="AS287" t="s">
        <v>560</v>
      </c>
      <c r="AT287">
        <f>AVERAGE(Z280)</f>
        <v>211.3709375</v>
      </c>
    </row>
    <row r="288" spans="21:53" x14ac:dyDescent="0.25">
      <c r="U288" t="s">
        <v>490</v>
      </c>
      <c r="AS288" t="s">
        <v>561</v>
      </c>
      <c r="AT288">
        <f>AVERAGE(Z272,Z275,Z278,Z281,Z284)</f>
        <v>224.10303090800002</v>
      </c>
      <c r="AU288">
        <f>AVERAGE(AE272,AE275,AE278,AE281,AE284)</f>
        <v>319.85208538503173</v>
      </c>
      <c r="AV288">
        <f>AVERAGE(AF272,AF275,AF278,AF281,AF284)</f>
        <v>172.47263037060077</v>
      </c>
      <c r="AW288">
        <f>AVERAGE(AK275,AK278,AK281,AK284)</f>
        <v>74.067570590000003</v>
      </c>
      <c r="AX288">
        <f>AVERAGE(AL275,AL278,AL281,AL284)</f>
        <v>105.71328204097414</v>
      </c>
      <c r="AY288">
        <f>AVERAGE(AM275,AM278,AM281,AM284)</f>
        <v>57.003373283522265</v>
      </c>
      <c r="AZ288">
        <f>AVERAGE(AN275,AN278,AN281,AN284)</f>
        <v>-40.618236588978057</v>
      </c>
      <c r="BA288">
        <f>AVERAGE(AO275,AO278,AO281,AO284)</f>
        <v>203.33489191347445</v>
      </c>
    </row>
    <row r="289" spans="21:48" x14ac:dyDescent="0.25">
      <c r="U289" t="s">
        <v>491</v>
      </c>
      <c r="AS289" t="s">
        <v>562</v>
      </c>
      <c r="AT289">
        <f>AVERAGE(Z273,Z276,Z279,Z282,Z285)</f>
        <v>146.13905967199997</v>
      </c>
      <c r="AU289">
        <f>AVERAGE(AE273,AE276,AE279,AE282,AE285)</f>
        <v>208.57764753519078</v>
      </c>
      <c r="AV289">
        <f>AVERAGE(AF273,AF276,AF279,AF282,AF285)</f>
        <v>112.47053607170226</v>
      </c>
    </row>
    <row r="290" spans="21:48" x14ac:dyDescent="0.25">
      <c r="U290" t="s">
        <v>492</v>
      </c>
      <c r="X290">
        <v>50.63</v>
      </c>
      <c r="Y290">
        <v>15</v>
      </c>
      <c r="Z290">
        <v>224.68329718000001</v>
      </c>
      <c r="AC290">
        <f>Z290*(Y290/1000)</f>
        <v>3.3702494577</v>
      </c>
      <c r="AD290">
        <f>(Y290/1000)/($AI$1/$AI$2)</f>
        <v>4.4903125000000012E-3</v>
      </c>
      <c r="AE290">
        <f>AC290/((Y290/1000)-AD290)</f>
        <v>320.68027310041339</v>
      </c>
      <c r="AF290">
        <f>AC290/((Y290/1000)+AD290)</f>
        <v>172.91921090028697</v>
      </c>
      <c r="AG290">
        <f>AE290-$Z290</f>
        <v>95.996975920413377</v>
      </c>
      <c r="AH290">
        <f>AF290-$Z290</f>
        <v>-51.764086279713041</v>
      </c>
      <c r="AI290">
        <f>((AE290/$Z290)*100)-100</f>
        <v>42.72546162766497</v>
      </c>
      <c r="AJ290">
        <f>((AF290/$Z290)*100)-100</f>
        <v>-23.038689092337563</v>
      </c>
      <c r="AK290">
        <f>Z290-Z291</f>
        <v>83.073297179999997</v>
      </c>
      <c r="AL290">
        <f>AE290-AE291</f>
        <v>118.566746889477</v>
      </c>
      <c r="AM290">
        <f>AF290-AF291</f>
        <v>63.934298523946168</v>
      </c>
      <c r="AN290">
        <f>AF290-AE291</f>
        <v>-29.194315310649415</v>
      </c>
      <c r="AO290">
        <f>AE290-AF291</f>
        <v>211.6953607240726</v>
      </c>
      <c r="AP290">
        <f>((AL290/$AK290)*100)-100</f>
        <v>42.725461627664998</v>
      </c>
      <c r="AQ290">
        <f>((AM290/$AK290)*100)-100</f>
        <v>-23.038689092337563</v>
      </c>
    </row>
    <row r="291" spans="21:48" x14ac:dyDescent="0.25">
      <c r="U291" t="s">
        <v>506</v>
      </c>
      <c r="X291">
        <v>12.5</v>
      </c>
      <c r="Y291">
        <v>15</v>
      </c>
      <c r="Z291">
        <v>141.61000000000001</v>
      </c>
      <c r="AC291">
        <f>Z291*(Y291/1000)</f>
        <v>2.1241500000000002</v>
      </c>
      <c r="AD291">
        <f>(Y291/1000)/($AI$1/$AI$2)</f>
        <v>4.4903125000000012E-3</v>
      </c>
      <c r="AE291">
        <f>AC291/((Y291/1000)-AD291)</f>
        <v>202.11352621093639</v>
      </c>
      <c r="AF291">
        <f>AC291/((Y291/1000)+AD291)</f>
        <v>108.9849123763408</v>
      </c>
      <c r="AG291">
        <f>AE291-$Z291</f>
        <v>60.503526210936371</v>
      </c>
      <c r="AH291">
        <f>AF291-$Z291</f>
        <v>-32.625087623659212</v>
      </c>
      <c r="AI291">
        <f>((AE291/$Z291)*100)-100</f>
        <v>42.72546162766497</v>
      </c>
      <c r="AJ291">
        <f>((AF291/$Z291)*100)-100</f>
        <v>-23.038689092337549</v>
      </c>
    </row>
    <row r="292" spans="21:48" x14ac:dyDescent="0.25">
      <c r="U292" t="s">
        <v>493</v>
      </c>
    </row>
    <row r="293" spans="21:48" x14ac:dyDescent="0.25">
      <c r="U293" t="s">
        <v>494</v>
      </c>
      <c r="X293">
        <v>33.130000000000003</v>
      </c>
      <c r="Y293">
        <v>15</v>
      </c>
      <c r="Z293">
        <v>189.37228718</v>
      </c>
      <c r="AC293">
        <f>Z293*(Y293/1000)</f>
        <v>2.8405843076999999</v>
      </c>
      <c r="AD293">
        <f>(Y293/1000)/($AI$1/$AI$2)</f>
        <v>4.4903125000000012E-3</v>
      </c>
      <c r="AE293">
        <f>AC293/((Y293/1000)-AD293)</f>
        <v>270.28247107252241</v>
      </c>
      <c r="AF293">
        <f>AC293/((Y293/1000)+AD293)</f>
        <v>145.74339470955121</v>
      </c>
      <c r="AG293">
        <f>AE293-$Z293</f>
        <v>80.910183892522411</v>
      </c>
      <c r="AH293">
        <f>AF293-$Z293</f>
        <v>-43.62889247044879</v>
      </c>
      <c r="AI293">
        <f>((AE293/$Z293)*100)-100</f>
        <v>42.72546162766497</v>
      </c>
      <c r="AJ293">
        <f>((AF293/$Z293)*100)-100</f>
        <v>-23.038689092337535</v>
      </c>
      <c r="AK293">
        <f>Z293-Z294</f>
        <v>71.648160000000004</v>
      </c>
      <c r="AL293">
        <f>AE293-AE294</f>
        <v>102.26016710772799</v>
      </c>
      <c r="AM293">
        <f>AF293-AF294</f>
        <v>55.141363177219461</v>
      </c>
      <c r="AN293">
        <f>AF293-AE294</f>
        <v>-22.278909255243207</v>
      </c>
      <c r="AO293">
        <f>AE293-AF294</f>
        <v>179.68043954019066</v>
      </c>
      <c r="AP293">
        <f>((AL293/$AK293)*100)-100</f>
        <v>42.725461627664941</v>
      </c>
      <c r="AQ293">
        <f>((AM293/$AK293)*100)-100</f>
        <v>-23.038689092337535</v>
      </c>
    </row>
    <row r="294" spans="21:48" x14ac:dyDescent="0.25">
      <c r="U294" t="s">
        <v>507</v>
      </c>
      <c r="X294">
        <v>3.13</v>
      </c>
      <c r="Y294">
        <v>15</v>
      </c>
      <c r="Z294">
        <v>117.72412718</v>
      </c>
      <c r="AC294">
        <f>Z294*(Y294/1000)</f>
        <v>1.7658619077</v>
      </c>
      <c r="AD294">
        <f>(Y294/1000)/($AI$1/$AI$2)</f>
        <v>4.4903125000000012E-3</v>
      </c>
      <c r="AE294">
        <f>AC294/((Y294/1000)-AD294)</f>
        <v>168.02230396479442</v>
      </c>
      <c r="AF294">
        <f>AC294/((Y294/1000)+AD294)</f>
        <v>90.60203153233175</v>
      </c>
      <c r="AG294">
        <f>AE294-$Z294</f>
        <v>50.298176784794421</v>
      </c>
      <c r="AH294">
        <f>AF294-$Z294</f>
        <v>-27.122095647668246</v>
      </c>
      <c r="AI294">
        <f>((AE294/$Z294)*100)-100</f>
        <v>42.72546162766497</v>
      </c>
      <c r="AJ294">
        <f>((AF294/$Z294)*100)-100</f>
        <v>-23.038689092337549</v>
      </c>
    </row>
    <row r="295" spans="21:48" x14ac:dyDescent="0.25">
      <c r="U295" t="s">
        <v>495</v>
      </c>
      <c r="Y295">
        <v>15</v>
      </c>
    </row>
    <row r="296" spans="21:48" x14ac:dyDescent="0.25">
      <c r="U296" t="s">
        <v>496</v>
      </c>
      <c r="X296">
        <v>32.5</v>
      </c>
      <c r="Y296">
        <v>15</v>
      </c>
      <c r="Z296">
        <v>188.012</v>
      </c>
      <c r="AC296">
        <f>Z296*(Y296/1000)</f>
        <v>2.8201799999999997</v>
      </c>
      <c r="AD296">
        <f>(Y296/1000)/($AI$1/$AI$2)</f>
        <v>4.4903125000000012E-3</v>
      </c>
      <c r="AE296">
        <f>AC296/((Y296/1000)-AD296)</f>
        <v>268.34099491540542</v>
      </c>
      <c r="AF296">
        <f>AC296/((Y296/1000)+AD296)</f>
        <v>144.69649986371431</v>
      </c>
      <c r="AG296">
        <f>AE296-$Z296</f>
        <v>80.328994915405417</v>
      </c>
      <c r="AH296">
        <f>AF296-$Z296</f>
        <v>-43.315500136285692</v>
      </c>
      <c r="AI296">
        <f>((AE296/$Z296)*100)-100</f>
        <v>42.725461627664941</v>
      </c>
      <c r="AJ296">
        <f>((AF296/$Z296)*100)-100</f>
        <v>-23.038689092337563</v>
      </c>
    </row>
    <row r="297" spans="21:48" x14ac:dyDescent="0.25">
      <c r="U297" t="s">
        <v>508</v>
      </c>
    </row>
    <row r="298" spans="21:48" x14ac:dyDescent="0.25">
      <c r="U298" t="s">
        <v>497</v>
      </c>
    </row>
    <row r="299" spans="21:48" x14ac:dyDescent="0.25">
      <c r="U299" t="s">
        <v>498</v>
      </c>
      <c r="X299">
        <v>65</v>
      </c>
      <c r="Y299">
        <v>15</v>
      </c>
      <c r="Z299">
        <v>250.10649999999998</v>
      </c>
      <c r="AC299">
        <f>Z299*(Y299/1000)</f>
        <v>3.7515974999999995</v>
      </c>
      <c r="AD299">
        <f>(Y299/1000)/($AI$1/$AI$2)</f>
        <v>4.4903125000000012E-3</v>
      </c>
      <c r="AE299">
        <f>AC299/((Y299/1000)-AD299)</f>
        <v>356.96565668579586</v>
      </c>
      <c r="AF299">
        <f>AC299/((Y299/1000)+AD299)</f>
        <v>192.48524106527276</v>
      </c>
      <c r="AG299">
        <f>AE299-$Z299</f>
        <v>106.85915668579588</v>
      </c>
      <c r="AH299">
        <f>AF299-$Z299</f>
        <v>-57.621258934727223</v>
      </c>
      <c r="AI299">
        <f>((AE299/$Z299)*100)-100</f>
        <v>42.72546162766497</v>
      </c>
      <c r="AJ299">
        <f>((AF299/$Z299)*100)-100</f>
        <v>-23.038689092337549</v>
      </c>
      <c r="AK299">
        <f>Z299-Z300</f>
        <v>100.84699631999999</v>
      </c>
      <c r="AL299">
        <f>AE299-AE300</f>
        <v>143.93434103535429</v>
      </c>
      <c r="AM299">
        <f>AF299-AF300</f>
        <v>77.613170378874102</v>
      </c>
      <c r="AN299">
        <f>AF299-AE300</f>
        <v>-20.54607458516881</v>
      </c>
      <c r="AO299">
        <f>AE299-AF300</f>
        <v>242.09358599939719</v>
      </c>
      <c r="AP299">
        <f>((AL299/$AK299)*100)-100</f>
        <v>42.72546162766497</v>
      </c>
      <c r="AQ299">
        <f>((AM299/$AK299)*100)-100</f>
        <v>-23.038689092337549</v>
      </c>
    </row>
    <row r="300" spans="21:48" x14ac:dyDescent="0.25">
      <c r="U300" t="s">
        <v>509</v>
      </c>
      <c r="X300">
        <v>15.62</v>
      </c>
      <c r="Y300">
        <v>15</v>
      </c>
      <c r="Z300">
        <v>149.25950367999999</v>
      </c>
      <c r="AC300">
        <f>Z300*(Y300/1000)</f>
        <v>2.2388925551999996</v>
      </c>
      <c r="AD300">
        <f>(Y300/1000)/($AI$1/$AI$2)</f>
        <v>4.4903125000000012E-3</v>
      </c>
      <c r="AE300">
        <f>AC300/((Y300/1000)-AD300)</f>
        <v>213.03131565044157</v>
      </c>
      <c r="AF300">
        <f>AC300/((Y300/1000)+AD300)</f>
        <v>114.87207068639866</v>
      </c>
      <c r="AG300">
        <f>AE300-$Z300</f>
        <v>63.771811970441576</v>
      </c>
      <c r="AH300">
        <f>AF300-$Z300</f>
        <v>-34.387432993601337</v>
      </c>
      <c r="AI300">
        <f>((AE300/$Z300)*100)-100</f>
        <v>42.72546162766497</v>
      </c>
      <c r="AJ300">
        <f>((AF300/$Z300)*100)-100</f>
        <v>-23.038689092337563</v>
      </c>
    </row>
    <row r="301" spans="21:48" x14ac:dyDescent="0.25">
      <c r="U301" t="s">
        <v>510</v>
      </c>
    </row>
    <row r="302" spans="21:48" x14ac:dyDescent="0.25">
      <c r="U302" t="s">
        <v>511</v>
      </c>
      <c r="X302">
        <v>41.25</v>
      </c>
      <c r="Y302">
        <v>15</v>
      </c>
      <c r="Z302">
        <v>206.35068749999999</v>
      </c>
      <c r="AC302">
        <f>Z302*(Y302/1000)</f>
        <v>3.0952603124999998</v>
      </c>
      <c r="AD302">
        <f>(Y302/1000)/($AI$1/$AI$2)</f>
        <v>4.4903125000000012E-3</v>
      </c>
      <c r="AE302">
        <f>AC302/((Y302/1000)-AD302)</f>
        <v>294.51497130623534</v>
      </c>
      <c r="AF302">
        <f>AC302/((Y302/1000)+AD302)</f>
        <v>158.81019416697396</v>
      </c>
      <c r="AG302">
        <f>AE302-$Z302</f>
        <v>88.164283806235346</v>
      </c>
      <c r="AH302">
        <f>AF302-$Z302</f>
        <v>-47.540493333026035</v>
      </c>
      <c r="AI302">
        <f>((AE302/$Z302)*100)-100</f>
        <v>42.72546162766497</v>
      </c>
      <c r="AJ302">
        <f>((AF302/$Z302)*100)-100</f>
        <v>-23.038689092337549</v>
      </c>
      <c r="AK302">
        <f>Z302-Z303</f>
        <v>93.578696831199991</v>
      </c>
      <c r="AL302">
        <f>AE302-AE303</f>
        <v>133.56062703748327</v>
      </c>
      <c r="AM302">
        <f>AF302-AF303</f>
        <v>72.019391811598695</v>
      </c>
      <c r="AN302">
        <f>AF302-AE303</f>
        <v>-2.1441501017781093</v>
      </c>
      <c r="AO302">
        <f>AE302-AF303</f>
        <v>207.72416895086008</v>
      </c>
      <c r="AP302">
        <f>((AL302/$AK302)*100)-100</f>
        <v>42.72546162766497</v>
      </c>
      <c r="AQ302">
        <f>((AM302/$AK302)*100)-100</f>
        <v>-23.038689092337549</v>
      </c>
    </row>
    <row r="303" spans="21:48" x14ac:dyDescent="0.25">
      <c r="U303" t="s">
        <v>512</v>
      </c>
      <c r="X303">
        <v>1.252</v>
      </c>
      <c r="Y303">
        <v>15</v>
      </c>
      <c r="Z303">
        <v>112.7719906688</v>
      </c>
      <c r="AC303">
        <f>Z303*(Y303/1000)</f>
        <v>1.691579860032</v>
      </c>
      <c r="AD303">
        <f>(Y303/1000)/($AI$1/$AI$2)</f>
        <v>4.4903125000000012E-3</v>
      </c>
      <c r="AE303">
        <f>AC303/((Y303/1000)-AD303)</f>
        <v>160.95434426875207</v>
      </c>
      <c r="AF303">
        <f>AC303/((Y303/1000)+AD303)</f>
        <v>86.790802355375263</v>
      </c>
      <c r="AG303">
        <f>AE303-$Z303</f>
        <v>48.182353599952066</v>
      </c>
      <c r="AH303">
        <f>AF303-$Z303</f>
        <v>-25.981188313424738</v>
      </c>
      <c r="AI303">
        <f>((AE303/$Z303)*100)-100</f>
        <v>42.72546162766497</v>
      </c>
      <c r="AJ303">
        <f>((AF303/$Z303)*100)-100</f>
        <v>-23.038689092337535</v>
      </c>
    </row>
    <row r="304" spans="21:48" x14ac:dyDescent="0.25">
      <c r="U304" t="s">
        <v>513</v>
      </c>
    </row>
    <row r="305" spans="21:46" x14ac:dyDescent="0.25">
      <c r="U305" t="s">
        <v>514</v>
      </c>
      <c r="X305">
        <v>4.9980000000000002</v>
      </c>
      <c r="Y305">
        <v>15</v>
      </c>
      <c r="Z305">
        <v>122.5953137688</v>
      </c>
      <c r="AC305">
        <f>Z305*(Y305/1000)</f>
        <v>1.8389297065319998</v>
      </c>
      <c r="AD305">
        <f>(Y305/1000)/($AI$1/$AI$2)</f>
        <v>4.4903125000000012E-3</v>
      </c>
      <c r="AE305">
        <f>AC305/((Y305/1000)-AD305)</f>
        <v>174.97472751040411</v>
      </c>
      <c r="AF305">
        <f>AC305/((Y305/1000)+AD305)</f>
        <v>94.350960587830471</v>
      </c>
      <c r="AG305">
        <f>AE305-$Z305</f>
        <v>52.379413741604111</v>
      </c>
      <c r="AH305">
        <f>AF305-$Z305</f>
        <v>-28.244353180969526</v>
      </c>
      <c r="AI305">
        <f>((AE305/$Z305)*100)-100</f>
        <v>42.72546162766497</v>
      </c>
      <c r="AJ305">
        <f>((AF305/$Z305)*100)-100</f>
        <v>-23.038689092337549</v>
      </c>
    </row>
    <row r="306" spans="21:46" x14ac:dyDescent="0.25">
      <c r="U306" t="s">
        <v>515</v>
      </c>
    </row>
    <row r="307" spans="21:46" x14ac:dyDescent="0.25">
      <c r="U307" s="55" t="s">
        <v>552</v>
      </c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</row>
    <row r="308" spans="21:46" x14ac:dyDescent="0.25">
      <c r="U308" t="s">
        <v>475</v>
      </c>
    </row>
    <row r="309" spans="21:46" x14ac:dyDescent="0.25">
      <c r="U309" t="s">
        <v>476</v>
      </c>
      <c r="X309">
        <v>39</v>
      </c>
      <c r="Y309">
        <v>15</v>
      </c>
      <c r="Z309">
        <v>201.7491</v>
      </c>
      <c r="AC309">
        <f>Z309*(Y309/1000)</f>
        <v>3.0262365</v>
      </c>
      <c r="AD309">
        <f>(Y309/1000)/($AI$1/$AI$2)</f>
        <v>4.4903125000000012E-3</v>
      </c>
      <c r="AE309">
        <f>AC309/((Y309/1000)-AD309)</f>
        <v>287.94733430465942</v>
      </c>
      <c r="AF309">
        <f>AC309/((Y309/1000)+AD309)</f>
        <v>155.26875210441082</v>
      </c>
      <c r="AG309">
        <f>AE309-$Z309</f>
        <v>86.198234304659422</v>
      </c>
      <c r="AH309">
        <f>AF309-$Z309</f>
        <v>-46.480347895589176</v>
      </c>
      <c r="AI309">
        <f>((AE309/$Z309)*100)-100</f>
        <v>42.72546162766497</v>
      </c>
      <c r="AJ309">
        <f>((AF309/$Z309)*100)-100</f>
        <v>-23.038689092337549</v>
      </c>
    </row>
    <row r="310" spans="21:46" x14ac:dyDescent="0.25">
      <c r="U310" t="s">
        <v>477</v>
      </c>
    </row>
    <row r="311" spans="21:46" x14ac:dyDescent="0.25">
      <c r="U311" t="s">
        <v>478</v>
      </c>
    </row>
    <row r="312" spans="21:46" x14ac:dyDescent="0.25">
      <c r="U312" t="s">
        <v>479</v>
      </c>
      <c r="X312">
        <v>60</v>
      </c>
      <c r="Y312">
        <v>15</v>
      </c>
      <c r="Z312">
        <v>241.62599999999998</v>
      </c>
      <c r="AC312">
        <f>Z312*(Y312/1000)</f>
        <v>3.6243899999999996</v>
      </c>
      <c r="AD312">
        <f>(Y312/1000)/($AI$1/$AI$2)</f>
        <v>4.4903125000000012E-3</v>
      </c>
      <c r="AE312">
        <f>AC312/((Y312/1000)-AD312)</f>
        <v>344.86182391246172</v>
      </c>
      <c r="AF312">
        <f>AC312/((Y312/1000)+AD312)</f>
        <v>185.95853709374845</v>
      </c>
      <c r="AG312">
        <f>AE312-$Z312</f>
        <v>103.23582391246174</v>
      </c>
      <c r="AH312">
        <f>AF312-$Z312</f>
        <v>-55.667462906251529</v>
      </c>
      <c r="AI312">
        <f>((AE312/$Z312)*100)-100</f>
        <v>42.72546162766497</v>
      </c>
      <c r="AJ312">
        <f>((AF312/$Z312)*100)-100</f>
        <v>-23.038689092337549</v>
      </c>
      <c r="AK312">
        <f>Z312-Z313</f>
        <v>108.77789999999999</v>
      </c>
      <c r="AL312">
        <f>AE312-AE313</f>
        <v>155.25375992387973</v>
      </c>
      <c r="AM312">
        <f>AF312-AF313</f>
        <v>83.716897817826137</v>
      </c>
      <c r="AN312">
        <f>AF312-AE313</f>
        <v>-3.6495268948335422</v>
      </c>
      <c r="AO312">
        <f>AE312-AF313</f>
        <v>242.62018463653942</v>
      </c>
      <c r="AP312">
        <f>((AL312/$AK312)*100)-100</f>
        <v>42.725461627664941</v>
      </c>
      <c r="AQ312">
        <f>((AM312/$AK312)*100)-100</f>
        <v>-23.038689092337563</v>
      </c>
    </row>
    <row r="313" spans="21:46" x14ac:dyDescent="0.25">
      <c r="U313" t="s">
        <v>480</v>
      </c>
      <c r="X313">
        <v>9</v>
      </c>
      <c r="Y313">
        <v>15</v>
      </c>
      <c r="Z313">
        <v>132.84809999999999</v>
      </c>
      <c r="AC313">
        <f>Z313*(Y313/1000)</f>
        <v>1.9927214999999998</v>
      </c>
      <c r="AD313">
        <f>(Y313/1000)/($AI$1/$AI$2)</f>
        <v>4.4903125000000012E-3</v>
      </c>
      <c r="AE313">
        <f>AC313/((Y313/1000)-AD313)</f>
        <v>189.60806398858199</v>
      </c>
      <c r="AF313">
        <f>AC313/((Y313/1000)+AD313)</f>
        <v>102.24163927592231</v>
      </c>
      <c r="AG313">
        <f>AE313-$Z313</f>
        <v>56.759963988582001</v>
      </c>
      <c r="AH313">
        <f>AF313-$Z313</f>
        <v>-30.606460724077678</v>
      </c>
      <c r="AI313">
        <f>((AE313/$Z313)*100)-100</f>
        <v>42.72546162766497</v>
      </c>
      <c r="AJ313">
        <f>((AF313/$Z313)*100)-100</f>
        <v>-23.038689092337549</v>
      </c>
    </row>
    <row r="314" spans="21:46" x14ac:dyDescent="0.25">
      <c r="U314" t="s">
        <v>481</v>
      </c>
    </row>
    <row r="315" spans="21:46" x14ac:dyDescent="0.25">
      <c r="U315" t="s">
        <v>482</v>
      </c>
      <c r="X315">
        <v>39</v>
      </c>
      <c r="Y315">
        <v>15</v>
      </c>
      <c r="Z315">
        <v>201.7491</v>
      </c>
      <c r="AC315">
        <f>Z315*(Y315/1000)</f>
        <v>3.0262365</v>
      </c>
      <c r="AD315">
        <f>(Y315/1000)/($AI$1/$AI$2)</f>
        <v>4.4903125000000012E-3</v>
      </c>
      <c r="AE315">
        <f>AC315/((Y315/1000)-AD315)</f>
        <v>287.94733430465942</v>
      </c>
      <c r="AF315">
        <f>AC315/((Y315/1000)+AD315)</f>
        <v>155.26875210441082</v>
      </c>
      <c r="AG315">
        <f>AE315-$Z315</f>
        <v>86.198234304659422</v>
      </c>
      <c r="AH315">
        <f>AF315-$Z315</f>
        <v>-46.480347895589176</v>
      </c>
      <c r="AI315">
        <f>((AE315/$Z315)*100)-100</f>
        <v>42.72546162766497</v>
      </c>
      <c r="AJ315">
        <f>((AF315/$Z315)*100)-100</f>
        <v>-23.038689092337549</v>
      </c>
    </row>
    <row r="316" spans="21:46" x14ac:dyDescent="0.25">
      <c r="U316" t="s">
        <v>500</v>
      </c>
    </row>
    <row r="317" spans="21:46" x14ac:dyDescent="0.25">
      <c r="U317" t="s">
        <v>483</v>
      </c>
    </row>
    <row r="318" spans="21:46" x14ac:dyDescent="0.25">
      <c r="U318" t="s">
        <v>484</v>
      </c>
      <c r="X318">
        <v>81</v>
      </c>
      <c r="Y318">
        <v>15</v>
      </c>
      <c r="Z318">
        <v>274.62330000000003</v>
      </c>
      <c r="AC318">
        <f>Z318*(Y318/1000)</f>
        <v>4.1193495000000002</v>
      </c>
      <c r="AD318">
        <f>(Y318/1000)/($AI$1/$AI$2)</f>
        <v>4.4903125000000012E-3</v>
      </c>
      <c r="AE318">
        <f>AC318/((Y318/1000)-AD318)</f>
        <v>391.95737266212728</v>
      </c>
      <c r="AF318">
        <f>AC318/((Y318/1000)+AD318)</f>
        <v>211.3536917378826</v>
      </c>
      <c r="AG318">
        <f>AE318-$Z318</f>
        <v>117.33407266212726</v>
      </c>
      <c r="AH318">
        <f>AF318-$Z318</f>
        <v>-63.26960826211743</v>
      </c>
      <c r="AI318">
        <f>((AE318/$Z318)*100)-100</f>
        <v>42.72546162766497</v>
      </c>
      <c r="AJ318">
        <f>((AF318/$Z318)*100)-100</f>
        <v>-23.038689092337549</v>
      </c>
      <c r="AK318">
        <f>Z318-Z319</f>
        <v>119.63070000000005</v>
      </c>
      <c r="AL318">
        <f>AE318-AE319</f>
        <v>170.74346882340703</v>
      </c>
      <c r="AM318">
        <f>AF318-AF319</f>
        <v>92.069354968012973</v>
      </c>
      <c r="AN318">
        <f>AF318-AE319</f>
        <v>-9.8602121008376571</v>
      </c>
      <c r="AO318">
        <f>AE318-AF319</f>
        <v>272.67303589225764</v>
      </c>
      <c r="AP318">
        <f>((AL318/$AK318)*100)-100</f>
        <v>42.725461627664941</v>
      </c>
      <c r="AQ318">
        <f>((AM318/$AK318)*100)-100</f>
        <v>-23.038689092337549</v>
      </c>
    </row>
    <row r="319" spans="21:46" x14ac:dyDescent="0.25">
      <c r="U319" t="s">
        <v>485</v>
      </c>
      <c r="X319">
        <v>18</v>
      </c>
      <c r="Y319">
        <v>15</v>
      </c>
      <c r="Z319">
        <v>154.99259999999998</v>
      </c>
      <c r="AC319">
        <f>Z319*(Y319/1000)</f>
        <v>2.3248889999999998</v>
      </c>
      <c r="AD319">
        <f>(Y319/1000)/($AI$1/$AI$2)</f>
        <v>4.4903125000000012E-3</v>
      </c>
      <c r="AE319">
        <f>AC319/((Y319/1000)-AD319)</f>
        <v>221.21390383872026</v>
      </c>
      <c r="AF319">
        <f>AC319/((Y319/1000)+AD319)</f>
        <v>119.28433676986963</v>
      </c>
      <c r="AG319">
        <f>AE319-$Z319</f>
        <v>66.221303838720274</v>
      </c>
      <c r="AH319">
        <f>AF319-$Z319</f>
        <v>-35.708263230130356</v>
      </c>
      <c r="AI319">
        <f>((AE319/$Z319)*100)-100</f>
        <v>42.725461627664998</v>
      </c>
      <c r="AJ319">
        <f>((AF319/$Z319)*100)-100</f>
        <v>-23.038689092337535</v>
      </c>
    </row>
    <row r="320" spans="21:46" x14ac:dyDescent="0.25">
      <c r="U320" t="s">
        <v>486</v>
      </c>
    </row>
    <row r="321" spans="21:53" x14ac:dyDescent="0.25">
      <c r="U321" t="s">
        <v>488</v>
      </c>
      <c r="X321">
        <v>48</v>
      </c>
      <c r="Y321">
        <v>15</v>
      </c>
      <c r="Z321">
        <v>219.6816</v>
      </c>
      <c r="AC321">
        <f>Z321*(Y321/1000)</f>
        <v>3.2952239999999997</v>
      </c>
      <c r="AD321">
        <f>(Y321/1000)/($AI$1/$AI$2)</f>
        <v>4.4903125000000012E-3</v>
      </c>
      <c r="AE321">
        <f>AC321/((Y321/1000)-AD321)</f>
        <v>313.54157771104042</v>
      </c>
      <c r="AF321">
        <f>AC321/((Y321/1000)+AD321)</f>
        <v>169.06983918292738</v>
      </c>
      <c r="AG321">
        <f>AE321-$Z321</f>
        <v>93.859977711040415</v>
      </c>
      <c r="AH321">
        <f>AF321-$Z321</f>
        <v>-50.611760817072621</v>
      </c>
      <c r="AI321">
        <f>((AE321/$Z321)*100)-100</f>
        <v>42.725461627664941</v>
      </c>
      <c r="AJ321">
        <f>((AF321/$Z321)*100)-100</f>
        <v>-23.038689092337563</v>
      </c>
    </row>
    <row r="322" spans="21:53" x14ac:dyDescent="0.25">
      <c r="U322" t="s">
        <v>502</v>
      </c>
    </row>
    <row r="323" spans="21:53" x14ac:dyDescent="0.25">
      <c r="U323" t="s">
        <v>487</v>
      </c>
      <c r="AT323" t="s">
        <v>559</v>
      </c>
    </row>
    <row r="324" spans="21:53" x14ac:dyDescent="0.25">
      <c r="U324" t="s">
        <v>489</v>
      </c>
      <c r="X324">
        <v>27</v>
      </c>
      <c r="Y324">
        <v>15</v>
      </c>
      <c r="Z324">
        <v>175.87349999999998</v>
      </c>
      <c r="AC324">
        <f>Z324*(Y324/1000)</f>
        <v>2.6381024999999996</v>
      </c>
      <c r="AD324">
        <f>(Y324/1000)/($AI$1/$AI$2)</f>
        <v>4.4903125000000012E-3</v>
      </c>
      <c r="AE324">
        <f>AC324/((Y324/1000)-AD324)</f>
        <v>251.01626475573133</v>
      </c>
      <c r="AF324">
        <f>AC324/((Y324/1000)+AD324)</f>
        <v>135.35455113918769</v>
      </c>
      <c r="AG324">
        <f>AE324-$Z324</f>
        <v>75.142764755731349</v>
      </c>
      <c r="AH324">
        <f>AF324-$Z324</f>
        <v>-40.518948860812287</v>
      </c>
      <c r="AI324">
        <f>((AE324/$Z324)*100)-100</f>
        <v>42.72546162766497</v>
      </c>
      <c r="AJ324">
        <f>((AF324/$Z324)*100)-100</f>
        <v>-23.038689092337563</v>
      </c>
      <c r="AS324" t="s">
        <v>560</v>
      </c>
    </row>
    <row r="325" spans="21:53" x14ac:dyDescent="0.25">
      <c r="U325" t="s">
        <v>490</v>
      </c>
      <c r="AS325" t="s">
        <v>561</v>
      </c>
      <c r="AT325">
        <f>AVERAGE(Z309,Z312,Z315,Z318,Z321)</f>
        <v>227.88581999999997</v>
      </c>
      <c r="AU325">
        <f>AVERAGE(AE309,AE312,AE315,AE318,AE321)</f>
        <v>325.25108857898965</v>
      </c>
      <c r="AV325">
        <f>AVERAGE(AF309,AF312,AF315,AF318,AF321)</f>
        <v>175.38391444467601</v>
      </c>
      <c r="AW325">
        <f>AVERAGE(AK312,AK315,AK318,AK321)</f>
        <v>114.20430000000002</v>
      </c>
      <c r="AX325">
        <f>AVERAGE(AL312,AL315,AL318,AL321)</f>
        <v>162.99861437364336</v>
      </c>
      <c r="AY325">
        <f>AVERAGE(AM312,AM315,AM318,AM321)</f>
        <v>87.893126392919555</v>
      </c>
      <c r="AZ325">
        <f>AVERAGE(AN312,AN315,AN318,AN321)</f>
        <v>-6.7548694978355996</v>
      </c>
      <c r="BA325">
        <f>AVERAGE(AO312,AO315,AO318,AO321)</f>
        <v>257.64661026439853</v>
      </c>
    </row>
    <row r="326" spans="21:53" x14ac:dyDescent="0.25">
      <c r="U326" t="s">
        <v>491</v>
      </c>
      <c r="AS326" t="s">
        <v>562</v>
      </c>
      <c r="AT326">
        <f>AVERAGE(Z310,Z313,Z316,Z319,Z322)</f>
        <v>143.92034999999998</v>
      </c>
      <c r="AU326">
        <f>AVERAGE(AE310,AE313,AE316,AE319,AE322)</f>
        <v>205.41098391365114</v>
      </c>
      <c r="AV326">
        <f>AVERAGE(AF310,AF313,AF316,AF319,AF322)</f>
        <v>110.76298802289597</v>
      </c>
    </row>
    <row r="327" spans="21:53" x14ac:dyDescent="0.25">
      <c r="U327" t="s">
        <v>492</v>
      </c>
      <c r="X327">
        <v>69</v>
      </c>
      <c r="Y327">
        <v>15</v>
      </c>
      <c r="Z327">
        <v>256.61009999999999</v>
      </c>
      <c r="AC327">
        <f>Z327*(Y327/1000)</f>
        <v>3.8491514999999996</v>
      </c>
      <c r="AD327">
        <f>(Y327/1000)/($AI$1/$AI$2)</f>
        <v>4.4903125000000012E-3</v>
      </c>
      <c r="AE327">
        <f>AC327/((Y327/1000)-AD327)</f>
        <v>366.2479498082127</v>
      </c>
      <c r="AF327">
        <f>AC327/((Y327/1000)+AD327)</f>
        <v>197.49049688146351</v>
      </c>
      <c r="AG327">
        <f>AE327-$Z327</f>
        <v>109.63784980821271</v>
      </c>
      <c r="AH327">
        <f>AF327-$Z327</f>
        <v>-59.119603118536475</v>
      </c>
      <c r="AI327">
        <f>((AE327/$Z327)*100)-100</f>
        <v>42.72546162766497</v>
      </c>
      <c r="AJ327">
        <f>((AF327/$Z327)*100)-100</f>
        <v>-23.038689092337549</v>
      </c>
      <c r="AK327">
        <f>Z327-Z328</f>
        <v>108.8586</v>
      </c>
      <c r="AL327">
        <f>AE327-AE328</f>
        <v>155.36893937141332</v>
      </c>
      <c r="AM327">
        <f>AF327-AF328</f>
        <v>83.779005595728648</v>
      </c>
      <c r="AN327">
        <f>AF327-AE328</f>
        <v>-13.388513555335862</v>
      </c>
      <c r="AO327">
        <f>AE327-AF328</f>
        <v>252.53645852247783</v>
      </c>
      <c r="AP327">
        <f>((AL327/$AK327)*100)-100</f>
        <v>42.725461627664998</v>
      </c>
      <c r="AQ327">
        <f>((AM327/$AK327)*100)-100</f>
        <v>-23.038689092337535</v>
      </c>
    </row>
    <row r="328" spans="21:53" x14ac:dyDescent="0.25">
      <c r="U328" t="s">
        <v>506</v>
      </c>
      <c r="X328">
        <v>15</v>
      </c>
      <c r="Y328">
        <v>15</v>
      </c>
      <c r="Z328">
        <v>147.75149999999999</v>
      </c>
      <c r="AC328">
        <f>Z328*(Y328/1000)</f>
        <v>2.2162724999999996</v>
      </c>
      <c r="AD328">
        <f>(Y328/1000)/($AI$1/$AI$2)</f>
        <v>4.4903125000000012E-3</v>
      </c>
      <c r="AE328">
        <f>AC328/((Y328/1000)-AD328)</f>
        <v>210.87901043679938</v>
      </c>
      <c r="AF328">
        <f>AC328/((Y328/1000)+AD328)</f>
        <v>113.71149128573487</v>
      </c>
      <c r="AG328">
        <f>AE328-$Z328</f>
        <v>63.127510436799383</v>
      </c>
      <c r="AH328">
        <f>AF328-$Z328</f>
        <v>-34.040008714265127</v>
      </c>
      <c r="AI328">
        <f>((AE328/$Z328)*100)-100</f>
        <v>42.725461627664941</v>
      </c>
      <c r="AJ328">
        <f>((AF328/$Z328)*100)-100</f>
        <v>-23.038689092337563</v>
      </c>
    </row>
    <row r="329" spans="21:53" x14ac:dyDescent="0.25">
      <c r="U329" t="s">
        <v>493</v>
      </c>
    </row>
    <row r="330" spans="21:53" x14ac:dyDescent="0.25">
      <c r="U330" t="s">
        <v>494</v>
      </c>
      <c r="X330">
        <v>42</v>
      </c>
      <c r="Y330">
        <v>15</v>
      </c>
      <c r="Z330">
        <v>207.86699999999999</v>
      </c>
      <c r="AC330">
        <f>Z330*(Y330/1000)</f>
        <v>3.1180049999999997</v>
      </c>
      <c r="AD330">
        <f>(Y330/1000)/($AI$1/$AI$2)</f>
        <v>4.4903125000000012E-3</v>
      </c>
      <c r="AE330">
        <f>AC330/((Y330/1000)-AD330)</f>
        <v>296.67913532157831</v>
      </c>
      <c r="AF330">
        <f>AC330/((Y330/1000)+AD330)</f>
        <v>159.97716814443069</v>
      </c>
      <c r="AG330">
        <f>AE330-$Z330</f>
        <v>88.812135321578324</v>
      </c>
      <c r="AH330">
        <f>AF330-$Z330</f>
        <v>-47.889831855569298</v>
      </c>
      <c r="AI330">
        <f>((AE330/$Z330)*100)-100</f>
        <v>42.72546162766497</v>
      </c>
      <c r="AJ330">
        <f>((AF330/$Z330)*100)-100</f>
        <v>-23.038689092337549</v>
      </c>
    </row>
    <row r="331" spans="21:53" x14ac:dyDescent="0.25">
      <c r="U331" t="s">
        <v>507</v>
      </c>
    </row>
    <row r="332" spans="21:53" x14ac:dyDescent="0.25">
      <c r="U332" t="s">
        <v>495</v>
      </c>
    </row>
    <row r="333" spans="21:53" x14ac:dyDescent="0.25">
      <c r="U333" t="s">
        <v>496</v>
      </c>
      <c r="X333">
        <v>30</v>
      </c>
      <c r="Y333">
        <v>15</v>
      </c>
      <c r="Z333">
        <v>182.553</v>
      </c>
      <c r="AC333">
        <f>Z333*(Y333/1000)</f>
        <v>2.7382949999999999</v>
      </c>
      <c r="AD333">
        <f>(Y333/1000)/($AI$1/$AI$2)</f>
        <v>4.4903125000000012E-3</v>
      </c>
      <c r="AE333">
        <f>AC333/((Y333/1000)-AD333)</f>
        <v>260.54961196515126</v>
      </c>
      <c r="AF333">
        <f>AC333/((Y333/1000)+AD333)</f>
        <v>140.49518190126503</v>
      </c>
      <c r="AG333">
        <f>AE333-$Z333</f>
        <v>77.99661196515126</v>
      </c>
      <c r="AH333">
        <f>AF333-$Z333</f>
        <v>-42.05781809873497</v>
      </c>
      <c r="AI333">
        <f>((AE333/$Z333)*100)-100</f>
        <v>42.725461627664998</v>
      </c>
      <c r="AJ333">
        <f>((AF333/$Z333)*100)-100</f>
        <v>-23.038689092337549</v>
      </c>
    </row>
    <row r="334" spans="21:53" x14ac:dyDescent="0.25">
      <c r="U334" t="s">
        <v>508</v>
      </c>
    </row>
    <row r="335" spans="21:53" x14ac:dyDescent="0.25">
      <c r="U335" t="s">
        <v>497</v>
      </c>
    </row>
    <row r="336" spans="21:53" x14ac:dyDescent="0.25">
      <c r="U336" t="s">
        <v>498</v>
      </c>
      <c r="X336">
        <v>69</v>
      </c>
      <c r="Y336">
        <v>15</v>
      </c>
      <c r="Z336">
        <v>256.61009999999999</v>
      </c>
      <c r="AC336">
        <f>Z336*(Y336/1000)</f>
        <v>3.8491514999999996</v>
      </c>
      <c r="AD336">
        <f>(Y336/1000)/($AI$1/$AI$2)</f>
        <v>4.4903125000000012E-3</v>
      </c>
      <c r="AE336">
        <f>AC336/((Y336/1000)-AD336)</f>
        <v>366.2479498082127</v>
      </c>
      <c r="AF336">
        <f>AC336/((Y336/1000)+AD336)</f>
        <v>197.49049688146351</v>
      </c>
      <c r="AG336">
        <f>AE336-$Z336</f>
        <v>109.63784980821271</v>
      </c>
      <c r="AH336">
        <f>AF336-$Z336</f>
        <v>-59.119603118536475</v>
      </c>
      <c r="AI336">
        <f>((AE336/$Z336)*100)-100</f>
        <v>42.72546162766497</v>
      </c>
      <c r="AJ336">
        <f>((AF336/$Z336)*100)-100</f>
        <v>-23.038689092337549</v>
      </c>
      <c r="AK336">
        <f>Z336-Z337</f>
        <v>131.42429999999999</v>
      </c>
      <c r="AL336">
        <f>AE336-AE337</f>
        <v>187.5759388659273</v>
      </c>
      <c r="AM336">
        <f>AF336-AF337</f>
        <v>101.14586413121901</v>
      </c>
      <c r="AN336">
        <f>AF336-AE337</f>
        <v>18.818485939178117</v>
      </c>
      <c r="AO336">
        <f>AE336-AF337</f>
        <v>269.9033170579682</v>
      </c>
      <c r="AP336">
        <f>((AL336/$AK336)*100)-100</f>
        <v>42.725461627664998</v>
      </c>
      <c r="AQ336">
        <f>((AM336/$AK336)*100)-100</f>
        <v>-23.038689092337549</v>
      </c>
    </row>
    <row r="337" spans="21:46" x14ac:dyDescent="0.25">
      <c r="U337" t="s">
        <v>509</v>
      </c>
      <c r="X337">
        <v>6</v>
      </c>
      <c r="Y337">
        <v>15</v>
      </c>
      <c r="Z337">
        <v>125.1858</v>
      </c>
      <c r="AC337">
        <f>Z337*(Y337/1000)</f>
        <v>1.8777869999999999</v>
      </c>
      <c r="AD337">
        <f>(Y337/1000)/($AI$1/$AI$2)</f>
        <v>4.4903125000000012E-3</v>
      </c>
      <c r="AE337">
        <f>AC337/((Y337/1000)-AD337)</f>
        <v>178.6720109422854</v>
      </c>
      <c r="AF337">
        <f>AC337/((Y337/1000)+AD337)</f>
        <v>96.3446327502445</v>
      </c>
      <c r="AG337">
        <f>AE337-$Z337</f>
        <v>53.486210942285396</v>
      </c>
      <c r="AH337">
        <f>AF337-$Z337</f>
        <v>-28.8411672497555</v>
      </c>
      <c r="AI337">
        <f>((AE337/$Z337)*100)-100</f>
        <v>42.725461627664941</v>
      </c>
      <c r="AJ337">
        <f>((AF337/$Z337)*100)-100</f>
        <v>-23.038689092337549</v>
      </c>
    </row>
    <row r="338" spans="21:46" x14ac:dyDescent="0.25">
      <c r="U338" t="s">
        <v>510</v>
      </c>
    </row>
    <row r="339" spans="21:46" x14ac:dyDescent="0.25">
      <c r="U339" t="s">
        <v>511</v>
      </c>
      <c r="X339">
        <v>42</v>
      </c>
      <c r="Y339">
        <v>15</v>
      </c>
      <c r="Z339">
        <v>207.86699999999999</v>
      </c>
      <c r="AC339">
        <f>Z339*(Y339/1000)</f>
        <v>3.1180049999999997</v>
      </c>
      <c r="AD339">
        <f>(Y339/1000)/($AI$1/$AI$2)</f>
        <v>4.4903125000000012E-3</v>
      </c>
      <c r="AE339">
        <f>AC339/((Y339/1000)-AD339)</f>
        <v>296.67913532157831</v>
      </c>
      <c r="AF339">
        <f>AC339/((Y339/1000)+AD339)</f>
        <v>159.97716814443069</v>
      </c>
      <c r="AG339">
        <f>AE339-$Z339</f>
        <v>88.812135321578324</v>
      </c>
      <c r="AH339">
        <f>AF339-$Z339</f>
        <v>-47.889831855569298</v>
      </c>
      <c r="AI339">
        <f>((AE339/$Z339)*100)-100</f>
        <v>42.72546162766497</v>
      </c>
      <c r="AJ339">
        <f>((AF339/$Z339)*100)-100</f>
        <v>-23.038689092337549</v>
      </c>
    </row>
    <row r="340" spans="21:46" x14ac:dyDescent="0.25">
      <c r="U340" t="s">
        <v>512</v>
      </c>
    </row>
    <row r="341" spans="21:46" x14ac:dyDescent="0.25">
      <c r="U341" t="s">
        <v>513</v>
      </c>
    </row>
    <row r="342" spans="21:46" x14ac:dyDescent="0.25">
      <c r="U342" t="s">
        <v>514</v>
      </c>
      <c r="X342">
        <v>21</v>
      </c>
      <c r="Y342">
        <v>15</v>
      </c>
      <c r="Z342">
        <v>162.0933</v>
      </c>
      <c r="AC342">
        <f>Z342*(Y342/1000)</f>
        <v>2.4313994999999999</v>
      </c>
      <c r="AD342">
        <f>(Y342/1000)/($AI$1/$AI$2)</f>
        <v>4.4903125000000012E-3</v>
      </c>
      <c r="AE342">
        <f>AC342/((Y342/1000)-AD342)</f>
        <v>231.34841069251587</v>
      </c>
      <c r="AF342">
        <f>AC342/((Y342/1000)+AD342)</f>
        <v>124.74912857349001</v>
      </c>
      <c r="AG342">
        <f>AE342-$Z342</f>
        <v>69.255110692515871</v>
      </c>
      <c r="AH342">
        <f>AF342-$Z342</f>
        <v>-37.344171426509988</v>
      </c>
      <c r="AI342">
        <f>((AE342/$Z342)*100)-100</f>
        <v>42.72546162766497</v>
      </c>
      <c r="AJ342">
        <f>((AF342/$Z342)*100)-100</f>
        <v>-23.038689092337549</v>
      </c>
    </row>
    <row r="343" spans="21:46" x14ac:dyDescent="0.25">
      <c r="U343" t="s">
        <v>515</v>
      </c>
    </row>
    <row r="344" spans="21:46" x14ac:dyDescent="0.25">
      <c r="U344" t="s">
        <v>516</v>
      </c>
    </row>
    <row r="345" spans="21:46" x14ac:dyDescent="0.25">
      <c r="U345" t="s">
        <v>517</v>
      </c>
    </row>
    <row r="346" spans="21:46" x14ac:dyDescent="0.25">
      <c r="U346" t="s">
        <v>518</v>
      </c>
      <c r="X346">
        <v>12</v>
      </c>
      <c r="Y346">
        <v>15</v>
      </c>
      <c r="Z346">
        <v>140.37</v>
      </c>
      <c r="AC346">
        <f>Z346*(Y346/1000)</f>
        <v>2.10555</v>
      </c>
      <c r="AD346">
        <f>(Y346/1000)/($AI$1/$AI$2)</f>
        <v>4.4903125000000012E-3</v>
      </c>
      <c r="AE346">
        <f>AC346/((Y346/1000)-AD346)</f>
        <v>200.34373048675334</v>
      </c>
      <c r="AF346">
        <f>AC346/((Y346/1000)+AD346)</f>
        <v>108.03059212108579</v>
      </c>
      <c r="AG346">
        <f>AE346-$Z346</f>
        <v>59.97373048675334</v>
      </c>
      <c r="AH346">
        <f>AF346-$Z346</f>
        <v>-32.339407878914216</v>
      </c>
      <c r="AI346">
        <f>((AE346/$Z346)*100)-100</f>
        <v>42.72546162766497</v>
      </c>
      <c r="AJ346">
        <f>((AF346/$Z346)*100)-100</f>
        <v>-23.038689092337549</v>
      </c>
    </row>
    <row r="347" spans="21:46" x14ac:dyDescent="0.25">
      <c r="U347" t="s">
        <v>523</v>
      </c>
    </row>
    <row r="348" spans="21:46" x14ac:dyDescent="0.25">
      <c r="U348" t="s">
        <v>524</v>
      </c>
      <c r="X348">
        <v>33</v>
      </c>
      <c r="Y348">
        <v>15</v>
      </c>
      <c r="Z348">
        <v>189.09209999999999</v>
      </c>
      <c r="AC348">
        <f>Z348*(Y348/1000)</f>
        <v>2.8363814999999999</v>
      </c>
      <c r="AD348">
        <f>(Y348/1000)/($AI$1/$AI$2)</f>
        <v>4.4903125000000012E-3</v>
      </c>
      <c r="AE348">
        <f>AC348/((Y348/1000)-AD348)</f>
        <v>269.88257262644589</v>
      </c>
      <c r="AF348">
        <f>AC348/((Y348/1000)+AD348)</f>
        <v>145.52775898282798</v>
      </c>
      <c r="AG348">
        <f>AE348-$Z348</f>
        <v>80.790472626445904</v>
      </c>
      <c r="AH348">
        <f>AF348-$Z348</f>
        <v>-43.564341017172012</v>
      </c>
      <c r="AI348">
        <f>((AE348/$Z348)*100)-100</f>
        <v>42.725461627664998</v>
      </c>
      <c r="AJ348">
        <f>((AF348/$Z348)*100)-100</f>
        <v>-23.038689092337549</v>
      </c>
    </row>
    <row r="349" spans="21:46" x14ac:dyDescent="0.25">
      <c r="U349" t="s">
        <v>525</v>
      </c>
    </row>
    <row r="350" spans="21:46" x14ac:dyDescent="0.25">
      <c r="U350" s="55" t="s">
        <v>553</v>
      </c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</row>
    <row r="351" spans="21:46" x14ac:dyDescent="0.25">
      <c r="U351" t="s">
        <v>475</v>
      </c>
    </row>
    <row r="352" spans="21:46" x14ac:dyDescent="0.25">
      <c r="U352" t="s">
        <v>476</v>
      </c>
      <c r="X352">
        <v>66</v>
      </c>
      <c r="Y352">
        <v>15</v>
      </c>
      <c r="Z352">
        <v>251.75579999999999</v>
      </c>
      <c r="AC352">
        <f>Z352*(Y352/1000)</f>
        <v>3.7763369999999998</v>
      </c>
      <c r="AD352">
        <f>(Y352/1000)/($AI$1/$AI$2)</f>
        <v>4.4903125000000012E-3</v>
      </c>
      <c r="AE352">
        <f>AC352/((Y352/1000)-AD352)</f>
        <v>359.31962772442097</v>
      </c>
      <c r="AF352">
        <f>AC352/((Y352/1000)+AD352)</f>
        <v>193.75456396607285</v>
      </c>
      <c r="AG352">
        <f>AE352-$Z352</f>
        <v>107.56382772442097</v>
      </c>
      <c r="AH352">
        <f>AF352-$Z352</f>
        <v>-58.001236033927142</v>
      </c>
      <c r="AI352">
        <f>((AE352/$Z352)*100)-100</f>
        <v>42.72546162766497</v>
      </c>
      <c r="AJ352">
        <f>((AF352/$Z352)*100)-100</f>
        <v>-23.038689092337549</v>
      </c>
      <c r="AK352">
        <f>Z352-Z353</f>
        <v>89.662499999999994</v>
      </c>
      <c r="AL352">
        <f>AE352-AE353</f>
        <v>127.9712170319051</v>
      </c>
      <c r="AM352">
        <f>AF352-AF353</f>
        <v>69.005435392582839</v>
      </c>
      <c r="AN352">
        <f>AF352-AE353</f>
        <v>-37.593846726443019</v>
      </c>
      <c r="AO352">
        <f>AE352-AF353</f>
        <v>234.57049915093097</v>
      </c>
      <c r="AP352">
        <f>((AL352/$AK352)*100)-100</f>
        <v>42.72546162766497</v>
      </c>
      <c r="AQ352">
        <f>((AM352/$AK352)*100)-100</f>
        <v>-23.038689092337549</v>
      </c>
    </row>
    <row r="353" spans="21:53" x14ac:dyDescent="0.25">
      <c r="U353" t="s">
        <v>477</v>
      </c>
      <c r="X353">
        <v>21</v>
      </c>
      <c r="Y353">
        <v>15</v>
      </c>
      <c r="Z353">
        <v>162.0933</v>
      </c>
      <c r="AC353">
        <f>Z353*(Y353/1000)</f>
        <v>2.4313994999999999</v>
      </c>
      <c r="AD353">
        <f>(Y353/1000)/($AI$1/$AI$2)</f>
        <v>4.4903125000000012E-3</v>
      </c>
      <c r="AE353">
        <f>AC353/((Y353/1000)-AD353)</f>
        <v>231.34841069251587</v>
      </c>
      <c r="AF353">
        <f>AC353/((Y353/1000)+AD353)</f>
        <v>124.74912857349001</v>
      </c>
      <c r="AG353">
        <f>AE353-$Z353</f>
        <v>69.255110692515871</v>
      </c>
      <c r="AH353">
        <f>AF353-$Z353</f>
        <v>-37.344171426509988</v>
      </c>
      <c r="AI353">
        <f>((AE353/$Z353)*100)-100</f>
        <v>42.72546162766497</v>
      </c>
      <c r="AJ353">
        <f>((AF353/$Z353)*100)-100</f>
        <v>-23.038689092337549</v>
      </c>
    </row>
    <row r="354" spans="21:53" x14ac:dyDescent="0.25">
      <c r="U354" t="s">
        <v>478</v>
      </c>
    </row>
    <row r="355" spans="21:53" x14ac:dyDescent="0.25">
      <c r="U355" t="s">
        <v>479</v>
      </c>
      <c r="X355">
        <v>48</v>
      </c>
      <c r="Y355">
        <v>15</v>
      </c>
      <c r="Z355">
        <v>219.6816</v>
      </c>
      <c r="AC355">
        <f>Z355*(Y355/1000)</f>
        <v>3.2952239999999997</v>
      </c>
      <c r="AD355">
        <f>(Y355/1000)/($AI$1/$AI$2)</f>
        <v>4.4903125000000012E-3</v>
      </c>
      <c r="AE355">
        <f>AC355/((Y355/1000)-AD355)</f>
        <v>313.54157771104042</v>
      </c>
      <c r="AF355">
        <f>AC355/((Y355/1000)+AD355)</f>
        <v>169.06983918292738</v>
      </c>
      <c r="AG355">
        <f>AE355-$Z355</f>
        <v>93.859977711040415</v>
      </c>
      <c r="AH355">
        <f>AF355-$Z355</f>
        <v>-50.611760817072621</v>
      </c>
      <c r="AI355">
        <f>((AE355/$Z355)*100)-100</f>
        <v>42.725461627664941</v>
      </c>
      <c r="AJ355">
        <f>((AF355/$Z355)*100)-100</f>
        <v>-23.038689092337563</v>
      </c>
    </row>
    <row r="356" spans="21:53" x14ac:dyDescent="0.25">
      <c r="U356" t="s">
        <v>480</v>
      </c>
    </row>
    <row r="357" spans="21:53" x14ac:dyDescent="0.25">
      <c r="U357" t="s">
        <v>481</v>
      </c>
    </row>
    <row r="358" spans="21:53" x14ac:dyDescent="0.25">
      <c r="U358" t="s">
        <v>482</v>
      </c>
      <c r="X358">
        <v>81</v>
      </c>
      <c r="Y358">
        <v>15</v>
      </c>
      <c r="Z358">
        <v>274.62330000000003</v>
      </c>
      <c r="AC358">
        <f>Z358*(Y358/1000)</f>
        <v>4.1193495000000002</v>
      </c>
      <c r="AD358">
        <f>(Y358/1000)/($AI$1/$AI$2)</f>
        <v>4.4903125000000012E-3</v>
      </c>
      <c r="AE358">
        <f>AC358/((Y358/1000)-AD358)</f>
        <v>391.95737266212728</v>
      </c>
      <c r="AF358">
        <f>AC358/((Y358/1000)+AD358)</f>
        <v>211.3536917378826</v>
      </c>
      <c r="AG358">
        <f>AE358-$Z358</f>
        <v>117.33407266212726</v>
      </c>
      <c r="AH358">
        <f>AF358-$Z358</f>
        <v>-63.26960826211743</v>
      </c>
      <c r="AI358">
        <f>((AE358/$Z358)*100)-100</f>
        <v>42.72546162766497</v>
      </c>
      <c r="AJ358">
        <f>((AF358/$Z358)*100)-100</f>
        <v>-23.038689092337549</v>
      </c>
      <c r="AK358">
        <f>Z358-Z359</f>
        <v>112.29572800000003</v>
      </c>
      <c r="AL358">
        <f>AE358-AE359</f>
        <v>160.27459617614704</v>
      </c>
      <c r="AM358">
        <f>AF358-AF359</f>
        <v>86.424264362102988</v>
      </c>
      <c r="AN358">
        <f>AF358-AE359</f>
        <v>-20.329084748097642</v>
      </c>
      <c r="AO358">
        <f>AE358-AF359</f>
        <v>267.02794528634769</v>
      </c>
      <c r="AP358">
        <f>((AL358/$AK358)*100)-100</f>
        <v>42.725461627664941</v>
      </c>
      <c r="AQ358">
        <f>((AM358/$AK358)*100)-100</f>
        <v>-23.038689092337535</v>
      </c>
    </row>
    <row r="359" spans="21:53" x14ac:dyDescent="0.25">
      <c r="U359" t="s">
        <v>500</v>
      </c>
      <c r="X359">
        <v>21.1</v>
      </c>
      <c r="Y359">
        <v>15</v>
      </c>
      <c r="Z359">
        <v>162.327572</v>
      </c>
      <c r="AC359">
        <f>Z359*(Y359/1000)</f>
        <v>2.4349135799999999</v>
      </c>
      <c r="AD359">
        <f>(Y359/1000)/($AI$1/$AI$2)</f>
        <v>4.4903125000000012E-3</v>
      </c>
      <c r="AE359">
        <f>AC359/((Y359/1000)-AD359)</f>
        <v>231.68277648598024</v>
      </c>
      <c r="AF359">
        <f>AC359/((Y359/1000)+AD359)</f>
        <v>124.92942737577961</v>
      </c>
      <c r="AG359">
        <f>AE359-$Z359</f>
        <v>69.355204485980238</v>
      </c>
      <c r="AH359">
        <f>AF359-$Z359</f>
        <v>-37.398144624220393</v>
      </c>
      <c r="AI359">
        <f>((AE359/$Z359)*100)-100</f>
        <v>42.72546162766497</v>
      </c>
      <c r="AJ359">
        <f>((AF359/$Z359)*100)-100</f>
        <v>-23.038689092337563</v>
      </c>
    </row>
    <row r="360" spans="21:53" x14ac:dyDescent="0.25">
      <c r="U360" t="s">
        <v>483</v>
      </c>
    </row>
    <row r="361" spans="21:53" x14ac:dyDescent="0.25">
      <c r="U361" t="s">
        <v>484</v>
      </c>
      <c r="X361">
        <v>57</v>
      </c>
      <c r="Y361">
        <v>15</v>
      </c>
      <c r="Z361">
        <v>236.35050000000001</v>
      </c>
      <c r="AC361">
        <f>Z361*(Y361/1000)</f>
        <v>3.5452575</v>
      </c>
      <c r="AD361">
        <f>(Y361/1000)/($AI$1/$AI$2)</f>
        <v>4.4903125000000012E-3</v>
      </c>
      <c r="AE361">
        <f>AC361/((Y361/1000)-AD361)</f>
        <v>337.3323421842943</v>
      </c>
      <c r="AF361">
        <f>AC361/((Y361/1000)+AD361)</f>
        <v>181.89844313681473</v>
      </c>
      <c r="AG361">
        <f>AE361-$Z361</f>
        <v>100.98184218429429</v>
      </c>
      <c r="AH361">
        <f>AF361-$Z361</f>
        <v>-54.452056863185277</v>
      </c>
      <c r="AI361">
        <f>((AE361/$Z361)*100)-100</f>
        <v>42.72546162766497</v>
      </c>
      <c r="AJ361">
        <f>((AF361/$Z361)*100)-100</f>
        <v>-23.038689092337563</v>
      </c>
      <c r="AK361">
        <f>Z361-Z362</f>
        <v>95.980500000000006</v>
      </c>
      <c r="AL361">
        <f>AE361-AE362</f>
        <v>136.98861169754096</v>
      </c>
      <c r="AM361">
        <f>AF361-AF362</f>
        <v>73.867851015728945</v>
      </c>
      <c r="AN361">
        <f>AF361-AE362</f>
        <v>-18.44528734993861</v>
      </c>
      <c r="AO361">
        <f>AE361-AF362</f>
        <v>229.30175006320852</v>
      </c>
      <c r="AP361">
        <f>((AL361/$AK361)*100)-100</f>
        <v>42.725461627664941</v>
      </c>
      <c r="AQ361">
        <f>((AM361/$AK361)*100)-100</f>
        <v>-23.038689092337577</v>
      </c>
    </row>
    <row r="362" spans="21:53" x14ac:dyDescent="0.25">
      <c r="U362" t="s">
        <v>485</v>
      </c>
      <c r="X362">
        <v>12</v>
      </c>
      <c r="Y362">
        <v>15</v>
      </c>
      <c r="Z362">
        <v>140.37</v>
      </c>
      <c r="AC362">
        <f>Z362*(Y362/1000)</f>
        <v>2.10555</v>
      </c>
      <c r="AD362">
        <f>(Y362/1000)/($AI$1/$AI$2)</f>
        <v>4.4903125000000012E-3</v>
      </c>
      <c r="AE362">
        <f>AC362/((Y362/1000)-AD362)</f>
        <v>200.34373048675334</v>
      </c>
      <c r="AF362">
        <f>AC362/((Y362/1000)+AD362)</f>
        <v>108.03059212108579</v>
      </c>
      <c r="AG362">
        <f>AE362-$Z362</f>
        <v>59.97373048675334</v>
      </c>
      <c r="AH362">
        <f>AF362-$Z362</f>
        <v>-32.339407878914216</v>
      </c>
      <c r="AI362">
        <f>((AE362/$Z362)*100)-100</f>
        <v>42.72546162766497</v>
      </c>
      <c r="AJ362">
        <f>((AF362/$Z362)*100)-100</f>
        <v>-23.038689092337549</v>
      </c>
    </row>
    <row r="363" spans="21:53" x14ac:dyDescent="0.25">
      <c r="U363" t="s">
        <v>486</v>
      </c>
    </row>
    <row r="364" spans="21:53" x14ac:dyDescent="0.25">
      <c r="U364" t="s">
        <v>488</v>
      </c>
      <c r="X364">
        <v>39</v>
      </c>
      <c r="Y364">
        <v>15</v>
      </c>
      <c r="Z364">
        <v>201.7491</v>
      </c>
      <c r="AC364">
        <f>Z364*(Y364/1000)</f>
        <v>3.0262365</v>
      </c>
      <c r="AD364">
        <f>(Y364/1000)/($AI$1/$AI$2)</f>
        <v>4.4903125000000012E-3</v>
      </c>
      <c r="AE364">
        <f>AC364/((Y364/1000)-AD364)</f>
        <v>287.94733430465942</v>
      </c>
      <c r="AF364">
        <f>AC364/((Y364/1000)+AD364)</f>
        <v>155.26875210441082</v>
      </c>
      <c r="AG364">
        <f>AE364-$Z364</f>
        <v>86.198234304659422</v>
      </c>
      <c r="AH364">
        <f>AF364-$Z364</f>
        <v>-46.480347895589176</v>
      </c>
      <c r="AI364">
        <f>((AE364/$Z364)*100)-100</f>
        <v>42.72546162766497</v>
      </c>
      <c r="AJ364">
        <f>((AF364/$Z364)*100)-100</f>
        <v>-23.038689092337549</v>
      </c>
    </row>
    <row r="365" spans="21:53" x14ac:dyDescent="0.25">
      <c r="U365" t="s">
        <v>502</v>
      </c>
    </row>
    <row r="366" spans="21:53" x14ac:dyDescent="0.25">
      <c r="U366" t="s">
        <v>487</v>
      </c>
      <c r="AT366" t="s">
        <v>559</v>
      </c>
    </row>
    <row r="367" spans="21:53" x14ac:dyDescent="0.25">
      <c r="U367" t="s">
        <v>489</v>
      </c>
      <c r="X367">
        <v>72</v>
      </c>
      <c r="Y367">
        <v>15</v>
      </c>
      <c r="Z367">
        <v>261.32399999999996</v>
      </c>
      <c r="AC367">
        <f>Z367*(Y367/1000)</f>
        <v>3.919859999999999</v>
      </c>
      <c r="AD367">
        <f>(Y367/1000)/($AI$1/$AI$2)</f>
        <v>4.4903125000000012E-3</v>
      </c>
      <c r="AE367">
        <f>AC367/((Y367/1000)-AD367)</f>
        <v>372.97588534387916</v>
      </c>
      <c r="AF367">
        <f>AC367/((Y367/1000)+AD367)</f>
        <v>201.11837611633976</v>
      </c>
      <c r="AG367">
        <f>AE367-$Z367</f>
        <v>111.6518853438792</v>
      </c>
      <c r="AH367">
        <f>AF367-$Z367</f>
        <v>-60.205623883660195</v>
      </c>
      <c r="AI367">
        <f>((AE367/$Z367)*100)-100</f>
        <v>42.72546162766497</v>
      </c>
      <c r="AJ367">
        <f>((AF367/$Z367)*100)-100</f>
        <v>-23.038689092337563</v>
      </c>
      <c r="AK367">
        <f>Z367-Z368</f>
        <v>106.33139999999997</v>
      </c>
      <c r="AL367">
        <f>AE367-AE368</f>
        <v>151.7619815051589</v>
      </c>
      <c r="AM367">
        <f>AF367-AF368</f>
        <v>81.834039346470135</v>
      </c>
      <c r="AN367">
        <f>AF367-AE368</f>
        <v>-20.095527722380496</v>
      </c>
      <c r="AO367">
        <f>AE367-AF368</f>
        <v>253.69154857400952</v>
      </c>
      <c r="AP367">
        <f>((AL367/$AK367)*100)-100</f>
        <v>42.725461627664941</v>
      </c>
      <c r="AQ367">
        <f>((AM367/$AK367)*100)-100</f>
        <v>-23.038689092337577</v>
      </c>
      <c r="AS367" t="s">
        <v>560</v>
      </c>
    </row>
    <row r="368" spans="21:53" x14ac:dyDescent="0.25">
      <c r="U368" t="s">
        <v>490</v>
      </c>
      <c r="X368">
        <v>18</v>
      </c>
      <c r="Y368">
        <v>15</v>
      </c>
      <c r="Z368">
        <v>154.99259999999998</v>
      </c>
      <c r="AC368">
        <f>Z368*(Y368/1000)</f>
        <v>2.3248889999999998</v>
      </c>
      <c r="AD368">
        <f>(Y368/1000)/($AI$1/$AI$2)</f>
        <v>4.4903125000000012E-3</v>
      </c>
      <c r="AE368">
        <f>AC368/((Y368/1000)-AD368)</f>
        <v>221.21390383872026</v>
      </c>
      <c r="AF368">
        <f>AC368/((Y368/1000)+AD368)</f>
        <v>119.28433676986963</v>
      </c>
      <c r="AG368">
        <f>AE368-$Z368</f>
        <v>66.221303838720274</v>
      </c>
      <c r="AH368">
        <f>AF368-$Z368</f>
        <v>-35.708263230130356</v>
      </c>
      <c r="AI368">
        <f>((AE368/$Z368)*100)-100</f>
        <v>42.725461627664998</v>
      </c>
      <c r="AJ368">
        <f>((AF368/$Z368)*100)-100</f>
        <v>-23.038689092337535</v>
      </c>
      <c r="AS368" t="s">
        <v>561</v>
      </c>
      <c r="AT368">
        <f>AVERAGE(Z352,Z355,Z358,Z361,Z364)</f>
        <v>236.83206000000001</v>
      </c>
      <c r="AU368">
        <f>AVERAGE(AE352,AE355,AE358,AE361,AE364)</f>
        <v>338.01965091730847</v>
      </c>
      <c r="AV368">
        <f>AVERAGE(AF352,AF355,AF358,AF361,AF364)</f>
        <v>182.26905802562169</v>
      </c>
      <c r="AW368">
        <f>AVERAGE(AK355,AK358,AK361,AK364)</f>
        <v>104.13811400000002</v>
      </c>
      <c r="AX368">
        <f>AVERAGE(AL355,AL358,AL361,AL364)</f>
        <v>148.63160393684399</v>
      </c>
      <c r="AY368">
        <f>AVERAGE(AM355,AM358,AM361,AM364)</f>
        <v>80.14605768891596</v>
      </c>
      <c r="AZ368">
        <f>AVERAGE(AN355,AN358,AN361,AN364)</f>
        <v>-19.387186049018126</v>
      </c>
      <c r="BA368">
        <f>AVERAGE(AO355,AO358,AO361,AO364)</f>
        <v>248.16484767477812</v>
      </c>
    </row>
    <row r="369" spans="21:48" x14ac:dyDescent="0.25">
      <c r="U369" t="s">
        <v>491</v>
      </c>
      <c r="AS369" t="s">
        <v>562</v>
      </c>
      <c r="AT369">
        <f>AVERAGE(Z353,Z356,Z359,Z362,Z365)</f>
        <v>154.93029066666668</v>
      </c>
      <c r="AU369">
        <f>AVERAGE(AE353,AE356,AE359,AE362,AE365)</f>
        <v>221.12497255508313</v>
      </c>
      <c r="AV369">
        <f>AVERAGE(AF353,AF356,AF359,AF362,AF365)</f>
        <v>119.23638269011848</v>
      </c>
    </row>
    <row r="370" spans="21:48" x14ac:dyDescent="0.25">
      <c r="U370" t="s">
        <v>492</v>
      </c>
      <c r="X370">
        <v>45</v>
      </c>
      <c r="Y370">
        <v>15</v>
      </c>
      <c r="Z370">
        <v>213.84449999999998</v>
      </c>
      <c r="AC370">
        <f>Z370*(Y370/1000)</f>
        <v>3.2076674999999994</v>
      </c>
      <c r="AD370">
        <f>(Y370/1000)/($AI$1/$AI$2)</f>
        <v>4.4903125000000012E-3</v>
      </c>
      <c r="AE370">
        <f>AC370/((Y370/1000)-AD370)</f>
        <v>305.210549790372</v>
      </c>
      <c r="AF370">
        <f>AC370/((Y370/1000)+AD370)</f>
        <v>164.5775305039362</v>
      </c>
      <c r="AG370">
        <f>AE370-$Z370</f>
        <v>91.366049790372017</v>
      </c>
      <c r="AH370">
        <f>AF370-$Z370</f>
        <v>-49.26696949606378</v>
      </c>
      <c r="AI370">
        <f>((AE370/$Z370)*100)-100</f>
        <v>42.72546162766497</v>
      </c>
      <c r="AJ370">
        <f>((AF370/$Z370)*100)-100</f>
        <v>-23.038689092337563</v>
      </c>
      <c r="AK370">
        <f>Z370-Z371</f>
        <v>88.658699999999982</v>
      </c>
      <c r="AL370">
        <f>AE370-AE371</f>
        <v>126.5385388480866</v>
      </c>
      <c r="AM370">
        <f>AF370-AF371</f>
        <v>68.232897753691702</v>
      </c>
      <c r="AN370">
        <f>AF370-AE371</f>
        <v>-14.094480438349194</v>
      </c>
      <c r="AO370">
        <f>AE370-AF371</f>
        <v>208.8659170401275</v>
      </c>
      <c r="AP370">
        <f>((AL370/$AK370)*100)-100</f>
        <v>42.725461627664998</v>
      </c>
      <c r="AQ370">
        <f>((AM370/$AK370)*100)-100</f>
        <v>-23.038689092337563</v>
      </c>
    </row>
    <row r="371" spans="21:48" x14ac:dyDescent="0.25">
      <c r="U371" t="s">
        <v>506</v>
      </c>
      <c r="X371">
        <v>6</v>
      </c>
      <c r="Y371">
        <v>15</v>
      </c>
      <c r="Z371">
        <v>125.1858</v>
      </c>
      <c r="AC371">
        <f>Z371*(Y371/1000)</f>
        <v>1.8777869999999999</v>
      </c>
      <c r="AD371">
        <f>(Y371/1000)/($AI$1/$AI$2)</f>
        <v>4.4903125000000012E-3</v>
      </c>
      <c r="AE371">
        <f>AC371/((Y371/1000)-AD371)</f>
        <v>178.6720109422854</v>
      </c>
      <c r="AF371">
        <f>AC371/((Y371/1000)+AD371)</f>
        <v>96.3446327502445</v>
      </c>
      <c r="AG371">
        <f>AE371-$Z371</f>
        <v>53.486210942285396</v>
      </c>
      <c r="AH371">
        <f>AF371-$Z371</f>
        <v>-28.8411672497555</v>
      </c>
      <c r="AI371">
        <f>((AE371/$Z371)*100)-100</f>
        <v>42.725461627664941</v>
      </c>
      <c r="AJ371">
        <f>((AF371/$Z371)*100)-100</f>
        <v>-23.038689092337549</v>
      </c>
    </row>
    <row r="372" spans="21:48" x14ac:dyDescent="0.25">
      <c r="U372" t="s">
        <v>493</v>
      </c>
    </row>
    <row r="373" spans="21:48" x14ac:dyDescent="0.25">
      <c r="U373" t="s">
        <v>494</v>
      </c>
      <c r="X373">
        <v>24</v>
      </c>
      <c r="Y373">
        <v>15</v>
      </c>
      <c r="Z373">
        <v>169.05360000000002</v>
      </c>
      <c r="AC373">
        <f>Z373*(Y373/1000)</f>
        <v>2.5358040000000002</v>
      </c>
      <c r="AD373">
        <f>(Y373/1000)/($AI$1/$AI$2)</f>
        <v>4.4903125000000012E-3</v>
      </c>
      <c r="AE373">
        <f>AC373/((Y373/1000)-AD373)</f>
        <v>241.28253099818625</v>
      </c>
      <c r="AF373">
        <f>AC373/((Y373/1000)+AD373)</f>
        <v>130.10586669659605</v>
      </c>
      <c r="AG373">
        <f>AE373-$Z373</f>
        <v>72.228930998186229</v>
      </c>
      <c r="AH373">
        <f>AF373-$Z373</f>
        <v>-38.947733303403965</v>
      </c>
      <c r="AI373">
        <f>((AE373/$Z373)*100)-100</f>
        <v>42.72546162766497</v>
      </c>
      <c r="AJ373">
        <f>((AF373/$Z373)*100)-100</f>
        <v>-23.038689092337549</v>
      </c>
    </row>
    <row r="374" spans="21:48" x14ac:dyDescent="0.25">
      <c r="U374" t="s">
        <v>507</v>
      </c>
    </row>
    <row r="375" spans="21:48" x14ac:dyDescent="0.25">
      <c r="U375" t="s">
        <v>495</v>
      </c>
    </row>
    <row r="376" spans="21:48" x14ac:dyDescent="0.25">
      <c r="U376" t="s">
        <v>496</v>
      </c>
      <c r="X376">
        <v>21</v>
      </c>
      <c r="Y376">
        <v>15</v>
      </c>
      <c r="Z376">
        <v>162.0933</v>
      </c>
      <c r="AC376">
        <f>Z376*(Y376/1000)</f>
        <v>2.4313994999999999</v>
      </c>
      <c r="AD376">
        <f>(Y376/1000)/($AI$1/$AI$2)</f>
        <v>4.4903125000000012E-3</v>
      </c>
      <c r="AE376">
        <f>AC376/((Y376/1000)-AD376)</f>
        <v>231.34841069251587</v>
      </c>
      <c r="AF376">
        <f>AC376/((Y376/1000)+AD376)</f>
        <v>124.74912857349001</v>
      </c>
      <c r="AG376">
        <f>AE376-$Z376</f>
        <v>69.255110692515871</v>
      </c>
      <c r="AH376">
        <f>AF376-$Z376</f>
        <v>-37.344171426509988</v>
      </c>
      <c r="AI376">
        <f>((AE376/$Z376)*100)-100</f>
        <v>42.72546162766497</v>
      </c>
      <c r="AJ376">
        <f>((AF376/$Z376)*100)-100</f>
        <v>-23.038689092337549</v>
      </c>
    </row>
    <row r="377" spans="21:48" x14ac:dyDescent="0.25">
      <c r="U377" t="s">
        <v>508</v>
      </c>
    </row>
    <row r="378" spans="21:48" x14ac:dyDescent="0.25">
      <c r="U378" t="s">
        <v>497</v>
      </c>
    </row>
    <row r="379" spans="21:48" x14ac:dyDescent="0.25">
      <c r="U379" t="s">
        <v>498</v>
      </c>
      <c r="X379">
        <v>39</v>
      </c>
      <c r="Y379">
        <v>15</v>
      </c>
      <c r="Z379">
        <v>201.7491</v>
      </c>
      <c r="AC379">
        <f>Z379*(Y379/1000)</f>
        <v>3.0262365</v>
      </c>
      <c r="AD379">
        <f>(Y379/1000)/($AI$1/$AI$2)</f>
        <v>4.4903125000000012E-3</v>
      </c>
      <c r="AE379">
        <f>AC379/((Y379/1000)-AD379)</f>
        <v>287.94733430465942</v>
      </c>
      <c r="AF379">
        <f>AC379/((Y379/1000)+AD379)</f>
        <v>155.26875210441082</v>
      </c>
      <c r="AG379">
        <f>AE379-$Z379</f>
        <v>86.198234304659422</v>
      </c>
      <c r="AH379">
        <f>AF379-$Z379</f>
        <v>-46.480347895589176</v>
      </c>
      <c r="AI379">
        <f>((AE379/$Z379)*100)-100</f>
        <v>42.72546162766497</v>
      </c>
      <c r="AJ379">
        <f>((AF379/$Z379)*100)-100</f>
        <v>-23.038689092337549</v>
      </c>
      <c r="AK379">
        <f>Z379-Z380</f>
        <v>84.366</v>
      </c>
      <c r="AL379">
        <f>AE379-AE380</f>
        <v>120.41176295679583</v>
      </c>
      <c r="AM379">
        <f>AF379-AF380</f>
        <v>64.929179560358506</v>
      </c>
      <c r="AN379">
        <f>AF379-AE380</f>
        <v>-12.266819243452773</v>
      </c>
      <c r="AO379">
        <f>AE379-AF380</f>
        <v>197.6077617606071</v>
      </c>
      <c r="AP379">
        <f>((AL379/$AK379)*100)-100</f>
        <v>42.72546162766497</v>
      </c>
      <c r="AQ379">
        <f>((AM379/$AK379)*100)-100</f>
        <v>-23.038689092337549</v>
      </c>
    </row>
    <row r="380" spans="21:48" x14ac:dyDescent="0.25">
      <c r="U380" t="s">
        <v>509</v>
      </c>
      <c r="X380">
        <v>3</v>
      </c>
      <c r="Y380">
        <v>15</v>
      </c>
      <c r="Z380">
        <v>117.3831</v>
      </c>
      <c r="AC380">
        <f>Z380*(Y380/1000)</f>
        <v>1.7607465</v>
      </c>
      <c r="AD380">
        <f>(Y380/1000)/($AI$1/$AI$2)</f>
        <v>4.4903125000000012E-3</v>
      </c>
      <c r="AE380">
        <f>AC380/((Y380/1000)-AD380)</f>
        <v>167.53557134786359</v>
      </c>
      <c r="AF380">
        <f>AC380/((Y380/1000)+AD380)</f>
        <v>90.339572544052317</v>
      </c>
      <c r="AG380">
        <f>AE380-$Z380</f>
        <v>50.152471347863596</v>
      </c>
      <c r="AH380">
        <f>AF380-$Z380</f>
        <v>-27.043527455947682</v>
      </c>
      <c r="AI380">
        <f>((AE380/$Z380)*100)-100</f>
        <v>42.72546162766497</v>
      </c>
      <c r="AJ380">
        <f>((AF380/$Z380)*100)-100</f>
        <v>-23.038689092337549</v>
      </c>
    </row>
    <row r="381" spans="21:48" x14ac:dyDescent="0.25">
      <c r="U381" t="s">
        <v>510</v>
      </c>
    </row>
    <row r="382" spans="21:48" x14ac:dyDescent="0.25">
      <c r="U382" t="s">
        <v>511</v>
      </c>
      <c r="X382">
        <v>15</v>
      </c>
      <c r="Y382">
        <v>15</v>
      </c>
      <c r="Z382">
        <v>147.75149999999999</v>
      </c>
      <c r="AC382">
        <f>Z382*(Y382/1000)</f>
        <v>2.2162724999999996</v>
      </c>
      <c r="AD382">
        <f>(Y382/1000)/($AI$1/$AI$2)</f>
        <v>4.4903125000000012E-3</v>
      </c>
      <c r="AE382">
        <f>AC382/((Y382/1000)-AD382)</f>
        <v>210.87901043679938</v>
      </c>
      <c r="AF382">
        <f>AC382/((Y382/1000)+AD382)</f>
        <v>113.71149128573487</v>
      </c>
      <c r="AG382">
        <f>AE382-$Z382</f>
        <v>63.127510436799383</v>
      </c>
      <c r="AH382">
        <f>AF382-$Z382</f>
        <v>-34.040008714265127</v>
      </c>
      <c r="AI382">
        <f>((AE382/$Z382)*100)-100</f>
        <v>42.725461627664941</v>
      </c>
      <c r="AJ382">
        <f>((AF382/$Z382)*100)-100</f>
        <v>-23.038689092337563</v>
      </c>
    </row>
    <row r="383" spans="21:48" x14ac:dyDescent="0.25">
      <c r="U383" t="s">
        <v>512</v>
      </c>
    </row>
    <row r="384" spans="21:48" x14ac:dyDescent="0.25">
      <c r="U384" t="s">
        <v>513</v>
      </c>
    </row>
    <row r="385" spans="20:46" x14ac:dyDescent="0.25">
      <c r="U385" t="s">
        <v>514</v>
      </c>
      <c r="X385">
        <v>6</v>
      </c>
      <c r="Y385">
        <v>15</v>
      </c>
      <c r="Z385">
        <v>125.1858</v>
      </c>
      <c r="AC385">
        <f>Z385*(Y385/1000)</f>
        <v>1.8777869999999999</v>
      </c>
      <c r="AD385">
        <f>(Y385/1000)/($AI$1/$AI$2)</f>
        <v>4.4903125000000012E-3</v>
      </c>
      <c r="AE385">
        <f>AC385/((Y385/1000)-AD385)</f>
        <v>178.6720109422854</v>
      </c>
      <c r="AF385">
        <f>AC385/((Y385/1000)+AD385)</f>
        <v>96.3446327502445</v>
      </c>
      <c r="AG385">
        <f>AE385-$Z385</f>
        <v>53.486210942285396</v>
      </c>
      <c r="AH385">
        <f>AF385-$Z385</f>
        <v>-28.8411672497555</v>
      </c>
      <c r="AI385">
        <f>((AE385/$Z385)*100)-100</f>
        <v>42.725461627664941</v>
      </c>
      <c r="AJ385">
        <f>((AF385/$Z385)*100)-100</f>
        <v>-23.038689092337549</v>
      </c>
    </row>
    <row r="386" spans="20:46" x14ac:dyDescent="0.25">
      <c r="T386" s="43"/>
      <c r="U386" t="s">
        <v>515</v>
      </c>
    </row>
    <row r="387" spans="20:46" x14ac:dyDescent="0.25">
      <c r="T387" s="43"/>
      <c r="U387" t="s">
        <v>516</v>
      </c>
    </row>
    <row r="388" spans="20:46" x14ac:dyDescent="0.25">
      <c r="U388" t="s">
        <v>517</v>
      </c>
      <c r="X388">
        <v>45</v>
      </c>
      <c r="Y388">
        <v>15</v>
      </c>
      <c r="Z388">
        <v>213.84449999999998</v>
      </c>
      <c r="AC388">
        <f>Z388*(Y388/1000)</f>
        <v>3.2076674999999994</v>
      </c>
      <c r="AD388">
        <f>(Y388/1000)/($AI$1/$AI$2)</f>
        <v>4.4903125000000012E-3</v>
      </c>
      <c r="AE388">
        <f>AC388/((Y388/1000)-AD388)</f>
        <v>305.210549790372</v>
      </c>
      <c r="AF388">
        <f>AC388/((Y388/1000)+AD388)</f>
        <v>164.5775305039362</v>
      </c>
      <c r="AG388">
        <f>AE388-$Z388</f>
        <v>91.366049790372017</v>
      </c>
      <c r="AH388">
        <f>AF388-$Z388</f>
        <v>-49.26696949606378</v>
      </c>
      <c r="AI388">
        <f>((AE388/$Z388)*100)-100</f>
        <v>42.72546162766497</v>
      </c>
      <c r="AJ388">
        <f>((AF388/$Z388)*100)-100</f>
        <v>-23.038689092337563</v>
      </c>
    </row>
    <row r="389" spans="20:46" x14ac:dyDescent="0.25">
      <c r="U389" t="s">
        <v>518</v>
      </c>
    </row>
    <row r="390" spans="20:46" x14ac:dyDescent="0.25">
      <c r="U390" t="s">
        <v>523</v>
      </c>
    </row>
    <row r="391" spans="20:46" x14ac:dyDescent="0.25">
      <c r="U391" t="s">
        <v>524</v>
      </c>
      <c r="X391">
        <v>12</v>
      </c>
      <c r="Y391">
        <v>15</v>
      </c>
      <c r="Z391">
        <v>140.37</v>
      </c>
      <c r="AC391">
        <f>Z391*(Y391/1000)</f>
        <v>2.10555</v>
      </c>
      <c r="AD391">
        <f>(Y391/1000)/($AI$1/$AI$2)</f>
        <v>4.4903125000000012E-3</v>
      </c>
      <c r="AE391">
        <f>AC391/((Y391/1000)-AD391)</f>
        <v>200.34373048675334</v>
      </c>
      <c r="AF391">
        <f>AC391/((Y391/1000)+AD391)</f>
        <v>108.03059212108579</v>
      </c>
      <c r="AG391">
        <f>AE391-$Z391</f>
        <v>59.97373048675334</v>
      </c>
      <c r="AH391">
        <f>AF391-$Z391</f>
        <v>-32.339407878914216</v>
      </c>
      <c r="AI391">
        <f>((AE391/$Z391)*100)-100</f>
        <v>42.72546162766497</v>
      </c>
      <c r="AJ391">
        <f>((AF391/$Z391)*100)-100</f>
        <v>-23.038689092337549</v>
      </c>
    </row>
    <row r="392" spans="20:46" ht="15.75" thickBot="1" x14ac:dyDescent="0.3">
      <c r="T392" s="382"/>
      <c r="U392" s="382" t="s">
        <v>525</v>
      </c>
      <c r="V392" s="382"/>
      <c r="W392" s="382"/>
      <c r="X392" s="382"/>
      <c r="Y392" s="382"/>
      <c r="Z392" s="382"/>
      <c r="AA392" s="382"/>
      <c r="AB392" s="382"/>
      <c r="AC392" s="382"/>
      <c r="AD392" s="382"/>
      <c r="AE392" s="382"/>
      <c r="AF392" s="382"/>
      <c r="AG392" s="382"/>
      <c r="AH392" s="382"/>
      <c r="AI392" s="382"/>
      <c r="AJ392" s="382"/>
      <c r="AK392" s="382"/>
      <c r="AL392" s="382"/>
      <c r="AM392" s="382"/>
      <c r="AN392" s="382"/>
      <c r="AO392" s="382"/>
      <c r="AP392" s="382"/>
      <c r="AQ392" s="382"/>
      <c r="AR392" s="382"/>
      <c r="AS392" s="382"/>
      <c r="AT392" s="382"/>
    </row>
    <row r="393" spans="20:46" ht="15.75" thickTop="1" x14ac:dyDescent="0.25">
      <c r="T393" t="s">
        <v>526</v>
      </c>
    </row>
    <row r="394" spans="20:46" x14ac:dyDescent="0.25">
      <c r="U394" s="55" t="s">
        <v>554</v>
      </c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</row>
    <row r="395" spans="20:46" x14ac:dyDescent="0.25">
      <c r="U395" t="s">
        <v>475</v>
      </c>
    </row>
    <row r="396" spans="20:46" x14ac:dyDescent="0.25">
      <c r="U396" t="s">
        <v>476</v>
      </c>
      <c r="X396">
        <v>72.3</v>
      </c>
      <c r="Y396">
        <v>15</v>
      </c>
      <c r="Z396">
        <v>191</v>
      </c>
      <c r="AC396">
        <f>Z396*(Y396/1000)</f>
        <v>2.8649999999999998</v>
      </c>
      <c r="AD396">
        <f>(Y396/1000)/($AI$1/$AI$2)</f>
        <v>4.4903125000000012E-3</v>
      </c>
      <c r="AE396">
        <f>AC396/((Y396/1000)-AD396)</f>
        <v>272.60563170884006</v>
      </c>
      <c r="AF396">
        <f>AC396/((Y396/1000)+AD396)</f>
        <v>146.99610383363526</v>
      </c>
      <c r="AG396">
        <f t="shared" ref="AG396:AH400" si="44">AE396-$Z396</f>
        <v>81.605631708840065</v>
      </c>
      <c r="AH396">
        <f t="shared" si="44"/>
        <v>-44.00389616636474</v>
      </c>
      <c r="AI396">
        <f t="shared" ref="AI396:AJ400" si="45">((AE396/$Z396)*100)-100</f>
        <v>42.725461627664941</v>
      </c>
      <c r="AJ396">
        <f t="shared" si="45"/>
        <v>-23.038689092337563</v>
      </c>
      <c r="AK396">
        <f>Z396-Z397</f>
        <v>10</v>
      </c>
      <c r="AL396">
        <f t="shared" ref="AL396:AM399" si="46">AE396-AE397</f>
        <v>14.272546162766446</v>
      </c>
      <c r="AM396">
        <f t="shared" si="46"/>
        <v>7.6961310907662437</v>
      </c>
      <c r="AN396">
        <f>AF396-AE397</f>
        <v>-111.33698171243836</v>
      </c>
      <c r="AO396">
        <f>AE396-AF397</f>
        <v>133.30565896597105</v>
      </c>
      <c r="AP396">
        <f t="shared" ref="AP396:AQ399" si="47">((AL396/$AK396)*100)-100</f>
        <v>42.725461627664458</v>
      </c>
      <c r="AQ396">
        <f t="shared" si="47"/>
        <v>-23.038689092337563</v>
      </c>
    </row>
    <row r="397" spans="20:46" x14ac:dyDescent="0.25">
      <c r="U397" t="s">
        <v>477</v>
      </c>
      <c r="X397">
        <v>52.2</v>
      </c>
      <c r="Y397">
        <v>15</v>
      </c>
      <c r="Z397">
        <v>181</v>
      </c>
      <c r="AC397">
        <f>Z397*(Y397/1000)</f>
        <v>2.7149999999999999</v>
      </c>
      <c r="AD397">
        <f>(Y397/1000)/($AI$1/$AI$2)</f>
        <v>4.4903125000000012E-3</v>
      </c>
      <c r="AE397">
        <f>AC397/((Y397/1000)-AD397)</f>
        <v>258.33308554607362</v>
      </c>
      <c r="AF397">
        <f>AC397/((Y397/1000)+AD397)</f>
        <v>139.29997274286902</v>
      </c>
      <c r="AG397">
        <f t="shared" si="44"/>
        <v>77.333085546073619</v>
      </c>
      <c r="AH397">
        <f t="shared" si="44"/>
        <v>-41.700027257130984</v>
      </c>
      <c r="AI397">
        <f t="shared" si="45"/>
        <v>42.72546162766497</v>
      </c>
      <c r="AJ397">
        <f t="shared" si="45"/>
        <v>-23.038689092337563</v>
      </c>
      <c r="AK397">
        <f>Z397-Z398</f>
        <v>32</v>
      </c>
      <c r="AL397">
        <f t="shared" si="46"/>
        <v>45.67214772085282</v>
      </c>
      <c r="AM397">
        <f t="shared" si="46"/>
        <v>24.627619490451977</v>
      </c>
      <c r="AN397">
        <f>AF397-AE398</f>
        <v>-73.360965082351782</v>
      </c>
      <c r="AO397">
        <f>AE397-AF398</f>
        <v>143.66073229365657</v>
      </c>
      <c r="AP397">
        <f t="shared" si="47"/>
        <v>42.725461627665055</v>
      </c>
      <c r="AQ397">
        <f t="shared" si="47"/>
        <v>-23.038689092337577</v>
      </c>
    </row>
    <row r="398" spans="20:46" x14ac:dyDescent="0.25">
      <c r="U398" t="s">
        <v>499</v>
      </c>
      <c r="X398">
        <v>35.9</v>
      </c>
      <c r="Y398">
        <v>15</v>
      </c>
      <c r="Z398">
        <v>149</v>
      </c>
      <c r="AC398">
        <f>Z398*(Y398/1000)</f>
        <v>2.2349999999999999</v>
      </c>
      <c r="AD398">
        <f>(Y398/1000)/($AI$1/$AI$2)</f>
        <v>4.4903125000000012E-3</v>
      </c>
      <c r="AE398">
        <f>AC398/((Y398/1000)-AD398)</f>
        <v>212.6609378252208</v>
      </c>
      <c r="AF398">
        <f>AC398/((Y398/1000)+AD398)</f>
        <v>114.67235325241704</v>
      </c>
      <c r="AG398">
        <f t="shared" si="44"/>
        <v>63.660937825220799</v>
      </c>
      <c r="AH398">
        <f t="shared" si="44"/>
        <v>-34.327646747582961</v>
      </c>
      <c r="AI398">
        <f t="shared" si="45"/>
        <v>42.72546162766497</v>
      </c>
      <c r="AJ398">
        <f t="shared" si="45"/>
        <v>-23.038689092337563</v>
      </c>
      <c r="AK398">
        <f>Z398-Z399</f>
        <v>44</v>
      </c>
      <c r="AL398">
        <f t="shared" si="46"/>
        <v>62.799203116172578</v>
      </c>
      <c r="AM398">
        <f t="shared" si="46"/>
        <v>33.862976799371467</v>
      </c>
      <c r="AN398">
        <f>AF398-AE399</f>
        <v>-35.189381456631182</v>
      </c>
      <c r="AO398">
        <f>AE398-AF399</f>
        <v>131.85156137217524</v>
      </c>
      <c r="AP398">
        <f t="shared" si="47"/>
        <v>42.725461627664941</v>
      </c>
      <c r="AQ398">
        <f t="shared" si="47"/>
        <v>-23.038689092337577</v>
      </c>
    </row>
    <row r="399" spans="20:46" x14ac:dyDescent="0.25">
      <c r="U399" t="s">
        <v>527</v>
      </c>
      <c r="X399">
        <v>21.9</v>
      </c>
      <c r="Y399">
        <v>15</v>
      </c>
      <c r="Z399">
        <v>105</v>
      </c>
      <c r="AC399">
        <f>Z399*(Y399/1000)</f>
        <v>1.575</v>
      </c>
      <c r="AD399">
        <f>(Y399/1000)/($AI$1/$AI$2)</f>
        <v>4.4903125000000012E-3</v>
      </c>
      <c r="AE399">
        <f>AC399/((Y399/1000)-AD399)</f>
        <v>149.86173470904822</v>
      </c>
      <c r="AF399">
        <f>AC399/((Y399/1000)+AD399)</f>
        <v>80.809376453045573</v>
      </c>
      <c r="AG399">
        <f t="shared" si="44"/>
        <v>44.861734709048221</v>
      </c>
      <c r="AH399">
        <f t="shared" si="44"/>
        <v>-24.190623546954427</v>
      </c>
      <c r="AI399">
        <f t="shared" si="45"/>
        <v>42.72546162766497</v>
      </c>
      <c r="AJ399">
        <f t="shared" si="45"/>
        <v>-23.038689092337549</v>
      </c>
      <c r="AK399">
        <f>Z399-Z400</f>
        <v>76</v>
      </c>
      <c r="AL399">
        <f t="shared" si="46"/>
        <v>108.47135083702537</v>
      </c>
      <c r="AM399">
        <f t="shared" si="46"/>
        <v>58.490596289823458</v>
      </c>
      <c r="AN399">
        <f>AF399-AE400</f>
        <v>39.418992581022728</v>
      </c>
      <c r="AO399">
        <f>AE399-AF400</f>
        <v>127.54295454582611</v>
      </c>
      <c r="AP399">
        <f t="shared" si="47"/>
        <v>42.725461627664941</v>
      </c>
      <c r="AQ399">
        <f t="shared" si="47"/>
        <v>-23.038689092337563</v>
      </c>
    </row>
    <row r="400" spans="20:46" x14ac:dyDescent="0.25">
      <c r="U400" t="s">
        <v>535</v>
      </c>
      <c r="X400">
        <v>4.5</v>
      </c>
      <c r="Y400">
        <v>15</v>
      </c>
      <c r="Z400">
        <v>29</v>
      </c>
      <c r="AC400">
        <f>Z400*(Y400/1000)</f>
        <v>0.435</v>
      </c>
      <c r="AD400">
        <f>(Y400/1000)/($AI$1/$AI$2)</f>
        <v>4.4903125000000012E-3</v>
      </c>
      <c r="AE400">
        <f>AC400/((Y400/1000)-AD400)</f>
        <v>41.390383872022845</v>
      </c>
      <c r="AF400">
        <f>AC400/((Y400/1000)+AD400)</f>
        <v>22.318780163222112</v>
      </c>
      <c r="AG400">
        <f t="shared" si="44"/>
        <v>12.390383872022845</v>
      </c>
      <c r="AH400">
        <f t="shared" si="44"/>
        <v>-6.6812198367778883</v>
      </c>
      <c r="AI400">
        <f t="shared" si="45"/>
        <v>42.72546162766497</v>
      </c>
      <c r="AJ400">
        <f t="shared" si="45"/>
        <v>-23.038689092337549</v>
      </c>
    </row>
    <row r="401" spans="21:43" x14ac:dyDescent="0.25">
      <c r="U401" t="s">
        <v>478</v>
      </c>
    </row>
    <row r="402" spans="21:43" x14ac:dyDescent="0.25">
      <c r="U402" t="s">
        <v>479</v>
      </c>
      <c r="X402">
        <v>70.8</v>
      </c>
      <c r="Y402">
        <v>15</v>
      </c>
      <c r="Z402">
        <v>191</v>
      </c>
      <c r="AC402">
        <f>Z402*(Y402/1000)</f>
        <v>2.8649999999999998</v>
      </c>
      <c r="AD402">
        <f>(Y402/1000)/($AI$1/$AI$2)</f>
        <v>4.4903125000000012E-3</v>
      </c>
      <c r="AE402">
        <f>AC402/((Y402/1000)-AD402)</f>
        <v>272.60563170884006</v>
      </c>
      <c r="AF402">
        <f>AC402/((Y402/1000)+AD402)</f>
        <v>146.99610383363526</v>
      </c>
      <c r="AG402">
        <f t="shared" ref="AG402:AH405" si="48">AE402-$Z402</f>
        <v>81.605631708840065</v>
      </c>
      <c r="AH402">
        <f t="shared" si="48"/>
        <v>-44.00389616636474</v>
      </c>
      <c r="AI402">
        <f t="shared" ref="AI402:AJ405" si="49">((AE402/$Z402)*100)-100</f>
        <v>42.725461627664941</v>
      </c>
      <c r="AJ402">
        <f t="shared" si="49"/>
        <v>-23.038689092337563</v>
      </c>
      <c r="AK402">
        <f>Z402-Z403</f>
        <v>26</v>
      </c>
      <c r="AL402">
        <f t="shared" ref="AL402:AM404" si="50">AE402-AE403</f>
        <v>37.108620023192856</v>
      </c>
      <c r="AM402">
        <f t="shared" si="50"/>
        <v>20.009940835992211</v>
      </c>
      <c r="AN402">
        <f>AF402-AE403</f>
        <v>-88.500907852011949</v>
      </c>
      <c r="AO402">
        <f>AE402-AF403</f>
        <v>145.61946871119702</v>
      </c>
      <c r="AP402">
        <f t="shared" ref="AP402:AQ404" si="51">((AL402/$AK402)*100)-100</f>
        <v>42.725461627664828</v>
      </c>
      <c r="AQ402">
        <f t="shared" si="51"/>
        <v>-23.038689092337648</v>
      </c>
    </row>
    <row r="403" spans="21:43" x14ac:dyDescent="0.25">
      <c r="U403" t="s">
        <v>480</v>
      </c>
      <c r="X403">
        <v>42.9</v>
      </c>
      <c r="Y403">
        <v>15</v>
      </c>
      <c r="Z403">
        <v>165</v>
      </c>
      <c r="AC403">
        <f>Z403*(Y403/1000)</f>
        <v>2.4750000000000001</v>
      </c>
      <c r="AD403">
        <f>(Y403/1000)/($AI$1/$AI$2)</f>
        <v>4.4903125000000012E-3</v>
      </c>
      <c r="AE403">
        <f>AC403/((Y403/1000)-AD403)</f>
        <v>235.49701168564721</v>
      </c>
      <c r="AF403">
        <f>AC403/((Y403/1000)+AD403)</f>
        <v>126.98616299764305</v>
      </c>
      <c r="AG403">
        <f t="shared" si="48"/>
        <v>70.497011685647209</v>
      </c>
      <c r="AH403">
        <f t="shared" si="48"/>
        <v>-38.013837002356951</v>
      </c>
      <c r="AI403">
        <f t="shared" si="49"/>
        <v>42.72546162766497</v>
      </c>
      <c r="AJ403">
        <f t="shared" si="49"/>
        <v>-23.038689092337549</v>
      </c>
      <c r="AK403">
        <f>Z403-Z404</f>
        <v>32</v>
      </c>
      <c r="AL403">
        <f t="shared" si="50"/>
        <v>45.672147720852792</v>
      </c>
      <c r="AM403">
        <f t="shared" si="50"/>
        <v>24.627619490451991</v>
      </c>
      <c r="AN403">
        <f>AF403-AE404</f>
        <v>-62.838700967151368</v>
      </c>
      <c r="AO403">
        <f>AE403-AF404</f>
        <v>133.13846817845615</v>
      </c>
      <c r="AP403">
        <f t="shared" si="51"/>
        <v>42.72546162766497</v>
      </c>
      <c r="AQ403">
        <f t="shared" si="51"/>
        <v>-23.038689092337535</v>
      </c>
    </row>
    <row r="404" spans="21:43" x14ac:dyDescent="0.25">
      <c r="U404" t="s">
        <v>501</v>
      </c>
      <c r="X404">
        <v>30.3</v>
      </c>
      <c r="Y404">
        <v>15</v>
      </c>
      <c r="Z404">
        <v>133</v>
      </c>
      <c r="AC404">
        <f>Z404*(Y404/1000)</f>
        <v>1.9949999999999999</v>
      </c>
      <c r="AD404">
        <f>(Y404/1000)/($AI$1/$AI$2)</f>
        <v>4.4903125000000012E-3</v>
      </c>
      <c r="AE404">
        <f>AC404/((Y404/1000)-AD404)</f>
        <v>189.82486396479442</v>
      </c>
      <c r="AF404">
        <f>AC404/((Y404/1000)+AD404)</f>
        <v>102.35854350719106</v>
      </c>
      <c r="AG404">
        <f t="shared" si="48"/>
        <v>56.824863964794417</v>
      </c>
      <c r="AH404">
        <f t="shared" si="48"/>
        <v>-30.641456492808942</v>
      </c>
      <c r="AI404">
        <f t="shared" si="49"/>
        <v>42.72546162766497</v>
      </c>
      <c r="AJ404">
        <f t="shared" si="49"/>
        <v>-23.038689092337549</v>
      </c>
      <c r="AK404">
        <f>Z404-Z405</f>
        <v>75</v>
      </c>
      <c r="AL404">
        <f t="shared" si="50"/>
        <v>107.04409622074873</v>
      </c>
      <c r="AM404">
        <f t="shared" si="50"/>
        <v>57.720983180746835</v>
      </c>
      <c r="AN404">
        <f>AF404-AE405</f>
        <v>19.577775763145368</v>
      </c>
      <c r="AO404">
        <f>AE404-AF405</f>
        <v>145.18730363835019</v>
      </c>
      <c r="AP404">
        <f t="shared" si="51"/>
        <v>42.72546162766497</v>
      </c>
      <c r="AQ404">
        <f t="shared" si="51"/>
        <v>-23.038689092337549</v>
      </c>
    </row>
    <row r="405" spans="21:43" x14ac:dyDescent="0.25">
      <c r="U405" t="s">
        <v>528</v>
      </c>
      <c r="X405">
        <v>10.5</v>
      </c>
      <c r="Y405">
        <v>15</v>
      </c>
      <c r="Z405">
        <v>58</v>
      </c>
      <c r="AC405">
        <f>Z405*(Y405/1000)</f>
        <v>0.87</v>
      </c>
      <c r="AD405">
        <f>(Y405/1000)/($AI$1/$AI$2)</f>
        <v>4.4903125000000012E-3</v>
      </c>
      <c r="AE405">
        <f>AC405/((Y405/1000)-AD405)</f>
        <v>82.78076774404569</v>
      </c>
      <c r="AF405">
        <f>AC405/((Y405/1000)+AD405)</f>
        <v>44.637560326444223</v>
      </c>
      <c r="AG405">
        <f t="shared" si="48"/>
        <v>24.78076774404569</v>
      </c>
      <c r="AH405">
        <f t="shared" si="48"/>
        <v>-13.362439673555777</v>
      </c>
      <c r="AI405">
        <f t="shared" si="49"/>
        <v>42.72546162766497</v>
      </c>
      <c r="AJ405">
        <f t="shared" si="49"/>
        <v>-23.038689092337549</v>
      </c>
    </row>
    <row r="406" spans="21:43" x14ac:dyDescent="0.25">
      <c r="U406" t="s">
        <v>536</v>
      </c>
    </row>
    <row r="407" spans="21:43" x14ac:dyDescent="0.25">
      <c r="U407" t="s">
        <v>481</v>
      </c>
    </row>
    <row r="408" spans="21:43" x14ac:dyDescent="0.25">
      <c r="U408" t="s">
        <v>482</v>
      </c>
      <c r="X408">
        <v>82.8</v>
      </c>
      <c r="Y408">
        <v>15</v>
      </c>
      <c r="Z408">
        <v>184</v>
      </c>
      <c r="AC408">
        <f>Z408*(Y408/1000)</f>
        <v>2.76</v>
      </c>
      <c r="AD408">
        <f>(Y408/1000)/($AI$1/$AI$2)</f>
        <v>4.4903125000000012E-3</v>
      </c>
      <c r="AE408">
        <f>AC408/((Y408/1000)-AD408)</f>
        <v>262.61484939490356</v>
      </c>
      <c r="AF408">
        <f>AC408/((Y408/1000)+AD408)</f>
        <v>141.60881207009891</v>
      </c>
      <c r="AG408">
        <f t="shared" ref="AG408:AH412" si="52">AE408-$Z408</f>
        <v>78.614849394903558</v>
      </c>
      <c r="AH408">
        <f t="shared" si="52"/>
        <v>-42.391187929901093</v>
      </c>
      <c r="AI408">
        <f t="shared" ref="AI408:AJ412" si="53">((AE408/$Z408)*100)-100</f>
        <v>42.72546162766497</v>
      </c>
      <c r="AJ408">
        <f t="shared" si="53"/>
        <v>-23.038689092337549</v>
      </c>
      <c r="AK408">
        <f>Z408-Z409</f>
        <v>-3</v>
      </c>
      <c r="AL408">
        <f t="shared" ref="AL408:AM411" si="54">AE408-AE409</f>
        <v>-4.2817638488299394</v>
      </c>
      <c r="AM408">
        <f t="shared" si="54"/>
        <v>-2.3088393272298617</v>
      </c>
      <c r="AN408">
        <f>AF408-AE409</f>
        <v>-125.28780117363459</v>
      </c>
      <c r="AO408">
        <f>AE408-AF409</f>
        <v>118.69719799757479</v>
      </c>
      <c r="AP408">
        <f t="shared" ref="AP408:AQ411" si="55">((AL408/$AK408)*100)-100</f>
        <v>42.725461627664629</v>
      </c>
      <c r="AQ408">
        <f t="shared" si="55"/>
        <v>-23.038689092337933</v>
      </c>
    </row>
    <row r="409" spans="21:43" x14ac:dyDescent="0.25">
      <c r="U409" t="s">
        <v>500</v>
      </c>
      <c r="X409">
        <v>57.8</v>
      </c>
      <c r="Y409">
        <v>15</v>
      </c>
      <c r="Z409">
        <v>187</v>
      </c>
      <c r="AC409">
        <f>Z409*(Y409/1000)</f>
        <v>2.8049999999999997</v>
      </c>
      <c r="AD409">
        <f>(Y409/1000)/($AI$1/$AI$2)</f>
        <v>4.4903125000000012E-3</v>
      </c>
      <c r="AE409">
        <f>AC409/((Y409/1000)-AD409)</f>
        <v>266.8966132437335</v>
      </c>
      <c r="AF409">
        <f>AC409/((Y409/1000)+AD409)</f>
        <v>143.91765139732877</v>
      </c>
      <c r="AG409">
        <f t="shared" si="52"/>
        <v>79.896613243733498</v>
      </c>
      <c r="AH409">
        <f t="shared" si="52"/>
        <v>-43.082348602671232</v>
      </c>
      <c r="AI409">
        <f t="shared" si="53"/>
        <v>42.72546162766497</v>
      </c>
      <c r="AJ409">
        <f t="shared" si="53"/>
        <v>-23.038689092337563</v>
      </c>
      <c r="AK409">
        <f>Z409-Z410</f>
        <v>28</v>
      </c>
      <c r="AL409">
        <f t="shared" si="54"/>
        <v>39.963129255746196</v>
      </c>
      <c r="AM409">
        <f t="shared" si="54"/>
        <v>21.549167054145485</v>
      </c>
      <c r="AN409">
        <f>AF409-AE410</f>
        <v>-83.015832590658533</v>
      </c>
      <c r="AO409">
        <f>AE409-AF410</f>
        <v>144.5281289005502</v>
      </c>
      <c r="AP409">
        <f t="shared" si="55"/>
        <v>42.725461627664998</v>
      </c>
      <c r="AQ409">
        <f t="shared" si="55"/>
        <v>-23.038689092337549</v>
      </c>
    </row>
    <row r="410" spans="21:43" x14ac:dyDescent="0.25">
      <c r="U410" t="s">
        <v>529</v>
      </c>
      <c r="X410">
        <v>39.9</v>
      </c>
      <c r="Y410">
        <v>15</v>
      </c>
      <c r="Z410">
        <v>159</v>
      </c>
      <c r="AC410">
        <f>Z410*(Y410/1000)</f>
        <v>2.3849999999999998</v>
      </c>
      <c r="AD410">
        <f>(Y410/1000)/($AI$1/$AI$2)</f>
        <v>4.4903125000000012E-3</v>
      </c>
      <c r="AE410">
        <f>AC410/((Y410/1000)-AD410)</f>
        <v>226.9334839879873</v>
      </c>
      <c r="AF410">
        <f>AC410/((Y410/1000)+AD410)</f>
        <v>122.36848434318328</v>
      </c>
      <c r="AG410">
        <f t="shared" si="52"/>
        <v>67.933483987987302</v>
      </c>
      <c r="AH410">
        <f t="shared" si="52"/>
        <v>-36.631515656816717</v>
      </c>
      <c r="AI410">
        <f t="shared" si="53"/>
        <v>42.72546162766497</v>
      </c>
      <c r="AJ410">
        <f t="shared" si="53"/>
        <v>-23.038689092337563</v>
      </c>
      <c r="AK410">
        <f>Z410-Z411</f>
        <v>84</v>
      </c>
      <c r="AL410">
        <f t="shared" si="54"/>
        <v>119.88938776723857</v>
      </c>
      <c r="AM410">
        <f t="shared" si="54"/>
        <v>64.647501162436441</v>
      </c>
      <c r="AN410">
        <f>AF410-AE411</f>
        <v>15.324388122434556</v>
      </c>
      <c r="AO410">
        <f>AE410-AF411</f>
        <v>169.21250080724047</v>
      </c>
      <c r="AP410">
        <f t="shared" si="55"/>
        <v>42.72546162766497</v>
      </c>
      <c r="AQ410">
        <f t="shared" si="55"/>
        <v>-23.038689092337577</v>
      </c>
    </row>
    <row r="411" spans="21:43" x14ac:dyDescent="0.25">
      <c r="U411" t="s">
        <v>530</v>
      </c>
      <c r="X411">
        <v>14.4</v>
      </c>
      <c r="Y411">
        <v>15</v>
      </c>
      <c r="Z411">
        <v>75</v>
      </c>
      <c r="AC411">
        <f>Z411*(Y411/1000)</f>
        <v>1.125</v>
      </c>
      <c r="AD411">
        <f>(Y411/1000)/($AI$1/$AI$2)</f>
        <v>4.4903125000000012E-3</v>
      </c>
      <c r="AE411">
        <f>AC411/((Y411/1000)-AD411)</f>
        <v>107.04409622074873</v>
      </c>
      <c r="AF411">
        <f>AC411/((Y411/1000)+AD411)</f>
        <v>57.720983180746835</v>
      </c>
      <c r="AG411">
        <f t="shared" si="52"/>
        <v>32.044096220748727</v>
      </c>
      <c r="AH411">
        <f t="shared" si="52"/>
        <v>-17.279016819253165</v>
      </c>
      <c r="AI411">
        <f t="shared" si="53"/>
        <v>42.72546162766497</v>
      </c>
      <c r="AJ411">
        <f t="shared" si="53"/>
        <v>-23.038689092337549</v>
      </c>
      <c r="AK411">
        <f>Z411-Z412</f>
        <v>47</v>
      </c>
      <c r="AL411">
        <f t="shared" si="54"/>
        <v>67.080966965002546</v>
      </c>
      <c r="AM411">
        <f t="shared" si="54"/>
        <v>36.17181612660135</v>
      </c>
      <c r="AN411">
        <f>AF411-AE412</f>
        <v>17.757853925000646</v>
      </c>
      <c r="AO411">
        <f>AE411-AF412</f>
        <v>85.494929166603242</v>
      </c>
      <c r="AP411">
        <f t="shared" si="55"/>
        <v>42.725461627664998</v>
      </c>
      <c r="AQ411">
        <f t="shared" si="55"/>
        <v>-23.038689092337549</v>
      </c>
    </row>
    <row r="412" spans="21:43" x14ac:dyDescent="0.25">
      <c r="U412" t="s">
        <v>537</v>
      </c>
      <c r="X412">
        <v>4.2</v>
      </c>
      <c r="Y412">
        <v>15</v>
      </c>
      <c r="Z412">
        <v>28</v>
      </c>
      <c r="AC412">
        <f>Z412*(Y412/1000)</f>
        <v>0.42</v>
      </c>
      <c r="AD412">
        <f>(Y412/1000)/($AI$1/$AI$2)</f>
        <v>4.4903125000000012E-3</v>
      </c>
      <c r="AE412">
        <f>AC412/((Y412/1000)-AD412)</f>
        <v>39.963129255746189</v>
      </c>
      <c r="AF412">
        <f>AC412/((Y412/1000)+AD412)</f>
        <v>21.549167054145485</v>
      </c>
      <c r="AG412">
        <f t="shared" si="52"/>
        <v>11.963129255746189</v>
      </c>
      <c r="AH412">
        <f t="shared" si="52"/>
        <v>-6.4508329458545148</v>
      </c>
      <c r="AI412">
        <f t="shared" si="53"/>
        <v>42.725461627664941</v>
      </c>
      <c r="AJ412">
        <f t="shared" si="53"/>
        <v>-23.038689092337549</v>
      </c>
    </row>
    <row r="413" spans="21:43" x14ac:dyDescent="0.25">
      <c r="U413" t="s">
        <v>483</v>
      </c>
    </row>
    <row r="414" spans="21:43" x14ac:dyDescent="0.25">
      <c r="U414" t="s">
        <v>484</v>
      </c>
      <c r="X414">
        <v>60</v>
      </c>
      <c r="Y414">
        <v>15</v>
      </c>
      <c r="Z414">
        <v>188</v>
      </c>
      <c r="AC414">
        <f>Z414*(Y414/1000)</f>
        <v>2.82</v>
      </c>
      <c r="AD414">
        <f>(Y414/1000)/($AI$1/$AI$2)</f>
        <v>4.4903125000000012E-3</v>
      </c>
      <c r="AE414">
        <f>AC414/((Y414/1000)-AD414)</f>
        <v>268.32386786001013</v>
      </c>
      <c r="AF414">
        <f>AC414/((Y414/1000)+AD414)</f>
        <v>144.6872645064054</v>
      </c>
      <c r="AG414">
        <f t="shared" ref="AG414:AH417" si="56">AE414-$Z414</f>
        <v>80.323867860010125</v>
      </c>
      <c r="AH414">
        <f t="shared" si="56"/>
        <v>-43.312735493594602</v>
      </c>
      <c r="AI414">
        <f t="shared" ref="AI414:AJ417" si="57">((AE414/$Z414)*100)-100</f>
        <v>42.725461627664941</v>
      </c>
      <c r="AJ414">
        <f t="shared" si="57"/>
        <v>-23.038689092337549</v>
      </c>
      <c r="AK414">
        <f>Z414-Z415</f>
        <v>25</v>
      </c>
      <c r="AL414">
        <f t="shared" ref="AL414:AM416" si="58">AE414-AE415</f>
        <v>35.681365406916228</v>
      </c>
      <c r="AM414">
        <f t="shared" si="58"/>
        <v>19.240327726915609</v>
      </c>
      <c r="AN414">
        <f>AF414-AE415</f>
        <v>-87.955237946688499</v>
      </c>
      <c r="AO414">
        <f>AE414-AF415</f>
        <v>142.87693108052034</v>
      </c>
      <c r="AP414">
        <f t="shared" ref="AP414:AQ416" si="59">((AL414/$AK414)*100)-100</f>
        <v>42.725461627664913</v>
      </c>
      <c r="AQ414">
        <f t="shared" si="59"/>
        <v>-23.038689092337563</v>
      </c>
    </row>
    <row r="415" spans="21:43" x14ac:dyDescent="0.25">
      <c r="U415" t="s">
        <v>485</v>
      </c>
      <c r="X415">
        <v>42</v>
      </c>
      <c r="Y415">
        <v>15</v>
      </c>
      <c r="Z415">
        <v>163</v>
      </c>
      <c r="AC415">
        <f>Z415*(Y415/1000)</f>
        <v>2.4449999999999998</v>
      </c>
      <c r="AD415">
        <f>(Y415/1000)/($AI$1/$AI$2)</f>
        <v>4.4903125000000012E-3</v>
      </c>
      <c r="AE415">
        <f>AC415/((Y415/1000)-AD415)</f>
        <v>232.6425024530939</v>
      </c>
      <c r="AF415">
        <f>AC415/((Y415/1000)+AD415)</f>
        <v>125.44693677948979</v>
      </c>
      <c r="AG415">
        <f t="shared" si="56"/>
        <v>69.642502453093897</v>
      </c>
      <c r="AH415">
        <f t="shared" si="56"/>
        <v>-37.553063220510211</v>
      </c>
      <c r="AI415">
        <f t="shared" si="57"/>
        <v>42.72546162766497</v>
      </c>
      <c r="AJ415">
        <f t="shared" si="57"/>
        <v>-23.038689092337549</v>
      </c>
      <c r="AK415">
        <f>Z415-Z416</f>
        <v>40</v>
      </c>
      <c r="AL415">
        <f t="shared" si="58"/>
        <v>57.090184651065982</v>
      </c>
      <c r="AM415">
        <f t="shared" si="58"/>
        <v>30.784524363064975</v>
      </c>
      <c r="AN415">
        <f>AF415-AE416</f>
        <v>-50.105381022538126</v>
      </c>
      <c r="AO415">
        <f>AE415-AF416</f>
        <v>137.98009003666908</v>
      </c>
      <c r="AP415">
        <f t="shared" si="59"/>
        <v>42.725461627664941</v>
      </c>
      <c r="AQ415">
        <f t="shared" si="59"/>
        <v>-23.038689092337563</v>
      </c>
    </row>
    <row r="416" spans="21:43" x14ac:dyDescent="0.25">
      <c r="U416" t="s">
        <v>531</v>
      </c>
      <c r="X416">
        <v>27</v>
      </c>
      <c r="Y416">
        <v>15</v>
      </c>
      <c r="Z416">
        <v>123</v>
      </c>
      <c r="AC416">
        <f>Z416*(Y416/1000)</f>
        <v>1.845</v>
      </c>
      <c r="AD416">
        <f>(Y416/1000)/($AI$1/$AI$2)</f>
        <v>4.4903125000000012E-3</v>
      </c>
      <c r="AE416">
        <f>AC416/((Y416/1000)-AD416)</f>
        <v>175.55231780202791</v>
      </c>
      <c r="AF416">
        <f>AC416/((Y416/1000)+AD416)</f>
        <v>94.662412416424814</v>
      </c>
      <c r="AG416">
        <f t="shared" si="56"/>
        <v>52.552317802027915</v>
      </c>
      <c r="AH416">
        <f t="shared" si="56"/>
        <v>-28.337587583575186</v>
      </c>
      <c r="AI416">
        <f t="shared" si="57"/>
        <v>42.72546162766497</v>
      </c>
      <c r="AJ416">
        <f t="shared" si="57"/>
        <v>-23.038689092337549</v>
      </c>
      <c r="AK416">
        <f>Z416-Z417</f>
        <v>62</v>
      </c>
      <c r="AL416">
        <f t="shared" si="58"/>
        <v>88.489786209152285</v>
      </c>
      <c r="AM416">
        <f t="shared" si="58"/>
        <v>47.716012762750722</v>
      </c>
      <c r="AN416">
        <f>AF416-AE417</f>
        <v>7.599880823549185</v>
      </c>
      <c r="AO416">
        <f>AE416-AF417</f>
        <v>128.60591814835382</v>
      </c>
      <c r="AP416">
        <f t="shared" si="59"/>
        <v>42.72546162766497</v>
      </c>
      <c r="AQ416">
        <f t="shared" si="59"/>
        <v>-23.038689092337549</v>
      </c>
    </row>
    <row r="417" spans="21:53" x14ac:dyDescent="0.25">
      <c r="U417" t="s">
        <v>532</v>
      </c>
      <c r="X417">
        <v>11.1</v>
      </c>
      <c r="Y417">
        <v>15</v>
      </c>
      <c r="Z417">
        <v>61</v>
      </c>
      <c r="AC417">
        <f>Z417*(Y417/1000)</f>
        <v>0.91499999999999992</v>
      </c>
      <c r="AD417">
        <f>(Y417/1000)/($AI$1/$AI$2)</f>
        <v>4.4903125000000012E-3</v>
      </c>
      <c r="AE417">
        <f>AC417/((Y417/1000)-AD417)</f>
        <v>87.062531592875629</v>
      </c>
      <c r="AF417">
        <f>AC417/((Y417/1000)+AD417)</f>
        <v>46.946399653674092</v>
      </c>
      <c r="AG417">
        <f t="shared" si="56"/>
        <v>26.062531592875629</v>
      </c>
      <c r="AH417">
        <f t="shared" si="56"/>
        <v>-14.053600346325908</v>
      </c>
      <c r="AI417">
        <f t="shared" si="57"/>
        <v>42.72546162766497</v>
      </c>
      <c r="AJ417">
        <f t="shared" si="57"/>
        <v>-23.038689092337549</v>
      </c>
    </row>
    <row r="418" spans="21:53" x14ac:dyDescent="0.25">
      <c r="U418" t="s">
        <v>538</v>
      </c>
      <c r="AT418" t="s">
        <v>559</v>
      </c>
    </row>
    <row r="419" spans="21:53" x14ac:dyDescent="0.25">
      <c r="U419" s="55" t="s">
        <v>555</v>
      </c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t="s">
        <v>560</v>
      </c>
    </row>
    <row r="420" spans="21:53" x14ac:dyDescent="0.25">
      <c r="U420" t="s">
        <v>475</v>
      </c>
      <c r="AS420" t="s">
        <v>561</v>
      </c>
      <c r="AT420">
        <f>AVERAGE(Z396,Z402,Z408,Z414)</f>
        <v>188.5</v>
      </c>
      <c r="AU420">
        <f t="shared" ref="AU420:AV424" si="60">AVERAGE(AE396,AE402,AE408,AE414)</f>
        <v>269.03749516814844</v>
      </c>
      <c r="AV420">
        <f t="shared" si="60"/>
        <v>145.0720710609437</v>
      </c>
      <c r="AW420">
        <f t="shared" ref="AW420:BA423" si="61">AVERAGE(AK396,AK402,AK414)</f>
        <v>20.333333333333332</v>
      </c>
      <c r="AX420">
        <f t="shared" si="61"/>
        <v>29.020843864291844</v>
      </c>
      <c r="AY420">
        <f t="shared" si="61"/>
        <v>15.648799884558022</v>
      </c>
      <c r="AZ420">
        <f t="shared" si="61"/>
        <v>-95.931042503712931</v>
      </c>
      <c r="BA420">
        <f t="shared" si="61"/>
        <v>140.60068625256281</v>
      </c>
    </row>
    <row r="421" spans="21:53" x14ac:dyDescent="0.25">
      <c r="U421" t="s">
        <v>476</v>
      </c>
      <c r="X421">
        <v>75.5</v>
      </c>
      <c r="Y421">
        <v>15</v>
      </c>
      <c r="Z421">
        <v>190</v>
      </c>
      <c r="AC421">
        <f>Z421*(Y421/1000)</f>
        <v>2.85</v>
      </c>
      <c r="AD421">
        <f>(Y421/1000)/($AI$1/$AI$2)</f>
        <v>4.4903125000000012E-3</v>
      </c>
      <c r="AE421">
        <f>AC421/((Y421/1000)-AD421)</f>
        <v>271.17837709256344</v>
      </c>
      <c r="AF421">
        <f>AC421/((Y421/1000)+AD421)</f>
        <v>146.22649072455866</v>
      </c>
      <c r="AG421">
        <f t="shared" ref="AG421:AH424" si="62">AE421-$Z421</f>
        <v>81.178377092563437</v>
      </c>
      <c r="AH421">
        <f t="shared" si="62"/>
        <v>-43.773509275441342</v>
      </c>
      <c r="AI421">
        <f t="shared" ref="AI421:AJ424" si="63">((AE421/$Z421)*100)-100</f>
        <v>42.72546162766497</v>
      </c>
      <c r="AJ421">
        <f t="shared" si="63"/>
        <v>-23.038689092337549</v>
      </c>
      <c r="AK421">
        <f>Z421-Z422</f>
        <v>5</v>
      </c>
      <c r="AL421">
        <f t="shared" ref="AL421:AM423" si="64">AE421-AE422</f>
        <v>7.1362730813832513</v>
      </c>
      <c r="AM421">
        <f t="shared" si="64"/>
        <v>3.8480655453831218</v>
      </c>
      <c r="AN421">
        <f>AF421-AE422</f>
        <v>-117.81561328662153</v>
      </c>
      <c r="AO421">
        <f>AE421-AF422</f>
        <v>128.7999519133879</v>
      </c>
      <c r="AP421">
        <f t="shared" ref="AP421:AQ423" si="65">((AL421/$AK421)*100)-100</f>
        <v>42.725461627665027</v>
      </c>
      <c r="AQ421">
        <f t="shared" si="65"/>
        <v>-23.038689092337563</v>
      </c>
      <c r="AS421" t="s">
        <v>562</v>
      </c>
      <c r="AT421">
        <f>AVERAGE(Z397,Z403,Z409,Z415)</f>
        <v>174</v>
      </c>
      <c r="AU421">
        <f t="shared" si="60"/>
        <v>248.34230323213708</v>
      </c>
      <c r="AV421">
        <f t="shared" si="60"/>
        <v>133.91268097933266</v>
      </c>
      <c r="AW421">
        <f t="shared" si="61"/>
        <v>34.666666666666664</v>
      </c>
      <c r="AX421">
        <f t="shared" si="61"/>
        <v>49.478160030923867</v>
      </c>
      <c r="AY421">
        <f t="shared" si="61"/>
        <v>26.679921114656313</v>
      </c>
      <c r="AZ421">
        <f t="shared" si="61"/>
        <v>-62.101682357347094</v>
      </c>
      <c r="BA421">
        <f t="shared" si="61"/>
        <v>138.25976350292726</v>
      </c>
    </row>
    <row r="422" spans="21:53" x14ac:dyDescent="0.25">
      <c r="U422" t="s">
        <v>477</v>
      </c>
      <c r="X422">
        <v>56.5</v>
      </c>
      <c r="Y422">
        <v>15</v>
      </c>
      <c r="Z422">
        <v>185</v>
      </c>
      <c r="AC422">
        <f>Z422*(Y422/1000)</f>
        <v>2.7749999999999999</v>
      </c>
      <c r="AD422">
        <f>(Y422/1000)/($AI$1/$AI$2)</f>
        <v>4.4903125000000012E-3</v>
      </c>
      <c r="AE422">
        <f>AC422/((Y422/1000)-AD422)</f>
        <v>264.04210401118019</v>
      </c>
      <c r="AF422">
        <f>AC422/((Y422/1000)+AD422)</f>
        <v>142.37842517917554</v>
      </c>
      <c r="AG422">
        <f t="shared" si="62"/>
        <v>79.042104011180186</v>
      </c>
      <c r="AH422">
        <f t="shared" si="62"/>
        <v>-42.621574820824463</v>
      </c>
      <c r="AI422">
        <f t="shared" si="63"/>
        <v>42.72546162766497</v>
      </c>
      <c r="AJ422">
        <f t="shared" si="63"/>
        <v>-23.038689092337549</v>
      </c>
      <c r="AK422">
        <f>Z422-Z423</f>
        <v>53</v>
      </c>
      <c r="AL422">
        <f t="shared" si="64"/>
        <v>75.644494662662424</v>
      </c>
      <c r="AM422">
        <f t="shared" si="64"/>
        <v>40.789494781061109</v>
      </c>
      <c r="AN422">
        <f>AF422-AE423</f>
        <v>-46.019184169342225</v>
      </c>
      <c r="AO422">
        <f>AE422-AF423</f>
        <v>162.45317361306576</v>
      </c>
      <c r="AP422">
        <f t="shared" si="65"/>
        <v>42.725461627664941</v>
      </c>
      <c r="AQ422">
        <f t="shared" si="65"/>
        <v>-23.038689092337535</v>
      </c>
      <c r="AS422" t="s">
        <v>563</v>
      </c>
      <c r="AT422">
        <f>AVERAGE(Z398,Z404,Z410,Z416)</f>
        <v>141</v>
      </c>
      <c r="AU422">
        <f t="shared" si="60"/>
        <v>201.24290089500761</v>
      </c>
      <c r="AV422">
        <f t="shared" si="60"/>
        <v>108.51544837980404</v>
      </c>
      <c r="AW422">
        <f t="shared" si="61"/>
        <v>60.333333333333336</v>
      </c>
      <c r="AX422">
        <f t="shared" si="61"/>
        <v>86.111028515357859</v>
      </c>
      <c r="AY422">
        <f t="shared" si="61"/>
        <v>46.433324247623005</v>
      </c>
      <c r="AZ422">
        <f t="shared" si="61"/>
        <v>-2.670574956645543</v>
      </c>
      <c r="BA422">
        <f t="shared" si="61"/>
        <v>135.21492771962642</v>
      </c>
    </row>
    <row r="423" spans="21:53" x14ac:dyDescent="0.25">
      <c r="U423" t="s">
        <v>499</v>
      </c>
      <c r="X423">
        <v>30</v>
      </c>
      <c r="Y423">
        <v>15</v>
      </c>
      <c r="Z423">
        <v>132</v>
      </c>
      <c r="AC423">
        <f>Z423*(Y423/1000)</f>
        <v>1.98</v>
      </c>
      <c r="AD423">
        <f>(Y423/1000)/($AI$1/$AI$2)</f>
        <v>4.4903125000000012E-3</v>
      </c>
      <c r="AE423">
        <f>AC423/((Y423/1000)-AD423)</f>
        <v>188.39760934851776</v>
      </c>
      <c r="AF423">
        <f>AC423/((Y423/1000)+AD423)</f>
        <v>101.58893039811443</v>
      </c>
      <c r="AG423">
        <f t="shared" si="62"/>
        <v>56.397609348517761</v>
      </c>
      <c r="AH423">
        <f t="shared" si="62"/>
        <v>-30.411069601885572</v>
      </c>
      <c r="AI423">
        <f t="shared" si="63"/>
        <v>42.72546162766497</v>
      </c>
      <c r="AJ423">
        <f t="shared" si="63"/>
        <v>-23.038689092337549</v>
      </c>
      <c r="AK423">
        <f>Z423-Z424</f>
        <v>58</v>
      </c>
      <c r="AL423">
        <f t="shared" si="64"/>
        <v>82.78076774404569</v>
      </c>
      <c r="AM423">
        <f t="shared" si="64"/>
        <v>44.637560326444223</v>
      </c>
      <c r="AN423">
        <f>AF423-AE424</f>
        <v>-4.0279112063576434</v>
      </c>
      <c r="AO423">
        <f>AE423-AF424</f>
        <v>131.44623927684756</v>
      </c>
      <c r="AP423">
        <f t="shared" si="65"/>
        <v>42.72546162766497</v>
      </c>
      <c r="AQ423">
        <f t="shared" si="65"/>
        <v>-23.038689092337549</v>
      </c>
      <c r="AS423" t="s">
        <v>564</v>
      </c>
      <c r="AT423">
        <f>AVERAGE(Z399,Z405,Z411,Z417)</f>
        <v>74.75</v>
      </c>
      <c r="AU423">
        <f t="shared" si="60"/>
        <v>106.68728256667957</v>
      </c>
      <c r="AV423">
        <f t="shared" si="60"/>
        <v>57.528579903477677</v>
      </c>
      <c r="AW423">
        <f t="shared" si="61"/>
        <v>76</v>
      </c>
      <c r="AX423">
        <f t="shared" si="61"/>
        <v>108.47135083702537</v>
      </c>
      <c r="AY423">
        <f t="shared" si="61"/>
        <v>58.490596289823458</v>
      </c>
      <c r="AZ423">
        <f t="shared" si="61"/>
        <v>39.418992581022728</v>
      </c>
      <c r="BA423">
        <f t="shared" si="61"/>
        <v>127.54295454582611</v>
      </c>
    </row>
    <row r="424" spans="21:53" x14ac:dyDescent="0.25">
      <c r="U424" t="s">
        <v>527</v>
      </c>
      <c r="X424">
        <v>14</v>
      </c>
      <c r="Y424">
        <v>15</v>
      </c>
      <c r="Z424">
        <v>74</v>
      </c>
      <c r="AC424">
        <f>Z424*(Y424/1000)</f>
        <v>1.1099999999999999</v>
      </c>
      <c r="AD424">
        <f>(Y424/1000)/($AI$1/$AI$2)</f>
        <v>4.4903125000000012E-3</v>
      </c>
      <c r="AE424">
        <f>AC424/((Y424/1000)-AD424)</f>
        <v>105.61684160447207</v>
      </c>
      <c r="AF424">
        <f>AC424/((Y424/1000)+AD424)</f>
        <v>56.951370071670205</v>
      </c>
      <c r="AG424">
        <f t="shared" si="62"/>
        <v>31.616841604472071</v>
      </c>
      <c r="AH424">
        <f t="shared" si="62"/>
        <v>-17.048629928329795</v>
      </c>
      <c r="AI424">
        <f t="shared" si="63"/>
        <v>42.725461627664941</v>
      </c>
      <c r="AJ424">
        <f t="shared" si="63"/>
        <v>-23.038689092337563</v>
      </c>
      <c r="AS424" t="s">
        <v>565</v>
      </c>
      <c r="AT424">
        <f>AVERAGE(Z400,Z406,Z412,Z418)</f>
        <v>28.5</v>
      </c>
      <c r="AU424">
        <f t="shared" si="60"/>
        <v>40.676756563884517</v>
      </c>
      <c r="AV424">
        <f t="shared" si="60"/>
        <v>21.9339736086838</v>
      </c>
    </row>
    <row r="425" spans="21:53" x14ac:dyDescent="0.25">
      <c r="U425" t="s">
        <v>535</v>
      </c>
    </row>
    <row r="426" spans="21:53" x14ac:dyDescent="0.25">
      <c r="U426" t="s">
        <v>478</v>
      </c>
    </row>
    <row r="427" spans="21:53" x14ac:dyDescent="0.25">
      <c r="U427" t="s">
        <v>479</v>
      </c>
      <c r="X427">
        <v>90.5</v>
      </c>
      <c r="Y427">
        <v>15</v>
      </c>
      <c r="Z427">
        <v>173</v>
      </c>
      <c r="AC427">
        <f>Z427*(Y427/1000)</f>
        <v>2.5949999999999998</v>
      </c>
      <c r="AD427">
        <f>(Y427/1000)/($AI$1/$AI$2)</f>
        <v>4.4903125000000012E-3</v>
      </c>
      <c r="AE427">
        <f>AC427/((Y427/1000)-AD427)</f>
        <v>246.9150486158604</v>
      </c>
      <c r="AF427">
        <f>AC427/((Y427/1000)+AD427)</f>
        <v>133.14306787025603</v>
      </c>
      <c r="AG427">
        <f t="shared" ref="AG427:AH431" si="66">AE427-$Z427</f>
        <v>73.9150486158604</v>
      </c>
      <c r="AH427">
        <f t="shared" si="66"/>
        <v>-39.856932129743967</v>
      </c>
      <c r="AI427">
        <f t="shared" ref="AI427:AJ431" si="67">((AE427/$Z427)*100)-100</f>
        <v>42.72546162766497</v>
      </c>
      <c r="AJ427">
        <f t="shared" si="67"/>
        <v>-23.038689092337549</v>
      </c>
      <c r="AK427">
        <f>Z427-Z428</f>
        <v>-14</v>
      </c>
      <c r="AL427">
        <f t="shared" ref="AL427:AM430" si="68">AE427-AE428</f>
        <v>-19.981564627873098</v>
      </c>
      <c r="AM427">
        <f t="shared" si="68"/>
        <v>-10.774583527072735</v>
      </c>
      <c r="AN427">
        <f>AF427-AE428</f>
        <v>-133.75354537347746</v>
      </c>
      <c r="AO427">
        <f>AE427-AF428</f>
        <v>102.99739721853163</v>
      </c>
      <c r="AP427">
        <f t="shared" ref="AP427:AQ430" si="69">((AL427/$AK427)*100)-100</f>
        <v>42.725461627664998</v>
      </c>
      <c r="AQ427">
        <f t="shared" si="69"/>
        <v>-23.038689092337606</v>
      </c>
    </row>
    <row r="428" spans="21:53" x14ac:dyDescent="0.25">
      <c r="U428" t="s">
        <v>480</v>
      </c>
      <c r="X428">
        <v>58</v>
      </c>
      <c r="Y428">
        <v>15</v>
      </c>
      <c r="Z428">
        <v>187</v>
      </c>
      <c r="AC428">
        <f>Z428*(Y428/1000)</f>
        <v>2.8049999999999997</v>
      </c>
      <c r="AD428">
        <f>(Y428/1000)/($AI$1/$AI$2)</f>
        <v>4.4903125000000012E-3</v>
      </c>
      <c r="AE428">
        <f>AC428/((Y428/1000)-AD428)</f>
        <v>266.8966132437335</v>
      </c>
      <c r="AF428">
        <f>AC428/((Y428/1000)+AD428)</f>
        <v>143.91765139732877</v>
      </c>
      <c r="AG428">
        <f t="shared" si="66"/>
        <v>79.896613243733498</v>
      </c>
      <c r="AH428">
        <f t="shared" si="66"/>
        <v>-43.082348602671232</v>
      </c>
      <c r="AI428">
        <f t="shared" si="67"/>
        <v>42.72546162766497</v>
      </c>
      <c r="AJ428">
        <f t="shared" si="67"/>
        <v>-23.038689092337563</v>
      </c>
      <c r="AK428">
        <f>Z428-Z429</f>
        <v>29</v>
      </c>
      <c r="AL428">
        <f t="shared" si="68"/>
        <v>41.390383872022824</v>
      </c>
      <c r="AM428">
        <f t="shared" si="68"/>
        <v>22.318780163222087</v>
      </c>
      <c r="AN428">
        <f>AF428-AE429</f>
        <v>-81.588577974381906</v>
      </c>
      <c r="AO428">
        <f>AE428-AF429</f>
        <v>145.2977420096268</v>
      </c>
      <c r="AP428">
        <f t="shared" si="69"/>
        <v>42.725461627664913</v>
      </c>
      <c r="AQ428">
        <f t="shared" si="69"/>
        <v>-23.038689092337634</v>
      </c>
    </row>
    <row r="429" spans="21:53" x14ac:dyDescent="0.25">
      <c r="U429" t="s">
        <v>501</v>
      </c>
      <c r="X429">
        <v>39.5</v>
      </c>
      <c r="Y429">
        <v>15</v>
      </c>
      <c r="Z429">
        <v>158</v>
      </c>
      <c r="AC429">
        <f>Z429*(Y429/1000)</f>
        <v>2.37</v>
      </c>
      <c r="AD429">
        <f>(Y429/1000)/($AI$1/$AI$2)</f>
        <v>4.4903125000000012E-3</v>
      </c>
      <c r="AE429">
        <f>AC429/((Y429/1000)-AD429)</f>
        <v>225.50622937171067</v>
      </c>
      <c r="AF429">
        <f>AC429/((Y429/1000)+AD429)</f>
        <v>121.59887123410668</v>
      </c>
      <c r="AG429">
        <f t="shared" si="66"/>
        <v>67.506229371710674</v>
      </c>
      <c r="AH429">
        <f t="shared" si="66"/>
        <v>-36.401128765893318</v>
      </c>
      <c r="AI429">
        <f t="shared" si="67"/>
        <v>42.72546162766497</v>
      </c>
      <c r="AJ429">
        <f t="shared" si="67"/>
        <v>-23.038689092337535</v>
      </c>
      <c r="AK429">
        <f>Z429-Z430</f>
        <v>49</v>
      </c>
      <c r="AL429">
        <f t="shared" si="68"/>
        <v>69.935476197555857</v>
      </c>
      <c r="AM429">
        <f t="shared" si="68"/>
        <v>37.711042344754603</v>
      </c>
      <c r="AN429">
        <f>AF429-AE430</f>
        <v>-33.971881940048135</v>
      </c>
      <c r="AO429">
        <f>AE429-AF430</f>
        <v>141.6184004823586</v>
      </c>
      <c r="AP429">
        <f t="shared" si="69"/>
        <v>42.725461627665027</v>
      </c>
      <c r="AQ429">
        <f t="shared" si="69"/>
        <v>-23.038689092337549</v>
      </c>
    </row>
    <row r="430" spans="21:53" x14ac:dyDescent="0.25">
      <c r="U430" t="s">
        <v>528</v>
      </c>
      <c r="X430">
        <v>23</v>
      </c>
      <c r="Y430">
        <v>15</v>
      </c>
      <c r="Z430">
        <v>109</v>
      </c>
      <c r="AC430">
        <f>Z430*(Y430/1000)</f>
        <v>1.635</v>
      </c>
      <c r="AD430">
        <f>(Y430/1000)/($AI$1/$AI$2)</f>
        <v>4.4903125000000012E-3</v>
      </c>
      <c r="AE430">
        <f>AC430/((Y430/1000)-AD430)</f>
        <v>155.57075317415482</v>
      </c>
      <c r="AF430">
        <f>AC430/((Y430/1000)+AD430)</f>
        <v>83.887828889352079</v>
      </c>
      <c r="AG430">
        <f t="shared" si="66"/>
        <v>46.570753174154817</v>
      </c>
      <c r="AH430">
        <f t="shared" si="66"/>
        <v>-25.112171110647921</v>
      </c>
      <c r="AI430">
        <f t="shared" si="67"/>
        <v>42.72546162766497</v>
      </c>
      <c r="AJ430">
        <f t="shared" si="67"/>
        <v>-23.038689092337535</v>
      </c>
      <c r="AK430">
        <f>Z430-Z431</f>
        <v>77</v>
      </c>
      <c r="AL430">
        <f t="shared" si="68"/>
        <v>109.89860545330203</v>
      </c>
      <c r="AM430">
        <f t="shared" si="68"/>
        <v>59.260209398900095</v>
      </c>
      <c r="AN430">
        <f>AF430-AE431</f>
        <v>38.215681168499287</v>
      </c>
      <c r="AO430">
        <f>AE430-AF431</f>
        <v>130.94313368370283</v>
      </c>
      <c r="AP430">
        <f t="shared" si="69"/>
        <v>42.72546162766497</v>
      </c>
      <c r="AQ430">
        <f t="shared" si="69"/>
        <v>-23.038689092337535</v>
      </c>
    </row>
    <row r="431" spans="21:53" x14ac:dyDescent="0.25">
      <c r="U431" t="s">
        <v>536</v>
      </c>
      <c r="X431">
        <v>5</v>
      </c>
      <c r="Y431">
        <v>15</v>
      </c>
      <c r="Z431">
        <v>32</v>
      </c>
      <c r="AC431">
        <f>Z431*(Y431/1000)</f>
        <v>0.48</v>
      </c>
      <c r="AD431">
        <f>(Y431/1000)/($AI$1/$AI$2)</f>
        <v>4.4903125000000012E-3</v>
      </c>
      <c r="AE431">
        <f>AC431/((Y431/1000)-AD431)</f>
        <v>45.672147720852792</v>
      </c>
      <c r="AF431">
        <f>AC431/((Y431/1000)+AD431)</f>
        <v>24.627619490451984</v>
      </c>
      <c r="AG431">
        <f t="shared" si="66"/>
        <v>13.672147720852792</v>
      </c>
      <c r="AH431">
        <f t="shared" si="66"/>
        <v>-7.3723805095480159</v>
      </c>
      <c r="AI431">
        <f t="shared" si="67"/>
        <v>42.72546162766497</v>
      </c>
      <c r="AJ431">
        <f t="shared" si="67"/>
        <v>-23.038689092337549</v>
      </c>
    </row>
    <row r="432" spans="21:53" x14ac:dyDescent="0.25">
      <c r="U432" t="s">
        <v>481</v>
      </c>
    </row>
    <row r="433" spans="21:53" x14ac:dyDescent="0.25">
      <c r="U433" t="s">
        <v>482</v>
      </c>
      <c r="X433">
        <v>67.5</v>
      </c>
      <c r="Y433">
        <v>15</v>
      </c>
      <c r="Z433">
        <v>191</v>
      </c>
      <c r="AC433">
        <f>Z433*(Y433/1000)</f>
        <v>2.8649999999999998</v>
      </c>
      <c r="AD433">
        <f>(Y433/1000)/($AI$1/$AI$2)</f>
        <v>4.4903125000000012E-3</v>
      </c>
      <c r="AE433">
        <f>AC433/((Y433/1000)-AD433)</f>
        <v>272.60563170884006</v>
      </c>
      <c r="AF433">
        <f>AC433/((Y433/1000)+AD433)</f>
        <v>146.99610383363526</v>
      </c>
      <c r="AG433">
        <f t="shared" ref="AG433:AH436" si="70">AE433-$Z433</f>
        <v>81.605631708840065</v>
      </c>
      <c r="AH433">
        <f t="shared" si="70"/>
        <v>-44.00389616636474</v>
      </c>
      <c r="AI433">
        <f t="shared" ref="AI433:AJ436" si="71">((AE433/$Z433)*100)-100</f>
        <v>42.725461627664941</v>
      </c>
      <c r="AJ433">
        <f t="shared" si="71"/>
        <v>-23.038689092337563</v>
      </c>
      <c r="AK433">
        <f>Z433-Z434</f>
        <v>16</v>
      </c>
      <c r="AL433">
        <f t="shared" ref="AL433:AM435" si="72">AE433-AE434</f>
        <v>22.836073860426353</v>
      </c>
      <c r="AM433">
        <f t="shared" si="72"/>
        <v>12.313809745225967</v>
      </c>
      <c r="AN433">
        <f>AF433-AE434</f>
        <v>-102.77345401477845</v>
      </c>
      <c r="AO433">
        <f>AE433-AF434</f>
        <v>137.92333762043077</v>
      </c>
      <c r="AP433">
        <f t="shared" ref="AP433:AQ435" si="73">((AL433/$AK433)*100)-100</f>
        <v>42.725461627664714</v>
      </c>
      <c r="AQ433">
        <f t="shared" si="73"/>
        <v>-23.038689092337705</v>
      </c>
    </row>
    <row r="434" spans="21:53" x14ac:dyDescent="0.25">
      <c r="U434" t="s">
        <v>500</v>
      </c>
      <c r="X434">
        <v>48.5</v>
      </c>
      <c r="Y434">
        <v>15</v>
      </c>
      <c r="Z434">
        <v>175</v>
      </c>
      <c r="AC434">
        <f>Z434*(Y434/1000)</f>
        <v>2.625</v>
      </c>
      <c r="AD434">
        <f>(Y434/1000)/($AI$1/$AI$2)</f>
        <v>4.4903125000000012E-3</v>
      </c>
      <c r="AE434">
        <f>AC434/((Y434/1000)-AD434)</f>
        <v>249.76955784841371</v>
      </c>
      <c r="AF434">
        <f>AC434/((Y434/1000)+AD434)</f>
        <v>134.68229408840929</v>
      </c>
      <c r="AG434">
        <f t="shared" si="70"/>
        <v>74.769557848413712</v>
      </c>
      <c r="AH434">
        <f t="shared" si="70"/>
        <v>-40.317705911590707</v>
      </c>
      <c r="AI434">
        <f t="shared" si="71"/>
        <v>42.72546162766497</v>
      </c>
      <c r="AJ434">
        <f t="shared" si="71"/>
        <v>-23.038689092337549</v>
      </c>
      <c r="AK434">
        <f>Z434-Z435</f>
        <v>46</v>
      </c>
      <c r="AL434">
        <f t="shared" si="72"/>
        <v>65.653712348725918</v>
      </c>
      <c r="AM434">
        <f t="shared" si="72"/>
        <v>35.402203017524741</v>
      </c>
      <c r="AN434">
        <f>AF434-AE435</f>
        <v>-49.433551411278501</v>
      </c>
      <c r="AO434">
        <f>AE434-AF435</f>
        <v>150.48946677752917</v>
      </c>
      <c r="AP434">
        <f t="shared" si="73"/>
        <v>42.725461627665027</v>
      </c>
      <c r="AQ434">
        <f t="shared" si="73"/>
        <v>-23.03868909233752</v>
      </c>
    </row>
    <row r="435" spans="21:53" x14ac:dyDescent="0.25">
      <c r="U435" t="s">
        <v>529</v>
      </c>
      <c r="X435">
        <v>29</v>
      </c>
      <c r="Y435">
        <v>15</v>
      </c>
      <c r="Z435">
        <v>129</v>
      </c>
      <c r="AC435">
        <f>Z435*(Y435/1000)</f>
        <v>1.9349999999999998</v>
      </c>
      <c r="AD435">
        <f>(Y435/1000)/($AI$1/$AI$2)</f>
        <v>4.4903125000000012E-3</v>
      </c>
      <c r="AE435">
        <f>AC435/((Y435/1000)-AD435)</f>
        <v>184.11584549968779</v>
      </c>
      <c r="AF435">
        <f>AC435/((Y435/1000)+AD435)</f>
        <v>99.280091070884552</v>
      </c>
      <c r="AG435">
        <f t="shared" si="70"/>
        <v>55.115845499687794</v>
      </c>
      <c r="AH435">
        <f t="shared" si="70"/>
        <v>-29.719908929115448</v>
      </c>
      <c r="AI435">
        <f t="shared" si="71"/>
        <v>42.725461627664941</v>
      </c>
      <c r="AJ435">
        <f t="shared" si="71"/>
        <v>-23.038689092337563</v>
      </c>
      <c r="AK435">
        <f>Z435-Z436</f>
        <v>80</v>
      </c>
      <c r="AL435">
        <f t="shared" si="72"/>
        <v>114.18036930213195</v>
      </c>
      <c r="AM435">
        <f t="shared" si="72"/>
        <v>61.56904872612995</v>
      </c>
      <c r="AN435">
        <f>AF435-AE436</f>
        <v>29.344614873328709</v>
      </c>
      <c r="AO435">
        <f>AE435-AF436</f>
        <v>146.40480315493318</v>
      </c>
      <c r="AP435">
        <f t="shared" si="73"/>
        <v>42.725461627664941</v>
      </c>
      <c r="AQ435">
        <f t="shared" si="73"/>
        <v>-23.038689092337563</v>
      </c>
    </row>
    <row r="436" spans="21:53" x14ac:dyDescent="0.25">
      <c r="U436" t="s">
        <v>530</v>
      </c>
      <c r="X436">
        <v>8.5</v>
      </c>
      <c r="Y436">
        <v>15</v>
      </c>
      <c r="Z436">
        <v>49</v>
      </c>
      <c r="AC436">
        <f>Z436*(Y436/1000)</f>
        <v>0.73499999999999999</v>
      </c>
      <c r="AD436">
        <f>(Y436/1000)/($AI$1/$AI$2)</f>
        <v>4.4903125000000012E-3</v>
      </c>
      <c r="AE436">
        <f>AC436/((Y436/1000)-AD436)</f>
        <v>69.935476197555843</v>
      </c>
      <c r="AF436">
        <f>AC436/((Y436/1000)+AD436)</f>
        <v>37.711042344754603</v>
      </c>
      <c r="AG436">
        <f t="shared" si="70"/>
        <v>20.935476197555843</v>
      </c>
      <c r="AH436">
        <f t="shared" si="70"/>
        <v>-11.288957655245397</v>
      </c>
      <c r="AI436">
        <f t="shared" si="71"/>
        <v>42.725461627664998</v>
      </c>
      <c r="AJ436">
        <f t="shared" si="71"/>
        <v>-23.038689092337549</v>
      </c>
    </row>
    <row r="437" spans="21:53" x14ac:dyDescent="0.25">
      <c r="U437" t="s">
        <v>537</v>
      </c>
    </row>
    <row r="438" spans="21:53" x14ac:dyDescent="0.25">
      <c r="U438" t="s">
        <v>483</v>
      </c>
    </row>
    <row r="439" spans="21:53" x14ac:dyDescent="0.25">
      <c r="U439" t="s">
        <v>484</v>
      </c>
      <c r="X439">
        <v>58.5</v>
      </c>
      <c r="Y439">
        <v>15</v>
      </c>
      <c r="Z439">
        <v>187</v>
      </c>
      <c r="AC439">
        <f>Z439*(Y439/1000)</f>
        <v>2.8049999999999997</v>
      </c>
      <c r="AD439">
        <f>(Y439/1000)/($AI$1/$AI$2)</f>
        <v>4.4903125000000012E-3</v>
      </c>
      <c r="AE439">
        <f>AC439/((Y439/1000)-AD439)</f>
        <v>266.8966132437335</v>
      </c>
      <c r="AF439">
        <f>AC439/((Y439/1000)+AD439)</f>
        <v>143.91765139732877</v>
      </c>
      <c r="AG439">
        <f t="shared" ref="AG439:AH442" si="74">AE439-$Z439</f>
        <v>79.896613243733498</v>
      </c>
      <c r="AH439">
        <f t="shared" si="74"/>
        <v>-43.082348602671232</v>
      </c>
      <c r="AI439">
        <f t="shared" ref="AI439:AJ442" si="75">((AE439/$Z439)*100)-100</f>
        <v>42.72546162766497</v>
      </c>
      <c r="AJ439">
        <f t="shared" si="75"/>
        <v>-23.038689092337563</v>
      </c>
      <c r="AK439">
        <f>Z439-Z440</f>
        <v>33</v>
      </c>
      <c r="AL439">
        <f t="shared" ref="AL439:AM441" si="76">AE439-AE440</f>
        <v>47.099402337129419</v>
      </c>
      <c r="AM439">
        <f t="shared" si="76"/>
        <v>25.397232599528593</v>
      </c>
      <c r="AN439">
        <f>AF439-AE440</f>
        <v>-75.87955950927531</v>
      </c>
      <c r="AO439">
        <f>AE439-AF440</f>
        <v>148.37619444593332</v>
      </c>
      <c r="AP439">
        <f t="shared" ref="AP439:AQ441" si="77">((AL439/$AK439)*100)-100</f>
        <v>42.725461627664913</v>
      </c>
      <c r="AQ439">
        <f t="shared" si="77"/>
        <v>-23.038689092337592</v>
      </c>
    </row>
    <row r="440" spans="21:53" x14ac:dyDescent="0.25">
      <c r="U440" t="s">
        <v>485</v>
      </c>
      <c r="X440">
        <v>38</v>
      </c>
      <c r="Y440">
        <v>15</v>
      </c>
      <c r="Z440">
        <v>154</v>
      </c>
      <c r="AC440">
        <f>Z440*(Y440/1000)</f>
        <v>2.31</v>
      </c>
      <c r="AD440">
        <f>(Y440/1000)/($AI$1/$AI$2)</f>
        <v>4.4903125000000012E-3</v>
      </c>
      <c r="AE440">
        <f>AC440/((Y440/1000)-AD440)</f>
        <v>219.79721090660408</v>
      </c>
      <c r="AF440">
        <f>AC440/((Y440/1000)+AD440)</f>
        <v>118.52041879780018</v>
      </c>
      <c r="AG440">
        <f t="shared" si="74"/>
        <v>65.797210906604079</v>
      </c>
      <c r="AH440">
        <f t="shared" si="74"/>
        <v>-35.479581202199824</v>
      </c>
      <c r="AI440">
        <f t="shared" si="75"/>
        <v>42.725461627664998</v>
      </c>
      <c r="AJ440">
        <f t="shared" si="75"/>
        <v>-23.038689092337549</v>
      </c>
      <c r="AK440">
        <f>Z440-Z441</f>
        <v>80</v>
      </c>
      <c r="AL440">
        <f t="shared" si="76"/>
        <v>114.18036930213201</v>
      </c>
      <c r="AM440">
        <f t="shared" si="76"/>
        <v>61.569048726129971</v>
      </c>
      <c r="AN440">
        <f>AF440-AE441</f>
        <v>12.903577193328104</v>
      </c>
      <c r="AO440">
        <f>AE440-AF441</f>
        <v>162.84584083493388</v>
      </c>
      <c r="AP440">
        <f t="shared" si="77"/>
        <v>42.725461627665027</v>
      </c>
      <c r="AQ440">
        <f t="shared" si="77"/>
        <v>-23.038689092337535</v>
      </c>
    </row>
    <row r="441" spans="21:53" x14ac:dyDescent="0.25">
      <c r="U441" t="s">
        <v>531</v>
      </c>
      <c r="X441">
        <v>14</v>
      </c>
      <c r="Y441">
        <v>15</v>
      </c>
      <c r="Z441">
        <v>74</v>
      </c>
      <c r="AC441">
        <f>Z441*(Y441/1000)</f>
        <v>1.1099999999999999</v>
      </c>
      <c r="AD441">
        <f>(Y441/1000)/($AI$1/$AI$2)</f>
        <v>4.4903125000000012E-3</v>
      </c>
      <c r="AE441">
        <f>AC441/((Y441/1000)-AD441)</f>
        <v>105.61684160447207</v>
      </c>
      <c r="AF441">
        <f>AC441/((Y441/1000)+AD441)</f>
        <v>56.951370071670205</v>
      </c>
      <c r="AG441">
        <f t="shared" si="74"/>
        <v>31.616841604472071</v>
      </c>
      <c r="AH441">
        <f t="shared" si="74"/>
        <v>-17.048629928329795</v>
      </c>
      <c r="AI441">
        <f t="shared" si="75"/>
        <v>42.725461627664941</v>
      </c>
      <c r="AJ441">
        <f t="shared" si="75"/>
        <v>-23.038689092337563</v>
      </c>
      <c r="AK441">
        <f>Z441-Z442</f>
        <v>45</v>
      </c>
      <c r="AL441">
        <f t="shared" si="76"/>
        <v>64.226457732449234</v>
      </c>
      <c r="AM441">
        <f t="shared" si="76"/>
        <v>34.632589908448097</v>
      </c>
      <c r="AN441">
        <f>AF441-AE442</f>
        <v>15.56098619964736</v>
      </c>
      <c r="AO441">
        <f>AE441-AF442</f>
        <v>83.298061441249956</v>
      </c>
      <c r="AP441">
        <f t="shared" si="77"/>
        <v>42.72546162766497</v>
      </c>
      <c r="AQ441">
        <f t="shared" si="77"/>
        <v>-23.038689092337563</v>
      </c>
    </row>
    <row r="442" spans="21:53" x14ac:dyDescent="0.25">
      <c r="U442" t="s">
        <v>532</v>
      </c>
      <c r="X442">
        <v>4.5</v>
      </c>
      <c r="Y442">
        <v>15</v>
      </c>
      <c r="Z442">
        <v>29</v>
      </c>
      <c r="AC442">
        <f>Z442*(Y442/1000)</f>
        <v>0.435</v>
      </c>
      <c r="AD442">
        <f>(Y442/1000)/($AI$1/$AI$2)</f>
        <v>4.4903125000000012E-3</v>
      </c>
      <c r="AE442">
        <f>AC442/((Y442/1000)-AD442)</f>
        <v>41.390383872022845</v>
      </c>
      <c r="AF442">
        <f>AC442/((Y442/1000)+AD442)</f>
        <v>22.318780163222112</v>
      </c>
      <c r="AG442">
        <f t="shared" si="74"/>
        <v>12.390383872022845</v>
      </c>
      <c r="AH442">
        <f t="shared" si="74"/>
        <v>-6.6812198367778883</v>
      </c>
      <c r="AI442">
        <f t="shared" si="75"/>
        <v>42.72546162766497</v>
      </c>
      <c r="AJ442">
        <f t="shared" si="75"/>
        <v>-23.038689092337549</v>
      </c>
    </row>
    <row r="443" spans="21:53" x14ac:dyDescent="0.25">
      <c r="U443" t="s">
        <v>538</v>
      </c>
      <c r="AT443" t="s">
        <v>559</v>
      </c>
    </row>
    <row r="444" spans="21:53" x14ac:dyDescent="0.25">
      <c r="U444" s="55" t="s">
        <v>556</v>
      </c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t="s">
        <v>560</v>
      </c>
    </row>
    <row r="445" spans="21:53" x14ac:dyDescent="0.25">
      <c r="U445" t="s">
        <v>475</v>
      </c>
      <c r="AS445" t="s">
        <v>561</v>
      </c>
      <c r="AT445">
        <f>AVERAGE(Z421,Z427,Z433,Z439)</f>
        <v>185.25</v>
      </c>
      <c r="AU445">
        <f t="shared" ref="AU445:AV449" si="78">AVERAGE(AE421,AE427,AE433,AE439)</f>
        <v>264.39891766524937</v>
      </c>
      <c r="AV445">
        <f t="shared" si="78"/>
        <v>142.57082845644467</v>
      </c>
      <c r="AW445" s="100">
        <f>AVERAGE(AK421,AK439)</f>
        <v>19</v>
      </c>
      <c r="AX445" s="100">
        <f>AVERAGE(AL421,AL439)</f>
        <v>27.117837709256335</v>
      </c>
      <c r="AY445" s="100">
        <f>AVERAGE(AM421,AM439)</f>
        <v>14.622649072455857</v>
      </c>
      <c r="AZ445" s="100">
        <f>AVERAGE(AN421,AN439)</f>
        <v>-96.847586397948419</v>
      </c>
      <c r="BA445" s="100">
        <f>AVERAGE(AO421,AO439)</f>
        <v>138.58807317966063</v>
      </c>
    </row>
    <row r="446" spans="21:53" x14ac:dyDescent="0.25">
      <c r="U446" t="s">
        <v>476</v>
      </c>
      <c r="X446">
        <v>75.599999999999994</v>
      </c>
      <c r="Y446">
        <v>15</v>
      </c>
      <c r="Z446">
        <v>189</v>
      </c>
      <c r="AC446">
        <f>Z446*(Y446/1000)</f>
        <v>2.835</v>
      </c>
      <c r="AD446">
        <f>(Y446/1000)/($AI$1/$AI$2)</f>
        <v>4.4903125000000012E-3</v>
      </c>
      <c r="AE446">
        <f>AC446/((Y446/1000)-AD446)</f>
        <v>269.75112247628681</v>
      </c>
      <c r="AF446">
        <f>AC446/((Y446/1000)+AD446)</f>
        <v>145.45687761548203</v>
      </c>
      <c r="AG446">
        <f t="shared" ref="AG446:AH449" si="79">AE446-$Z446</f>
        <v>80.75112247628681</v>
      </c>
      <c r="AH446">
        <f t="shared" si="79"/>
        <v>-43.543122384517972</v>
      </c>
      <c r="AI446">
        <f t="shared" ref="AI446:AJ449" si="80">((AE446/$Z446)*100)-100</f>
        <v>42.72546162766497</v>
      </c>
      <c r="AJ446">
        <f t="shared" si="80"/>
        <v>-23.038689092337549</v>
      </c>
      <c r="AK446">
        <f>Z446-Z447</f>
        <v>17</v>
      </c>
      <c r="AL446">
        <f t="shared" ref="AL446:AM448" si="81">AE446-AE447</f>
        <v>24.263328476703037</v>
      </c>
      <c r="AM446">
        <f t="shared" si="81"/>
        <v>13.083422854302597</v>
      </c>
      <c r="AN446">
        <f>AF446-AE447</f>
        <v>-100.03091638410174</v>
      </c>
      <c r="AO446">
        <f>AE446-AF447</f>
        <v>137.37766771510738</v>
      </c>
      <c r="AP446">
        <f t="shared" ref="AP446:AQ448" si="82">((AL446/$AK446)*100)-100</f>
        <v>42.725461627664941</v>
      </c>
      <c r="AQ446">
        <f t="shared" si="82"/>
        <v>-23.038689092337663</v>
      </c>
      <c r="AS446" t="s">
        <v>562</v>
      </c>
      <c r="AT446">
        <f>AVERAGE(Z422,Z428,Z434,Z440)</f>
        <v>175.25</v>
      </c>
      <c r="AU446">
        <f t="shared" si="78"/>
        <v>250.12637150248284</v>
      </c>
      <c r="AV446">
        <f t="shared" si="78"/>
        <v>134.87469736567846</v>
      </c>
      <c r="AW446">
        <f t="shared" ref="AW446:BA448" si="83">AVERAGE(AK422,AK428,AK440)</f>
        <v>54</v>
      </c>
      <c r="AX446">
        <f t="shared" si="83"/>
        <v>77.07174927893908</v>
      </c>
      <c r="AY446">
        <f t="shared" si="83"/>
        <v>41.559107890137717</v>
      </c>
      <c r="AZ446">
        <f t="shared" si="83"/>
        <v>-38.234728316798673</v>
      </c>
      <c r="BA446">
        <f t="shared" si="83"/>
        <v>156.86558548587547</v>
      </c>
    </row>
    <row r="447" spans="21:53" x14ac:dyDescent="0.25">
      <c r="U447" t="s">
        <v>477</v>
      </c>
      <c r="X447">
        <v>46.8</v>
      </c>
      <c r="Y447">
        <v>15</v>
      </c>
      <c r="Z447">
        <v>172</v>
      </c>
      <c r="AC447">
        <f>Z447*(Y447/1000)</f>
        <v>2.58</v>
      </c>
      <c r="AD447">
        <f>(Y447/1000)/($AI$1/$AI$2)</f>
        <v>4.4903125000000012E-3</v>
      </c>
      <c r="AE447">
        <f>AC447/((Y447/1000)-AD447)</f>
        <v>245.48779399958377</v>
      </c>
      <c r="AF447">
        <f>AC447/((Y447/1000)+AD447)</f>
        <v>132.37345476117943</v>
      </c>
      <c r="AG447">
        <f t="shared" si="79"/>
        <v>73.487793999583772</v>
      </c>
      <c r="AH447">
        <f t="shared" si="79"/>
        <v>-39.626545238820569</v>
      </c>
      <c r="AI447">
        <f t="shared" si="80"/>
        <v>42.72546162766497</v>
      </c>
      <c r="AJ447">
        <f t="shared" si="80"/>
        <v>-23.038689092337535</v>
      </c>
      <c r="AK447">
        <f>Z447-Z448</f>
        <v>51</v>
      </c>
      <c r="AL447">
        <f t="shared" si="81"/>
        <v>72.789985430109169</v>
      </c>
      <c r="AM447">
        <f t="shared" si="81"/>
        <v>39.250268562907863</v>
      </c>
      <c r="AN447">
        <f>AF447-AE448</f>
        <v>-40.324353808295172</v>
      </c>
      <c r="AO447">
        <f>AE447-AF448</f>
        <v>152.36460780131222</v>
      </c>
      <c r="AP447">
        <f t="shared" si="82"/>
        <v>42.725461627665027</v>
      </c>
      <c r="AQ447">
        <f t="shared" si="82"/>
        <v>-23.038689092337535</v>
      </c>
      <c r="AS447" t="s">
        <v>563</v>
      </c>
      <c r="AT447">
        <f>AVERAGE(Z423,Z429,Z435,Z441)</f>
        <v>123.25</v>
      </c>
      <c r="AU447">
        <f t="shared" si="78"/>
        <v>175.90913145609707</v>
      </c>
      <c r="AV447">
        <f t="shared" si="78"/>
        <v>94.854815693693979</v>
      </c>
      <c r="AW447">
        <f t="shared" si="83"/>
        <v>50.666666666666664</v>
      </c>
      <c r="AX447">
        <f t="shared" si="83"/>
        <v>72.314233891350256</v>
      </c>
      <c r="AY447">
        <f t="shared" si="83"/>
        <v>38.993730859882305</v>
      </c>
      <c r="AZ447">
        <f t="shared" si="83"/>
        <v>-7.4796023155861393</v>
      </c>
      <c r="BA447">
        <f t="shared" si="83"/>
        <v>118.78756706681871</v>
      </c>
    </row>
    <row r="448" spans="21:53" x14ac:dyDescent="0.25">
      <c r="U448" t="s">
        <v>499</v>
      </c>
      <c r="X448">
        <v>26.4</v>
      </c>
      <c r="Y448">
        <v>15</v>
      </c>
      <c r="Z448">
        <v>121</v>
      </c>
      <c r="AC448">
        <f>Z448*(Y448/1000)</f>
        <v>1.8149999999999999</v>
      </c>
      <c r="AD448">
        <f>(Y448/1000)/($AI$1/$AI$2)</f>
        <v>4.4903125000000012E-3</v>
      </c>
      <c r="AE448">
        <f>AC448/((Y448/1000)-AD448)</f>
        <v>172.6978085694746</v>
      </c>
      <c r="AF448">
        <f>AC448/((Y448/1000)+AD448)</f>
        <v>93.123186198271569</v>
      </c>
      <c r="AG448">
        <f t="shared" si="79"/>
        <v>51.697808569474603</v>
      </c>
      <c r="AH448">
        <f t="shared" si="79"/>
        <v>-27.876813801728431</v>
      </c>
      <c r="AI448">
        <f t="shared" si="80"/>
        <v>42.725461627664941</v>
      </c>
      <c r="AJ448">
        <f t="shared" si="80"/>
        <v>-23.038689092337549</v>
      </c>
      <c r="AK448">
        <f>Z448-Z449</f>
        <v>51</v>
      </c>
      <c r="AL448">
        <f t="shared" si="81"/>
        <v>72.789985430109112</v>
      </c>
      <c r="AM448">
        <f t="shared" si="81"/>
        <v>39.250268562907848</v>
      </c>
      <c r="AN448">
        <f>AF448-AE449</f>
        <v>-6.7846369410939218</v>
      </c>
      <c r="AO448">
        <f>AE448-AF449</f>
        <v>118.82489093411088</v>
      </c>
      <c r="AP448">
        <f t="shared" si="82"/>
        <v>42.725461627664941</v>
      </c>
      <c r="AQ448">
        <f t="shared" si="82"/>
        <v>-23.038689092337549</v>
      </c>
      <c r="AS448" t="s">
        <v>564</v>
      </c>
      <c r="AT448">
        <f>AVERAGE(Z424,Z430,Z436,Z442)</f>
        <v>65.25</v>
      </c>
      <c r="AU448">
        <f t="shared" si="78"/>
        <v>93.128363712051382</v>
      </c>
      <c r="AV448">
        <f t="shared" si="78"/>
        <v>50.217255367249741</v>
      </c>
      <c r="AW448">
        <f t="shared" si="83"/>
        <v>77</v>
      </c>
      <c r="AX448">
        <f t="shared" si="83"/>
        <v>109.89860545330203</v>
      </c>
      <c r="AY448">
        <f t="shared" si="83"/>
        <v>59.260209398900095</v>
      </c>
      <c r="AZ448">
        <f t="shared" si="83"/>
        <v>38.215681168499287</v>
      </c>
      <c r="BA448">
        <f t="shared" si="83"/>
        <v>130.94313368370283</v>
      </c>
    </row>
    <row r="449" spans="21:48" x14ac:dyDescent="0.25">
      <c r="U449" t="s">
        <v>527</v>
      </c>
      <c r="X449">
        <v>13.2</v>
      </c>
      <c r="Y449">
        <v>15</v>
      </c>
      <c r="Z449">
        <v>70</v>
      </c>
      <c r="AC449">
        <f>Z449*(Y449/1000)</f>
        <v>1.05</v>
      </c>
      <c r="AD449">
        <f>(Y449/1000)/($AI$1/$AI$2)</f>
        <v>4.4903125000000012E-3</v>
      </c>
      <c r="AE449">
        <f>AC449/((Y449/1000)-AD449)</f>
        <v>99.90782313936549</v>
      </c>
      <c r="AF449">
        <f>AC449/((Y449/1000)+AD449)</f>
        <v>53.87291763536372</v>
      </c>
      <c r="AG449">
        <f t="shared" si="79"/>
        <v>29.90782313936549</v>
      </c>
      <c r="AH449">
        <f t="shared" si="79"/>
        <v>-16.12708236463628</v>
      </c>
      <c r="AI449">
        <f t="shared" si="80"/>
        <v>42.725461627664998</v>
      </c>
      <c r="AJ449">
        <f t="shared" si="80"/>
        <v>-23.038689092337535</v>
      </c>
      <c r="AS449" t="s">
        <v>565</v>
      </c>
      <c r="AT449">
        <f>AVERAGE(Z425,Z431,Z437,Z443)</f>
        <v>32</v>
      </c>
      <c r="AU449">
        <f t="shared" si="78"/>
        <v>45.672147720852792</v>
      </c>
      <c r="AV449">
        <f t="shared" si="78"/>
        <v>24.627619490451984</v>
      </c>
    </row>
    <row r="450" spans="21:48" x14ac:dyDescent="0.25">
      <c r="U450" t="s">
        <v>535</v>
      </c>
    </row>
    <row r="451" spans="21:48" x14ac:dyDescent="0.25">
      <c r="U451" t="s">
        <v>478</v>
      </c>
    </row>
    <row r="452" spans="21:48" x14ac:dyDescent="0.25">
      <c r="U452" t="s">
        <v>479</v>
      </c>
      <c r="X452">
        <v>78.3</v>
      </c>
      <c r="Y452">
        <v>15</v>
      </c>
      <c r="Z452">
        <v>188</v>
      </c>
      <c r="AC452">
        <f>Z452*(Y452/1000)</f>
        <v>2.82</v>
      </c>
      <c r="AD452">
        <f>(Y452/1000)/($AI$1/$AI$2)</f>
        <v>4.4903125000000012E-3</v>
      </c>
      <c r="AE452">
        <f>AC452/((Y452/1000)-AD452)</f>
        <v>268.32386786001013</v>
      </c>
      <c r="AF452">
        <f>AC452/((Y452/1000)+AD452)</f>
        <v>144.6872645064054</v>
      </c>
      <c r="AG452">
        <f t="shared" ref="AG452:AH456" si="84">AE452-$Z452</f>
        <v>80.323867860010125</v>
      </c>
      <c r="AH452">
        <f t="shared" si="84"/>
        <v>-43.312735493594602</v>
      </c>
      <c r="AI452">
        <f t="shared" ref="AI452:AJ456" si="85">((AE452/$Z452)*100)-100</f>
        <v>42.725461627664941</v>
      </c>
      <c r="AJ452">
        <f t="shared" si="85"/>
        <v>-23.038689092337549</v>
      </c>
      <c r="AK452">
        <f>Z452-Z453</f>
        <v>-1</v>
      </c>
      <c r="AL452">
        <f t="shared" ref="AL452:AM455" si="86">AE452-AE453</f>
        <v>-1.4272546162766844</v>
      </c>
      <c r="AM452">
        <f t="shared" si="86"/>
        <v>-0.76961310907663005</v>
      </c>
      <c r="AN452">
        <f>AF452-AE453</f>
        <v>-125.06385796988141</v>
      </c>
      <c r="AO452">
        <f>AE452-AF453</f>
        <v>122.8669902445281</v>
      </c>
      <c r="AP452">
        <f t="shared" ref="AP452:AQ455" si="87">((AL452/$AK452)*100)-100</f>
        <v>42.725461627668437</v>
      </c>
      <c r="AQ452">
        <f t="shared" si="87"/>
        <v>-23.038689092336995</v>
      </c>
    </row>
    <row r="453" spans="21:48" x14ac:dyDescent="0.25">
      <c r="U453" t="s">
        <v>480</v>
      </c>
      <c r="X453">
        <v>60.6</v>
      </c>
      <c r="Y453">
        <v>15</v>
      </c>
      <c r="Z453">
        <v>189</v>
      </c>
      <c r="AC453">
        <f>Z453*(Y453/1000)</f>
        <v>2.835</v>
      </c>
      <c r="AD453">
        <f>(Y453/1000)/($AI$1/$AI$2)</f>
        <v>4.4903125000000012E-3</v>
      </c>
      <c r="AE453">
        <f>AC453/((Y453/1000)-AD453)</f>
        <v>269.75112247628681</v>
      </c>
      <c r="AF453">
        <f>AC453/((Y453/1000)+AD453)</f>
        <v>145.45687761548203</v>
      </c>
      <c r="AG453">
        <f t="shared" si="84"/>
        <v>80.75112247628681</v>
      </c>
      <c r="AH453">
        <f t="shared" si="84"/>
        <v>-43.543122384517972</v>
      </c>
      <c r="AI453">
        <f t="shared" si="85"/>
        <v>42.72546162766497</v>
      </c>
      <c r="AJ453">
        <f t="shared" si="85"/>
        <v>-23.038689092337549</v>
      </c>
      <c r="AK453">
        <f>Z453-Z454</f>
        <v>30</v>
      </c>
      <c r="AL453">
        <f t="shared" si="86"/>
        <v>42.817638488299508</v>
      </c>
      <c r="AM453">
        <f t="shared" si="86"/>
        <v>23.088393272298745</v>
      </c>
      <c r="AN453">
        <f>AF453-AE454</f>
        <v>-81.476606372505273</v>
      </c>
      <c r="AO453">
        <f>AE453-AF454</f>
        <v>147.38263813310351</v>
      </c>
      <c r="AP453">
        <f t="shared" si="87"/>
        <v>42.725461627665027</v>
      </c>
      <c r="AQ453">
        <f t="shared" si="87"/>
        <v>-23.03868909233752</v>
      </c>
    </row>
    <row r="454" spans="21:48" x14ac:dyDescent="0.25">
      <c r="U454" t="s">
        <v>501</v>
      </c>
      <c r="X454">
        <v>39.9</v>
      </c>
      <c r="Y454">
        <v>15</v>
      </c>
      <c r="Z454">
        <v>159</v>
      </c>
      <c r="AC454">
        <f>Z454*(Y454/1000)</f>
        <v>2.3849999999999998</v>
      </c>
      <c r="AD454">
        <f>(Y454/1000)/($AI$1/$AI$2)</f>
        <v>4.4903125000000012E-3</v>
      </c>
      <c r="AE454">
        <f>AC454/((Y454/1000)-AD454)</f>
        <v>226.9334839879873</v>
      </c>
      <c r="AF454">
        <f>AC454/((Y454/1000)+AD454)</f>
        <v>122.36848434318328</v>
      </c>
      <c r="AG454">
        <f t="shared" si="84"/>
        <v>67.933483987987302</v>
      </c>
      <c r="AH454">
        <f t="shared" si="84"/>
        <v>-36.631515656816717</v>
      </c>
      <c r="AI454">
        <f t="shared" si="85"/>
        <v>42.72546162766497</v>
      </c>
      <c r="AJ454">
        <f t="shared" si="85"/>
        <v>-23.038689092337563</v>
      </c>
      <c r="AK454">
        <f>Z454-Z455</f>
        <v>65</v>
      </c>
      <c r="AL454">
        <f t="shared" si="86"/>
        <v>92.771550057982239</v>
      </c>
      <c r="AM454">
        <f t="shared" si="86"/>
        <v>50.024852089980584</v>
      </c>
      <c r="AN454">
        <f>AF454-AE455</f>
        <v>-11.793449586821779</v>
      </c>
      <c r="AO454">
        <f>AE454-AF455</f>
        <v>154.58985173478459</v>
      </c>
      <c r="AP454">
        <f t="shared" si="87"/>
        <v>42.72546162766497</v>
      </c>
      <c r="AQ454">
        <f t="shared" si="87"/>
        <v>-23.038689092337563</v>
      </c>
    </row>
    <row r="455" spans="21:48" x14ac:dyDescent="0.25">
      <c r="U455" t="s">
        <v>528</v>
      </c>
      <c r="X455">
        <v>18.899999999999999</v>
      </c>
      <c r="Y455">
        <v>15</v>
      </c>
      <c r="Z455">
        <v>94</v>
      </c>
      <c r="AC455">
        <f>Z455*(Y455/1000)</f>
        <v>1.41</v>
      </c>
      <c r="AD455">
        <f>(Y455/1000)/($AI$1/$AI$2)</f>
        <v>4.4903125000000012E-3</v>
      </c>
      <c r="AE455">
        <f>AC455/((Y455/1000)-AD455)</f>
        <v>134.16193393000506</v>
      </c>
      <c r="AF455">
        <f>AC455/((Y455/1000)+AD455)</f>
        <v>72.343632253202699</v>
      </c>
      <c r="AG455">
        <f t="shared" si="84"/>
        <v>40.161933930005063</v>
      </c>
      <c r="AH455">
        <f t="shared" si="84"/>
        <v>-21.656367746797301</v>
      </c>
      <c r="AI455">
        <f t="shared" si="85"/>
        <v>42.725461627664941</v>
      </c>
      <c r="AJ455">
        <f t="shared" si="85"/>
        <v>-23.038689092337549</v>
      </c>
      <c r="AK455">
        <f>Z455-Z456</f>
        <v>73</v>
      </c>
      <c r="AL455">
        <f t="shared" si="86"/>
        <v>104.18958698819542</v>
      </c>
      <c r="AM455">
        <f t="shared" si="86"/>
        <v>56.181756962593582</v>
      </c>
      <c r="AN455">
        <f>AF455-AE456</f>
        <v>42.371285311393052</v>
      </c>
      <c r="AO455">
        <f>AE455-AF456</f>
        <v>118.00005863939595</v>
      </c>
      <c r="AP455">
        <f t="shared" si="87"/>
        <v>42.725461627664941</v>
      </c>
      <c r="AQ455">
        <f t="shared" si="87"/>
        <v>-23.038689092337563</v>
      </c>
    </row>
    <row r="456" spans="21:48" x14ac:dyDescent="0.25">
      <c r="U456" t="s">
        <v>536</v>
      </c>
      <c r="X456">
        <v>3</v>
      </c>
      <c r="Y456">
        <v>15</v>
      </c>
      <c r="Z456">
        <v>21</v>
      </c>
      <c r="AC456">
        <f>Z456*(Y456/1000)</f>
        <v>0.315</v>
      </c>
      <c r="AD456">
        <f>(Y456/1000)/($AI$1/$AI$2)</f>
        <v>4.4903125000000012E-3</v>
      </c>
      <c r="AE456">
        <f>AC456/((Y456/1000)-AD456)</f>
        <v>29.972346941809644</v>
      </c>
      <c r="AF456">
        <f>AC456/((Y456/1000)+AD456)</f>
        <v>16.161875290609114</v>
      </c>
      <c r="AG456">
        <f t="shared" si="84"/>
        <v>8.9723469418096435</v>
      </c>
      <c r="AH456">
        <f t="shared" si="84"/>
        <v>-4.8381247093908861</v>
      </c>
      <c r="AI456">
        <f t="shared" si="85"/>
        <v>42.72546162766497</v>
      </c>
      <c r="AJ456">
        <f t="shared" si="85"/>
        <v>-23.038689092337549</v>
      </c>
    </row>
    <row r="457" spans="21:48" x14ac:dyDescent="0.25">
      <c r="U457" t="s">
        <v>481</v>
      </c>
    </row>
    <row r="458" spans="21:48" x14ac:dyDescent="0.25">
      <c r="U458" t="s">
        <v>482</v>
      </c>
      <c r="X458">
        <v>75.900000000000006</v>
      </c>
      <c r="Y458">
        <v>15</v>
      </c>
      <c r="Z458">
        <v>189</v>
      </c>
      <c r="AC458">
        <f>Z458*(Y458/1000)</f>
        <v>2.835</v>
      </c>
      <c r="AD458">
        <f>(Y458/1000)/($AI$1/$AI$2)</f>
        <v>4.4903125000000012E-3</v>
      </c>
      <c r="AE458">
        <f>AC458/((Y458/1000)-AD458)</f>
        <v>269.75112247628681</v>
      </c>
      <c r="AF458">
        <f>AC458/((Y458/1000)+AD458)</f>
        <v>145.45687761548203</v>
      </c>
      <c r="AG458">
        <f t="shared" ref="AG458:AH462" si="88">AE458-$Z458</f>
        <v>80.75112247628681</v>
      </c>
      <c r="AH458">
        <f t="shared" si="88"/>
        <v>-43.543122384517972</v>
      </c>
      <c r="AI458">
        <f t="shared" ref="AI458:AJ462" si="89">((AE458/$Z458)*100)-100</f>
        <v>42.72546162766497</v>
      </c>
      <c r="AJ458">
        <f t="shared" si="89"/>
        <v>-23.038689092337549</v>
      </c>
      <c r="AK458">
        <f>Z458-Z459</f>
        <v>12</v>
      </c>
      <c r="AL458">
        <f t="shared" ref="AL458:AM461" si="90">AE458-AE459</f>
        <v>17.127055395319815</v>
      </c>
      <c r="AM458">
        <f t="shared" si="90"/>
        <v>9.2353573089195038</v>
      </c>
      <c r="AN458">
        <f>AF458-AE459</f>
        <v>-107.16718946548497</v>
      </c>
      <c r="AO458">
        <f>AE458-AF459</f>
        <v>133.52960216972428</v>
      </c>
      <c r="AP458">
        <f t="shared" ref="AP458:AQ461" si="91">((AL458/$AK458)*100)-100</f>
        <v>42.72546162766514</v>
      </c>
      <c r="AQ458">
        <f t="shared" si="91"/>
        <v>-23.038689092337478</v>
      </c>
    </row>
    <row r="459" spans="21:48" x14ac:dyDescent="0.25">
      <c r="U459" t="s">
        <v>500</v>
      </c>
      <c r="X459">
        <v>49.5</v>
      </c>
      <c r="Y459">
        <v>15</v>
      </c>
      <c r="Z459">
        <v>177</v>
      </c>
      <c r="AC459">
        <f>Z459*(Y459/1000)</f>
        <v>2.6549999999999998</v>
      </c>
      <c r="AD459">
        <f>(Y459/1000)/($AI$1/$AI$2)</f>
        <v>4.4903125000000012E-3</v>
      </c>
      <c r="AE459">
        <f>AC459/((Y459/1000)-AD459)</f>
        <v>252.624067080967</v>
      </c>
      <c r="AF459">
        <f>AC459/((Y459/1000)+AD459)</f>
        <v>136.22152030656252</v>
      </c>
      <c r="AG459">
        <f t="shared" si="88"/>
        <v>75.624067080966995</v>
      </c>
      <c r="AH459">
        <f t="shared" si="88"/>
        <v>-40.778479693437475</v>
      </c>
      <c r="AI459">
        <f t="shared" si="89"/>
        <v>42.72546162766497</v>
      </c>
      <c r="AJ459">
        <f t="shared" si="89"/>
        <v>-23.038689092337563</v>
      </c>
      <c r="AK459">
        <f>Z459-Z460</f>
        <v>54</v>
      </c>
      <c r="AL459">
        <f t="shared" si="90"/>
        <v>77.07174927893908</v>
      </c>
      <c r="AM459">
        <f t="shared" si="90"/>
        <v>41.55910789013771</v>
      </c>
      <c r="AN459">
        <f>AF459-AE460</f>
        <v>-39.33079749546539</v>
      </c>
      <c r="AO459">
        <f>AE459-AF460</f>
        <v>157.96165466454218</v>
      </c>
      <c r="AP459">
        <f t="shared" si="91"/>
        <v>42.72546162766497</v>
      </c>
      <c r="AQ459">
        <f t="shared" si="91"/>
        <v>-23.038689092337577</v>
      </c>
    </row>
    <row r="460" spans="21:48" x14ac:dyDescent="0.25">
      <c r="U460" t="s">
        <v>529</v>
      </c>
      <c r="X460">
        <v>27</v>
      </c>
      <c r="Y460">
        <v>15</v>
      </c>
      <c r="Z460">
        <v>123</v>
      </c>
      <c r="AC460">
        <f>Z460*(Y460/1000)</f>
        <v>1.845</v>
      </c>
      <c r="AD460">
        <f>(Y460/1000)/($AI$1/$AI$2)</f>
        <v>4.4903125000000012E-3</v>
      </c>
      <c r="AE460">
        <f>AC460/((Y460/1000)-AD460)</f>
        <v>175.55231780202791</v>
      </c>
      <c r="AF460">
        <f>AC460/((Y460/1000)+AD460)</f>
        <v>94.662412416424814</v>
      </c>
      <c r="AG460">
        <f t="shared" si="88"/>
        <v>52.552317802027915</v>
      </c>
      <c r="AH460">
        <f t="shared" si="88"/>
        <v>-28.337587583575186</v>
      </c>
      <c r="AI460">
        <f t="shared" si="89"/>
        <v>42.72546162766497</v>
      </c>
      <c r="AJ460">
        <f t="shared" si="89"/>
        <v>-23.038689092337549</v>
      </c>
      <c r="AK460">
        <f>Z460-Z461</f>
        <v>58</v>
      </c>
      <c r="AL460">
        <f t="shared" si="90"/>
        <v>82.780767744045676</v>
      </c>
      <c r="AM460">
        <f t="shared" si="90"/>
        <v>44.637560326444223</v>
      </c>
      <c r="AN460">
        <f>AF460-AE461</f>
        <v>1.8908623584425754</v>
      </c>
      <c r="AO460">
        <f>AE460-AF461</f>
        <v>125.52746571204733</v>
      </c>
      <c r="AP460">
        <f t="shared" si="91"/>
        <v>42.725461627664941</v>
      </c>
      <c r="AQ460">
        <f t="shared" si="91"/>
        <v>-23.038689092337549</v>
      </c>
    </row>
    <row r="461" spans="21:48" x14ac:dyDescent="0.25">
      <c r="U461" t="s">
        <v>530</v>
      </c>
      <c r="X461">
        <v>12</v>
      </c>
      <c r="Y461">
        <v>15</v>
      </c>
      <c r="Z461">
        <v>65</v>
      </c>
      <c r="AC461">
        <f>Z461*(Y461/1000)</f>
        <v>0.97499999999999998</v>
      </c>
      <c r="AD461">
        <f>(Y461/1000)/($AI$1/$AI$2)</f>
        <v>4.4903125000000012E-3</v>
      </c>
      <c r="AE461">
        <f>AC461/((Y461/1000)-AD461)</f>
        <v>92.771550057982239</v>
      </c>
      <c r="AF461">
        <f>AC461/((Y461/1000)+AD461)</f>
        <v>50.024852089980591</v>
      </c>
      <c r="AG461">
        <f t="shared" si="88"/>
        <v>27.771550057982239</v>
      </c>
      <c r="AH461">
        <f t="shared" si="88"/>
        <v>-14.975147910019409</v>
      </c>
      <c r="AI461">
        <f t="shared" si="89"/>
        <v>42.72546162766497</v>
      </c>
      <c r="AJ461">
        <f t="shared" si="89"/>
        <v>-23.038689092337549</v>
      </c>
      <c r="AK461">
        <f>Z461-Z462</f>
        <v>40</v>
      </c>
      <c r="AL461">
        <f t="shared" si="90"/>
        <v>57.090184651065996</v>
      </c>
      <c r="AM461">
        <f t="shared" si="90"/>
        <v>30.784524363064978</v>
      </c>
      <c r="AN461">
        <f>AF461-AE462</f>
        <v>14.343486683064349</v>
      </c>
      <c r="AO461">
        <f>AE461-AF462</f>
        <v>73.53122233106663</v>
      </c>
      <c r="AP461">
        <f t="shared" si="91"/>
        <v>42.725461627664998</v>
      </c>
      <c r="AQ461">
        <f t="shared" si="91"/>
        <v>-23.038689092337549</v>
      </c>
    </row>
    <row r="462" spans="21:48" x14ac:dyDescent="0.25">
      <c r="U462" t="s">
        <v>537</v>
      </c>
      <c r="X462">
        <v>3.6</v>
      </c>
      <c r="Y462">
        <v>15</v>
      </c>
      <c r="Z462">
        <v>25</v>
      </c>
      <c r="AC462">
        <f>Z462*(Y462/1000)</f>
        <v>0.375</v>
      </c>
      <c r="AD462">
        <f>(Y462/1000)/($AI$1/$AI$2)</f>
        <v>4.4903125000000012E-3</v>
      </c>
      <c r="AE462">
        <f>AC462/((Y462/1000)-AD462)</f>
        <v>35.681365406916242</v>
      </c>
      <c r="AF462">
        <f>AC462/((Y462/1000)+AD462)</f>
        <v>19.240327726915613</v>
      </c>
      <c r="AG462">
        <f t="shared" si="88"/>
        <v>10.681365406916242</v>
      </c>
      <c r="AH462">
        <f t="shared" si="88"/>
        <v>-5.7596722730843872</v>
      </c>
      <c r="AI462">
        <f t="shared" si="89"/>
        <v>42.72546162766497</v>
      </c>
      <c r="AJ462">
        <f t="shared" si="89"/>
        <v>-23.038689092337549</v>
      </c>
    </row>
    <row r="463" spans="21:48" x14ac:dyDescent="0.25">
      <c r="U463" t="s">
        <v>483</v>
      </c>
    </row>
    <row r="464" spans="21:48" x14ac:dyDescent="0.25">
      <c r="U464" t="s">
        <v>484</v>
      </c>
      <c r="X464">
        <v>65.099999999999994</v>
      </c>
      <c r="Y464">
        <v>15</v>
      </c>
      <c r="Z464">
        <v>190</v>
      </c>
      <c r="AC464">
        <f>Z464*(Y464/1000)</f>
        <v>2.85</v>
      </c>
      <c r="AD464">
        <f>(Y464/1000)/($AI$1/$AI$2)</f>
        <v>4.4903125000000012E-3</v>
      </c>
      <c r="AE464">
        <f>AC464/((Y464/1000)-AD464)</f>
        <v>271.17837709256344</v>
      </c>
      <c r="AF464">
        <f>AC464/((Y464/1000)+AD464)</f>
        <v>146.22649072455866</v>
      </c>
      <c r="AG464">
        <f t="shared" ref="AG464:AH467" si="92">AE464-$Z464</f>
        <v>81.178377092563437</v>
      </c>
      <c r="AH464">
        <f t="shared" si="92"/>
        <v>-43.773509275441342</v>
      </c>
      <c r="AI464">
        <f t="shared" ref="AI464:AJ467" si="93">((AE464/$Z464)*100)-100</f>
        <v>42.72546162766497</v>
      </c>
      <c r="AJ464">
        <f t="shared" si="93"/>
        <v>-23.038689092337549</v>
      </c>
      <c r="AK464">
        <f>Z464-Z465</f>
        <v>1</v>
      </c>
      <c r="AL464">
        <f t="shared" ref="AL464:AM466" si="94">AE464-AE465</f>
        <v>1.4272546162766275</v>
      </c>
      <c r="AM464">
        <f t="shared" si="94"/>
        <v>0.76961310907663005</v>
      </c>
      <c r="AN464">
        <f>AF464-AE465</f>
        <v>-123.52463175172815</v>
      </c>
      <c r="AO464">
        <f>AE464-AF465</f>
        <v>125.72149947708141</v>
      </c>
      <c r="AP464">
        <f t="shared" ref="AP464:AQ466" si="95">((AL464/$AK464)*100)-100</f>
        <v>42.725461627662753</v>
      </c>
      <c r="AQ464">
        <f t="shared" si="95"/>
        <v>-23.038689092336995</v>
      </c>
    </row>
    <row r="465" spans="21:53" x14ac:dyDescent="0.25">
      <c r="U465" t="s">
        <v>485</v>
      </c>
      <c r="X465">
        <v>60.9</v>
      </c>
      <c r="Y465">
        <v>15</v>
      </c>
      <c r="Z465">
        <v>189</v>
      </c>
      <c r="AC465">
        <f>Z465*(Y465/1000)</f>
        <v>2.835</v>
      </c>
      <c r="AD465">
        <f>(Y465/1000)/($AI$1/$AI$2)</f>
        <v>4.4903125000000012E-3</v>
      </c>
      <c r="AE465">
        <f>AC465/((Y465/1000)-AD465)</f>
        <v>269.75112247628681</v>
      </c>
      <c r="AF465">
        <f>AC465/((Y465/1000)+AD465)</f>
        <v>145.45687761548203</v>
      </c>
      <c r="AG465">
        <f t="shared" si="92"/>
        <v>80.75112247628681</v>
      </c>
      <c r="AH465">
        <f t="shared" si="92"/>
        <v>-43.543122384517972</v>
      </c>
      <c r="AI465">
        <f t="shared" si="93"/>
        <v>42.72546162766497</v>
      </c>
      <c r="AJ465">
        <f t="shared" si="93"/>
        <v>-23.038689092337549</v>
      </c>
      <c r="AK465">
        <f>Z465-Z466</f>
        <v>38</v>
      </c>
      <c r="AL465">
        <f t="shared" si="94"/>
        <v>54.23567541851267</v>
      </c>
      <c r="AM465">
        <f t="shared" si="94"/>
        <v>29.245298144911715</v>
      </c>
      <c r="AN465">
        <f>AF465-AE466</f>
        <v>-70.058569442292111</v>
      </c>
      <c r="AO465">
        <f>AE465-AF466</f>
        <v>153.5395430057165</v>
      </c>
      <c r="AP465">
        <f t="shared" si="95"/>
        <v>42.725461627664941</v>
      </c>
      <c r="AQ465">
        <f t="shared" si="95"/>
        <v>-23.038689092337592</v>
      </c>
    </row>
    <row r="466" spans="21:53" x14ac:dyDescent="0.25">
      <c r="U466" t="s">
        <v>531</v>
      </c>
      <c r="X466">
        <v>36.9</v>
      </c>
      <c r="Y466">
        <v>15</v>
      </c>
      <c r="Z466">
        <v>151</v>
      </c>
      <c r="AC466">
        <f>Z466*(Y466/1000)</f>
        <v>2.2650000000000001</v>
      </c>
      <c r="AD466">
        <f>(Y466/1000)/($AI$1/$AI$2)</f>
        <v>4.4903125000000012E-3</v>
      </c>
      <c r="AE466">
        <f>AC466/((Y466/1000)-AD466)</f>
        <v>215.51544705777414</v>
      </c>
      <c r="AF466">
        <f>AC466/((Y466/1000)+AD466)</f>
        <v>116.21157947057031</v>
      </c>
      <c r="AG466">
        <f t="shared" si="92"/>
        <v>64.515447057774139</v>
      </c>
      <c r="AH466">
        <f t="shared" si="92"/>
        <v>-34.788420529429686</v>
      </c>
      <c r="AI466">
        <f t="shared" si="93"/>
        <v>42.725461627664998</v>
      </c>
      <c r="AJ466">
        <f t="shared" si="93"/>
        <v>-23.038689092337535</v>
      </c>
      <c r="AK466">
        <f>Z466-Z467</f>
        <v>59</v>
      </c>
      <c r="AL466">
        <f t="shared" si="94"/>
        <v>84.20802236032236</v>
      </c>
      <c r="AM466">
        <f t="shared" si="94"/>
        <v>45.40717343552086</v>
      </c>
      <c r="AN466">
        <f>AF466-AE467</f>
        <v>-15.095845226881465</v>
      </c>
      <c r="AO466">
        <f>AE466-AF467</f>
        <v>144.71104102272469</v>
      </c>
      <c r="AP466">
        <f t="shared" si="95"/>
        <v>42.725461627665027</v>
      </c>
      <c r="AQ466">
        <f t="shared" si="95"/>
        <v>-23.038689092337535</v>
      </c>
    </row>
    <row r="467" spans="21:53" x14ac:dyDescent="0.25">
      <c r="U467" t="s">
        <v>532</v>
      </c>
      <c r="X467">
        <v>18.600000000000001</v>
      </c>
      <c r="Y467">
        <v>15</v>
      </c>
      <c r="Z467">
        <v>92</v>
      </c>
      <c r="AC467">
        <f>Z467*(Y467/1000)</f>
        <v>1.38</v>
      </c>
      <c r="AD467">
        <f>(Y467/1000)/($AI$1/$AI$2)</f>
        <v>4.4903125000000012E-3</v>
      </c>
      <c r="AE467">
        <f>AC467/((Y467/1000)-AD467)</f>
        <v>131.30742469745178</v>
      </c>
      <c r="AF467">
        <f>AC467/((Y467/1000)+AD467)</f>
        <v>70.804406035049453</v>
      </c>
      <c r="AG467">
        <f t="shared" si="92"/>
        <v>39.307424697451779</v>
      </c>
      <c r="AH467">
        <f t="shared" si="92"/>
        <v>-21.195593964950547</v>
      </c>
      <c r="AI467">
        <f t="shared" si="93"/>
        <v>42.72546162766497</v>
      </c>
      <c r="AJ467">
        <f t="shared" si="93"/>
        <v>-23.038689092337549</v>
      </c>
    </row>
    <row r="468" spans="21:53" x14ac:dyDescent="0.25">
      <c r="U468" t="s">
        <v>538</v>
      </c>
      <c r="AT468" t="s">
        <v>559</v>
      </c>
    </row>
    <row r="469" spans="21:53" x14ac:dyDescent="0.25">
      <c r="U469" s="55" t="s">
        <v>557</v>
      </c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t="s">
        <v>560</v>
      </c>
    </row>
    <row r="470" spans="21:53" x14ac:dyDescent="0.25">
      <c r="U470" t="s">
        <v>475</v>
      </c>
      <c r="AS470" t="s">
        <v>561</v>
      </c>
      <c r="AT470">
        <f>AVERAGE(Z446,Z452,Z458,Z464)</f>
        <v>189</v>
      </c>
      <c r="AU470">
        <f t="shared" ref="AU470:AV474" si="96">AVERAGE(AE446,AE452,AE458,AE464)</f>
        <v>269.75112247628681</v>
      </c>
      <c r="AV470">
        <f t="shared" si="96"/>
        <v>145.45687761548203</v>
      </c>
      <c r="AW470" s="100">
        <f>AVERAGE(AK446,AK458,AK464)</f>
        <v>10</v>
      </c>
      <c r="AX470" s="100">
        <f>AVERAGE(AL446,AL464)</f>
        <v>12.845291546489833</v>
      </c>
      <c r="AY470" s="100">
        <f>AVERAGE(AM446,AM464)</f>
        <v>6.9265179816896136</v>
      </c>
      <c r="AZ470" s="100">
        <f>AVERAGE(AN446,AN464)</f>
        <v>-111.77777406791495</v>
      </c>
      <c r="BA470" s="100">
        <f>AVERAGE(AO446,AO464)</f>
        <v>131.54958359609441</v>
      </c>
    </row>
    <row r="471" spans="21:53" x14ac:dyDescent="0.25">
      <c r="U471" t="s">
        <v>476</v>
      </c>
      <c r="AS471" t="s">
        <v>562</v>
      </c>
      <c r="AT471">
        <f>AVERAGE(Z447,Z453,Z459,Z465)</f>
        <v>181.75</v>
      </c>
      <c r="AU471">
        <f t="shared" si="96"/>
        <v>259.40352650828112</v>
      </c>
      <c r="AV471">
        <f t="shared" si="96"/>
        <v>139.87718257467651</v>
      </c>
      <c r="AW471">
        <f t="shared" ref="AW471:BA473" si="97">AVERAGE(AK447,AK453,AK459,AK465)</f>
        <v>43.25</v>
      </c>
      <c r="AX471">
        <f t="shared" si="97"/>
        <v>61.728762153965107</v>
      </c>
      <c r="AY471">
        <f t="shared" si="97"/>
        <v>33.285766967564008</v>
      </c>
      <c r="AZ471">
        <f t="shared" si="97"/>
        <v>-57.797581779639486</v>
      </c>
      <c r="BA471">
        <f t="shared" si="97"/>
        <v>152.81211090116861</v>
      </c>
    </row>
    <row r="472" spans="21:53" x14ac:dyDescent="0.25">
      <c r="U472" t="s">
        <v>477</v>
      </c>
      <c r="X472">
        <v>53</v>
      </c>
      <c r="Y472">
        <v>15</v>
      </c>
      <c r="Z472">
        <v>182</v>
      </c>
      <c r="AC472">
        <f>Z472*(Y472/1000)</f>
        <v>2.73</v>
      </c>
      <c r="AD472">
        <f>(Y472/1000)/($AI$1/$AI$2)</f>
        <v>4.4903125000000012E-3</v>
      </c>
      <c r="AE472">
        <f>AC472/((Y472/1000)-AD472)</f>
        <v>259.76034016235025</v>
      </c>
      <c r="AF472">
        <f>AC472/((Y472/1000)+AD472)</f>
        <v>140.06958585194565</v>
      </c>
      <c r="AG472">
        <f t="shared" ref="AG472:AH474" si="98">AE472-$Z472</f>
        <v>77.760340162350246</v>
      </c>
      <c r="AH472">
        <f t="shared" si="98"/>
        <v>-41.930414148054354</v>
      </c>
      <c r="AI472">
        <f t="shared" ref="AI472:AJ474" si="99">((AE472/$Z472)*100)-100</f>
        <v>42.72546162766497</v>
      </c>
      <c r="AJ472">
        <f t="shared" si="99"/>
        <v>-23.038689092337563</v>
      </c>
      <c r="AK472">
        <f>Z472-Z473</f>
        <v>25</v>
      </c>
      <c r="AL472">
        <f>AE472-AE473</f>
        <v>35.681365406916228</v>
      </c>
      <c r="AM472">
        <f>AF472-AF473</f>
        <v>19.240327726915595</v>
      </c>
      <c r="AN472">
        <f>AF472-AE473</f>
        <v>-84.009388903488372</v>
      </c>
      <c r="AO472">
        <f>AE472-AF473</f>
        <v>138.93108203732021</v>
      </c>
      <c r="AP472">
        <f>((AL472/$AK472)*100)-100</f>
        <v>42.725461627664913</v>
      </c>
      <c r="AQ472">
        <f>((AM472/$AK472)*100)-100</f>
        <v>-23.03868909233762</v>
      </c>
      <c r="AS472" t="s">
        <v>563</v>
      </c>
      <c r="AT472">
        <f>AVERAGE(Z448,Z454,Z460,Z466)</f>
        <v>138.5</v>
      </c>
      <c r="AU472">
        <f t="shared" si="96"/>
        <v>197.67476435431601</v>
      </c>
      <c r="AV472">
        <f t="shared" si="96"/>
        <v>106.59141560711249</v>
      </c>
      <c r="AW472">
        <f t="shared" si="97"/>
        <v>58.25</v>
      </c>
      <c r="AX472">
        <f t="shared" si="97"/>
        <v>83.137581398114847</v>
      </c>
      <c r="AY472">
        <f t="shared" si="97"/>
        <v>44.829963603713381</v>
      </c>
      <c r="AZ472">
        <f t="shared" si="97"/>
        <v>-7.9457673490886478</v>
      </c>
      <c r="BA472">
        <f t="shared" si="97"/>
        <v>135.91331235091687</v>
      </c>
    </row>
    <row r="473" spans="21:53" x14ac:dyDescent="0.25">
      <c r="U473" t="s">
        <v>499</v>
      </c>
      <c r="X473">
        <v>39</v>
      </c>
      <c r="Y473">
        <v>15</v>
      </c>
      <c r="Z473">
        <v>157</v>
      </c>
      <c r="AC473">
        <f>Z473*(Y473/1000)</f>
        <v>2.355</v>
      </c>
      <c r="AD473">
        <f>(Y473/1000)/($AI$1/$AI$2)</f>
        <v>4.4903125000000012E-3</v>
      </c>
      <c r="AE473">
        <f>AC473/((Y473/1000)-AD473)</f>
        <v>224.07897475543402</v>
      </c>
      <c r="AF473">
        <f>AC473/((Y473/1000)+AD473)</f>
        <v>120.82925812503005</v>
      </c>
      <c r="AG473">
        <f t="shared" si="98"/>
        <v>67.078974755434018</v>
      </c>
      <c r="AH473">
        <f t="shared" si="98"/>
        <v>-36.170741874969949</v>
      </c>
      <c r="AI473">
        <f t="shared" si="99"/>
        <v>42.72546162766497</v>
      </c>
      <c r="AJ473">
        <f t="shared" si="99"/>
        <v>-23.038689092337549</v>
      </c>
      <c r="AK473">
        <f>Z473-Z474</f>
        <v>79</v>
      </c>
      <c r="AL473">
        <f>AE473-AE474</f>
        <v>112.75311468585534</v>
      </c>
      <c r="AM473">
        <f>AF473-AF474</f>
        <v>60.799435617053341</v>
      </c>
      <c r="AN473">
        <f>AF473-AE474</f>
        <v>9.5033980554513704</v>
      </c>
      <c r="AO473">
        <f>AE473-AF474</f>
        <v>164.0491522474573</v>
      </c>
      <c r="AP473">
        <f>((AL473/$AK473)*100)-100</f>
        <v>42.72546162766497</v>
      </c>
      <c r="AQ473">
        <f>((AM473/$AK473)*100)-100</f>
        <v>-23.038689092337535</v>
      </c>
      <c r="AS473" t="s">
        <v>564</v>
      </c>
      <c r="AT473">
        <f>AVERAGE(Z449,Z455,Z461,Z467)</f>
        <v>80.25</v>
      </c>
      <c r="AU473">
        <f t="shared" si="96"/>
        <v>114.53718295620115</v>
      </c>
      <c r="AV473">
        <f t="shared" si="96"/>
        <v>61.761452003399114</v>
      </c>
      <c r="AW473">
        <f t="shared" si="97"/>
        <v>56.5</v>
      </c>
      <c r="AX473">
        <f t="shared" si="97"/>
        <v>80.639885819630706</v>
      </c>
      <c r="AY473">
        <f t="shared" si="97"/>
        <v>43.483140662829278</v>
      </c>
      <c r="AZ473">
        <f t="shared" si="97"/>
        <v>28.3573859972287</v>
      </c>
      <c r="BA473">
        <f t="shared" si="97"/>
        <v>95.765640485231287</v>
      </c>
    </row>
    <row r="474" spans="21:53" x14ac:dyDescent="0.25">
      <c r="U474" t="s">
        <v>527</v>
      </c>
      <c r="X474">
        <v>15</v>
      </c>
      <c r="Y474">
        <v>15</v>
      </c>
      <c r="Z474">
        <v>78</v>
      </c>
      <c r="AC474">
        <f>Z474*(Y474/1000)</f>
        <v>1.17</v>
      </c>
      <c r="AD474">
        <f>(Y474/1000)/($AI$1/$AI$2)</f>
        <v>4.4903125000000012E-3</v>
      </c>
      <c r="AE474">
        <f>AC474/((Y474/1000)-AD474)</f>
        <v>111.32586006957868</v>
      </c>
      <c r="AF474">
        <f>AC474/((Y474/1000)+AD474)</f>
        <v>60.029822507976711</v>
      </c>
      <c r="AG474">
        <f t="shared" si="98"/>
        <v>33.325860069578681</v>
      </c>
      <c r="AH474">
        <f t="shared" si="98"/>
        <v>-17.970177492023289</v>
      </c>
      <c r="AI474">
        <f t="shared" si="99"/>
        <v>42.72546162766497</v>
      </c>
      <c r="AJ474">
        <f t="shared" si="99"/>
        <v>-23.038689092337549</v>
      </c>
      <c r="AS474" t="s">
        <v>565</v>
      </c>
      <c r="AT474">
        <f>AVERAGE(Z450,Z456,Z462,Z468)</f>
        <v>23</v>
      </c>
      <c r="AU474">
        <f t="shared" si="96"/>
        <v>32.826856174362945</v>
      </c>
      <c r="AV474">
        <f t="shared" si="96"/>
        <v>17.701101508762363</v>
      </c>
    </row>
    <row r="475" spans="21:53" x14ac:dyDescent="0.25">
      <c r="U475" t="s">
        <v>478</v>
      </c>
    </row>
    <row r="476" spans="21:53" x14ac:dyDescent="0.25">
      <c r="U476" t="s">
        <v>479</v>
      </c>
      <c r="X476">
        <v>58</v>
      </c>
      <c r="Y476">
        <v>15</v>
      </c>
      <c r="Z476">
        <v>187</v>
      </c>
      <c r="AC476">
        <f>Z476*(Y476/1000)</f>
        <v>2.8049999999999997</v>
      </c>
      <c r="AD476">
        <f>(Y476/1000)/($AI$1/$AI$2)</f>
        <v>4.4903125000000012E-3</v>
      </c>
      <c r="AE476">
        <f>AC476/((Y476/1000)-AD476)</f>
        <v>266.8966132437335</v>
      </c>
      <c r="AF476">
        <f>AC476/((Y476/1000)+AD476)</f>
        <v>143.91765139732877</v>
      </c>
      <c r="AG476">
        <f t="shared" ref="AG476:AH479" si="100">AE476-$Z476</f>
        <v>79.896613243733498</v>
      </c>
      <c r="AH476">
        <f t="shared" si="100"/>
        <v>-43.082348602671232</v>
      </c>
      <c r="AI476">
        <f t="shared" ref="AI476:AJ479" si="101">((AE476/$Z476)*100)-100</f>
        <v>42.72546162766497</v>
      </c>
      <c r="AJ476">
        <f t="shared" si="101"/>
        <v>-23.038689092337563</v>
      </c>
      <c r="AK476">
        <f>Z476-Z477</f>
        <v>19</v>
      </c>
      <c r="AL476">
        <f t="shared" ref="AL476:AM478" si="102">AE476-AE477</f>
        <v>27.117837709256349</v>
      </c>
      <c r="AM476">
        <f t="shared" si="102"/>
        <v>14.622649072455857</v>
      </c>
      <c r="AN476">
        <f>AF476-AE477</f>
        <v>-95.86112413714838</v>
      </c>
      <c r="AO476">
        <f>AE476-AF477</f>
        <v>137.60161091886059</v>
      </c>
      <c r="AP476">
        <f t="shared" ref="AP476:AQ478" si="103">((AL476/$AK476)*100)-100</f>
        <v>42.725461627664998</v>
      </c>
      <c r="AQ476">
        <f t="shared" si="103"/>
        <v>-23.038689092337592</v>
      </c>
    </row>
    <row r="477" spans="21:53" x14ac:dyDescent="0.25">
      <c r="U477" t="s">
        <v>480</v>
      </c>
      <c r="X477">
        <v>44.5</v>
      </c>
      <c r="Y477">
        <v>15</v>
      </c>
      <c r="Z477">
        <v>168</v>
      </c>
      <c r="AC477">
        <f>Z477*(Y477/1000)</f>
        <v>2.52</v>
      </c>
      <c r="AD477">
        <f>(Y477/1000)/($AI$1/$AI$2)</f>
        <v>4.4903125000000012E-3</v>
      </c>
      <c r="AE477">
        <f>AC477/((Y477/1000)-AD477)</f>
        <v>239.77877553447715</v>
      </c>
      <c r="AF477">
        <f>AC477/((Y477/1000)+AD477)</f>
        <v>129.29500232487291</v>
      </c>
      <c r="AG477">
        <f t="shared" si="100"/>
        <v>71.778775534477148</v>
      </c>
      <c r="AH477">
        <f t="shared" si="100"/>
        <v>-38.704997675127089</v>
      </c>
      <c r="AI477">
        <f t="shared" si="101"/>
        <v>42.72546162766497</v>
      </c>
      <c r="AJ477">
        <f t="shared" si="101"/>
        <v>-23.038689092337549</v>
      </c>
      <c r="AK477">
        <f>Z477-Z478</f>
        <v>74</v>
      </c>
      <c r="AL477">
        <f t="shared" si="102"/>
        <v>105.61684160447209</v>
      </c>
      <c r="AM477">
        <f t="shared" si="102"/>
        <v>56.951370071670212</v>
      </c>
      <c r="AN477">
        <f>AF477-AE478</f>
        <v>-4.8669316051321516</v>
      </c>
      <c r="AO477">
        <f>AE477-AF478</f>
        <v>167.43514328127446</v>
      </c>
      <c r="AP477">
        <f t="shared" si="103"/>
        <v>42.72546162766497</v>
      </c>
      <c r="AQ477">
        <f t="shared" si="103"/>
        <v>-23.038689092337549</v>
      </c>
    </row>
    <row r="478" spans="21:53" x14ac:dyDescent="0.25">
      <c r="U478" t="s">
        <v>501</v>
      </c>
      <c r="X478">
        <v>19</v>
      </c>
      <c r="Y478">
        <v>15</v>
      </c>
      <c r="Z478">
        <v>94</v>
      </c>
      <c r="AC478">
        <f>Z478*(Y478/1000)</f>
        <v>1.41</v>
      </c>
      <c r="AD478">
        <f>(Y478/1000)/($AI$1/$AI$2)</f>
        <v>4.4903125000000012E-3</v>
      </c>
      <c r="AE478">
        <f>AC478/((Y478/1000)-AD478)</f>
        <v>134.16193393000506</v>
      </c>
      <c r="AF478">
        <f>AC478/((Y478/1000)+AD478)</f>
        <v>72.343632253202699</v>
      </c>
      <c r="AG478">
        <f t="shared" si="100"/>
        <v>40.161933930005063</v>
      </c>
      <c r="AH478">
        <f t="shared" si="100"/>
        <v>-21.656367746797301</v>
      </c>
      <c r="AI478">
        <f t="shared" si="101"/>
        <v>42.725461627664941</v>
      </c>
      <c r="AJ478">
        <f t="shared" si="101"/>
        <v>-23.038689092337549</v>
      </c>
      <c r="AK478">
        <f>Z478-Z479</f>
        <v>45</v>
      </c>
      <c r="AL478">
        <f t="shared" si="102"/>
        <v>64.226457732449219</v>
      </c>
      <c r="AM478">
        <f t="shared" si="102"/>
        <v>34.632589908448097</v>
      </c>
      <c r="AN478">
        <f>AF478-AE479</f>
        <v>2.408156055646856</v>
      </c>
      <c r="AO478">
        <f>AE478-AF479</f>
        <v>96.45089158525046</v>
      </c>
      <c r="AP478">
        <f t="shared" si="103"/>
        <v>42.725461627664941</v>
      </c>
      <c r="AQ478">
        <f t="shared" si="103"/>
        <v>-23.038689092337563</v>
      </c>
    </row>
    <row r="479" spans="21:53" x14ac:dyDescent="0.25">
      <c r="U479" t="s">
        <v>528</v>
      </c>
      <c r="X479">
        <v>8.5</v>
      </c>
      <c r="Y479">
        <v>15</v>
      </c>
      <c r="Z479">
        <v>49</v>
      </c>
      <c r="AC479">
        <f>Z479*(Y479/1000)</f>
        <v>0.73499999999999999</v>
      </c>
      <c r="AD479">
        <f>(Y479/1000)/($AI$1/$AI$2)</f>
        <v>4.4903125000000012E-3</v>
      </c>
      <c r="AE479">
        <f>AC479/((Y479/1000)-AD479)</f>
        <v>69.935476197555843</v>
      </c>
      <c r="AF479">
        <f>AC479/((Y479/1000)+AD479)</f>
        <v>37.711042344754603</v>
      </c>
      <c r="AG479">
        <f t="shared" si="100"/>
        <v>20.935476197555843</v>
      </c>
      <c r="AH479">
        <f t="shared" si="100"/>
        <v>-11.288957655245397</v>
      </c>
      <c r="AI479">
        <f t="shared" si="101"/>
        <v>42.725461627664998</v>
      </c>
      <c r="AJ479">
        <f t="shared" si="101"/>
        <v>-23.038689092337549</v>
      </c>
    </row>
    <row r="480" spans="21:53" x14ac:dyDescent="0.25">
      <c r="U480" t="s">
        <v>481</v>
      </c>
    </row>
    <row r="481" spans="21:46" x14ac:dyDescent="0.25">
      <c r="U481" t="s">
        <v>482</v>
      </c>
      <c r="X481">
        <v>50</v>
      </c>
      <c r="Y481">
        <v>15</v>
      </c>
      <c r="Z481">
        <v>178</v>
      </c>
      <c r="AC481">
        <f>Z481*(Y481/1000)</f>
        <v>2.67</v>
      </c>
      <c r="AD481">
        <f>(Y481/1000)/($AI$1/$AI$2)</f>
        <v>4.4903125000000012E-3</v>
      </c>
      <c r="AE481">
        <f>AC481/((Y481/1000)-AD481)</f>
        <v>254.05132169724365</v>
      </c>
      <c r="AF481">
        <f>AC481/((Y481/1000)+AD481)</f>
        <v>136.99113341563915</v>
      </c>
      <c r="AG481">
        <f t="shared" ref="AG481:AH484" si="104">AE481-$Z481</f>
        <v>76.051321697243651</v>
      </c>
      <c r="AH481">
        <f t="shared" si="104"/>
        <v>-41.008866584360845</v>
      </c>
      <c r="AI481">
        <f t="shared" ref="AI481:AJ484" si="105">((AE481/$Z481)*100)-100</f>
        <v>42.72546162766497</v>
      </c>
      <c r="AJ481">
        <f t="shared" si="105"/>
        <v>-23.038689092337549</v>
      </c>
      <c r="AK481">
        <f>Z481-Z482</f>
        <v>17</v>
      </c>
      <c r="AL481">
        <f t="shared" ref="AL481:AM483" si="106">AE481-AE482</f>
        <v>24.263328476703037</v>
      </c>
      <c r="AM481">
        <f t="shared" si="106"/>
        <v>13.083422854302611</v>
      </c>
      <c r="AN481">
        <f>AF481-AE482</f>
        <v>-92.796859804901459</v>
      </c>
      <c r="AO481">
        <f>AE481-AF482</f>
        <v>130.14361113590712</v>
      </c>
      <c r="AP481">
        <f t="shared" ref="AP481:AQ483" si="107">((AL481/$AK481)*100)-100</f>
        <v>42.725461627664941</v>
      </c>
      <c r="AQ481">
        <f t="shared" si="107"/>
        <v>-23.038689092337577</v>
      </c>
    </row>
    <row r="482" spans="21:46" x14ac:dyDescent="0.25">
      <c r="U482" t="s">
        <v>500</v>
      </c>
      <c r="X482">
        <v>41</v>
      </c>
      <c r="Y482">
        <v>15</v>
      </c>
      <c r="Z482">
        <v>161</v>
      </c>
      <c r="AC482">
        <f>Z482*(Y482/1000)</f>
        <v>2.415</v>
      </c>
      <c r="AD482">
        <f>(Y482/1000)/($AI$1/$AI$2)</f>
        <v>4.4903125000000012E-3</v>
      </c>
      <c r="AE482">
        <f>AC482/((Y482/1000)-AD482)</f>
        <v>229.78799322054061</v>
      </c>
      <c r="AF482">
        <f>AC482/((Y482/1000)+AD482)</f>
        <v>123.90771056133654</v>
      </c>
      <c r="AG482">
        <f t="shared" si="104"/>
        <v>68.787993220540613</v>
      </c>
      <c r="AH482">
        <f t="shared" si="104"/>
        <v>-37.092289438663457</v>
      </c>
      <c r="AI482">
        <f t="shared" si="105"/>
        <v>42.72546162766497</v>
      </c>
      <c r="AJ482">
        <f t="shared" si="105"/>
        <v>-23.038689092337549</v>
      </c>
      <c r="AK482">
        <f>Z482-Z483</f>
        <v>81</v>
      </c>
      <c r="AL482">
        <f t="shared" si="106"/>
        <v>115.60762391840863</v>
      </c>
      <c r="AM482">
        <f t="shared" si="106"/>
        <v>62.338661835206587</v>
      </c>
      <c r="AN482">
        <f>AF482-AE483</f>
        <v>9.7273412592045645</v>
      </c>
      <c r="AO482">
        <f>AE482-AF483</f>
        <v>168.21894449441066</v>
      </c>
      <c r="AP482">
        <f t="shared" si="107"/>
        <v>42.72546162766497</v>
      </c>
      <c r="AQ482">
        <f t="shared" si="107"/>
        <v>-23.038689092337549</v>
      </c>
    </row>
    <row r="483" spans="21:46" x14ac:dyDescent="0.25">
      <c r="U483" t="s">
        <v>529</v>
      </c>
      <c r="X483">
        <v>15.5</v>
      </c>
      <c r="Y483">
        <v>15</v>
      </c>
      <c r="Z483">
        <v>80</v>
      </c>
      <c r="AC483">
        <f>Z483*(Y483/1000)</f>
        <v>1.2</v>
      </c>
      <c r="AD483">
        <f>(Y483/1000)/($AI$1/$AI$2)</f>
        <v>4.4903125000000012E-3</v>
      </c>
      <c r="AE483">
        <f>AC483/((Y483/1000)-AD483)</f>
        <v>114.18036930213198</v>
      </c>
      <c r="AF483">
        <f>AC483/((Y483/1000)+AD483)</f>
        <v>61.569048726129957</v>
      </c>
      <c r="AG483">
        <f t="shared" si="104"/>
        <v>34.180369302131979</v>
      </c>
      <c r="AH483">
        <f t="shared" si="104"/>
        <v>-18.430951273870043</v>
      </c>
      <c r="AI483">
        <f t="shared" si="105"/>
        <v>42.72546162766497</v>
      </c>
      <c r="AJ483">
        <f t="shared" si="105"/>
        <v>-23.038689092337549</v>
      </c>
      <c r="AK483">
        <f>Z483-Z484</f>
        <v>59</v>
      </c>
      <c r="AL483">
        <f t="shared" si="106"/>
        <v>84.208022360322332</v>
      </c>
      <c r="AM483">
        <f t="shared" si="106"/>
        <v>45.407173435520846</v>
      </c>
      <c r="AN483">
        <f>AF483-AE484</f>
        <v>31.596701784320313</v>
      </c>
      <c r="AO483">
        <f>AE483-AF484</f>
        <v>98.018494011522861</v>
      </c>
      <c r="AP483">
        <f t="shared" si="107"/>
        <v>42.72546162766497</v>
      </c>
      <c r="AQ483">
        <f t="shared" si="107"/>
        <v>-23.038689092337549</v>
      </c>
    </row>
    <row r="484" spans="21:46" x14ac:dyDescent="0.25">
      <c r="U484" t="s">
        <v>530</v>
      </c>
      <c r="X484">
        <v>3</v>
      </c>
      <c r="Y484">
        <v>15</v>
      </c>
      <c r="Z484">
        <v>21</v>
      </c>
      <c r="AC484">
        <f>Z484*(Y484/1000)</f>
        <v>0.315</v>
      </c>
      <c r="AD484">
        <f>(Y484/1000)/($AI$1/$AI$2)</f>
        <v>4.4903125000000012E-3</v>
      </c>
      <c r="AE484">
        <f>AC484/((Y484/1000)-AD484)</f>
        <v>29.972346941809644</v>
      </c>
      <c r="AF484">
        <f>AC484/((Y484/1000)+AD484)</f>
        <v>16.161875290609114</v>
      </c>
      <c r="AG484">
        <f t="shared" si="104"/>
        <v>8.9723469418096435</v>
      </c>
      <c r="AH484">
        <f t="shared" si="104"/>
        <v>-4.8381247093908861</v>
      </c>
      <c r="AI484">
        <f t="shared" si="105"/>
        <v>42.72546162766497</v>
      </c>
      <c r="AJ484">
        <f t="shared" si="105"/>
        <v>-23.038689092337549</v>
      </c>
    </row>
    <row r="485" spans="21:46" x14ac:dyDescent="0.25">
      <c r="U485" t="s">
        <v>483</v>
      </c>
    </row>
    <row r="486" spans="21:46" x14ac:dyDescent="0.25">
      <c r="U486" t="s">
        <v>484</v>
      </c>
      <c r="X486">
        <v>55</v>
      </c>
      <c r="Y486">
        <v>15</v>
      </c>
      <c r="Z486">
        <v>184</v>
      </c>
      <c r="AC486">
        <f>Z486*(Y486/1000)</f>
        <v>2.76</v>
      </c>
      <c r="AD486">
        <f>(Y486/1000)/($AI$1/$AI$2)</f>
        <v>4.4903125000000012E-3</v>
      </c>
      <c r="AE486">
        <f>AC486/((Y486/1000)-AD486)</f>
        <v>262.61484939490356</v>
      </c>
      <c r="AF486">
        <f>AC486/((Y486/1000)+AD486)</f>
        <v>141.60881207009891</v>
      </c>
      <c r="AG486">
        <f>AE486-$Z486</f>
        <v>78.614849394903558</v>
      </c>
      <c r="AH486">
        <f>AF486-$Z486</f>
        <v>-42.391187929901093</v>
      </c>
      <c r="AI486">
        <f>((AE486/$Z486)*100)-100</f>
        <v>42.72546162766497</v>
      </c>
      <c r="AJ486">
        <f>((AF486/$Z486)*100)-100</f>
        <v>-23.038689092337549</v>
      </c>
      <c r="AK486">
        <f>Z486-Z487</f>
        <v>70</v>
      </c>
      <c r="AL486">
        <f>AE486-AE487</f>
        <v>99.90782313936549</v>
      </c>
      <c r="AM486">
        <f>AF486-AF487</f>
        <v>53.87291763536372</v>
      </c>
      <c r="AN486">
        <f>AF486-AE487</f>
        <v>-21.098214185439161</v>
      </c>
      <c r="AO486">
        <f>AE486-AF487</f>
        <v>174.87895496016836</v>
      </c>
      <c r="AP486">
        <f>((AL486/$AK486)*100)-100</f>
        <v>42.725461627664998</v>
      </c>
      <c r="AQ486">
        <f>((AM486/$AK486)*100)-100</f>
        <v>-23.038689092337535</v>
      </c>
    </row>
    <row r="487" spans="21:46" x14ac:dyDescent="0.25">
      <c r="U487" t="s">
        <v>485</v>
      </c>
      <c r="X487">
        <v>24.5</v>
      </c>
      <c r="Y487">
        <v>15</v>
      </c>
      <c r="Z487">
        <v>114</v>
      </c>
      <c r="AC487">
        <f>Z487*(Y487/1000)</f>
        <v>1.71</v>
      </c>
      <c r="AD487">
        <f>(Y487/1000)/($AI$1/$AI$2)</f>
        <v>4.4903125000000012E-3</v>
      </c>
      <c r="AE487">
        <f>AC487/((Y487/1000)-AD487)</f>
        <v>162.70702625553807</v>
      </c>
      <c r="AF487">
        <f>AC487/((Y487/1000)+AD487)</f>
        <v>87.735894434735187</v>
      </c>
      <c r="AG487">
        <f>AE487-$Z487</f>
        <v>48.707026255538068</v>
      </c>
      <c r="AH487">
        <f>AF487-$Z487</f>
        <v>-26.264105565264813</v>
      </c>
      <c r="AI487">
        <f>((AE487/$Z487)*100)-100</f>
        <v>42.72546162766497</v>
      </c>
      <c r="AJ487">
        <f>((AF487/$Z487)*100)-100</f>
        <v>-23.038689092337563</v>
      </c>
    </row>
    <row r="488" spans="21:46" x14ac:dyDescent="0.25">
      <c r="U488" t="s">
        <v>531</v>
      </c>
    </row>
    <row r="489" spans="21:46" x14ac:dyDescent="0.25">
      <c r="U489" t="s">
        <v>532</v>
      </c>
      <c r="X489">
        <v>5.5</v>
      </c>
      <c r="Y489">
        <v>15</v>
      </c>
      <c r="Z489">
        <v>34</v>
      </c>
      <c r="AC489">
        <f>Z489*(Y489/1000)</f>
        <v>0.51</v>
      </c>
      <c r="AD489">
        <f>(Y489/1000)/($AI$1/$AI$2)</f>
        <v>4.4903125000000012E-3</v>
      </c>
      <c r="AE489">
        <f>AC489/((Y489/1000)-AD489)</f>
        <v>48.526656953406096</v>
      </c>
      <c r="AF489">
        <f>AC489/((Y489/1000)+AD489)</f>
        <v>26.166845708605234</v>
      </c>
      <c r="AG489">
        <f>AE489-$Z489</f>
        <v>14.526656953406096</v>
      </c>
      <c r="AH489">
        <f>AF489-$Z489</f>
        <v>-7.8331542913947665</v>
      </c>
      <c r="AI489">
        <f>((AE489/$Z489)*100)-100</f>
        <v>42.725461627664998</v>
      </c>
      <c r="AJ489">
        <f>((AF489/$Z489)*100)-100</f>
        <v>-23.038689092337549</v>
      </c>
    </row>
    <row r="490" spans="21:46" x14ac:dyDescent="0.25">
      <c r="U490" t="s">
        <v>486</v>
      </c>
    </row>
    <row r="491" spans="21:46" x14ac:dyDescent="0.25">
      <c r="U491" t="s">
        <v>488</v>
      </c>
      <c r="X491">
        <v>38.5</v>
      </c>
      <c r="Y491">
        <v>15</v>
      </c>
      <c r="Z491">
        <v>155</v>
      </c>
      <c r="AC491">
        <f>Z491*(Y491/1000)</f>
        <v>2.3249999999999997</v>
      </c>
      <c r="AD491">
        <f>(Y491/1000)/($AI$1/$AI$2)</f>
        <v>4.4903125000000012E-3</v>
      </c>
      <c r="AE491">
        <f>AC491/((Y491/1000)-AD491)</f>
        <v>221.22446552288068</v>
      </c>
      <c r="AF491">
        <f>AC491/((Y491/1000)+AD491)</f>
        <v>119.29003190687679</v>
      </c>
      <c r="AG491">
        <f t="shared" ref="AG491:AH494" si="108">AE491-$Z491</f>
        <v>66.224465522880678</v>
      </c>
      <c r="AH491">
        <f t="shared" si="108"/>
        <v>-35.709968093123209</v>
      </c>
      <c r="AI491">
        <f t="shared" ref="AI491:AJ494" si="109">((AE491/$Z491)*100)-100</f>
        <v>42.725461627664941</v>
      </c>
      <c r="AJ491">
        <f t="shared" si="109"/>
        <v>-23.038689092337549</v>
      </c>
      <c r="AK491">
        <f>Z491-Z492</f>
        <v>35</v>
      </c>
      <c r="AL491">
        <f t="shared" ref="AL491:AM493" si="110">AE491-AE492</f>
        <v>49.953911569682731</v>
      </c>
      <c r="AM491">
        <f t="shared" si="110"/>
        <v>26.936458817681853</v>
      </c>
      <c r="AN491">
        <f>AF491-AE492</f>
        <v>-51.980522046321155</v>
      </c>
      <c r="AO491">
        <f>AE491-AF492</f>
        <v>128.87089243368575</v>
      </c>
      <c r="AP491">
        <f t="shared" ref="AP491:AQ493" si="111">((AL491/$AK491)*100)-100</f>
        <v>42.725461627664941</v>
      </c>
      <c r="AQ491">
        <f t="shared" si="111"/>
        <v>-23.038689092337563</v>
      </c>
    </row>
    <row r="492" spans="21:46" x14ac:dyDescent="0.25">
      <c r="U492" t="s">
        <v>502</v>
      </c>
      <c r="X492">
        <v>26</v>
      </c>
      <c r="Y492">
        <v>15</v>
      </c>
      <c r="Z492">
        <v>120</v>
      </c>
      <c r="AC492">
        <f>Z492*(Y492/1000)</f>
        <v>1.7999999999999998</v>
      </c>
      <c r="AD492">
        <f>(Y492/1000)/($AI$1/$AI$2)</f>
        <v>4.4903125000000012E-3</v>
      </c>
      <c r="AE492">
        <f>AC492/((Y492/1000)-AD492)</f>
        <v>171.27055395319795</v>
      </c>
      <c r="AF492">
        <f>AC492/((Y492/1000)+AD492)</f>
        <v>92.353573089194938</v>
      </c>
      <c r="AG492">
        <f t="shared" si="108"/>
        <v>51.270553953197947</v>
      </c>
      <c r="AH492">
        <f t="shared" si="108"/>
        <v>-27.646426910805062</v>
      </c>
      <c r="AI492">
        <f t="shared" si="109"/>
        <v>42.725461627664941</v>
      </c>
      <c r="AJ492">
        <f t="shared" si="109"/>
        <v>-23.038689092337549</v>
      </c>
      <c r="AK492">
        <f>Z492-Z493</f>
        <v>71</v>
      </c>
      <c r="AL492">
        <f t="shared" si="110"/>
        <v>101.3350777556421</v>
      </c>
      <c r="AM492">
        <f t="shared" si="110"/>
        <v>54.642530744440336</v>
      </c>
      <c r="AN492">
        <f>AF492-AE493</f>
        <v>22.418096891639095</v>
      </c>
      <c r="AO492">
        <f>AE492-AF493</f>
        <v>133.55951160844336</v>
      </c>
      <c r="AP492">
        <f t="shared" si="111"/>
        <v>42.725461627664941</v>
      </c>
      <c r="AQ492">
        <f t="shared" si="111"/>
        <v>-23.038689092337549</v>
      </c>
    </row>
    <row r="493" spans="21:46" x14ac:dyDescent="0.25">
      <c r="U493" t="s">
        <v>533</v>
      </c>
      <c r="X493">
        <v>8.5</v>
      </c>
      <c r="Y493">
        <v>15</v>
      </c>
      <c r="Z493">
        <v>49</v>
      </c>
      <c r="AC493">
        <f>Z493*(Y493/1000)</f>
        <v>0.73499999999999999</v>
      </c>
      <c r="AD493">
        <f>(Y493/1000)/($AI$1/$AI$2)</f>
        <v>4.4903125000000012E-3</v>
      </c>
      <c r="AE493">
        <f>AC493/((Y493/1000)-AD493)</f>
        <v>69.935476197555843</v>
      </c>
      <c r="AF493">
        <f>AC493/((Y493/1000)+AD493)</f>
        <v>37.711042344754603</v>
      </c>
      <c r="AG493">
        <f t="shared" si="108"/>
        <v>20.935476197555843</v>
      </c>
      <c r="AH493">
        <f t="shared" si="108"/>
        <v>-11.288957655245397</v>
      </c>
      <c r="AI493">
        <f t="shared" si="109"/>
        <v>42.725461627664998</v>
      </c>
      <c r="AJ493">
        <f t="shared" si="109"/>
        <v>-23.038689092337549</v>
      </c>
      <c r="AK493">
        <f>Z493-Z494</f>
        <v>38</v>
      </c>
      <c r="AL493">
        <f t="shared" si="110"/>
        <v>54.235675418512699</v>
      </c>
      <c r="AM493">
        <f t="shared" si="110"/>
        <v>29.245298144911736</v>
      </c>
      <c r="AN493">
        <f>AF493-AE494</f>
        <v>22.011241565711458</v>
      </c>
      <c r="AO493">
        <f>AE493-AF494</f>
        <v>61.469731997712977</v>
      </c>
      <c r="AP493">
        <f t="shared" si="111"/>
        <v>42.725461627664998</v>
      </c>
      <c r="AQ493">
        <f t="shared" si="111"/>
        <v>-23.038689092337535</v>
      </c>
    </row>
    <row r="494" spans="21:46" x14ac:dyDescent="0.25">
      <c r="U494" t="s">
        <v>534</v>
      </c>
      <c r="X494">
        <v>1</v>
      </c>
      <c r="Y494">
        <v>15</v>
      </c>
      <c r="Z494">
        <v>11</v>
      </c>
      <c r="AC494">
        <f>Z494*(Y494/1000)</f>
        <v>0.16499999999999998</v>
      </c>
      <c r="AD494">
        <f>(Y494/1000)/($AI$1/$AI$2)</f>
        <v>4.4903125000000012E-3</v>
      </c>
      <c r="AE494">
        <f>AC494/((Y494/1000)-AD494)</f>
        <v>15.699800779043146</v>
      </c>
      <c r="AF494">
        <f>AC494/((Y494/1000)+AD494)</f>
        <v>8.4657441998428684</v>
      </c>
      <c r="AG494">
        <f t="shared" si="108"/>
        <v>4.6998007790431462</v>
      </c>
      <c r="AH494">
        <f t="shared" si="108"/>
        <v>-2.5342558001571316</v>
      </c>
      <c r="AI494">
        <f t="shared" si="109"/>
        <v>42.72546162766497</v>
      </c>
      <c r="AJ494">
        <f t="shared" si="109"/>
        <v>-23.038689092337563</v>
      </c>
    </row>
    <row r="495" spans="21:46" x14ac:dyDescent="0.25">
      <c r="U495" t="s">
        <v>487</v>
      </c>
      <c r="AT495" t="s">
        <v>559</v>
      </c>
    </row>
    <row r="496" spans="21:46" x14ac:dyDescent="0.25">
      <c r="U496" t="s">
        <v>489</v>
      </c>
      <c r="AS496" t="s">
        <v>560</v>
      </c>
    </row>
    <row r="497" spans="21:53" x14ac:dyDescent="0.25">
      <c r="U497" t="s">
        <v>490</v>
      </c>
      <c r="X497">
        <v>20.5</v>
      </c>
      <c r="Y497">
        <v>15</v>
      </c>
      <c r="Z497">
        <v>100</v>
      </c>
      <c r="AC497">
        <f>Z497*(Y497/1000)</f>
        <v>1.5</v>
      </c>
      <c r="AD497">
        <f>(Y497/1000)/($AI$1/$AI$2)</f>
        <v>4.4903125000000012E-3</v>
      </c>
      <c r="AE497">
        <f>AC497/((Y497/1000)-AD497)</f>
        <v>142.72546162766497</v>
      </c>
      <c r="AF497">
        <f>AC497/((Y497/1000)+AD497)</f>
        <v>76.961310907662451</v>
      </c>
      <c r="AG497">
        <f>AE497-$Z497</f>
        <v>42.72546162766497</v>
      </c>
      <c r="AH497">
        <f>AF497-$Z497</f>
        <v>-23.038689092337549</v>
      </c>
      <c r="AI497">
        <f>((AE497/$Z497)*100)-100</f>
        <v>42.72546162766497</v>
      </c>
      <c r="AJ497">
        <f>((AF497/$Z497)*100)-100</f>
        <v>-23.038689092337549</v>
      </c>
      <c r="AK497">
        <f>Z497-Z498</f>
        <v>20</v>
      </c>
      <c r="AL497">
        <f>AE497-AE498</f>
        <v>28.545092325532991</v>
      </c>
      <c r="AM497">
        <f>AF497-AF498</f>
        <v>15.392262181532494</v>
      </c>
      <c r="AN497">
        <f>AF497-AE498</f>
        <v>-37.219058394469528</v>
      </c>
      <c r="AO497">
        <f>AE497-AF498</f>
        <v>81.15641290153502</v>
      </c>
      <c r="AP497">
        <f>((AL497/$AK497)*100)-100</f>
        <v>42.725461627664941</v>
      </c>
      <c r="AQ497">
        <f>((AM497/$AK497)*100)-100</f>
        <v>-23.038689092337535</v>
      </c>
      <c r="AS497" t="s">
        <v>561</v>
      </c>
      <c r="AT497">
        <f>AVERAGE(Z471,Z476,Z481,Z486,Z491)</f>
        <v>176</v>
      </c>
      <c r="AU497">
        <f t="shared" ref="AU497:AV500" si="112">AVERAGE(AE471,AE476,AE481,AE486,AE491)</f>
        <v>251.19681246469034</v>
      </c>
      <c r="AV497">
        <f t="shared" si="112"/>
        <v>135.45190719748592</v>
      </c>
      <c r="AW497" s="100">
        <f>AVERAGE(AK476,AK481,AK486,AK491)</f>
        <v>35.25</v>
      </c>
      <c r="AX497" s="100">
        <f>AVERAGE(AL476,AL481,AL486,AL491)</f>
        <v>50.310725223751902</v>
      </c>
      <c r="AY497" s="100">
        <f>AVERAGE(AM476,AM481,AM486,AM491)</f>
        <v>27.12886209495101</v>
      </c>
      <c r="AZ497" s="100">
        <f>AVERAGE(AN476,AN481,AN486,AN491)</f>
        <v>-65.434180043452542</v>
      </c>
      <c r="BA497" s="100">
        <f>AVERAGE(AO476,AO481,AO486,AO491)</f>
        <v>142.87376736215546</v>
      </c>
    </row>
    <row r="498" spans="21:53" x14ac:dyDescent="0.25">
      <c r="U498" t="s">
        <v>539</v>
      </c>
      <c r="X498">
        <v>15.5</v>
      </c>
      <c r="Y498">
        <v>15</v>
      </c>
      <c r="Z498">
        <v>80</v>
      </c>
      <c r="AC498">
        <f>Z498*(Y498/1000)</f>
        <v>1.2</v>
      </c>
      <c r="AD498">
        <f>(Y498/1000)/($AI$1/$AI$2)</f>
        <v>4.4903125000000012E-3</v>
      </c>
      <c r="AE498">
        <f>AC498/((Y498/1000)-AD498)</f>
        <v>114.18036930213198</v>
      </c>
      <c r="AF498">
        <f>AC498/((Y498/1000)+AD498)</f>
        <v>61.569048726129957</v>
      </c>
      <c r="AG498">
        <f>AE498-$Z498</f>
        <v>34.180369302131979</v>
      </c>
      <c r="AH498">
        <f>AF498-$Z498</f>
        <v>-18.430951273870043</v>
      </c>
      <c r="AI498">
        <f>((AE498/$Z498)*100)-100</f>
        <v>42.72546162766497</v>
      </c>
      <c r="AJ498">
        <f>((AF498/$Z498)*100)-100</f>
        <v>-23.038689092337549</v>
      </c>
      <c r="AS498" t="s">
        <v>562</v>
      </c>
      <c r="AT498">
        <f>AVERAGE(Z472,Z477,Z482,Z487,Z492)</f>
        <v>149</v>
      </c>
      <c r="AU498">
        <f t="shared" si="112"/>
        <v>212.6609378252208</v>
      </c>
      <c r="AV498">
        <f t="shared" si="112"/>
        <v>114.67235325241704</v>
      </c>
      <c r="AW498" s="80">
        <f t="shared" ref="AW498:BA499" si="113">AVERAGE(AK472,AK477,AK482,AK487,AK492)</f>
        <v>62.75</v>
      </c>
      <c r="AX498" s="80">
        <f t="shared" si="113"/>
        <v>89.560227171359756</v>
      </c>
      <c r="AY498" s="80">
        <f t="shared" si="113"/>
        <v>48.293222594558181</v>
      </c>
      <c r="AZ498" s="80">
        <f t="shared" si="113"/>
        <v>-14.182720589444216</v>
      </c>
      <c r="BA498" s="80">
        <f t="shared" si="113"/>
        <v>152.03617035536217</v>
      </c>
    </row>
    <row r="499" spans="21:53" x14ac:dyDescent="0.25">
      <c r="U499" t="s">
        <v>540</v>
      </c>
      <c r="AS499" t="s">
        <v>563</v>
      </c>
      <c r="AT499">
        <f>AVERAGE(Z473,Z478,Z483,Z488,Z493)</f>
        <v>95</v>
      </c>
      <c r="AU499">
        <f t="shared" si="112"/>
        <v>135.58918854628172</v>
      </c>
      <c r="AV499">
        <f t="shared" si="112"/>
        <v>73.113245362279329</v>
      </c>
      <c r="AW499" s="80">
        <f t="shared" si="113"/>
        <v>55.25</v>
      </c>
      <c r="AX499" s="80">
        <f t="shared" si="113"/>
        <v>78.855817549284893</v>
      </c>
      <c r="AY499" s="80">
        <f t="shared" si="113"/>
        <v>42.521124276483512</v>
      </c>
      <c r="AZ499" s="80">
        <f t="shared" si="113"/>
        <v>16.3798743652825</v>
      </c>
      <c r="BA499" s="80">
        <f t="shared" si="113"/>
        <v>104.99706746048591</v>
      </c>
    </row>
    <row r="500" spans="21:53" x14ac:dyDescent="0.25">
      <c r="U500" t="s">
        <v>491</v>
      </c>
      <c r="AS500" t="s">
        <v>564</v>
      </c>
      <c r="AT500">
        <f>AVERAGE(Z474,Z479,Z484,Z489,Z494)</f>
        <v>38.6</v>
      </c>
      <c r="AU500">
        <f t="shared" si="112"/>
        <v>55.092028188278675</v>
      </c>
      <c r="AV500">
        <f t="shared" si="112"/>
        <v>29.707066010357703</v>
      </c>
      <c r="AW500" s="80"/>
      <c r="AX500" s="80"/>
      <c r="AY500" s="80"/>
      <c r="AZ500" s="80"/>
      <c r="BA500" s="80"/>
    </row>
    <row r="501" spans="21:53" x14ac:dyDescent="0.25">
      <c r="U501" t="s">
        <v>492</v>
      </c>
      <c r="X501">
        <v>23</v>
      </c>
      <c r="Y501">
        <v>15</v>
      </c>
      <c r="Z501">
        <v>109</v>
      </c>
      <c r="AC501">
        <f>Z501*(Y501/1000)</f>
        <v>1.635</v>
      </c>
      <c r="AD501">
        <f>(Y501/1000)/($AI$1/$AI$2)</f>
        <v>4.4903125000000012E-3</v>
      </c>
      <c r="AE501">
        <f>AC501/((Y501/1000)-AD501)</f>
        <v>155.57075317415482</v>
      </c>
      <c r="AF501">
        <f>AC501/((Y501/1000)+AD501)</f>
        <v>83.887828889352079</v>
      </c>
      <c r="AG501">
        <f>AE501-$Z501</f>
        <v>46.570753174154817</v>
      </c>
      <c r="AH501">
        <f>AF501-$Z501</f>
        <v>-25.112171110647921</v>
      </c>
      <c r="AI501">
        <f>((AE501/$Z501)*100)-100</f>
        <v>42.72546162766497</v>
      </c>
      <c r="AJ501">
        <f>((AF501/$Z501)*100)-100</f>
        <v>-23.038689092337535</v>
      </c>
      <c r="AS501" t="s">
        <v>565</v>
      </c>
      <c r="AW501" s="80"/>
      <c r="AX501" s="80"/>
      <c r="AY501" s="80"/>
      <c r="AZ501" s="80"/>
      <c r="BA501" s="80"/>
    </row>
    <row r="502" spans="21:53" x14ac:dyDescent="0.25">
      <c r="U502" t="s">
        <v>506</v>
      </c>
    </row>
    <row r="503" spans="21:53" x14ac:dyDescent="0.25">
      <c r="U503" t="s">
        <v>541</v>
      </c>
    </row>
    <row r="504" spans="21:53" x14ac:dyDescent="0.25">
      <c r="U504" t="s">
        <v>542</v>
      </c>
    </row>
    <row r="505" spans="21:53" x14ac:dyDescent="0.25">
      <c r="U505" t="s">
        <v>493</v>
      </c>
      <c r="X505">
        <v>32.61</v>
      </c>
      <c r="Y505">
        <v>15</v>
      </c>
      <c r="Z505">
        <v>140</v>
      </c>
      <c r="AC505">
        <f>Z505*(Y505/1000)</f>
        <v>2.1</v>
      </c>
      <c r="AD505">
        <f>(Y505/1000)/($AI$1/$AI$2)</f>
        <v>4.4903125000000012E-3</v>
      </c>
      <c r="AE505">
        <f>AC505/((Y505/1000)-AD505)</f>
        <v>199.81564627873098</v>
      </c>
      <c r="AF505">
        <f>AC505/((Y505/1000)+AD505)</f>
        <v>107.74583527072744</v>
      </c>
      <c r="AG505">
        <f t="shared" ref="AG505:AH509" si="114">AE505-$Z505</f>
        <v>59.815646278730981</v>
      </c>
      <c r="AH505">
        <f t="shared" si="114"/>
        <v>-32.25416472927256</v>
      </c>
      <c r="AI505">
        <f t="shared" ref="AI505:AJ509" si="115">((AE505/$Z505)*100)-100</f>
        <v>42.725461627664998</v>
      </c>
      <c r="AJ505">
        <f t="shared" si="115"/>
        <v>-23.038689092337535</v>
      </c>
    </row>
    <row r="506" spans="21:53" x14ac:dyDescent="0.25">
      <c r="U506" t="s">
        <v>495</v>
      </c>
      <c r="X506">
        <v>67.319999999999993</v>
      </c>
      <c r="Y506">
        <v>15</v>
      </c>
      <c r="Z506">
        <v>191</v>
      </c>
      <c r="AC506">
        <f>Z506*(Y506/1000)</f>
        <v>2.8649999999999998</v>
      </c>
      <c r="AD506">
        <f>(Y506/1000)/($AI$1/$AI$2)</f>
        <v>4.4903125000000012E-3</v>
      </c>
      <c r="AE506">
        <f>AC506/((Y506/1000)-AD506)</f>
        <v>272.60563170884006</v>
      </c>
      <c r="AF506">
        <f>AC506/((Y506/1000)+AD506)</f>
        <v>146.99610383363526</v>
      </c>
      <c r="AG506">
        <f t="shared" si="114"/>
        <v>81.605631708840065</v>
      </c>
      <c r="AH506">
        <f t="shared" si="114"/>
        <v>-44.00389616636474</v>
      </c>
      <c r="AI506">
        <f t="shared" si="115"/>
        <v>42.725461627664941</v>
      </c>
      <c r="AJ506">
        <f t="shared" si="115"/>
        <v>-23.038689092337563</v>
      </c>
      <c r="AK506">
        <f>Z506-Z507</f>
        <v>127</v>
      </c>
      <c r="AL506">
        <f>AE506-AE507</f>
        <v>181.26133626713448</v>
      </c>
      <c r="AM506">
        <f>AF506-AF507</f>
        <v>97.740864852731292</v>
      </c>
      <c r="AN506">
        <f>AF506-AE507</f>
        <v>55.651808391929677</v>
      </c>
      <c r="AO506">
        <f>AE506-AF507</f>
        <v>223.35039272793608</v>
      </c>
      <c r="AP506">
        <f>((AL506/$AK506)*100)-100</f>
        <v>42.725461627664941</v>
      </c>
      <c r="AQ506">
        <f>((AM506/$AK506)*100)-100</f>
        <v>-23.038689092337563</v>
      </c>
    </row>
    <row r="507" spans="21:53" x14ac:dyDescent="0.25">
      <c r="U507" t="s">
        <v>497</v>
      </c>
      <c r="X507">
        <v>11.94</v>
      </c>
      <c r="Y507">
        <v>15</v>
      </c>
      <c r="Z507">
        <v>64</v>
      </c>
      <c r="AC507">
        <f>Z507*(Y507/1000)</f>
        <v>0.96</v>
      </c>
      <c r="AD507">
        <f>(Y507/1000)/($AI$1/$AI$2)</f>
        <v>4.4903125000000012E-3</v>
      </c>
      <c r="AE507">
        <f>AC507/((Y507/1000)-AD507)</f>
        <v>91.344295441705583</v>
      </c>
      <c r="AF507">
        <f>AC507/((Y507/1000)+AD507)</f>
        <v>49.255238980903968</v>
      </c>
      <c r="AG507">
        <f t="shared" si="114"/>
        <v>27.344295441705583</v>
      </c>
      <c r="AH507">
        <f t="shared" si="114"/>
        <v>-14.744761019096032</v>
      </c>
      <c r="AI507">
        <f t="shared" si="115"/>
        <v>42.72546162766497</v>
      </c>
      <c r="AJ507">
        <f t="shared" si="115"/>
        <v>-23.038689092337549</v>
      </c>
    </row>
    <row r="508" spans="21:53" x14ac:dyDescent="0.25">
      <c r="U508" t="s">
        <v>511</v>
      </c>
      <c r="X508">
        <v>18.010000000000002</v>
      </c>
      <c r="Y508">
        <v>15</v>
      </c>
      <c r="Z508">
        <v>90</v>
      </c>
      <c r="AC508">
        <f>Z508*(Y508/1000)</f>
        <v>1.3499999999999999</v>
      </c>
      <c r="AD508">
        <f>(Y508/1000)/($AI$1/$AI$2)</f>
        <v>4.4903125000000012E-3</v>
      </c>
      <c r="AE508">
        <f>AC508/((Y508/1000)-AD508)</f>
        <v>128.45291546489847</v>
      </c>
      <c r="AF508">
        <f>AC508/((Y508/1000)+AD508)</f>
        <v>69.265179816896193</v>
      </c>
      <c r="AG508">
        <f t="shared" si="114"/>
        <v>38.452915464898467</v>
      </c>
      <c r="AH508">
        <f t="shared" si="114"/>
        <v>-20.734820183103807</v>
      </c>
      <c r="AI508">
        <f t="shared" si="115"/>
        <v>42.72546162766497</v>
      </c>
      <c r="AJ508">
        <f t="shared" si="115"/>
        <v>-23.038689092337563</v>
      </c>
      <c r="AK508">
        <f>Z508-Z509</f>
        <v>37</v>
      </c>
      <c r="AL508">
        <f>AE508-AE509</f>
        <v>52.808420802236043</v>
      </c>
      <c r="AM508">
        <f>AF508-AF509</f>
        <v>28.475685035835099</v>
      </c>
      <c r="AN508">
        <f>AF508-AE509</f>
        <v>-6.3793148457662312</v>
      </c>
      <c r="AO508">
        <f>AE508-AF509</f>
        <v>87.663420683837373</v>
      </c>
      <c r="AP508">
        <f>((AL508/$AK508)*100)-100</f>
        <v>42.72546162766497</v>
      </c>
      <c r="AQ508">
        <f>((AM508/$AK508)*100)-100</f>
        <v>-23.038689092337577</v>
      </c>
    </row>
    <row r="509" spans="21:53" x14ac:dyDescent="0.25">
      <c r="U509" t="s">
        <v>513</v>
      </c>
      <c r="X509">
        <v>9.35</v>
      </c>
      <c r="Y509">
        <v>15</v>
      </c>
      <c r="Z509">
        <v>53</v>
      </c>
      <c r="AC509">
        <f>Z509*(Y509/1000)</f>
        <v>0.79499999999999993</v>
      </c>
      <c r="AD509">
        <f>(Y509/1000)/($AI$1/$AI$2)</f>
        <v>4.4903125000000012E-3</v>
      </c>
      <c r="AE509">
        <f>AC509/((Y509/1000)-AD509)</f>
        <v>75.644494662662424</v>
      </c>
      <c r="AF509">
        <f>AC509/((Y509/1000)+AD509)</f>
        <v>40.789494781061094</v>
      </c>
      <c r="AG509">
        <f t="shared" si="114"/>
        <v>22.644494662662424</v>
      </c>
      <c r="AH509">
        <f t="shared" si="114"/>
        <v>-12.210505218938906</v>
      </c>
      <c r="AI509">
        <f t="shared" si="115"/>
        <v>42.725461627664941</v>
      </c>
      <c r="AJ509">
        <f t="shared" si="115"/>
        <v>-23.038689092337563</v>
      </c>
    </row>
    <row r="510" spans="21:53" x14ac:dyDescent="0.25">
      <c r="U510" s="55" t="s">
        <v>558</v>
      </c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</row>
    <row r="511" spans="21:53" x14ac:dyDescent="0.25">
      <c r="U511" t="s">
        <v>475</v>
      </c>
    </row>
    <row r="512" spans="21:53" x14ac:dyDescent="0.25">
      <c r="U512" t="s">
        <v>476</v>
      </c>
      <c r="X512">
        <v>38.26</v>
      </c>
      <c r="Y512">
        <v>15</v>
      </c>
      <c r="Z512">
        <v>155</v>
      </c>
      <c r="AC512">
        <f>Z512*(Y512/1000)</f>
        <v>2.3249999999999997</v>
      </c>
      <c r="AD512">
        <f>(Y512/1000)/($AI$1/$AI$2)</f>
        <v>4.4903125000000012E-3</v>
      </c>
      <c r="AE512">
        <f>AC512/((Y512/1000)-AD512)</f>
        <v>221.22446552288068</v>
      </c>
      <c r="AF512">
        <f>AC512/((Y512/1000)+AD512)</f>
        <v>119.29003190687679</v>
      </c>
      <c r="AG512">
        <f t="shared" ref="AG512:AH514" si="116">AE512-$Z512</f>
        <v>66.224465522880678</v>
      </c>
      <c r="AH512">
        <f t="shared" si="116"/>
        <v>-35.709968093123209</v>
      </c>
      <c r="AI512">
        <f t="shared" ref="AI512:AJ514" si="117">((AE512/$Z512)*100)-100</f>
        <v>42.725461627664941</v>
      </c>
      <c r="AJ512">
        <f t="shared" si="117"/>
        <v>-23.038689092337549</v>
      </c>
      <c r="AK512">
        <f>Z512-Z513</f>
        <v>49</v>
      </c>
      <c r="AL512">
        <f>AE512-AE513</f>
        <v>69.935476197555829</v>
      </c>
      <c r="AM512">
        <f>AF512-AF513</f>
        <v>37.711042344754603</v>
      </c>
      <c r="AN512">
        <f>AF512-AE513</f>
        <v>-31.998957418448057</v>
      </c>
      <c r="AO512">
        <f>AE512-AF513</f>
        <v>139.64547596075849</v>
      </c>
      <c r="AP512">
        <f>((AL512/$AK512)*100)-100</f>
        <v>42.725461627664941</v>
      </c>
      <c r="AQ512">
        <f>((AM512/$AK512)*100)-100</f>
        <v>-23.038689092337549</v>
      </c>
    </row>
    <row r="513" spans="21:43" x14ac:dyDescent="0.25">
      <c r="U513" t="s">
        <v>477</v>
      </c>
      <c r="X513">
        <v>22.11</v>
      </c>
      <c r="Y513">
        <v>15</v>
      </c>
      <c r="Z513">
        <v>106</v>
      </c>
      <c r="AC513">
        <f>Z513*(Y513/1000)</f>
        <v>1.5899999999999999</v>
      </c>
      <c r="AD513">
        <f>(Y513/1000)/($AI$1/$AI$2)</f>
        <v>4.4903125000000012E-3</v>
      </c>
      <c r="AE513">
        <f>AC513/((Y513/1000)-AD513)</f>
        <v>151.28898932532485</v>
      </c>
      <c r="AF513">
        <f>AC513/((Y513/1000)+AD513)</f>
        <v>81.578989562122189</v>
      </c>
      <c r="AG513">
        <f t="shared" si="116"/>
        <v>45.288989325324849</v>
      </c>
      <c r="AH513">
        <f t="shared" si="116"/>
        <v>-24.421010437877811</v>
      </c>
      <c r="AI513">
        <f t="shared" si="117"/>
        <v>42.725461627664941</v>
      </c>
      <c r="AJ513">
        <f t="shared" si="117"/>
        <v>-23.038689092337563</v>
      </c>
      <c r="AK513">
        <f>Z513-Z514</f>
        <v>45</v>
      </c>
      <c r="AL513">
        <f>AE513-AE514</f>
        <v>64.226457732449219</v>
      </c>
      <c r="AM513">
        <f>AF513-AF514</f>
        <v>34.632589908448097</v>
      </c>
      <c r="AN513">
        <f>AF513-AE514</f>
        <v>-5.4835420307534406</v>
      </c>
      <c r="AO513">
        <f>AE513-AF514</f>
        <v>104.34258967165076</v>
      </c>
      <c r="AP513">
        <f>((AL513/$AK513)*100)-100</f>
        <v>42.725461627664941</v>
      </c>
      <c r="AQ513">
        <f>((AM513/$AK513)*100)-100</f>
        <v>-23.038689092337563</v>
      </c>
    </row>
    <row r="514" spans="21:43" x14ac:dyDescent="0.25">
      <c r="U514" t="s">
        <v>499</v>
      </c>
      <c r="X514">
        <v>11.24</v>
      </c>
      <c r="Y514">
        <v>15</v>
      </c>
      <c r="Z514">
        <v>61</v>
      </c>
      <c r="AC514">
        <f>Z514*(Y514/1000)</f>
        <v>0.91499999999999992</v>
      </c>
      <c r="AD514">
        <f>(Y514/1000)/($AI$1/$AI$2)</f>
        <v>4.4903125000000012E-3</v>
      </c>
      <c r="AE514">
        <f>AC514/((Y514/1000)-AD514)</f>
        <v>87.062531592875629</v>
      </c>
      <c r="AF514">
        <f>AC514/((Y514/1000)+AD514)</f>
        <v>46.946399653674092</v>
      </c>
      <c r="AG514">
        <f t="shared" si="116"/>
        <v>26.062531592875629</v>
      </c>
      <c r="AH514">
        <f t="shared" si="116"/>
        <v>-14.053600346325908</v>
      </c>
      <c r="AI514">
        <f t="shared" si="117"/>
        <v>42.72546162766497</v>
      </c>
      <c r="AJ514">
        <f t="shared" si="117"/>
        <v>-23.038689092337549</v>
      </c>
    </row>
    <row r="515" spans="21:43" x14ac:dyDescent="0.25">
      <c r="U515" t="s">
        <v>527</v>
      </c>
    </row>
    <row r="516" spans="21:43" x14ac:dyDescent="0.25">
      <c r="U516" t="s">
        <v>478</v>
      </c>
    </row>
    <row r="517" spans="21:43" x14ac:dyDescent="0.25">
      <c r="U517" t="s">
        <v>479</v>
      </c>
      <c r="X517">
        <v>46.68</v>
      </c>
      <c r="Y517">
        <v>15</v>
      </c>
      <c r="Z517">
        <v>172</v>
      </c>
      <c r="AC517">
        <f>Z517*(Y517/1000)</f>
        <v>2.58</v>
      </c>
      <c r="AD517">
        <f>(Y517/1000)/($AI$1/$AI$2)</f>
        <v>4.4903125000000012E-3</v>
      </c>
      <c r="AE517">
        <f>AC517/((Y517/1000)-AD517)</f>
        <v>245.48779399958377</v>
      </c>
      <c r="AF517">
        <f>AC517/((Y517/1000)+AD517)</f>
        <v>132.37345476117943</v>
      </c>
      <c r="AG517">
        <f t="shared" ref="AG517:AH519" si="118">AE517-$Z517</f>
        <v>73.487793999583772</v>
      </c>
      <c r="AH517">
        <f t="shared" si="118"/>
        <v>-39.626545238820569</v>
      </c>
      <c r="AI517">
        <f t="shared" ref="AI517:AJ519" si="119">((AE517/$Z517)*100)-100</f>
        <v>42.72546162766497</v>
      </c>
      <c r="AJ517">
        <f t="shared" si="119"/>
        <v>-23.038689092337535</v>
      </c>
      <c r="AK517">
        <f>Z517-Z518</f>
        <v>54</v>
      </c>
      <c r="AL517">
        <f>AE517-AE518</f>
        <v>77.071749278939109</v>
      </c>
      <c r="AM517">
        <f>AF517-AF518</f>
        <v>41.559107890137739</v>
      </c>
      <c r="AN517">
        <f>AF517-AE518</f>
        <v>-36.042589959465232</v>
      </c>
      <c r="AO517">
        <f>AE517-AF518</f>
        <v>154.67344712854208</v>
      </c>
      <c r="AP517">
        <f>((AL517/$AK517)*100)-100</f>
        <v>42.725461627665027</v>
      </c>
      <c r="AQ517">
        <f>((AM517/$AK517)*100)-100</f>
        <v>-23.03868909233752</v>
      </c>
    </row>
    <row r="518" spans="21:43" x14ac:dyDescent="0.25">
      <c r="U518" t="s">
        <v>480</v>
      </c>
      <c r="X518">
        <v>25.62</v>
      </c>
      <c r="Y518">
        <v>15</v>
      </c>
      <c r="Z518">
        <v>118</v>
      </c>
      <c r="AC518">
        <f>Z518*(Y518/1000)</f>
        <v>1.77</v>
      </c>
      <c r="AD518">
        <f>(Y518/1000)/($AI$1/$AI$2)</f>
        <v>4.4903125000000012E-3</v>
      </c>
      <c r="AE518">
        <f>AC518/((Y518/1000)-AD518)</f>
        <v>168.41604472064466</v>
      </c>
      <c r="AF518">
        <f>AC518/((Y518/1000)+AD518)</f>
        <v>90.814346871041693</v>
      </c>
      <c r="AG518">
        <f t="shared" si="118"/>
        <v>50.416044720644663</v>
      </c>
      <c r="AH518">
        <f t="shared" si="118"/>
        <v>-27.185653128958307</v>
      </c>
      <c r="AI518">
        <f t="shared" si="119"/>
        <v>42.72546162766497</v>
      </c>
      <c r="AJ518">
        <f t="shared" si="119"/>
        <v>-23.038689092337549</v>
      </c>
      <c r="AK518">
        <f>Z518-Z519</f>
        <v>83</v>
      </c>
      <c r="AL518">
        <f>AE518-AE519</f>
        <v>118.46213315096192</v>
      </c>
      <c r="AM518">
        <f>AF518-AF519</f>
        <v>63.877888053359833</v>
      </c>
      <c r="AN518">
        <f>AF518-AE519</f>
        <v>40.860435301358947</v>
      </c>
      <c r="AO518">
        <f>AE518-AF519</f>
        <v>141.47958590296281</v>
      </c>
      <c r="AP518">
        <f>((AL518/$AK518)*100)-100</f>
        <v>42.725461627664941</v>
      </c>
      <c r="AQ518">
        <f>((AM518/$AK518)*100)-100</f>
        <v>-23.038689092337549</v>
      </c>
    </row>
    <row r="519" spans="21:43" x14ac:dyDescent="0.25">
      <c r="U519" t="s">
        <v>501</v>
      </c>
      <c r="X519">
        <v>5.62</v>
      </c>
      <c r="Y519">
        <v>15</v>
      </c>
      <c r="Z519">
        <v>35</v>
      </c>
      <c r="AC519">
        <f>Z519*(Y519/1000)</f>
        <v>0.52500000000000002</v>
      </c>
      <c r="AD519">
        <f>(Y519/1000)/($AI$1/$AI$2)</f>
        <v>4.4903125000000012E-3</v>
      </c>
      <c r="AE519">
        <f>AC519/((Y519/1000)-AD519)</f>
        <v>49.953911569682745</v>
      </c>
      <c r="AF519">
        <f>AC519/((Y519/1000)+AD519)</f>
        <v>26.93645881768186</v>
      </c>
      <c r="AG519">
        <f t="shared" si="118"/>
        <v>14.953911569682745</v>
      </c>
      <c r="AH519">
        <f t="shared" si="118"/>
        <v>-8.06354118231814</v>
      </c>
      <c r="AI519">
        <f t="shared" si="119"/>
        <v>42.725461627664998</v>
      </c>
      <c r="AJ519">
        <f t="shared" si="119"/>
        <v>-23.038689092337535</v>
      </c>
    </row>
    <row r="520" spans="21:43" x14ac:dyDescent="0.25">
      <c r="U520" t="s">
        <v>528</v>
      </c>
    </row>
    <row r="521" spans="21:43" x14ac:dyDescent="0.25">
      <c r="U521" t="s">
        <v>481</v>
      </c>
    </row>
    <row r="522" spans="21:43" x14ac:dyDescent="0.25">
      <c r="U522" t="s">
        <v>482</v>
      </c>
      <c r="X522">
        <v>32.83</v>
      </c>
      <c r="Y522">
        <v>15</v>
      </c>
      <c r="Z522">
        <v>141</v>
      </c>
      <c r="AC522">
        <f>Z522*(Y522/1000)</f>
        <v>2.1149999999999998</v>
      </c>
      <c r="AD522">
        <f>(Y522/1000)/($AI$1/$AI$2)</f>
        <v>4.4903125000000012E-3</v>
      </c>
      <c r="AE522">
        <f>AC522/((Y522/1000)-AD522)</f>
        <v>201.24290089500761</v>
      </c>
      <c r="AF522">
        <f>AC522/((Y522/1000)+AD522)</f>
        <v>108.51544837980404</v>
      </c>
      <c r="AG522">
        <f t="shared" ref="AG522:AH524" si="120">AE522-$Z522</f>
        <v>60.242900895007608</v>
      </c>
      <c r="AH522">
        <f t="shared" si="120"/>
        <v>-32.484551620195958</v>
      </c>
      <c r="AI522">
        <f t="shared" ref="AI522:AJ524" si="121">((AE522/$Z522)*100)-100</f>
        <v>42.72546162766497</v>
      </c>
      <c r="AJ522">
        <f t="shared" si="121"/>
        <v>-23.038689092337563</v>
      </c>
      <c r="AK522">
        <f>Z522-Z523</f>
        <v>43</v>
      </c>
      <c r="AL522">
        <f>AE522-AE523</f>
        <v>61.371948499895922</v>
      </c>
      <c r="AM522">
        <f>AF522-AF523</f>
        <v>33.093363690294836</v>
      </c>
      <c r="AN522">
        <f>AF522-AE523</f>
        <v>-31.355504015307645</v>
      </c>
      <c r="AO522">
        <f>AE522-AF523</f>
        <v>125.8208162054984</v>
      </c>
      <c r="AP522">
        <f>((AL522/$AK522)*100)-100</f>
        <v>42.725461627664941</v>
      </c>
      <c r="AQ522">
        <f>((AM522/$AK522)*100)-100</f>
        <v>-23.038689092337592</v>
      </c>
    </row>
    <row r="523" spans="21:43" x14ac:dyDescent="0.25">
      <c r="U523" t="s">
        <v>500</v>
      </c>
      <c r="X523">
        <v>20.010000000000002</v>
      </c>
      <c r="Y523">
        <v>15</v>
      </c>
      <c r="Z523">
        <v>98</v>
      </c>
      <c r="AC523">
        <f>Z523*(Y523/1000)</f>
        <v>1.47</v>
      </c>
      <c r="AD523">
        <f>(Y523/1000)/($AI$1/$AI$2)</f>
        <v>4.4903125000000012E-3</v>
      </c>
      <c r="AE523">
        <f>AC523/((Y523/1000)-AD523)</f>
        <v>139.87095239511169</v>
      </c>
      <c r="AF523">
        <f>AC523/((Y523/1000)+AD523)</f>
        <v>75.422084689509205</v>
      </c>
      <c r="AG523">
        <f t="shared" si="120"/>
        <v>41.870952395111686</v>
      </c>
      <c r="AH523">
        <f t="shared" si="120"/>
        <v>-22.577915310490795</v>
      </c>
      <c r="AI523">
        <f t="shared" si="121"/>
        <v>42.725461627664998</v>
      </c>
      <c r="AJ523">
        <f t="shared" si="121"/>
        <v>-23.038689092337549</v>
      </c>
      <c r="AK523">
        <f>Z523-Z524</f>
        <v>65</v>
      </c>
      <c r="AL523">
        <f>AE523-AE524</f>
        <v>92.771550057982239</v>
      </c>
      <c r="AM523">
        <f>AF523-AF524</f>
        <v>50.024852089980598</v>
      </c>
      <c r="AN523">
        <f>AF523-AE524</f>
        <v>28.322682352379765</v>
      </c>
      <c r="AO523">
        <f>AE523-AF524</f>
        <v>114.47371979558308</v>
      </c>
      <c r="AP523">
        <f>((AL523/$AK523)*100)-100</f>
        <v>42.72546162766497</v>
      </c>
      <c r="AQ523">
        <f>((AM523/$AK523)*100)-100</f>
        <v>-23.038689092337535</v>
      </c>
    </row>
    <row r="524" spans="21:43" x14ac:dyDescent="0.25">
      <c r="U524" t="s">
        <v>529</v>
      </c>
      <c r="X524">
        <v>5.27</v>
      </c>
      <c r="Y524">
        <v>15</v>
      </c>
      <c r="Z524">
        <v>33</v>
      </c>
      <c r="AC524">
        <f>Z524*(Y524/1000)</f>
        <v>0.495</v>
      </c>
      <c r="AD524">
        <f>(Y524/1000)/($AI$1/$AI$2)</f>
        <v>4.4903125000000012E-3</v>
      </c>
      <c r="AE524">
        <f>AC524/((Y524/1000)-AD524)</f>
        <v>47.09940233712944</v>
      </c>
      <c r="AF524">
        <f>AC524/((Y524/1000)+AD524)</f>
        <v>25.397232599528607</v>
      </c>
      <c r="AG524">
        <f t="shared" si="120"/>
        <v>14.09940233712944</v>
      </c>
      <c r="AH524">
        <f t="shared" si="120"/>
        <v>-7.602767400471393</v>
      </c>
      <c r="AI524">
        <f t="shared" si="121"/>
        <v>42.72546162766497</v>
      </c>
      <c r="AJ524">
        <f t="shared" si="121"/>
        <v>-23.038689092337549</v>
      </c>
    </row>
    <row r="525" spans="21:43" x14ac:dyDescent="0.25">
      <c r="U525" t="s">
        <v>530</v>
      </c>
    </row>
    <row r="526" spans="21:43" x14ac:dyDescent="0.25">
      <c r="U526" t="s">
        <v>483</v>
      </c>
    </row>
    <row r="527" spans="21:43" x14ac:dyDescent="0.25">
      <c r="U527" t="s">
        <v>484</v>
      </c>
      <c r="X527">
        <v>44.93</v>
      </c>
      <c r="Y527">
        <v>15</v>
      </c>
      <c r="Z527">
        <v>169</v>
      </c>
      <c r="AC527">
        <f>Z527*(Y527/1000)</f>
        <v>2.5349999999999997</v>
      </c>
      <c r="AD527">
        <f>(Y527/1000)/($AI$1/$AI$2)</f>
        <v>4.4903125000000012E-3</v>
      </c>
      <c r="AE527">
        <f>AC527/((Y527/1000)-AD527)</f>
        <v>241.20603015075378</v>
      </c>
      <c r="AF527">
        <f>AC527/((Y527/1000)+AD527)</f>
        <v>130.06461543394951</v>
      </c>
      <c r="AG527">
        <f t="shared" ref="AG527:AH529" si="122">AE527-$Z527</f>
        <v>72.206030150753776</v>
      </c>
      <c r="AH527">
        <f t="shared" si="122"/>
        <v>-38.935384566050487</v>
      </c>
      <c r="AI527">
        <f t="shared" ref="AI527:AJ529" si="123">((AE527/$Z527)*100)-100</f>
        <v>42.725461627664941</v>
      </c>
      <c r="AJ527">
        <f t="shared" si="123"/>
        <v>-23.038689092337577</v>
      </c>
      <c r="AK527">
        <f>Z527-Z528</f>
        <v>49</v>
      </c>
      <c r="AL527">
        <f>AE527-AE528</f>
        <v>69.935476197555829</v>
      </c>
      <c r="AM527">
        <f>AF527-AF528</f>
        <v>37.711042344754574</v>
      </c>
      <c r="AN527">
        <f>AF527-AE528</f>
        <v>-41.205938519248434</v>
      </c>
      <c r="AO527">
        <f>AE527-AF528</f>
        <v>148.85245706155882</v>
      </c>
      <c r="AP527">
        <f>((AL527/$AK527)*100)-100</f>
        <v>42.725461627664941</v>
      </c>
      <c r="AQ527">
        <f>((AM527/$AK527)*100)-100</f>
        <v>-23.038689092337606</v>
      </c>
    </row>
    <row r="528" spans="21:43" x14ac:dyDescent="0.25">
      <c r="U528" t="s">
        <v>485</v>
      </c>
      <c r="X528">
        <v>25.98</v>
      </c>
      <c r="Y528">
        <v>15</v>
      </c>
      <c r="Z528">
        <v>120</v>
      </c>
      <c r="AC528">
        <f>Z528*(Y528/1000)</f>
        <v>1.7999999999999998</v>
      </c>
      <c r="AD528">
        <f>(Y528/1000)/($AI$1/$AI$2)</f>
        <v>4.4903125000000012E-3</v>
      </c>
      <c r="AE528">
        <f>AC528/((Y528/1000)-AD528)</f>
        <v>171.27055395319795</v>
      </c>
      <c r="AF528">
        <f>AC528/((Y528/1000)+AD528)</f>
        <v>92.353573089194938</v>
      </c>
      <c r="AG528">
        <f t="shared" si="122"/>
        <v>51.270553953197947</v>
      </c>
      <c r="AH528">
        <f t="shared" si="122"/>
        <v>-27.646426910805062</v>
      </c>
      <c r="AI528">
        <f t="shared" si="123"/>
        <v>42.725461627664941</v>
      </c>
      <c r="AJ528">
        <f t="shared" si="123"/>
        <v>-23.038689092337549</v>
      </c>
      <c r="AK528">
        <f>Z528-Z529</f>
        <v>75</v>
      </c>
      <c r="AL528">
        <f>AE528-AE529</f>
        <v>107.04409622074871</v>
      </c>
      <c r="AM528">
        <f>AF528-AF529</f>
        <v>57.720983180746842</v>
      </c>
      <c r="AN528">
        <f>AF528-AE529</f>
        <v>28.127115356745705</v>
      </c>
      <c r="AO528">
        <f>AE528-AF529</f>
        <v>136.63796404474985</v>
      </c>
      <c r="AP528">
        <f>((AL528/$AK528)*100)-100</f>
        <v>42.725461627664941</v>
      </c>
      <c r="AQ528">
        <f>((AM528/$AK528)*100)-100</f>
        <v>-23.038689092337535</v>
      </c>
    </row>
    <row r="529" spans="21:53" x14ac:dyDescent="0.25">
      <c r="U529" t="s">
        <v>531</v>
      </c>
      <c r="X529">
        <v>7.72</v>
      </c>
      <c r="Y529">
        <v>15</v>
      </c>
      <c r="Z529">
        <v>45</v>
      </c>
      <c r="AC529">
        <f>Z529*(Y529/1000)</f>
        <v>0.67499999999999993</v>
      </c>
      <c r="AD529">
        <f>(Y529/1000)/($AI$1/$AI$2)</f>
        <v>4.4903125000000012E-3</v>
      </c>
      <c r="AE529">
        <f>AC529/((Y529/1000)-AD529)</f>
        <v>64.226457732449234</v>
      </c>
      <c r="AF529">
        <f>AC529/((Y529/1000)+AD529)</f>
        <v>34.632589908448097</v>
      </c>
      <c r="AG529">
        <f t="shared" si="122"/>
        <v>19.226457732449234</v>
      </c>
      <c r="AH529">
        <f t="shared" si="122"/>
        <v>-10.367410091551903</v>
      </c>
      <c r="AI529">
        <f t="shared" si="123"/>
        <v>42.72546162766497</v>
      </c>
      <c r="AJ529">
        <f t="shared" si="123"/>
        <v>-23.038689092337563</v>
      </c>
    </row>
    <row r="530" spans="21:53" x14ac:dyDescent="0.25">
      <c r="U530" t="s">
        <v>532</v>
      </c>
    </row>
    <row r="531" spans="21:53" x14ac:dyDescent="0.25">
      <c r="U531" t="s">
        <v>486</v>
      </c>
    </row>
    <row r="532" spans="21:53" x14ac:dyDescent="0.25">
      <c r="U532" t="s">
        <v>488</v>
      </c>
      <c r="X532">
        <v>29.14</v>
      </c>
      <c r="Y532">
        <v>15</v>
      </c>
      <c r="Z532">
        <v>130</v>
      </c>
      <c r="AC532">
        <f>Z532*(Y532/1000)</f>
        <v>1.95</v>
      </c>
      <c r="AD532">
        <f>(Y532/1000)/($AI$1/$AI$2)</f>
        <v>4.4903125000000012E-3</v>
      </c>
      <c r="AE532">
        <f>AC532/((Y532/1000)-AD532)</f>
        <v>185.54310011596448</v>
      </c>
      <c r="AF532">
        <f>AC532/((Y532/1000)+AD532)</f>
        <v>100.04970417996118</v>
      </c>
      <c r="AG532">
        <f t="shared" ref="AG532:AH534" si="124">AE532-$Z532</f>
        <v>55.543100115964478</v>
      </c>
      <c r="AH532">
        <f t="shared" si="124"/>
        <v>-29.950295820038818</v>
      </c>
      <c r="AI532">
        <f t="shared" ref="AI532:AJ534" si="125">((AE532/$Z532)*100)-100</f>
        <v>42.72546162766497</v>
      </c>
      <c r="AJ532">
        <f t="shared" si="125"/>
        <v>-23.038689092337549</v>
      </c>
      <c r="AK532">
        <f>Z532-Z533</f>
        <v>53</v>
      </c>
      <c r="AL532">
        <f>AE532-AE533</f>
        <v>75.644494662662439</v>
      </c>
      <c r="AM532">
        <f>AF532-AF533</f>
        <v>40.789494781061094</v>
      </c>
      <c r="AN532">
        <f>AF532-AE533</f>
        <v>-9.8489012733408572</v>
      </c>
      <c r="AO532">
        <f>AE532-AF533</f>
        <v>126.28289071706439</v>
      </c>
      <c r="AP532">
        <f>((AL532/$AK532)*100)-100</f>
        <v>42.72546162766497</v>
      </c>
      <c r="AQ532">
        <f>((AM532/$AK532)*100)-100</f>
        <v>-23.038689092337563</v>
      </c>
    </row>
    <row r="533" spans="21:53" x14ac:dyDescent="0.25">
      <c r="U533" t="s">
        <v>502</v>
      </c>
      <c r="X533">
        <v>14.74</v>
      </c>
      <c r="Y533">
        <v>15</v>
      </c>
      <c r="Z533">
        <v>77</v>
      </c>
      <c r="AC533">
        <f>Z533*(Y533/1000)</f>
        <v>1.155</v>
      </c>
      <c r="AD533">
        <f>(Y533/1000)/($AI$1/$AI$2)</f>
        <v>4.4903125000000012E-3</v>
      </c>
      <c r="AE533">
        <f>AC533/((Y533/1000)-AD533)</f>
        <v>109.89860545330204</v>
      </c>
      <c r="AF533">
        <f>AC533/((Y533/1000)+AD533)</f>
        <v>59.260209398900088</v>
      </c>
      <c r="AG533">
        <f t="shared" si="124"/>
        <v>32.898605453302039</v>
      </c>
      <c r="AH533">
        <f t="shared" si="124"/>
        <v>-17.739790601099912</v>
      </c>
      <c r="AI533">
        <f t="shared" si="125"/>
        <v>42.725461627664998</v>
      </c>
      <c r="AJ533">
        <f t="shared" si="125"/>
        <v>-23.038689092337549</v>
      </c>
      <c r="AK533">
        <f>Z533-Z534</f>
        <v>40</v>
      </c>
      <c r="AL533">
        <f>AE533-AE534</f>
        <v>57.090184651066004</v>
      </c>
      <c r="AM533">
        <f>AF533-AF534</f>
        <v>30.784524363064985</v>
      </c>
      <c r="AN533">
        <f>AF533-AE534</f>
        <v>6.451788596664052</v>
      </c>
      <c r="AO533">
        <f>AE533-AF534</f>
        <v>81.422920417466941</v>
      </c>
      <c r="AP533">
        <f>((AL533/$AK533)*100)-100</f>
        <v>42.725461627665027</v>
      </c>
      <c r="AQ533">
        <f>((AM533/$AK533)*100)-100</f>
        <v>-23.038689092337535</v>
      </c>
    </row>
    <row r="534" spans="21:53" x14ac:dyDescent="0.25">
      <c r="U534" t="s">
        <v>533</v>
      </c>
      <c r="X534">
        <v>5.97</v>
      </c>
      <c r="Y534">
        <v>15</v>
      </c>
      <c r="Z534">
        <v>37</v>
      </c>
      <c r="AC534">
        <f>Z534*(Y534/1000)</f>
        <v>0.55499999999999994</v>
      </c>
      <c r="AD534">
        <f>(Y534/1000)/($AI$1/$AI$2)</f>
        <v>4.4903125000000012E-3</v>
      </c>
      <c r="AE534">
        <f>AC534/((Y534/1000)-AD534)</f>
        <v>52.808420802236036</v>
      </c>
      <c r="AF534">
        <f>AC534/((Y534/1000)+AD534)</f>
        <v>28.475685035835102</v>
      </c>
      <c r="AG534">
        <f t="shared" si="124"/>
        <v>15.808420802236036</v>
      </c>
      <c r="AH534">
        <f t="shared" si="124"/>
        <v>-8.5243149641648976</v>
      </c>
      <c r="AI534">
        <f t="shared" si="125"/>
        <v>42.725461627664941</v>
      </c>
      <c r="AJ534">
        <f t="shared" si="125"/>
        <v>-23.038689092337563</v>
      </c>
    </row>
    <row r="535" spans="21:53" x14ac:dyDescent="0.25">
      <c r="U535" t="s">
        <v>534</v>
      </c>
    </row>
    <row r="536" spans="21:53" x14ac:dyDescent="0.25">
      <c r="U536" t="s">
        <v>487</v>
      </c>
      <c r="AT536" t="s">
        <v>559</v>
      </c>
    </row>
    <row r="537" spans="21:53" x14ac:dyDescent="0.25">
      <c r="U537" t="s">
        <v>489</v>
      </c>
      <c r="X537">
        <v>16.809999999999999</v>
      </c>
      <c r="Y537">
        <v>15</v>
      </c>
      <c r="Z537">
        <v>85</v>
      </c>
      <c r="AC537">
        <f>Z537*(Y537/1000)</f>
        <v>1.2749999999999999</v>
      </c>
      <c r="AD537">
        <f>(Y537/1000)/($AI$1/$AI$2)</f>
        <v>4.4903125000000012E-3</v>
      </c>
      <c r="AE537">
        <f>AC537/((Y537/1000)-AD537)</f>
        <v>121.31664238351522</v>
      </c>
      <c r="AF537">
        <f>AC537/((Y537/1000)+AD537)</f>
        <v>65.417114271513086</v>
      </c>
      <c r="AG537">
        <f t="shared" ref="AG537:AH539" si="126">AE537-$Z537</f>
        <v>36.316642383515216</v>
      </c>
      <c r="AH537">
        <f t="shared" si="126"/>
        <v>-19.582885728486914</v>
      </c>
      <c r="AI537">
        <f t="shared" ref="AI537:AJ539" si="127">((AE537/$Z537)*100)-100</f>
        <v>42.725461627664941</v>
      </c>
      <c r="AJ537">
        <f t="shared" si="127"/>
        <v>-23.038689092337549</v>
      </c>
      <c r="AK537">
        <f>Z537-Z538</f>
        <v>7</v>
      </c>
      <c r="AL537">
        <f>AE537-AE538</f>
        <v>9.9907823139365348</v>
      </c>
      <c r="AM537">
        <f>AF537-AF538</f>
        <v>5.3872917635363748</v>
      </c>
      <c r="AN537">
        <f>AF537-AE538</f>
        <v>-45.908745798065596</v>
      </c>
      <c r="AO537">
        <f>AE537-AF538</f>
        <v>61.286819875538505</v>
      </c>
      <c r="AP537">
        <f>((AL537/$AK537)*100)-100</f>
        <v>42.725461627664771</v>
      </c>
      <c r="AQ537">
        <f>((AM537/$AK537)*100)-100</f>
        <v>-23.038689092337506</v>
      </c>
      <c r="AS537" t="s">
        <v>560</v>
      </c>
    </row>
    <row r="538" spans="21:53" x14ac:dyDescent="0.25">
      <c r="U538" t="s">
        <v>490</v>
      </c>
      <c r="X538">
        <v>15.1</v>
      </c>
      <c r="Y538">
        <v>15</v>
      </c>
      <c r="Z538">
        <v>78</v>
      </c>
      <c r="AC538">
        <f>Z538*(Y538/1000)</f>
        <v>1.17</v>
      </c>
      <c r="AD538">
        <f>(Y538/1000)/($AI$1/$AI$2)</f>
        <v>4.4903125000000012E-3</v>
      </c>
      <c r="AE538">
        <f>AC538/((Y538/1000)-AD538)</f>
        <v>111.32586006957868</v>
      </c>
      <c r="AF538">
        <f>AC538/((Y538/1000)+AD538)</f>
        <v>60.029822507976711</v>
      </c>
      <c r="AG538">
        <f t="shared" si="126"/>
        <v>33.325860069578681</v>
      </c>
      <c r="AH538">
        <f t="shared" si="126"/>
        <v>-17.970177492023289</v>
      </c>
      <c r="AI538">
        <f t="shared" si="127"/>
        <v>42.72546162766497</v>
      </c>
      <c r="AJ538">
        <f t="shared" si="127"/>
        <v>-23.038689092337549</v>
      </c>
      <c r="AK538">
        <f>Z538-Z539</f>
        <v>31</v>
      </c>
      <c r="AL538">
        <f>AE538-AE539</f>
        <v>44.24489310457615</v>
      </c>
      <c r="AM538">
        <f>AF538-AF539</f>
        <v>23.858006381375361</v>
      </c>
      <c r="AN538">
        <f>AF538-AE539</f>
        <v>-7.0511444570258206</v>
      </c>
      <c r="AO538">
        <f>AE538-AF539</f>
        <v>75.154043942977324</v>
      </c>
      <c r="AP538">
        <f>((AL538/$AK538)*100)-100</f>
        <v>42.725461627664998</v>
      </c>
      <c r="AQ538">
        <f>((AM538/$AK538)*100)-100</f>
        <v>-23.038689092337549</v>
      </c>
      <c r="AS538" t="s">
        <v>561</v>
      </c>
      <c r="AT538">
        <f>AVERAGE(Z512,Z517,Z522,Z527,Z532)</f>
        <v>153.4</v>
      </c>
      <c r="AU538">
        <f t="shared" ref="AU538:AV540" si="128">AVERAGE(AE512,AE517,AE522,AE527,AE532)</f>
        <v>218.9408581368381</v>
      </c>
      <c r="AV538">
        <f t="shared" si="128"/>
        <v>118.05865093235418</v>
      </c>
      <c r="AW538" s="100">
        <f t="shared" ref="AW538:BA539" si="129">AVERAGE(AK512,AK517,AK522,AK527,AK532)</f>
        <v>49.6</v>
      </c>
      <c r="AX538" s="100">
        <f t="shared" si="129"/>
        <v>70.791828967321834</v>
      </c>
      <c r="AY538" s="100">
        <f t="shared" si="129"/>
        <v>38.172810210200566</v>
      </c>
      <c r="AZ538" s="100">
        <f t="shared" si="129"/>
        <v>-30.090378237162042</v>
      </c>
      <c r="BA538" s="100">
        <f t="shared" si="129"/>
        <v>139.05501741468447</v>
      </c>
    </row>
    <row r="539" spans="21:53" x14ac:dyDescent="0.25">
      <c r="U539" t="s">
        <v>539</v>
      </c>
      <c r="X539">
        <v>8.07</v>
      </c>
      <c r="Y539">
        <v>15</v>
      </c>
      <c r="Z539">
        <v>47</v>
      </c>
      <c r="AC539">
        <f>Z539*(Y539/1000)</f>
        <v>0.70499999999999996</v>
      </c>
      <c r="AD539">
        <f>(Y539/1000)/($AI$1/$AI$2)</f>
        <v>4.4903125000000012E-3</v>
      </c>
      <c r="AE539">
        <f>AC539/((Y539/1000)-AD539)</f>
        <v>67.080966965002531</v>
      </c>
      <c r="AF539">
        <f>AC539/((Y539/1000)+AD539)</f>
        <v>36.17181612660135</v>
      </c>
      <c r="AG539">
        <f t="shared" si="126"/>
        <v>20.080966965002531</v>
      </c>
      <c r="AH539">
        <f t="shared" si="126"/>
        <v>-10.82818387339865</v>
      </c>
      <c r="AI539">
        <f t="shared" si="127"/>
        <v>42.725461627664941</v>
      </c>
      <c r="AJ539">
        <f t="shared" si="127"/>
        <v>-23.038689092337549</v>
      </c>
      <c r="AS539" t="s">
        <v>562</v>
      </c>
      <c r="AT539">
        <f>AVERAGE(Z513,Z518,Z523,Z528,Z533)</f>
        <v>103.8</v>
      </c>
      <c r="AU539">
        <f t="shared" si="128"/>
        <v>148.14902916951624</v>
      </c>
      <c r="AV539">
        <f t="shared" si="128"/>
        <v>79.885840722153631</v>
      </c>
      <c r="AW539" s="80">
        <f t="shared" si="129"/>
        <v>61.6</v>
      </c>
      <c r="AX539" s="80">
        <f t="shared" si="129"/>
        <v>87.91888436264162</v>
      </c>
      <c r="AY539" s="80">
        <f t="shared" si="129"/>
        <v>47.40816751912007</v>
      </c>
      <c r="AZ539" s="80">
        <f t="shared" si="129"/>
        <v>19.655695915279004</v>
      </c>
      <c r="BA539" s="80">
        <f t="shared" si="129"/>
        <v>115.67135596648268</v>
      </c>
    </row>
    <row r="540" spans="21:53" x14ac:dyDescent="0.25">
      <c r="U540" t="s">
        <v>540</v>
      </c>
      <c r="AS540" t="s">
        <v>563</v>
      </c>
      <c r="AT540">
        <f>AVERAGE(Z514,Z519,Z524,Z529,Z534)</f>
        <v>42.2</v>
      </c>
      <c r="AU540">
        <f t="shared" si="128"/>
        <v>60.230144806874613</v>
      </c>
      <c r="AV540">
        <f t="shared" si="128"/>
        <v>32.477673203033554</v>
      </c>
      <c r="AW540" s="80"/>
      <c r="AX540" s="80"/>
      <c r="AY540" s="80"/>
      <c r="AZ540" s="80"/>
      <c r="BA540" s="80"/>
    </row>
    <row r="541" spans="21:53" x14ac:dyDescent="0.25">
      <c r="U541" t="s">
        <v>491</v>
      </c>
      <c r="AS541" t="s">
        <v>564</v>
      </c>
      <c r="AW541" s="80"/>
      <c r="AX541" s="80"/>
      <c r="AY541" s="80"/>
      <c r="AZ541" s="80"/>
      <c r="BA541" s="80"/>
    </row>
    <row r="542" spans="21:53" x14ac:dyDescent="0.25">
      <c r="U542" t="s">
        <v>492</v>
      </c>
      <c r="X542">
        <v>16.14</v>
      </c>
      <c r="Y542">
        <v>15</v>
      </c>
      <c r="Z542">
        <v>82</v>
      </c>
      <c r="AC542">
        <f>Z542*(Y542/1000)</f>
        <v>1.23</v>
      </c>
      <c r="AD542">
        <f>(Y542/1000)/($AI$1/$AI$2)</f>
        <v>4.4903125000000012E-3</v>
      </c>
      <c r="AE542">
        <f>AC542/((Y542/1000)-AD542)</f>
        <v>117.03487853468528</v>
      </c>
      <c r="AF542">
        <f>AC542/((Y542/1000)+AD542)</f>
        <v>63.10827494428321</v>
      </c>
      <c r="AG542">
        <f>AE542-$Z542</f>
        <v>35.034878534685276</v>
      </c>
      <c r="AH542">
        <f>AF542-$Z542</f>
        <v>-18.89172505571679</v>
      </c>
      <c r="AI542">
        <f>((AE542/$Z542)*100)-100</f>
        <v>42.72546162766497</v>
      </c>
      <c r="AJ542">
        <f>((AF542/$Z542)*100)-100</f>
        <v>-23.038689092337549</v>
      </c>
      <c r="AK542">
        <f>Z542-Z543</f>
        <v>29</v>
      </c>
      <c r="AL542">
        <f>AE542-AE543</f>
        <v>41.390383872022852</v>
      </c>
      <c r="AM542">
        <f>AF542-AF543</f>
        <v>22.318780163222115</v>
      </c>
      <c r="AN542">
        <f>AF542-AE543</f>
        <v>-12.536219718379215</v>
      </c>
      <c r="AO542">
        <f>AE542-AF543</f>
        <v>76.245383753624182</v>
      </c>
      <c r="AP542">
        <f>((AL542/$AK542)*100)-100</f>
        <v>42.725461627665027</v>
      </c>
      <c r="AQ542">
        <f>((AM542/$AK542)*100)-100</f>
        <v>-23.038689092337535</v>
      </c>
      <c r="AS542" t="s">
        <v>565</v>
      </c>
      <c r="AW542" s="80"/>
      <c r="AX542" s="80"/>
      <c r="AY542" s="80"/>
      <c r="AZ542" s="80"/>
      <c r="BA542" s="80"/>
    </row>
    <row r="543" spans="21:53" x14ac:dyDescent="0.25">
      <c r="U543" t="s">
        <v>506</v>
      </c>
      <c r="X543">
        <v>9.48</v>
      </c>
      <c r="Y543">
        <v>15</v>
      </c>
      <c r="Z543">
        <v>53</v>
      </c>
      <c r="AC543">
        <f>Z543*(Y543/1000)</f>
        <v>0.79499999999999993</v>
      </c>
      <c r="AD543">
        <f>(Y543/1000)/($AI$1/$AI$2)</f>
        <v>4.4903125000000012E-3</v>
      </c>
      <c r="AE543">
        <f>AC543/((Y543/1000)-AD543)</f>
        <v>75.644494662662424</v>
      </c>
      <c r="AF543">
        <f>AC543/((Y543/1000)+AD543)</f>
        <v>40.789494781061094</v>
      </c>
      <c r="AG543">
        <f>AE543-$Z543</f>
        <v>22.644494662662424</v>
      </c>
      <c r="AH543">
        <f>AF543-$Z543</f>
        <v>-12.210505218938906</v>
      </c>
      <c r="AI543">
        <f>((AE543/$Z543)*100)-100</f>
        <v>42.725461627664941</v>
      </c>
      <c r="AJ543">
        <f>((AF543/$Z543)*100)-100</f>
        <v>-23.038689092337563</v>
      </c>
    </row>
    <row r="544" spans="21:53" x14ac:dyDescent="0.25">
      <c r="U544" t="s">
        <v>541</v>
      </c>
    </row>
    <row r="545" spans="20:46" x14ac:dyDescent="0.25">
      <c r="U545" t="s">
        <v>542</v>
      </c>
    </row>
    <row r="546" spans="20:46" x14ac:dyDescent="0.25">
      <c r="U546" t="s">
        <v>493</v>
      </c>
      <c r="X546">
        <v>10.53</v>
      </c>
      <c r="Y546">
        <v>15</v>
      </c>
      <c r="Z546">
        <v>58</v>
      </c>
      <c r="AC546">
        <f>Z546*(Y546/1000)</f>
        <v>0.87</v>
      </c>
      <c r="AD546">
        <f>(Y546/1000)/($AI$1/$AI$2)</f>
        <v>4.4903125000000012E-3</v>
      </c>
      <c r="AE546">
        <f>AC546/((Y546/1000)-AD546)</f>
        <v>82.78076774404569</v>
      </c>
      <c r="AF546">
        <f>AC546/((Y546/1000)+AD546)</f>
        <v>44.637560326444223</v>
      </c>
      <c r="AG546">
        <f>AE546-$Z546</f>
        <v>24.78076774404569</v>
      </c>
      <c r="AH546">
        <f>AF546-$Z546</f>
        <v>-13.362439673555777</v>
      </c>
      <c r="AI546">
        <f>((AE546/$Z546)*100)-100</f>
        <v>42.72546162766497</v>
      </c>
      <c r="AJ546">
        <f>((AF546/$Z546)*100)-100</f>
        <v>-23.038689092337549</v>
      </c>
      <c r="AK546">
        <f>Z546-Z547</f>
        <v>20</v>
      </c>
      <c r="AL546">
        <f>AE546-AE547</f>
        <v>28.545092325533005</v>
      </c>
      <c r="AM546">
        <f>AF546-AF547</f>
        <v>15.392262181532494</v>
      </c>
      <c r="AN546">
        <f>AF546-AE547</f>
        <v>-9.5981150920684613</v>
      </c>
      <c r="AO546">
        <f>AE546-AF547</f>
        <v>53.535469599133961</v>
      </c>
      <c r="AP546">
        <f>((AL546/$AK546)*100)-100</f>
        <v>42.725461627665027</v>
      </c>
      <c r="AQ546">
        <f>((AM546/$AK546)*100)-100</f>
        <v>-23.038689092337535</v>
      </c>
    </row>
    <row r="547" spans="20:46" x14ac:dyDescent="0.25">
      <c r="U547" t="s">
        <v>494</v>
      </c>
      <c r="X547">
        <v>6.31</v>
      </c>
      <c r="Y547">
        <v>15</v>
      </c>
      <c r="Z547">
        <v>38</v>
      </c>
      <c r="AC547">
        <f>Z547*(Y547/1000)</f>
        <v>0.56999999999999995</v>
      </c>
      <c r="AD547">
        <f>(Y547/1000)/($AI$1/$AI$2)</f>
        <v>4.4903125000000012E-3</v>
      </c>
      <c r="AE547">
        <f>AC547/((Y547/1000)-AD547)</f>
        <v>54.235675418512685</v>
      </c>
      <c r="AF547">
        <f>AC547/((Y547/1000)+AD547)</f>
        <v>29.245298144911729</v>
      </c>
      <c r="AG547">
        <f>AE547-$Z547</f>
        <v>16.235675418512685</v>
      </c>
      <c r="AH547">
        <f>AF547-$Z547</f>
        <v>-8.7547018550882711</v>
      </c>
      <c r="AI547">
        <f>((AE547/$Z547)*100)-100</f>
        <v>42.725461627664941</v>
      </c>
      <c r="AJ547">
        <f>((AF547/$Z547)*100)-100</f>
        <v>-23.038689092337563</v>
      </c>
    </row>
    <row r="548" spans="20:46" x14ac:dyDescent="0.25">
      <c r="U548" t="s">
        <v>495</v>
      </c>
    </row>
    <row r="549" spans="20:46" x14ac:dyDescent="0.25">
      <c r="U549" t="s">
        <v>496</v>
      </c>
      <c r="X549">
        <v>18.25</v>
      </c>
      <c r="Y549">
        <v>15</v>
      </c>
      <c r="Z549">
        <v>91</v>
      </c>
      <c r="AC549">
        <f t="shared" ref="AC549:AC559" si="130">Z549*(Y549/1000)</f>
        <v>1.365</v>
      </c>
      <c r="AD549">
        <f t="shared" ref="AD549:AD559" si="131">(Y549/1000)/($AI$1/$AI$2)</f>
        <v>4.4903125000000012E-3</v>
      </c>
      <c r="AE549">
        <f t="shared" ref="AE549:AE559" si="132">AC549/((Y549/1000)-AD549)</f>
        <v>129.88017008117512</v>
      </c>
      <c r="AF549">
        <f t="shared" ref="AF549:AF559" si="133">AC549/((Y549/1000)+AD549)</f>
        <v>70.034792925972823</v>
      </c>
      <c r="AG549">
        <f t="shared" ref="AG549:AG559" si="134">AE549-$Z549</f>
        <v>38.880170081175123</v>
      </c>
      <c r="AH549">
        <f t="shared" ref="AH549:AH559" si="135">AF549-$Z549</f>
        <v>-20.965207074027177</v>
      </c>
      <c r="AI549">
        <f t="shared" ref="AI549:AI559" si="136">((AE549/$Z549)*100)-100</f>
        <v>42.72546162766497</v>
      </c>
      <c r="AJ549">
        <f t="shared" ref="AJ549:AJ559" si="137">((AF549/$Z549)*100)-100</f>
        <v>-23.038689092337563</v>
      </c>
    </row>
    <row r="550" spans="20:46" x14ac:dyDescent="0.25">
      <c r="U550" t="s">
        <v>497</v>
      </c>
      <c r="X550">
        <v>22.81</v>
      </c>
      <c r="Y550">
        <v>15</v>
      </c>
      <c r="Z550">
        <v>108</v>
      </c>
      <c r="AC550">
        <f t="shared" si="130"/>
        <v>1.6199999999999999</v>
      </c>
      <c r="AD550">
        <f t="shared" si="131"/>
        <v>4.4903125000000012E-3</v>
      </c>
      <c r="AE550">
        <f t="shared" si="132"/>
        <v>154.14349855787816</v>
      </c>
      <c r="AF550">
        <f t="shared" si="133"/>
        <v>83.118215780275435</v>
      </c>
      <c r="AG550">
        <f t="shared" si="134"/>
        <v>46.143498557878161</v>
      </c>
      <c r="AH550">
        <f t="shared" si="135"/>
        <v>-24.881784219724565</v>
      </c>
      <c r="AI550">
        <f t="shared" si="136"/>
        <v>42.72546162766497</v>
      </c>
      <c r="AJ550">
        <f t="shared" si="137"/>
        <v>-23.038689092337563</v>
      </c>
      <c r="AK550">
        <f>Z550-Z551</f>
        <v>78</v>
      </c>
      <c r="AL550">
        <f>AE550-AE551</f>
        <v>111.32586006957868</v>
      </c>
      <c r="AM550">
        <f>AF550-AF551</f>
        <v>60.029822507976704</v>
      </c>
      <c r="AN550">
        <f>AF550-AE551</f>
        <v>40.300577291975948</v>
      </c>
      <c r="AO550">
        <f>AE550-AF551</f>
        <v>131.05510528557943</v>
      </c>
      <c r="AP550">
        <f>((AL550/$AK550)*100)-100</f>
        <v>42.72546162766497</v>
      </c>
      <c r="AQ550">
        <f>((AM550/$AK550)*100)-100</f>
        <v>-23.038689092337563</v>
      </c>
    </row>
    <row r="551" spans="20:46" x14ac:dyDescent="0.25">
      <c r="U551" t="s">
        <v>498</v>
      </c>
      <c r="X551">
        <v>4.5599999999999996</v>
      </c>
      <c r="Y551">
        <v>15</v>
      </c>
      <c r="Z551">
        <v>30</v>
      </c>
      <c r="AC551">
        <f t="shared" si="130"/>
        <v>0.44999999999999996</v>
      </c>
      <c r="AD551">
        <f t="shared" si="131"/>
        <v>4.4903125000000012E-3</v>
      </c>
      <c r="AE551">
        <f t="shared" si="132"/>
        <v>42.817638488299487</v>
      </c>
      <c r="AF551">
        <f t="shared" si="133"/>
        <v>23.088393272298735</v>
      </c>
      <c r="AG551">
        <f t="shared" si="134"/>
        <v>12.817638488299487</v>
      </c>
      <c r="AH551">
        <f t="shared" si="135"/>
        <v>-6.9116067277012654</v>
      </c>
      <c r="AI551">
        <f t="shared" si="136"/>
        <v>42.725461627664941</v>
      </c>
      <c r="AJ551">
        <f t="shared" si="137"/>
        <v>-23.038689092337549</v>
      </c>
    </row>
    <row r="552" spans="20:46" x14ac:dyDescent="0.25">
      <c r="U552" t="s">
        <v>511</v>
      </c>
      <c r="X552">
        <v>8.77</v>
      </c>
      <c r="Y552">
        <v>15</v>
      </c>
      <c r="Z552">
        <v>50</v>
      </c>
      <c r="AC552">
        <f t="shared" si="130"/>
        <v>0.75</v>
      </c>
      <c r="AD552">
        <f t="shared" si="131"/>
        <v>4.4903125000000012E-3</v>
      </c>
      <c r="AE552">
        <f t="shared" si="132"/>
        <v>71.362730813832485</v>
      </c>
      <c r="AF552">
        <f t="shared" si="133"/>
        <v>38.480655453831226</v>
      </c>
      <c r="AG552">
        <f t="shared" si="134"/>
        <v>21.362730813832485</v>
      </c>
      <c r="AH552">
        <f t="shared" si="135"/>
        <v>-11.519344546168774</v>
      </c>
      <c r="AI552">
        <f t="shared" si="136"/>
        <v>42.72546162766497</v>
      </c>
      <c r="AJ552">
        <f t="shared" si="137"/>
        <v>-23.038689092337549</v>
      </c>
      <c r="AK552">
        <f>Z552-Z553</f>
        <v>22</v>
      </c>
      <c r="AL552">
        <f>AE552-AE553</f>
        <v>31.399601558086296</v>
      </c>
      <c r="AM552">
        <f>AF552-AF553</f>
        <v>16.93148839968574</v>
      </c>
      <c r="AN552">
        <f>AF552-AE553</f>
        <v>-1.4824738019149635</v>
      </c>
      <c r="AO552">
        <f>AE552-AF553</f>
        <v>49.813563759687</v>
      </c>
      <c r="AP552">
        <f>((AL552/$AK552)*100)-100</f>
        <v>42.72546162766497</v>
      </c>
      <c r="AQ552">
        <f>((AM552/$AK552)*100)-100</f>
        <v>-23.038689092337535</v>
      </c>
    </row>
    <row r="553" spans="20:46" x14ac:dyDescent="0.25">
      <c r="U553" t="s">
        <v>511</v>
      </c>
      <c r="X553">
        <v>4.21</v>
      </c>
      <c r="Y553">
        <v>15</v>
      </c>
      <c r="Z553">
        <v>28</v>
      </c>
      <c r="AC553">
        <f t="shared" si="130"/>
        <v>0.42</v>
      </c>
      <c r="AD553">
        <f t="shared" si="131"/>
        <v>4.4903125000000012E-3</v>
      </c>
      <c r="AE553">
        <f t="shared" si="132"/>
        <v>39.963129255746189</v>
      </c>
      <c r="AF553">
        <f t="shared" si="133"/>
        <v>21.549167054145485</v>
      </c>
      <c r="AG553">
        <f t="shared" si="134"/>
        <v>11.963129255746189</v>
      </c>
      <c r="AH553">
        <f t="shared" si="135"/>
        <v>-6.4508329458545148</v>
      </c>
      <c r="AI553">
        <f t="shared" si="136"/>
        <v>42.725461627664941</v>
      </c>
      <c r="AJ553">
        <f t="shared" si="137"/>
        <v>-23.038689092337549</v>
      </c>
    </row>
    <row r="554" spans="20:46" x14ac:dyDescent="0.25">
      <c r="U554" t="s">
        <v>513</v>
      </c>
      <c r="X554">
        <v>5.26</v>
      </c>
      <c r="Y554">
        <v>15</v>
      </c>
      <c r="Z554">
        <v>33</v>
      </c>
      <c r="AC554">
        <f t="shared" si="130"/>
        <v>0.495</v>
      </c>
      <c r="AD554">
        <f t="shared" si="131"/>
        <v>4.4903125000000012E-3</v>
      </c>
      <c r="AE554">
        <f t="shared" si="132"/>
        <v>47.09940233712944</v>
      </c>
      <c r="AF554">
        <f t="shared" si="133"/>
        <v>25.397232599528607</v>
      </c>
      <c r="AG554">
        <f t="shared" si="134"/>
        <v>14.09940233712944</v>
      </c>
      <c r="AH554">
        <f t="shared" si="135"/>
        <v>-7.602767400471393</v>
      </c>
      <c r="AI554">
        <f t="shared" si="136"/>
        <v>42.72546162766497</v>
      </c>
      <c r="AJ554">
        <f t="shared" si="137"/>
        <v>-23.038689092337549</v>
      </c>
      <c r="AK554">
        <f>Z554-Z555</f>
        <v>5</v>
      </c>
      <c r="AL554">
        <f>AE554-AE555</f>
        <v>7.1362730813832513</v>
      </c>
      <c r="AM554">
        <f>AF554-AF555</f>
        <v>3.8480655453831218</v>
      </c>
      <c r="AN554">
        <f>AF554-AE555</f>
        <v>-14.565896656217582</v>
      </c>
      <c r="AO554">
        <f>AE554-AF555</f>
        <v>25.550235282983955</v>
      </c>
      <c r="AP554">
        <f>((AL554/$AK554)*100)-100</f>
        <v>42.725461627665027</v>
      </c>
      <c r="AQ554">
        <f>((AM554/$AK554)*100)-100</f>
        <v>-23.038689092337563</v>
      </c>
    </row>
    <row r="555" spans="20:46" x14ac:dyDescent="0.25">
      <c r="U555" t="s">
        <v>514</v>
      </c>
      <c r="X555">
        <v>4.21</v>
      </c>
      <c r="Y555">
        <v>15</v>
      </c>
      <c r="Z555">
        <v>28</v>
      </c>
      <c r="AC555">
        <f t="shared" si="130"/>
        <v>0.42</v>
      </c>
      <c r="AD555">
        <f t="shared" si="131"/>
        <v>4.4903125000000012E-3</v>
      </c>
      <c r="AE555">
        <f t="shared" si="132"/>
        <v>39.963129255746189</v>
      </c>
      <c r="AF555">
        <f t="shared" si="133"/>
        <v>21.549167054145485</v>
      </c>
      <c r="AG555">
        <f t="shared" si="134"/>
        <v>11.963129255746189</v>
      </c>
      <c r="AH555">
        <f t="shared" si="135"/>
        <v>-6.4508329458545148</v>
      </c>
      <c r="AI555">
        <f t="shared" si="136"/>
        <v>42.725461627664941</v>
      </c>
      <c r="AJ555">
        <f t="shared" si="137"/>
        <v>-23.038689092337549</v>
      </c>
    </row>
    <row r="556" spans="20:46" x14ac:dyDescent="0.25">
      <c r="U556" t="s">
        <v>516</v>
      </c>
      <c r="X556">
        <v>17.55</v>
      </c>
      <c r="Y556">
        <v>15</v>
      </c>
      <c r="Z556">
        <v>89</v>
      </c>
      <c r="AC556">
        <f t="shared" si="130"/>
        <v>1.335</v>
      </c>
      <c r="AD556">
        <f t="shared" si="131"/>
        <v>4.4903125000000012E-3</v>
      </c>
      <c r="AE556">
        <f t="shared" si="132"/>
        <v>127.02566084862183</v>
      </c>
      <c r="AF556">
        <f t="shared" si="133"/>
        <v>68.495566707819577</v>
      </c>
      <c r="AG556">
        <f t="shared" si="134"/>
        <v>38.025660848621825</v>
      </c>
      <c r="AH556">
        <f t="shared" si="135"/>
        <v>-20.504433292180423</v>
      </c>
      <c r="AI556">
        <f t="shared" si="136"/>
        <v>42.72546162766497</v>
      </c>
      <c r="AJ556">
        <f t="shared" si="137"/>
        <v>-23.038689092337549</v>
      </c>
    </row>
    <row r="557" spans="20:46" x14ac:dyDescent="0.25">
      <c r="U557" t="s">
        <v>523</v>
      </c>
      <c r="X557">
        <v>15.09</v>
      </c>
      <c r="Y557">
        <v>15</v>
      </c>
      <c r="Z557">
        <v>78</v>
      </c>
      <c r="AC557">
        <f t="shared" si="130"/>
        <v>1.17</v>
      </c>
      <c r="AD557">
        <f t="shared" si="131"/>
        <v>4.4903125000000012E-3</v>
      </c>
      <c r="AE557">
        <f t="shared" si="132"/>
        <v>111.32586006957868</v>
      </c>
      <c r="AF557">
        <f t="shared" si="133"/>
        <v>60.029822507976711</v>
      </c>
      <c r="AG557">
        <f t="shared" si="134"/>
        <v>33.325860069578681</v>
      </c>
      <c r="AH557">
        <f t="shared" si="135"/>
        <v>-17.970177492023289</v>
      </c>
      <c r="AI557">
        <f t="shared" si="136"/>
        <v>42.72546162766497</v>
      </c>
      <c r="AJ557">
        <f t="shared" si="137"/>
        <v>-23.038689092337549</v>
      </c>
    </row>
    <row r="558" spans="20:46" x14ac:dyDescent="0.25">
      <c r="U558" t="s">
        <v>543</v>
      </c>
      <c r="X558">
        <v>3.51</v>
      </c>
      <c r="Y558">
        <v>15</v>
      </c>
      <c r="Z558">
        <v>24</v>
      </c>
      <c r="AC558">
        <f t="shared" si="130"/>
        <v>0.36</v>
      </c>
      <c r="AD558">
        <f t="shared" si="131"/>
        <v>4.4903125000000012E-3</v>
      </c>
      <c r="AE558">
        <f t="shared" si="132"/>
        <v>34.254110790639594</v>
      </c>
      <c r="AF558">
        <f t="shared" si="133"/>
        <v>18.470714617838986</v>
      </c>
      <c r="AG558">
        <f t="shared" si="134"/>
        <v>10.254110790639594</v>
      </c>
      <c r="AH558">
        <f t="shared" si="135"/>
        <v>-5.5292853821610137</v>
      </c>
      <c r="AI558">
        <f t="shared" si="136"/>
        <v>42.72546162766497</v>
      </c>
      <c r="AJ558">
        <f t="shared" si="137"/>
        <v>-23.038689092337563</v>
      </c>
    </row>
    <row r="559" spans="20:46" ht="15.75" thickBot="1" x14ac:dyDescent="0.3">
      <c r="T559" s="382"/>
      <c r="U559" s="382" t="s">
        <v>544</v>
      </c>
      <c r="V559" s="382"/>
      <c r="W559" s="382"/>
      <c r="X559" s="382">
        <v>9.82</v>
      </c>
      <c r="Y559" s="382">
        <v>15</v>
      </c>
      <c r="Z559" s="382">
        <v>55</v>
      </c>
      <c r="AA559" s="382"/>
      <c r="AB559" s="382"/>
      <c r="AC559" s="382">
        <f t="shared" si="130"/>
        <v>0.82499999999999996</v>
      </c>
      <c r="AD559" s="382">
        <f t="shared" si="131"/>
        <v>4.4903125000000012E-3</v>
      </c>
      <c r="AE559" s="382">
        <f t="shared" si="132"/>
        <v>78.499003895215736</v>
      </c>
      <c r="AF559" s="382">
        <f t="shared" si="133"/>
        <v>42.328720999214347</v>
      </c>
      <c r="AG559" s="382">
        <f t="shared" si="134"/>
        <v>23.499003895215736</v>
      </c>
      <c r="AH559" s="382">
        <f t="shared" si="135"/>
        <v>-12.671279000785653</v>
      </c>
      <c r="AI559" s="382">
        <f t="shared" si="136"/>
        <v>42.72546162766497</v>
      </c>
      <c r="AJ559" s="382">
        <f t="shared" si="137"/>
        <v>-23.038689092337549</v>
      </c>
      <c r="AK559" s="382"/>
      <c r="AL559" s="382"/>
      <c r="AM559" s="382"/>
      <c r="AN559" s="382"/>
      <c r="AO559" s="382"/>
      <c r="AP559" s="382"/>
      <c r="AQ559" s="382"/>
      <c r="AR559" s="382"/>
      <c r="AS559" s="382"/>
      <c r="AT559" s="382"/>
    </row>
    <row r="560" spans="20:46" ht="15.75" thickTop="1" x14ac:dyDescent="0.25">
      <c r="T560" t="s">
        <v>747</v>
      </c>
    </row>
    <row r="561" spans="21:43" x14ac:dyDescent="0.25">
      <c r="U561" t="s">
        <v>764</v>
      </c>
    </row>
    <row r="562" spans="21:43" ht="15.75" x14ac:dyDescent="0.25">
      <c r="V562" s="612"/>
    </row>
    <row r="563" spans="21:43" x14ac:dyDescent="0.25">
      <c r="U563" t="s">
        <v>44</v>
      </c>
      <c r="X563" t="s">
        <v>6</v>
      </c>
      <c r="Y563" t="s">
        <v>445</v>
      </c>
      <c r="Z563" t="s">
        <v>447</v>
      </c>
      <c r="AA563" t="s">
        <v>748</v>
      </c>
      <c r="AC563" t="s">
        <v>430</v>
      </c>
      <c r="AD563" t="s">
        <v>428</v>
      </c>
      <c r="AE563" s="512" t="s">
        <v>369</v>
      </c>
      <c r="AF563" s="512" t="s">
        <v>370</v>
      </c>
      <c r="AG563" t="s">
        <v>373</v>
      </c>
      <c r="AH563" t="s">
        <v>374</v>
      </c>
      <c r="AI563" t="s">
        <v>377</v>
      </c>
      <c r="AJ563" t="s">
        <v>378</v>
      </c>
      <c r="AK563" t="s">
        <v>454</v>
      </c>
      <c r="AL563" t="s">
        <v>451</v>
      </c>
      <c r="AM563" t="s">
        <v>450</v>
      </c>
      <c r="AN563" t="s">
        <v>452</v>
      </c>
      <c r="AO563" t="s">
        <v>453</v>
      </c>
      <c r="AP563" t="s">
        <v>455</v>
      </c>
      <c r="AQ563" t="s">
        <v>456</v>
      </c>
    </row>
    <row r="564" spans="21:43" ht="15.75" x14ac:dyDescent="0.25">
      <c r="U564" t="s">
        <v>749</v>
      </c>
      <c r="X564" s="611">
        <v>85</v>
      </c>
      <c r="Y564">
        <v>15</v>
      </c>
      <c r="Z564" s="248">
        <f t="shared" ref="Z564:Z569" si="138">(-0.0078*X564*X564)+(2.6711*X564)+109.44</f>
        <v>280.12850000000003</v>
      </c>
      <c r="AC564">
        <f t="shared" ref="AC564:AC569" si="139">Z564*(Y564/1000)</f>
        <v>4.2019275</v>
      </c>
      <c r="AD564">
        <f t="shared" ref="AD564:AD569" si="140">(Y564/1000)/($AI$1/$AI$2)</f>
        <v>4.4903125000000012E-3</v>
      </c>
      <c r="AE564">
        <f t="shared" ref="AE564:AE569" si="141">AC564/((Y564/1000)-AD564)</f>
        <v>399.81469477565349</v>
      </c>
      <c r="AF564">
        <f t="shared" ref="AF564:AF569" si="142">AC564/((Y564/1000)+AD564)</f>
        <v>215.5905658259712</v>
      </c>
      <c r="AG564" s="248">
        <f t="shared" ref="AG564:AG569" si="143">AE564-Z564</f>
        <v>119.68619477565346</v>
      </c>
      <c r="AH564" s="248">
        <f t="shared" ref="AH564:AH569" si="144">AF564-Z564</f>
        <v>-64.537934174028834</v>
      </c>
      <c r="AI564">
        <f t="shared" ref="AI564:AI569" si="145">((AE564/Z564)*100)-100</f>
        <v>42.72546162766497</v>
      </c>
      <c r="AJ564">
        <f t="shared" ref="AJ564:AJ569" si="146">((AF564/Z564)*100)-100</f>
        <v>-23.038689092337563</v>
      </c>
      <c r="AK564" s="248">
        <f>Z564-Z565</f>
        <v>52.88250000000005</v>
      </c>
      <c r="AL564">
        <f>AE564-AE565</f>
        <v>75.47679224525001</v>
      </c>
      <c r="AM564">
        <f>AF564-AF565</f>
        <v>40.699065240744602</v>
      </c>
      <c r="AN564">
        <f>AF564-AE565</f>
        <v>-108.74733670443229</v>
      </c>
      <c r="AO564">
        <f>AE564-AF565</f>
        <v>224.9231941904269</v>
      </c>
      <c r="AP564">
        <f>((AL564/AK564)*100)-100</f>
        <v>42.725461627664998</v>
      </c>
      <c r="AQ564">
        <f>((AM564/AK564)*100)-100</f>
        <v>-23.038689092337606</v>
      </c>
    </row>
    <row r="565" spans="21:43" ht="15.75" x14ac:dyDescent="0.25">
      <c r="U565" t="s">
        <v>750</v>
      </c>
      <c r="X565" s="611">
        <v>52</v>
      </c>
      <c r="Y565">
        <v>15</v>
      </c>
      <c r="Z565" s="248">
        <f t="shared" si="138"/>
        <v>227.24599999999998</v>
      </c>
      <c r="AA565" s="248">
        <f>Z564-Z565</f>
        <v>52.88250000000005</v>
      </c>
      <c r="AC565">
        <f t="shared" si="139"/>
        <v>3.4086899999999996</v>
      </c>
      <c r="AD565">
        <f t="shared" si="140"/>
        <v>4.4903125000000012E-3</v>
      </c>
      <c r="AE565">
        <f t="shared" si="141"/>
        <v>324.33790253040348</v>
      </c>
      <c r="AF565">
        <f t="shared" si="142"/>
        <v>174.89150058522659</v>
      </c>
      <c r="AG565" s="248">
        <f t="shared" si="143"/>
        <v>97.091902530403502</v>
      </c>
      <c r="AH565" s="248">
        <f t="shared" si="144"/>
        <v>-52.354499414773386</v>
      </c>
      <c r="AI565">
        <f t="shared" si="145"/>
        <v>42.725461627664941</v>
      </c>
      <c r="AJ565">
        <f t="shared" si="146"/>
        <v>-23.038689092337549</v>
      </c>
      <c r="AK565" s="248"/>
    </row>
    <row r="566" spans="21:43" ht="15.75" x14ac:dyDescent="0.25">
      <c r="U566" t="s">
        <v>751</v>
      </c>
      <c r="X566" s="611">
        <v>65</v>
      </c>
      <c r="Y566">
        <v>15</v>
      </c>
      <c r="Z566" s="248">
        <f t="shared" si="138"/>
        <v>250.10649999999998</v>
      </c>
      <c r="AC566">
        <f t="shared" si="139"/>
        <v>3.7515974999999995</v>
      </c>
      <c r="AD566">
        <f t="shared" si="140"/>
        <v>4.4903125000000012E-3</v>
      </c>
      <c r="AE566">
        <f t="shared" si="141"/>
        <v>356.96565668579586</v>
      </c>
      <c r="AF566">
        <f t="shared" si="142"/>
        <v>192.48524106527276</v>
      </c>
      <c r="AG566" s="248">
        <f t="shared" si="143"/>
        <v>106.85915668579588</v>
      </c>
      <c r="AH566" s="248">
        <f t="shared" si="144"/>
        <v>-57.621258934727223</v>
      </c>
      <c r="AI566">
        <f t="shared" si="145"/>
        <v>42.72546162766497</v>
      </c>
      <c r="AJ566">
        <f t="shared" si="146"/>
        <v>-23.038689092337549</v>
      </c>
      <c r="AK566" s="248">
        <f>Z566-Z567</f>
        <v>88.013199999999983</v>
      </c>
      <c r="AL566">
        <f>AE566-AE567</f>
        <v>125.61724599327999</v>
      </c>
      <c r="AM566">
        <f>AF566-AF567</f>
        <v>67.736112491782748</v>
      </c>
      <c r="AN566">
        <f>AF566-AE567</f>
        <v>-38.86316962724311</v>
      </c>
      <c r="AO566">
        <f>AE566-AF567</f>
        <v>232.21652811230587</v>
      </c>
      <c r="AP566">
        <f>((AL566/AK566)*100)-100</f>
        <v>42.725461627664941</v>
      </c>
      <c r="AQ566">
        <f>((AM566/AK566)*100)-100</f>
        <v>-23.038689092337563</v>
      </c>
    </row>
    <row r="567" spans="21:43" ht="15.75" x14ac:dyDescent="0.25">
      <c r="U567" t="s">
        <v>752</v>
      </c>
      <c r="X567" s="611">
        <v>21</v>
      </c>
      <c r="Y567">
        <v>15</v>
      </c>
      <c r="Z567" s="248">
        <f t="shared" si="138"/>
        <v>162.0933</v>
      </c>
      <c r="AA567" s="248">
        <f>Z566-Z567</f>
        <v>88.013199999999983</v>
      </c>
      <c r="AC567">
        <f t="shared" si="139"/>
        <v>2.4313994999999999</v>
      </c>
      <c r="AD567">
        <f t="shared" si="140"/>
        <v>4.4903125000000012E-3</v>
      </c>
      <c r="AE567">
        <f t="shared" si="141"/>
        <v>231.34841069251587</v>
      </c>
      <c r="AF567">
        <f t="shared" si="142"/>
        <v>124.74912857349001</v>
      </c>
      <c r="AG567" s="248">
        <f t="shared" si="143"/>
        <v>69.255110692515871</v>
      </c>
      <c r="AH567" s="248">
        <f t="shared" si="144"/>
        <v>-37.344171426509988</v>
      </c>
      <c r="AI567">
        <f t="shared" si="145"/>
        <v>42.72546162766497</v>
      </c>
      <c r="AJ567">
        <f t="shared" si="146"/>
        <v>-23.038689092337549</v>
      </c>
      <c r="AK567" s="248"/>
    </row>
    <row r="568" spans="21:43" ht="15.75" x14ac:dyDescent="0.25">
      <c r="U568" t="s">
        <v>754</v>
      </c>
      <c r="X568" s="611">
        <v>71</v>
      </c>
      <c r="Y568">
        <v>15</v>
      </c>
      <c r="Z568" s="248">
        <f t="shared" si="138"/>
        <v>259.76830000000001</v>
      </c>
      <c r="AC568">
        <f t="shared" si="139"/>
        <v>3.8965244999999999</v>
      </c>
      <c r="AD568">
        <f t="shared" si="140"/>
        <v>4.4903125000000012E-3</v>
      </c>
      <c r="AE568">
        <f t="shared" si="141"/>
        <v>370.75550533733764</v>
      </c>
      <c r="AF568">
        <f t="shared" si="142"/>
        <v>199.92108900254931</v>
      </c>
      <c r="AG568" s="248">
        <f t="shared" si="143"/>
        <v>110.98720533733763</v>
      </c>
      <c r="AH568" s="248">
        <f t="shared" si="144"/>
        <v>-59.847210997450702</v>
      </c>
      <c r="AI568">
        <f t="shared" si="145"/>
        <v>42.72546162766497</v>
      </c>
      <c r="AJ568">
        <f t="shared" si="146"/>
        <v>-23.038689092337563</v>
      </c>
      <c r="AK568" s="248">
        <f>Z568-Z569</f>
        <v>107.1738</v>
      </c>
      <c r="AL568">
        <f>AE568-AE569</f>
        <v>152.96430079391038</v>
      </c>
      <c r="AM568">
        <f>AF568-AF569</f>
        <v>82.48236142955632</v>
      </c>
      <c r="AN568">
        <f>AF568-AE569</f>
        <v>-17.870115540877947</v>
      </c>
      <c r="AO568">
        <f>AE568-AF569</f>
        <v>253.31677776434464</v>
      </c>
      <c r="AP568">
        <f>((AL568/AK568)*100)-100</f>
        <v>42.725461627664941</v>
      </c>
      <c r="AQ568">
        <f>((AM568/AK568)*100)-100</f>
        <v>-23.038689092337577</v>
      </c>
    </row>
    <row r="569" spans="21:43" x14ac:dyDescent="0.25">
      <c r="U569" t="s">
        <v>755</v>
      </c>
      <c r="X569">
        <v>17</v>
      </c>
      <c r="Y569">
        <v>15</v>
      </c>
      <c r="Z569" s="248">
        <f t="shared" si="138"/>
        <v>152.59450000000001</v>
      </c>
      <c r="AA569" s="248">
        <f>Z568-Z569</f>
        <v>107.1738</v>
      </c>
      <c r="AC569">
        <f t="shared" si="139"/>
        <v>2.2889175000000002</v>
      </c>
      <c r="AD569">
        <f t="shared" si="140"/>
        <v>4.4903125000000012E-3</v>
      </c>
      <c r="AE569">
        <f t="shared" si="141"/>
        <v>217.79120454342726</v>
      </c>
      <c r="AF569">
        <f t="shared" si="142"/>
        <v>117.43872757299299</v>
      </c>
      <c r="AG569" s="248">
        <f t="shared" si="143"/>
        <v>65.196704543427245</v>
      </c>
      <c r="AH569" s="248">
        <f t="shared" si="144"/>
        <v>-35.155772427007022</v>
      </c>
      <c r="AI569">
        <f t="shared" si="145"/>
        <v>42.72546162766497</v>
      </c>
      <c r="AJ569">
        <f t="shared" si="146"/>
        <v>-23.038689092337549</v>
      </c>
      <c r="AK569" s="248"/>
    </row>
    <row r="570" spans="21:43" x14ac:dyDescent="0.25">
      <c r="Z570" t="s">
        <v>753</v>
      </c>
      <c r="AA570" s="248">
        <f>AVERAGE(AA565:AA569)</f>
        <v>82.68983333333334</v>
      </c>
    </row>
    <row r="572" spans="21:43" ht="15.75" x14ac:dyDescent="0.25">
      <c r="U572" t="s">
        <v>45</v>
      </c>
      <c r="X572" s="612"/>
    </row>
    <row r="573" spans="21:43" x14ac:dyDescent="0.25">
      <c r="U573" t="s">
        <v>756</v>
      </c>
      <c r="X573">
        <v>60</v>
      </c>
      <c r="Y573">
        <v>15</v>
      </c>
      <c r="Z573" s="248">
        <f t="shared" ref="Z573:Z580" si="147">(-0.0078*X573*X573)+(2.6711*X573)+109.44</f>
        <v>241.62599999999998</v>
      </c>
      <c r="AC573">
        <f t="shared" ref="AC573:AC580" si="148">Z573*(Y573/1000)</f>
        <v>3.6243899999999996</v>
      </c>
      <c r="AD573">
        <f t="shared" ref="AD573:AD580" si="149">(Y573/1000)/($AI$1/$AI$2)</f>
        <v>4.4903125000000012E-3</v>
      </c>
      <c r="AE573">
        <f t="shared" ref="AE573:AE580" si="150">AC573/((Y573/1000)-AD573)</f>
        <v>344.86182391246172</v>
      </c>
      <c r="AF573">
        <f t="shared" ref="AF573:AF580" si="151">AC573/((Y573/1000)+AD573)</f>
        <v>185.95853709374845</v>
      </c>
      <c r="AG573" s="248">
        <f t="shared" ref="AG573:AG580" si="152">AE573-Z573</f>
        <v>103.23582391246174</v>
      </c>
      <c r="AH573" s="248">
        <f t="shared" ref="AH573:AH580" si="153">AF573-Z573</f>
        <v>-55.667462906251529</v>
      </c>
      <c r="AI573">
        <f t="shared" ref="AI573:AI580" si="154">((AE573/Z573)*100)-100</f>
        <v>42.72546162766497</v>
      </c>
      <c r="AJ573">
        <f t="shared" ref="AJ573:AJ580" si="155">((AF573/Z573)*100)-100</f>
        <v>-23.038689092337549</v>
      </c>
      <c r="AK573" s="248">
        <f>Z573-Z574</f>
        <v>91.445199999999971</v>
      </c>
      <c r="AL573">
        <f>AE573-AE574</f>
        <v>130.51558383634145</v>
      </c>
      <c r="AM573">
        <f>AF573-AF574</f>
        <v>70.377424682133721</v>
      </c>
      <c r="AN573">
        <f>AF573-AE574</f>
        <v>-28.38770298237182</v>
      </c>
      <c r="AO573">
        <f>AE573-AF574</f>
        <v>229.28071150084699</v>
      </c>
      <c r="AP573">
        <f>((AL573/AK573)*100)-100</f>
        <v>42.72546162766497</v>
      </c>
      <c r="AQ573">
        <f>((AM573/AK573)*100)-100</f>
        <v>-23.038689092337549</v>
      </c>
    </row>
    <row r="574" spans="21:43" x14ac:dyDescent="0.25">
      <c r="U574" t="s">
        <v>757</v>
      </c>
      <c r="X574">
        <v>16</v>
      </c>
      <c r="Y574">
        <v>15</v>
      </c>
      <c r="Z574" s="248">
        <f t="shared" si="147"/>
        <v>150.1808</v>
      </c>
      <c r="AA574" s="248">
        <f>Z573-Z574</f>
        <v>91.445199999999971</v>
      </c>
      <c r="AC574">
        <f t="shared" si="148"/>
        <v>2.2527119999999998</v>
      </c>
      <c r="AD574">
        <f t="shared" si="149"/>
        <v>4.4903125000000012E-3</v>
      </c>
      <c r="AE574">
        <f t="shared" si="150"/>
        <v>214.34624007612027</v>
      </c>
      <c r="AF574">
        <f t="shared" si="151"/>
        <v>115.58111241161473</v>
      </c>
      <c r="AG574" s="248">
        <f t="shared" si="152"/>
        <v>64.165440076120262</v>
      </c>
      <c r="AH574" s="248">
        <f t="shared" si="153"/>
        <v>-34.599687588385279</v>
      </c>
      <c r="AI574">
        <f t="shared" si="154"/>
        <v>42.725461627664941</v>
      </c>
      <c r="AJ574">
        <f t="shared" si="155"/>
        <v>-23.038689092337549</v>
      </c>
      <c r="AK574" s="248"/>
    </row>
    <row r="575" spans="21:43" ht="15.75" x14ac:dyDescent="0.25">
      <c r="U575" t="s">
        <v>758</v>
      </c>
      <c r="X575" s="611">
        <v>65</v>
      </c>
      <c r="Y575">
        <v>15</v>
      </c>
      <c r="Z575" s="248">
        <f t="shared" si="147"/>
        <v>250.10649999999998</v>
      </c>
      <c r="AC575">
        <f t="shared" si="148"/>
        <v>3.7515974999999995</v>
      </c>
      <c r="AD575">
        <f t="shared" si="149"/>
        <v>4.4903125000000012E-3</v>
      </c>
      <c r="AE575">
        <f t="shared" si="150"/>
        <v>356.96565668579586</v>
      </c>
      <c r="AF575">
        <f t="shared" si="151"/>
        <v>192.48524106527276</v>
      </c>
      <c r="AG575" s="248">
        <f t="shared" si="152"/>
        <v>106.85915668579588</v>
      </c>
      <c r="AH575" s="248">
        <f t="shared" si="153"/>
        <v>-57.621258934727223</v>
      </c>
      <c r="AI575">
        <f t="shared" si="154"/>
        <v>42.72546162766497</v>
      </c>
      <c r="AJ575">
        <f t="shared" si="155"/>
        <v>-23.038689092337549</v>
      </c>
      <c r="AK575" s="248">
        <f>Z575-Z576</f>
        <v>65.358199999999982</v>
      </c>
      <c r="AL575">
        <f>AE575-AE576</f>
        <v>93.28279266153254</v>
      </c>
      <c r="AM575">
        <f>AF575-AF576</f>
        <v>50.300527505651814</v>
      </c>
      <c r="AN575">
        <f>AF575-AE576</f>
        <v>-71.197622958990564</v>
      </c>
      <c r="AO575">
        <f>AE575-AF576</f>
        <v>214.78094312617492</v>
      </c>
      <c r="AP575">
        <f>((AL575/AK575)*100)-100</f>
        <v>42.725461627665027</v>
      </c>
      <c r="AQ575">
        <f>((AM575/AK575)*100)-100</f>
        <v>-23.038689092337577</v>
      </c>
    </row>
    <row r="576" spans="21:43" x14ac:dyDescent="0.25">
      <c r="U576" t="s">
        <v>759</v>
      </c>
      <c r="X576">
        <v>31</v>
      </c>
      <c r="Y576">
        <v>15</v>
      </c>
      <c r="Z576" s="248">
        <f t="shared" si="147"/>
        <v>184.7483</v>
      </c>
      <c r="AA576" s="248">
        <f>Z575-Z576</f>
        <v>65.358199999999982</v>
      </c>
      <c r="AC576">
        <f t="shared" si="148"/>
        <v>2.7712244999999998</v>
      </c>
      <c r="AD576">
        <f t="shared" si="149"/>
        <v>4.4903125000000012E-3</v>
      </c>
      <c r="AE576">
        <f t="shared" si="150"/>
        <v>263.68286402426332</v>
      </c>
      <c r="AF576">
        <f t="shared" si="151"/>
        <v>142.18471355962095</v>
      </c>
      <c r="AG576" s="248">
        <f t="shared" si="152"/>
        <v>78.934564024263324</v>
      </c>
      <c r="AH576" s="248">
        <f t="shared" si="153"/>
        <v>-42.563586440379055</v>
      </c>
      <c r="AI576">
        <f t="shared" si="154"/>
        <v>42.725461627664941</v>
      </c>
      <c r="AJ576">
        <f t="shared" si="155"/>
        <v>-23.038689092337549</v>
      </c>
      <c r="AK576" s="248"/>
    </row>
    <row r="577" spans="21:43" x14ac:dyDescent="0.25">
      <c r="U577" t="s">
        <v>760</v>
      </c>
      <c r="X577">
        <v>70</v>
      </c>
      <c r="Y577">
        <v>15</v>
      </c>
      <c r="Z577" s="248">
        <f t="shared" si="147"/>
        <v>258.197</v>
      </c>
      <c r="AC577">
        <f t="shared" si="148"/>
        <v>3.8729549999999997</v>
      </c>
      <c r="AD577">
        <f t="shared" si="149"/>
        <v>4.4903125000000012E-3</v>
      </c>
      <c r="AE577">
        <f t="shared" si="150"/>
        <v>368.51286015878213</v>
      </c>
      <c r="AF577">
        <f t="shared" si="151"/>
        <v>198.71179592425722</v>
      </c>
      <c r="AG577" s="248">
        <f t="shared" si="152"/>
        <v>110.31586015878213</v>
      </c>
      <c r="AH577" s="248">
        <f t="shared" si="153"/>
        <v>-59.485204075742786</v>
      </c>
      <c r="AI577">
        <f t="shared" si="154"/>
        <v>42.72546162766497</v>
      </c>
      <c r="AJ577">
        <f t="shared" si="155"/>
        <v>-23.038689092337549</v>
      </c>
      <c r="AK577" s="248">
        <f>Z577-Z578</f>
        <v>75.644000000000005</v>
      </c>
      <c r="AL577">
        <f>AE577-AE578</f>
        <v>107.96324819363087</v>
      </c>
      <c r="AM577">
        <f>AF577-AF578</f>
        <v>58.216614022992189</v>
      </c>
      <c r="AN577">
        <f>AF577-AE578</f>
        <v>-61.83781604089404</v>
      </c>
      <c r="AO577">
        <f>AE577-AF578</f>
        <v>228.0176782575171</v>
      </c>
      <c r="AP577">
        <f>((AL577/AK577)*100)-100</f>
        <v>42.725461627664941</v>
      </c>
      <c r="AQ577">
        <f>((AM577/AK577)*100)-100</f>
        <v>-23.038689092337549</v>
      </c>
    </row>
    <row r="578" spans="21:43" x14ac:dyDescent="0.25">
      <c r="U578" t="s">
        <v>761</v>
      </c>
      <c r="X578">
        <v>30</v>
      </c>
      <c r="Y578">
        <v>15</v>
      </c>
      <c r="Z578" s="248">
        <f t="shared" si="147"/>
        <v>182.553</v>
      </c>
      <c r="AA578" s="248">
        <f>Z577-Z578</f>
        <v>75.644000000000005</v>
      </c>
      <c r="AC578">
        <f t="shared" si="148"/>
        <v>2.7382949999999999</v>
      </c>
      <c r="AD578">
        <f t="shared" si="149"/>
        <v>4.4903125000000012E-3</v>
      </c>
      <c r="AE578">
        <f t="shared" si="150"/>
        <v>260.54961196515126</v>
      </c>
      <c r="AF578">
        <f t="shared" si="151"/>
        <v>140.49518190126503</v>
      </c>
      <c r="AG578" s="248">
        <f t="shared" si="152"/>
        <v>77.99661196515126</v>
      </c>
      <c r="AH578" s="248">
        <f t="shared" si="153"/>
        <v>-42.05781809873497</v>
      </c>
      <c r="AI578">
        <f t="shared" si="154"/>
        <v>42.725461627664998</v>
      </c>
      <c r="AJ578">
        <f t="shared" si="155"/>
        <v>-23.038689092337549</v>
      </c>
      <c r="AK578" s="248"/>
    </row>
    <row r="579" spans="21:43" ht="15.75" x14ac:dyDescent="0.25">
      <c r="U579" t="s">
        <v>762</v>
      </c>
      <c r="X579" s="611">
        <v>68</v>
      </c>
      <c r="Y579">
        <v>15</v>
      </c>
      <c r="Z579" s="248">
        <f t="shared" si="147"/>
        <v>255.00760000000002</v>
      </c>
      <c r="AC579">
        <f t="shared" si="148"/>
        <v>3.8251140000000001</v>
      </c>
      <c r="AD579">
        <f t="shared" si="149"/>
        <v>4.4903125000000012E-3</v>
      </c>
      <c r="AE579">
        <f t="shared" si="150"/>
        <v>363.96077428562938</v>
      </c>
      <c r="AF579">
        <f t="shared" si="151"/>
        <v>196.25719187416823</v>
      </c>
      <c r="AG579" s="248">
        <f t="shared" si="152"/>
        <v>108.95317428562936</v>
      </c>
      <c r="AH579" s="248">
        <f t="shared" si="153"/>
        <v>-58.750408125831797</v>
      </c>
      <c r="AI579">
        <f t="shared" si="154"/>
        <v>42.725461627664941</v>
      </c>
      <c r="AJ579">
        <f t="shared" si="155"/>
        <v>-23.038689092337563</v>
      </c>
      <c r="AK579" s="248">
        <f>Z579-Z580</f>
        <v>102.41310000000001</v>
      </c>
      <c r="AL579">
        <f>AE579-AE580</f>
        <v>146.16956974220213</v>
      </c>
      <c r="AM579">
        <f>AF579-AF580</f>
        <v>78.81846430117524</v>
      </c>
      <c r="AN579">
        <f>AF579-AE580</f>
        <v>-21.534012669259027</v>
      </c>
      <c r="AO579">
        <f>AE579-AF580</f>
        <v>246.52204671263638</v>
      </c>
      <c r="AP579">
        <f>((AL579/AK579)*100)-100</f>
        <v>42.725461627664941</v>
      </c>
      <c r="AQ579">
        <f>((AM579/AK579)*100)-100</f>
        <v>-23.038689092337577</v>
      </c>
    </row>
    <row r="580" spans="21:43" ht="15.75" x14ac:dyDescent="0.25">
      <c r="U580" t="s">
        <v>763</v>
      </c>
      <c r="X580" s="611">
        <v>17</v>
      </c>
      <c r="Y580">
        <v>15</v>
      </c>
      <c r="Z580" s="248">
        <f t="shared" si="147"/>
        <v>152.59450000000001</v>
      </c>
      <c r="AA580" s="248">
        <f>Z579-Z580</f>
        <v>102.41310000000001</v>
      </c>
      <c r="AC580">
        <f t="shared" si="148"/>
        <v>2.2889175000000002</v>
      </c>
      <c r="AD580">
        <f t="shared" si="149"/>
        <v>4.4903125000000012E-3</v>
      </c>
      <c r="AE580">
        <f t="shared" si="150"/>
        <v>217.79120454342726</v>
      </c>
      <c r="AF580">
        <f t="shared" si="151"/>
        <v>117.43872757299299</v>
      </c>
      <c r="AG580" s="248">
        <f t="shared" si="152"/>
        <v>65.196704543427245</v>
      </c>
      <c r="AH580" s="248">
        <f t="shared" si="153"/>
        <v>-35.155772427007022</v>
      </c>
      <c r="AI580">
        <f t="shared" si="154"/>
        <v>42.72546162766497</v>
      </c>
      <c r="AJ580">
        <f t="shared" si="155"/>
        <v>-23.038689092337549</v>
      </c>
      <c r="AK580" s="248"/>
    </row>
    <row r="581" spans="21:43" x14ac:dyDescent="0.25">
      <c r="Z581" t="s">
        <v>766</v>
      </c>
      <c r="AA581" s="248">
        <f>AVERAGE(AA573:AA580)</f>
        <v>83.715125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00D93-BA3E-461B-BBEE-294395265CF1}">
  <dimension ref="B2:V54"/>
  <sheetViews>
    <sheetView topLeftCell="C1" zoomScale="70" zoomScaleNormal="70" workbookViewId="0">
      <selection activeCell="BT28" sqref="BT28"/>
    </sheetView>
  </sheetViews>
  <sheetFormatPr defaultRowHeight="15" x14ac:dyDescent="0.25"/>
  <cols>
    <col min="3" max="3" width="10.5703125" customWidth="1"/>
    <col min="4" max="4" width="12.85546875" customWidth="1"/>
    <col min="8" max="8" width="10.42578125" customWidth="1"/>
    <col min="11" max="11" width="30.28515625" customWidth="1"/>
    <col min="22" max="22" width="45.140625" customWidth="1"/>
    <col min="26" max="26" width="35.42578125" customWidth="1"/>
    <col min="30" max="30" width="25" customWidth="1"/>
    <col min="34" max="34" width="19.42578125" customWidth="1"/>
    <col min="39" max="39" width="31.42578125" customWidth="1"/>
    <col min="40" max="40" width="17" customWidth="1"/>
  </cols>
  <sheetData>
    <row r="2" spans="2:22" x14ac:dyDescent="0.25">
      <c r="E2" s="105" t="s">
        <v>274</v>
      </c>
      <c r="F2" t="s">
        <v>832</v>
      </c>
      <c r="G2" s="104" t="s">
        <v>503</v>
      </c>
      <c r="H2" s="80" t="s">
        <v>833</v>
      </c>
      <c r="I2" t="s">
        <v>834</v>
      </c>
      <c r="J2" t="s">
        <v>835</v>
      </c>
      <c r="L2" t="s">
        <v>234</v>
      </c>
      <c r="M2" t="s">
        <v>236</v>
      </c>
    </row>
    <row r="3" spans="2:22" x14ac:dyDescent="0.25">
      <c r="B3" t="s">
        <v>41</v>
      </c>
      <c r="C3" t="s">
        <v>43</v>
      </c>
      <c r="D3" s="43" t="s">
        <v>15</v>
      </c>
      <c r="E3" s="86">
        <v>5.7075000000000005</v>
      </c>
      <c r="F3" s="366">
        <v>2.4474999999999998</v>
      </c>
      <c r="G3" s="152">
        <v>105.41666666666666</v>
      </c>
      <c r="H3" s="287">
        <v>5.4142292490118586E-2</v>
      </c>
      <c r="I3">
        <v>18.4698496130822</v>
      </c>
      <c r="J3">
        <v>2.3319713993871303</v>
      </c>
      <c r="K3" t="s">
        <v>845</v>
      </c>
      <c r="L3">
        <v>0.89147314827134649</v>
      </c>
      <c r="M3">
        <v>2.6459323295894542E-24</v>
      </c>
      <c r="V3" s="80"/>
    </row>
    <row r="4" spans="2:22" x14ac:dyDescent="0.25">
      <c r="D4" t="s">
        <v>17</v>
      </c>
      <c r="E4" s="86">
        <v>9.0274999999999999</v>
      </c>
      <c r="F4" s="152">
        <v>2.9474999999999998</v>
      </c>
      <c r="G4" s="152">
        <v>158.63874345549738</v>
      </c>
      <c r="H4" s="287">
        <v>5.690602310231023E-2</v>
      </c>
      <c r="I4">
        <v>17.572832285294641</v>
      </c>
      <c r="J4">
        <v>3.0627650551314676</v>
      </c>
      <c r="K4" t="s">
        <v>836</v>
      </c>
      <c r="L4" s="80">
        <v>0.72614558222829695</v>
      </c>
      <c r="M4">
        <v>1.0885033133156489E-4</v>
      </c>
      <c r="V4" s="80"/>
    </row>
    <row r="5" spans="2:22" x14ac:dyDescent="0.25">
      <c r="C5" s="105"/>
      <c r="D5" s="101"/>
      <c r="E5" s="106"/>
      <c r="F5" s="65">
        <v>1.0375000000000001</v>
      </c>
      <c r="G5" s="152"/>
      <c r="H5" s="287"/>
      <c r="K5" t="s">
        <v>837</v>
      </c>
      <c r="L5" s="80">
        <v>0.77782871131625242</v>
      </c>
      <c r="M5">
        <v>1.301653060616446E-6</v>
      </c>
      <c r="V5" s="80"/>
    </row>
    <row r="6" spans="2:22" x14ac:dyDescent="0.25">
      <c r="C6" t="s">
        <v>44</v>
      </c>
      <c r="D6" t="s">
        <v>21</v>
      </c>
      <c r="E6" s="102">
        <v>9.6375000000000011</v>
      </c>
      <c r="F6" s="205">
        <v>3.3174999999999999</v>
      </c>
      <c r="G6" s="205">
        <v>295.6521739130435</v>
      </c>
      <c r="H6" s="287">
        <v>3.2597426470588234E-2</v>
      </c>
      <c r="I6">
        <v>30.677268369706198</v>
      </c>
      <c r="J6">
        <v>2.905048982667672</v>
      </c>
      <c r="K6" t="s">
        <v>838</v>
      </c>
      <c r="L6" s="80">
        <v>0.79581346465806169</v>
      </c>
      <c r="M6">
        <v>1.4966103202043672E-6</v>
      </c>
      <c r="V6" s="80"/>
    </row>
    <row r="7" spans="2:22" x14ac:dyDescent="0.25">
      <c r="E7" s="85"/>
      <c r="F7" s="65">
        <v>1.3574999999999999</v>
      </c>
      <c r="G7" s="152"/>
      <c r="H7" s="287"/>
      <c r="L7" s="80"/>
      <c r="V7" s="80"/>
    </row>
    <row r="8" spans="2:22" x14ac:dyDescent="0.25">
      <c r="D8" s="45" t="s">
        <v>22</v>
      </c>
      <c r="E8" s="85">
        <v>8.2475000000000005</v>
      </c>
      <c r="F8" s="228">
        <v>2.3174999999999999</v>
      </c>
      <c r="G8" s="152">
        <v>240</v>
      </c>
      <c r="H8" s="287">
        <v>3.4364583333333337E-2</v>
      </c>
      <c r="I8">
        <v>29.099727190057592</v>
      </c>
      <c r="J8">
        <v>3.5587918015102487</v>
      </c>
      <c r="L8" s="80"/>
      <c r="V8" s="80"/>
    </row>
    <row r="9" spans="2:22" x14ac:dyDescent="0.25">
      <c r="D9" t="s">
        <v>27</v>
      </c>
      <c r="E9" s="85">
        <v>8.6974999999999998</v>
      </c>
      <c r="F9" s="228">
        <v>3.0175000000000001</v>
      </c>
      <c r="G9" s="152">
        <v>287.03703703703701</v>
      </c>
      <c r="H9" s="287">
        <v>3.0300967741935487E-2</v>
      </c>
      <c r="I9">
        <v>33.00224628192435</v>
      </c>
      <c r="J9">
        <v>2.8823529411764706</v>
      </c>
      <c r="L9" s="80"/>
      <c r="V9" s="80"/>
    </row>
    <row r="10" spans="2:22" x14ac:dyDescent="0.25">
      <c r="C10" s="43"/>
      <c r="D10" s="43" t="s">
        <v>29</v>
      </c>
      <c r="E10" s="108">
        <v>7.4375</v>
      </c>
      <c r="F10" s="228">
        <v>2.8174999999999999</v>
      </c>
      <c r="G10" s="152">
        <v>215.1098901098901</v>
      </c>
      <c r="H10" s="287">
        <v>3.457535121328225E-2</v>
      </c>
      <c r="I10">
        <v>28.922338166035644</v>
      </c>
      <c r="J10">
        <v>2.639751552795031</v>
      </c>
      <c r="L10" s="80"/>
      <c r="V10" s="80"/>
    </row>
    <row r="11" spans="2:22" x14ac:dyDescent="0.25">
      <c r="C11" s="105"/>
      <c r="D11" s="105" t="s">
        <v>96</v>
      </c>
      <c r="E11" s="85">
        <v>2.0674999999999999</v>
      </c>
      <c r="F11" s="367">
        <v>1.1074999999999999</v>
      </c>
      <c r="G11" s="152">
        <v>78.141025641025635</v>
      </c>
      <c r="H11" s="287">
        <v>2.6458572600492208E-2</v>
      </c>
      <c r="I11">
        <v>37.794933804607325</v>
      </c>
      <c r="J11">
        <v>1.8668171557562077</v>
      </c>
      <c r="L11" t="s">
        <v>234</v>
      </c>
      <c r="M11" t="s">
        <v>236</v>
      </c>
      <c r="V11" s="80"/>
    </row>
    <row r="12" spans="2:22" x14ac:dyDescent="0.25">
      <c r="C12" s="43" t="s">
        <v>45</v>
      </c>
      <c r="D12" s="43" t="s">
        <v>16</v>
      </c>
      <c r="E12" s="79">
        <v>8.1275000000000013</v>
      </c>
      <c r="F12" s="368">
        <v>2.3875000000000002</v>
      </c>
      <c r="G12" s="205">
        <v>308.75</v>
      </c>
      <c r="H12" s="287">
        <v>2.6323886639676119E-2</v>
      </c>
      <c r="I12">
        <v>37.988311288834197</v>
      </c>
      <c r="J12">
        <v>3.4041884816753929</v>
      </c>
      <c r="K12" t="s">
        <v>846</v>
      </c>
      <c r="L12">
        <v>0.81749564801173047</v>
      </c>
      <c r="M12">
        <v>5.5629052010839881E-19</v>
      </c>
      <c r="V12" s="80"/>
    </row>
    <row r="13" spans="2:22" x14ac:dyDescent="0.25">
      <c r="D13" s="61"/>
      <c r="E13" s="50"/>
      <c r="F13" s="156">
        <v>0.42749999999999999</v>
      </c>
      <c r="G13" s="152"/>
      <c r="H13" s="287"/>
      <c r="K13" t="s">
        <v>847</v>
      </c>
      <c r="L13" s="80">
        <v>0.91729293007942181</v>
      </c>
      <c r="M13">
        <v>7.4912486101148908E-8</v>
      </c>
      <c r="V13" s="80"/>
    </row>
    <row r="14" spans="2:22" x14ac:dyDescent="0.25">
      <c r="D14" t="s">
        <v>18</v>
      </c>
      <c r="E14" s="50">
        <v>11.127500000000001</v>
      </c>
      <c r="F14" s="228">
        <v>2.6575000000000002</v>
      </c>
      <c r="G14" s="152">
        <v>195.71428571428572</v>
      </c>
      <c r="H14" s="287">
        <v>5.6855839416058401E-2</v>
      </c>
      <c r="I14">
        <v>17.588342908495683</v>
      </c>
      <c r="J14">
        <v>4.1872060206961432</v>
      </c>
      <c r="K14" t="s">
        <v>848</v>
      </c>
      <c r="L14" s="80">
        <v>0.36798627812554713</v>
      </c>
      <c r="M14">
        <v>7.6037491264862901E-3</v>
      </c>
      <c r="V14" s="80"/>
    </row>
    <row r="15" spans="2:22" x14ac:dyDescent="0.25">
      <c r="D15" t="s">
        <v>26</v>
      </c>
      <c r="E15" s="82">
        <v>5.5675000000000008</v>
      </c>
      <c r="F15" s="228">
        <v>1.6675</v>
      </c>
      <c r="G15" s="152">
        <v>155.20833333333334</v>
      </c>
      <c r="H15" s="287">
        <v>3.5871140939597319E-2</v>
      </c>
      <c r="I15">
        <v>27.877563239036071</v>
      </c>
      <c r="J15">
        <v>3.3388305847076465</v>
      </c>
      <c r="K15" t="s">
        <v>849</v>
      </c>
      <c r="L15" s="80">
        <v>0.7939333007666971</v>
      </c>
      <c r="M15">
        <v>1.6047461480275029E-6</v>
      </c>
      <c r="V15" s="80"/>
    </row>
    <row r="16" spans="2:22" x14ac:dyDescent="0.25">
      <c r="E16" s="83"/>
      <c r="F16" s="65">
        <v>0.32749999999999996</v>
      </c>
      <c r="G16" s="152"/>
      <c r="H16" s="287"/>
      <c r="L16" s="80"/>
      <c r="V16" s="80"/>
    </row>
    <row r="17" spans="2:22" x14ac:dyDescent="0.25">
      <c r="B17" t="s">
        <v>839</v>
      </c>
      <c r="C17">
        <v>3.0138652169196738</v>
      </c>
      <c r="D17" t="s">
        <v>27</v>
      </c>
      <c r="E17" s="83">
        <v>8.557500000000001</v>
      </c>
      <c r="F17" s="228">
        <v>2.7974999999999999</v>
      </c>
      <c r="G17" s="152">
        <v>205.04201680672267</v>
      </c>
      <c r="H17" s="287">
        <v>4.1735348360655747E-2</v>
      </c>
      <c r="I17">
        <v>23.960504447177641</v>
      </c>
      <c r="J17">
        <v>3.0589812332439683</v>
      </c>
      <c r="K17" t="s">
        <v>850</v>
      </c>
      <c r="L17" s="80">
        <v>0.63452877002615937</v>
      </c>
      <c r="M17">
        <v>7.6636663590488431E-12</v>
      </c>
      <c r="V17" s="80"/>
    </row>
    <row r="18" spans="2:22" x14ac:dyDescent="0.25">
      <c r="B18" t="s">
        <v>840</v>
      </c>
      <c r="C18" s="288">
        <v>2.8419159247998631</v>
      </c>
      <c r="D18" t="s">
        <v>73</v>
      </c>
      <c r="E18" s="83">
        <v>6.1175000000000006</v>
      </c>
      <c r="F18" s="228">
        <v>2.4874999999999998</v>
      </c>
      <c r="G18" s="152">
        <v>187.03657106782103</v>
      </c>
      <c r="H18" s="287">
        <v>3.2707507227459513E-2</v>
      </c>
      <c r="I18">
        <v>30.574020607735353</v>
      </c>
      <c r="J18">
        <v>2.4592964824120607</v>
      </c>
      <c r="K18" t="s">
        <v>851</v>
      </c>
      <c r="L18" s="80">
        <v>0.60122502177144566</v>
      </c>
      <c r="M18">
        <v>1.1203617449700464E-3</v>
      </c>
      <c r="V18" s="80"/>
    </row>
    <row r="19" spans="2:22" x14ac:dyDescent="0.25">
      <c r="B19" t="s">
        <v>841</v>
      </c>
      <c r="C19" s="288">
        <v>3.7220422338912401E-2</v>
      </c>
      <c r="D19" t="s">
        <v>74</v>
      </c>
      <c r="E19" s="82">
        <v>6.0475000000000003</v>
      </c>
      <c r="F19" s="228">
        <v>2.5874999999999999</v>
      </c>
      <c r="G19" s="152">
        <v>287.61255411255416</v>
      </c>
      <c r="H19" s="287">
        <v>2.1026550870353784E-2</v>
      </c>
      <c r="I19">
        <v>47.55891758785517</v>
      </c>
      <c r="J19">
        <v>2.3371980676328503</v>
      </c>
      <c r="K19" t="s">
        <v>852</v>
      </c>
      <c r="L19" s="80">
        <v>0.32061871077770754</v>
      </c>
      <c r="M19">
        <v>1.429625741241073E-2</v>
      </c>
      <c r="V19" s="80"/>
    </row>
    <row r="20" spans="2:22" x14ac:dyDescent="0.25">
      <c r="B20" t="s">
        <v>842</v>
      </c>
      <c r="C20" s="289">
        <v>29.314373522295543</v>
      </c>
      <c r="D20" s="105" t="s">
        <v>92</v>
      </c>
      <c r="E20" s="82">
        <v>0.90749999999999997</v>
      </c>
      <c r="F20" s="157">
        <v>0.51749999999999996</v>
      </c>
      <c r="G20" s="246"/>
      <c r="H20" s="291"/>
      <c r="I20" s="105"/>
      <c r="J20" s="105">
        <v>1.7536231884057971</v>
      </c>
      <c r="K20" t="s">
        <v>853</v>
      </c>
      <c r="L20" s="80">
        <v>0.53026209845262762</v>
      </c>
      <c r="M20">
        <v>9.1804250880823317E-4</v>
      </c>
      <c r="V20" s="80"/>
    </row>
    <row r="21" spans="2:22" x14ac:dyDescent="0.25">
      <c r="B21" t="s">
        <v>78</v>
      </c>
      <c r="C21" t="s">
        <v>43</v>
      </c>
      <c r="D21" s="43" t="s">
        <v>15</v>
      </c>
      <c r="E21" s="245">
        <v>27.254999999999999</v>
      </c>
      <c r="F21" s="292">
        <v>5.6550000000000002</v>
      </c>
      <c r="G21" s="228">
        <v>408.79518072289153</v>
      </c>
      <c r="H21" s="287">
        <v>6.6671529619805492E-2</v>
      </c>
      <c r="I21">
        <v>14.998905915351001</v>
      </c>
      <c r="J21">
        <v>4.819628647214854</v>
      </c>
      <c r="L21" s="80"/>
      <c r="V21" s="80"/>
    </row>
    <row r="22" spans="2:22" x14ac:dyDescent="0.25">
      <c r="D22" t="s">
        <v>17</v>
      </c>
      <c r="E22" s="203">
        <v>39.015000000000001</v>
      </c>
      <c r="F22" s="80">
        <v>11.455</v>
      </c>
      <c r="G22" s="61">
        <v>1041.3636363636363</v>
      </c>
      <c r="H22" s="287">
        <v>3.7465298996071587E-2</v>
      </c>
      <c r="I22">
        <v>26.69136579171181</v>
      </c>
      <c r="J22">
        <v>3.4059362723701443</v>
      </c>
      <c r="L22" s="80"/>
      <c r="V22" s="80"/>
    </row>
    <row r="23" spans="2:22" x14ac:dyDescent="0.25">
      <c r="C23" s="55" t="s">
        <v>44</v>
      </c>
      <c r="D23" s="55" t="s">
        <v>21</v>
      </c>
      <c r="E23" s="85">
        <v>31.684999999999999</v>
      </c>
      <c r="F23" s="247">
        <v>8.8249999999999993</v>
      </c>
      <c r="G23" s="61">
        <v>756.42857142857133</v>
      </c>
      <c r="H23" s="287">
        <v>4.1887629839471203E-2</v>
      </c>
      <c r="I23">
        <v>23.87339660497306</v>
      </c>
      <c r="J23">
        <v>3.5903682719546746</v>
      </c>
      <c r="L23" s="80"/>
      <c r="V23" s="80"/>
    </row>
    <row r="24" spans="2:22" x14ac:dyDescent="0.25">
      <c r="D24" t="s">
        <v>89</v>
      </c>
      <c r="E24" s="186">
        <v>7.4649999999999999</v>
      </c>
      <c r="F24">
        <v>2.0550000000000002</v>
      </c>
      <c r="G24" s="61">
        <v>205.5</v>
      </c>
      <c r="H24" s="287">
        <v>3.6326034063260342E-2</v>
      </c>
      <c r="I24">
        <v>27.528466175485601</v>
      </c>
      <c r="J24">
        <v>3.6326034063260337</v>
      </c>
      <c r="L24" s="80"/>
      <c r="V24" s="80"/>
    </row>
    <row r="25" spans="2:22" x14ac:dyDescent="0.25">
      <c r="D25" s="45" t="s">
        <v>22</v>
      </c>
      <c r="E25" s="187">
        <v>28.484999999999999</v>
      </c>
      <c r="F25">
        <v>6.2250000000000005</v>
      </c>
      <c r="G25" s="61">
        <v>346.90402476780184</v>
      </c>
      <c r="H25" s="287">
        <v>8.2112048192771084E-2</v>
      </c>
      <c r="I25">
        <v>12.178480771205964</v>
      </c>
      <c r="J25">
        <v>4.5759036144578307</v>
      </c>
      <c r="L25" s="80"/>
      <c r="V25" s="80"/>
    </row>
    <row r="26" spans="2:22" x14ac:dyDescent="0.25">
      <c r="D26" s="222" t="s">
        <v>178</v>
      </c>
      <c r="E26" s="187">
        <v>3.0050000000000003</v>
      </c>
      <c r="F26">
        <v>1.7849999999999999</v>
      </c>
      <c r="G26" s="61">
        <v>89.25</v>
      </c>
      <c r="H26" s="287">
        <v>3.3669467787114847E-2</v>
      </c>
      <c r="I26">
        <v>29.700499168053241</v>
      </c>
      <c r="J26">
        <v>1.6834733893557425</v>
      </c>
      <c r="L26" s="80"/>
      <c r="V26" s="80"/>
    </row>
    <row r="27" spans="2:22" x14ac:dyDescent="0.25">
      <c r="D27" t="s">
        <v>27</v>
      </c>
      <c r="E27" s="187">
        <v>31.695</v>
      </c>
      <c r="F27" s="100">
        <v>7.7650000000000006</v>
      </c>
      <c r="G27" s="61">
        <v>228.38235294117646</v>
      </c>
      <c r="H27" s="287">
        <v>0.13878042498390214</v>
      </c>
      <c r="I27">
        <v>7.2056271633120828</v>
      </c>
      <c r="J27">
        <v>4.0817772054088861</v>
      </c>
      <c r="L27" s="80"/>
      <c r="V27" s="80"/>
    </row>
    <row r="28" spans="2:22" x14ac:dyDescent="0.25">
      <c r="C28" s="43"/>
      <c r="D28" s="43" t="s">
        <v>29</v>
      </c>
      <c r="E28" s="187">
        <v>26.395</v>
      </c>
      <c r="F28">
        <v>6.415</v>
      </c>
      <c r="G28" s="104">
        <v>342.13333333333333</v>
      </c>
      <c r="H28" s="287">
        <v>7.714828526890101E-2</v>
      </c>
      <c r="I28">
        <v>12.962050893477301</v>
      </c>
      <c r="J28">
        <v>4.1145752143413876</v>
      </c>
      <c r="L28" s="80"/>
      <c r="V28" s="80"/>
    </row>
    <row r="29" spans="2:22" x14ac:dyDescent="0.25">
      <c r="C29" s="55" t="s">
        <v>45</v>
      </c>
      <c r="D29" s="55" t="s">
        <v>16</v>
      </c>
      <c r="E29" s="186">
        <v>32.575000000000003</v>
      </c>
      <c r="F29" s="247">
        <v>4.625</v>
      </c>
      <c r="G29" s="61">
        <v>210.22727272727272</v>
      </c>
      <c r="H29" s="287">
        <v>0.15495135135135138</v>
      </c>
      <c r="I29">
        <v>6.4536384567082949</v>
      </c>
      <c r="J29">
        <v>7.0432432432432437</v>
      </c>
      <c r="L29" s="80"/>
      <c r="V29" s="80"/>
    </row>
    <row r="30" spans="2:22" x14ac:dyDescent="0.25">
      <c r="D30" s="61" t="s">
        <v>90</v>
      </c>
      <c r="E30" s="50">
        <v>1.9349999999999998</v>
      </c>
      <c r="F30">
        <v>1.175</v>
      </c>
      <c r="G30" s="61">
        <v>90.384615384615387</v>
      </c>
      <c r="H30" s="287">
        <v>2.1408510638297872E-2</v>
      </c>
      <c r="I30">
        <v>46.710395547604854</v>
      </c>
      <c r="J30">
        <v>1.6468085106382977</v>
      </c>
      <c r="L30" s="80"/>
      <c r="V30" s="80"/>
    </row>
    <row r="31" spans="2:22" x14ac:dyDescent="0.25">
      <c r="D31" t="s">
        <v>18</v>
      </c>
      <c r="E31" s="50">
        <v>43.715000000000003</v>
      </c>
      <c r="F31">
        <v>12.864999999999998</v>
      </c>
      <c r="G31" s="61">
        <v>796.94690265486713</v>
      </c>
      <c r="H31" s="287">
        <v>5.4853089778468728E-2</v>
      </c>
      <c r="I31">
        <v>18.230513614431363</v>
      </c>
      <c r="J31">
        <v>3.3979790128254961</v>
      </c>
      <c r="L31" s="80"/>
      <c r="V31" s="80"/>
    </row>
    <row r="32" spans="2:22" x14ac:dyDescent="0.25">
      <c r="D32" t="s">
        <v>168</v>
      </c>
      <c r="E32" s="50">
        <v>28.654999999999998</v>
      </c>
      <c r="F32">
        <v>4.5650000000000004</v>
      </c>
      <c r="G32" s="61">
        <v>243.46666666666664</v>
      </c>
      <c r="H32" s="287">
        <v>0.11769578313253012</v>
      </c>
      <c r="I32">
        <v>8.4964811260396669</v>
      </c>
      <c r="J32">
        <v>6.2771084337349388</v>
      </c>
      <c r="L32" s="80"/>
      <c r="V32" s="80"/>
    </row>
    <row r="33" spans="2:22" x14ac:dyDescent="0.25">
      <c r="D33" t="s">
        <v>26</v>
      </c>
      <c r="E33" s="50">
        <v>25.984999999999999</v>
      </c>
      <c r="F33">
        <v>5.0250000000000004</v>
      </c>
      <c r="G33" s="61">
        <v>296.65041067761803</v>
      </c>
      <c r="H33" s="287">
        <v>8.7594687432403215E-2</v>
      </c>
      <c r="I33">
        <v>11.416217459211778</v>
      </c>
      <c r="J33">
        <v>5.171144278606965</v>
      </c>
      <c r="L33" s="80"/>
      <c r="V33" s="80"/>
    </row>
    <row r="34" spans="2:22" x14ac:dyDescent="0.25">
      <c r="B34" t="s">
        <v>839</v>
      </c>
      <c r="C34" s="288">
        <v>4.4202614678997012</v>
      </c>
      <c r="D34" t="s">
        <v>27</v>
      </c>
      <c r="E34" s="82">
        <v>36.585000000000001</v>
      </c>
      <c r="F34">
        <v>9.4749999999999996</v>
      </c>
      <c r="G34" s="61">
        <v>551.94175293147327</v>
      </c>
      <c r="H34" s="287">
        <v>6.6284168221899739E-2</v>
      </c>
      <c r="I34">
        <v>15.08655877904806</v>
      </c>
      <c r="J34">
        <v>3.861213720316623</v>
      </c>
      <c r="L34" s="80"/>
      <c r="V34" s="80"/>
    </row>
    <row r="35" spans="2:22" x14ac:dyDescent="0.25">
      <c r="B35" t="s">
        <v>840</v>
      </c>
      <c r="C35" s="288">
        <v>4.049071205384827</v>
      </c>
      <c r="D35" t="s">
        <v>31</v>
      </c>
      <c r="E35" s="186">
        <v>28.035</v>
      </c>
      <c r="F35">
        <v>6.9750000000000005</v>
      </c>
      <c r="G35" s="61">
        <v>422.72727272727275</v>
      </c>
      <c r="H35" s="287">
        <v>6.6319354838709668E-2</v>
      </c>
      <c r="I35">
        <v>15.078554404397101</v>
      </c>
      <c r="J35">
        <v>4.0193548387096767</v>
      </c>
      <c r="L35" s="80"/>
      <c r="V35" s="80"/>
    </row>
    <row r="36" spans="2:22" x14ac:dyDescent="0.25">
      <c r="B36" t="s">
        <v>843</v>
      </c>
      <c r="C36" s="288">
        <v>7.4476649067032996E-2</v>
      </c>
      <c r="D36" t="s">
        <v>183</v>
      </c>
      <c r="E36" s="83">
        <v>8.8649999999999984</v>
      </c>
      <c r="F36" s="100">
        <v>3.4750000000000001</v>
      </c>
      <c r="G36" s="61">
        <v>133.65384615384616</v>
      </c>
      <c r="H36" s="287">
        <v>6.6328057553956821E-2</v>
      </c>
      <c r="I36">
        <v>15.076575990281578</v>
      </c>
      <c r="J36">
        <v>2.5510791366906469</v>
      </c>
      <c r="L36" s="80"/>
      <c r="V36" s="80"/>
    </row>
    <row r="37" spans="2:22" x14ac:dyDescent="0.25">
      <c r="B37" t="s">
        <v>844</v>
      </c>
      <c r="C37" s="289">
        <v>17.66255996300087</v>
      </c>
      <c r="D37" s="105" t="s">
        <v>32</v>
      </c>
      <c r="E37" s="82">
        <v>26.125</v>
      </c>
      <c r="F37" s="105">
        <v>5.2650000000000006</v>
      </c>
      <c r="G37" s="104">
        <v>224.04255319148939</v>
      </c>
      <c r="H37" s="291">
        <v>0.11660731244064576</v>
      </c>
      <c r="I37" s="105">
        <v>8.575791509722082</v>
      </c>
      <c r="J37" s="105">
        <v>4.9620132953466278</v>
      </c>
      <c r="L37" s="80"/>
      <c r="V37" s="80"/>
    </row>
    <row r="38" spans="2:22" x14ac:dyDescent="0.25">
      <c r="B38" t="s">
        <v>79</v>
      </c>
      <c r="C38" t="s">
        <v>43</v>
      </c>
      <c r="D38" t="s">
        <v>17</v>
      </c>
      <c r="E38" s="208">
        <v>4.9228000000000005</v>
      </c>
      <c r="F38" s="290">
        <v>1.7928000000000002</v>
      </c>
      <c r="G38" s="152">
        <v>109.2</v>
      </c>
      <c r="H38" s="287">
        <v>4.5080586080586085E-2</v>
      </c>
      <c r="I38">
        <v>22.182497765499306</v>
      </c>
      <c r="J38">
        <v>2.745872378402499</v>
      </c>
      <c r="L38" s="80"/>
      <c r="V38" s="80"/>
    </row>
    <row r="39" spans="2:22" x14ac:dyDescent="0.25">
      <c r="C39" s="55" t="s">
        <v>44</v>
      </c>
      <c r="D39" s="55" t="s">
        <v>21</v>
      </c>
      <c r="E39" s="208">
        <v>4.0428000000000006</v>
      </c>
      <c r="F39" s="211">
        <v>2.1928000000000001</v>
      </c>
      <c r="G39" s="205">
        <v>175.26315789473685</v>
      </c>
      <c r="H39" s="287">
        <v>2.306702702702703E-2</v>
      </c>
      <c r="I39">
        <v>43.351923888081728</v>
      </c>
      <c r="J39">
        <v>1.8436701933600879</v>
      </c>
      <c r="L39" s="80"/>
      <c r="V39" s="80"/>
    </row>
    <row r="40" spans="2:22" x14ac:dyDescent="0.25">
      <c r="D40" s="45" t="s">
        <v>22</v>
      </c>
      <c r="E40" s="207">
        <v>4.0528000000000004</v>
      </c>
      <c r="F40" s="210">
        <v>2.0627999999999997</v>
      </c>
      <c r="G40" s="152">
        <v>136.30434782608697</v>
      </c>
      <c r="H40" s="287">
        <v>2.9733460925039874E-2</v>
      </c>
      <c r="I40">
        <v>33.632142673235037</v>
      </c>
      <c r="J40">
        <v>1.9647081636610437</v>
      </c>
      <c r="L40" s="80"/>
      <c r="V40" s="80"/>
    </row>
    <row r="41" spans="2:22" x14ac:dyDescent="0.25">
      <c r="D41" t="s">
        <v>27</v>
      </c>
      <c r="E41" s="207">
        <v>4.5628000000000002</v>
      </c>
      <c r="F41" s="210">
        <v>1.5628000000000002</v>
      </c>
      <c r="G41" s="152">
        <v>132.5</v>
      </c>
      <c r="H41" s="287">
        <v>3.4436226415094341E-2</v>
      </c>
      <c r="I41">
        <v>29.03918646445165</v>
      </c>
      <c r="J41">
        <v>2.9196314307652926</v>
      </c>
      <c r="L41" s="80"/>
      <c r="V41" s="80"/>
    </row>
    <row r="42" spans="2:22" x14ac:dyDescent="0.25">
      <c r="D42" t="s">
        <v>167</v>
      </c>
      <c r="E42" s="207">
        <v>0.36280000000000001</v>
      </c>
      <c r="F42" s="210">
        <v>0.20280000000000001</v>
      </c>
      <c r="G42" s="152">
        <v>20</v>
      </c>
      <c r="H42" s="287">
        <v>1.814E-2</v>
      </c>
      <c r="I42">
        <v>55.126791620727673</v>
      </c>
      <c r="J42">
        <v>1.7889546351084813</v>
      </c>
      <c r="L42" s="80"/>
      <c r="V42" s="80"/>
    </row>
    <row r="43" spans="2:22" x14ac:dyDescent="0.25">
      <c r="D43" s="43" t="s">
        <v>29</v>
      </c>
      <c r="E43" s="188">
        <v>3.8828</v>
      </c>
      <c r="F43" s="212">
        <v>2.0528</v>
      </c>
      <c r="G43" s="152">
        <v>178.28571428571431</v>
      </c>
      <c r="H43" s="287">
        <v>2.1778525641025639E-2</v>
      </c>
      <c r="I43">
        <v>45.91679053407703</v>
      </c>
      <c r="J43">
        <v>1.891465315666407</v>
      </c>
      <c r="L43" s="80"/>
      <c r="V43" s="80"/>
    </row>
    <row r="44" spans="2:22" x14ac:dyDescent="0.25">
      <c r="C44" s="55" t="s">
        <v>45</v>
      </c>
      <c r="D44" s="55" t="s">
        <v>16</v>
      </c>
      <c r="E44" s="207">
        <v>2.1728000000000001</v>
      </c>
      <c r="F44" s="211">
        <v>1.6228</v>
      </c>
      <c r="G44" s="205">
        <v>123.74999999999999</v>
      </c>
      <c r="H44" s="287">
        <v>1.7557979797979802E-2</v>
      </c>
      <c r="I44">
        <v>56.954160530191452</v>
      </c>
      <c r="J44">
        <v>1.3389203845205817</v>
      </c>
      <c r="L44" s="80"/>
      <c r="V44" s="80"/>
    </row>
    <row r="45" spans="2:22" x14ac:dyDescent="0.25">
      <c r="D45" t="s">
        <v>18</v>
      </c>
      <c r="E45" s="207">
        <v>3.7527999999999997</v>
      </c>
      <c r="F45" s="210">
        <v>1.2328000000000001</v>
      </c>
      <c r="G45" s="152">
        <v>72</v>
      </c>
      <c r="H45" s="287">
        <v>5.2122222222222216E-2</v>
      </c>
      <c r="I45">
        <v>19.185674696226819</v>
      </c>
      <c r="J45">
        <v>3.0441271901362748</v>
      </c>
      <c r="L45" s="80"/>
      <c r="V45" s="80"/>
    </row>
    <row r="46" spans="2:22" x14ac:dyDescent="0.25">
      <c r="D46" t="s">
        <v>168</v>
      </c>
      <c r="E46" s="208">
        <v>0.36280000000000001</v>
      </c>
      <c r="F46" s="210">
        <v>0.1928</v>
      </c>
      <c r="G46" s="152">
        <v>18.333333333333332</v>
      </c>
      <c r="H46" s="287">
        <v>1.9789090909090912E-2</v>
      </c>
      <c r="I46">
        <v>50.532892319000361</v>
      </c>
      <c r="J46">
        <v>1.8817427385892116</v>
      </c>
      <c r="L46" s="80"/>
      <c r="V46" s="80"/>
    </row>
    <row r="47" spans="2:22" x14ac:dyDescent="0.25">
      <c r="B47" t="s">
        <v>839</v>
      </c>
      <c r="C47" s="288">
        <v>2.1354890084601506</v>
      </c>
      <c r="D47" t="s">
        <v>27</v>
      </c>
      <c r="E47" s="208">
        <v>3.5627999999999997</v>
      </c>
      <c r="F47" s="210">
        <v>2.1328</v>
      </c>
      <c r="G47" s="152">
        <v>150</v>
      </c>
      <c r="H47" s="287">
        <v>2.3751999999999999E-2</v>
      </c>
      <c r="I47">
        <v>42.101717750084205</v>
      </c>
      <c r="J47">
        <v>1.6704801200300075</v>
      </c>
      <c r="L47" s="80"/>
      <c r="V47" s="80"/>
    </row>
    <row r="48" spans="2:22" x14ac:dyDescent="0.25">
      <c r="B48" t="s">
        <v>840</v>
      </c>
      <c r="C48" s="288">
        <v>2.0594855211995684</v>
      </c>
      <c r="D48" t="s">
        <v>167</v>
      </c>
      <c r="E48" s="207">
        <v>1.6128</v>
      </c>
      <c r="F48" s="210">
        <v>0.92279999999999995</v>
      </c>
      <c r="G48" s="152">
        <v>73.07692307692308</v>
      </c>
      <c r="H48" s="287">
        <v>2.2069894736842104E-2</v>
      </c>
      <c r="I48">
        <v>45.310592185592185</v>
      </c>
      <c r="J48">
        <v>1.7477243172951886</v>
      </c>
      <c r="L48" s="80"/>
      <c r="V48" s="80"/>
    </row>
    <row r="49" spans="2:22" x14ac:dyDescent="0.25">
      <c r="B49" t="s">
        <v>843</v>
      </c>
      <c r="C49" s="288">
        <v>2.7657582649465808E-2</v>
      </c>
      <c r="D49" t="s">
        <v>73</v>
      </c>
      <c r="E49" s="208">
        <v>3.3828</v>
      </c>
      <c r="F49" s="210">
        <v>1.8628</v>
      </c>
      <c r="G49" s="152">
        <v>130.34482758620689</v>
      </c>
      <c r="H49" s="287">
        <v>2.5952698412698413E-2</v>
      </c>
      <c r="I49">
        <v>38.531638756712454</v>
      </c>
      <c r="J49">
        <v>1.815975950182521</v>
      </c>
      <c r="L49" s="80"/>
      <c r="V49" s="80"/>
    </row>
    <row r="50" spans="2:22" x14ac:dyDescent="0.25">
      <c r="B50" t="s">
        <v>844</v>
      </c>
      <c r="C50" s="288">
        <v>40.017380727832105</v>
      </c>
      <c r="D50" t="s">
        <v>74</v>
      </c>
      <c r="E50" s="207">
        <v>3.4827999999999997</v>
      </c>
      <c r="F50" s="210">
        <v>1.6428</v>
      </c>
      <c r="G50" s="152">
        <v>133.6</v>
      </c>
      <c r="H50" s="287">
        <v>2.6068862275449099E-2</v>
      </c>
      <c r="I50">
        <v>38.359940277937291</v>
      </c>
      <c r="J50">
        <v>2.1200389578767953</v>
      </c>
      <c r="L50" s="80"/>
      <c r="V50" s="80"/>
    </row>
    <row r="51" spans="2:22" x14ac:dyDescent="0.25">
      <c r="V51" s="80"/>
    </row>
    <row r="52" spans="2:22" x14ac:dyDescent="0.25">
      <c r="V52" s="80"/>
    </row>
    <row r="53" spans="2:22" x14ac:dyDescent="0.25">
      <c r="V53" s="80"/>
    </row>
    <row r="54" spans="2:22" x14ac:dyDescent="0.25">
      <c r="V54" s="8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C5B66-6A85-4DB0-8CAA-25C2606DE0C7}">
  <sheetPr codeName="Sheet9">
    <pageSetUpPr fitToPage="1"/>
  </sheetPr>
  <dimension ref="B1:MA437"/>
  <sheetViews>
    <sheetView tabSelected="1" topLeftCell="DP183" zoomScale="140" zoomScaleNormal="140" workbookViewId="0">
      <selection activeCell="DQ184" sqref="DQ184"/>
    </sheetView>
  </sheetViews>
  <sheetFormatPr defaultColWidth="14.7109375" defaultRowHeight="15" x14ac:dyDescent="0.25"/>
  <cols>
    <col min="2" max="2" width="30.85546875" customWidth="1"/>
    <col min="3" max="3" width="16.7109375" customWidth="1"/>
    <col min="4" max="4" width="5.5703125" customWidth="1"/>
    <col min="5" max="5" width="5.7109375" customWidth="1"/>
    <col min="6" max="6" width="5.42578125" customWidth="1"/>
    <col min="7" max="7" width="11.42578125" customWidth="1"/>
    <col min="8" max="8" width="16.85546875" customWidth="1"/>
    <col min="9" max="9" width="5.5703125" customWidth="1"/>
    <col min="10" max="10" width="5.7109375" customWidth="1"/>
    <col min="11" max="11" width="5.42578125" customWidth="1"/>
    <col min="12" max="12" width="11.42578125" customWidth="1"/>
    <col min="16" max="16" width="17.28515625" customWidth="1"/>
    <col min="18" max="18" width="13.42578125" customWidth="1"/>
    <col min="19" max="19" width="9.5703125" customWidth="1"/>
    <col min="20" max="20" width="14.28515625" customWidth="1"/>
    <col min="21" max="21" width="13.42578125" customWidth="1"/>
    <col min="22" max="22" width="8.85546875" customWidth="1"/>
    <col min="23" max="23" width="15.42578125" customWidth="1"/>
    <col min="24" max="24" width="16.85546875" customWidth="1"/>
    <col min="26" max="26" width="19.42578125" customWidth="1"/>
    <col min="27" max="27" width="12" customWidth="1"/>
    <col min="28" max="28" width="6.7109375" customWidth="1"/>
    <col min="29" max="29" width="6.85546875" customWidth="1"/>
    <col min="30" max="30" width="6.42578125" customWidth="1"/>
    <col min="31" max="31" width="8.5703125" customWidth="1"/>
    <col min="32" max="32" width="11.85546875" customWidth="1"/>
    <col min="36" max="36" width="21.140625" customWidth="1"/>
    <col min="37" max="37" width="40.5703125" customWidth="1"/>
    <col min="38" max="57" width="8.85546875" customWidth="1"/>
    <col min="58" max="58" width="11.7109375" customWidth="1"/>
    <col min="59" max="59" width="14.7109375" customWidth="1"/>
    <col min="60" max="60" width="17.85546875" customWidth="1"/>
    <col min="63" max="63" width="20.7109375" customWidth="1"/>
    <col min="64" max="64" width="39.5703125" customWidth="1"/>
    <col min="65" max="84" width="8.85546875" customWidth="1"/>
    <col min="85" max="85" width="11.85546875" customWidth="1"/>
    <col min="86" max="87" width="15.140625" customWidth="1"/>
    <col min="88" max="88" width="15.85546875" customWidth="1"/>
    <col min="90" max="90" width="20.5703125" customWidth="1"/>
    <col min="91" max="91" width="21.85546875" customWidth="1"/>
    <col min="92" max="102" width="12.28515625" customWidth="1"/>
    <col min="103" max="113" width="12" bestFit="1" customWidth="1"/>
    <col min="114" max="114" width="12.85546875" bestFit="1" customWidth="1"/>
    <col min="115" max="115" width="12" bestFit="1" customWidth="1"/>
    <col min="116" max="116" width="12.42578125" customWidth="1"/>
    <col min="117" max="117" width="13.7109375" customWidth="1"/>
    <col min="118" max="118" width="11.85546875" customWidth="1"/>
    <col min="119" max="119" width="12.140625" customWidth="1"/>
    <col min="120" max="120" width="11.42578125" bestFit="1" customWidth="1"/>
    <col min="121" max="121" width="39" customWidth="1"/>
    <col min="122" max="124" width="11.42578125" bestFit="1" customWidth="1"/>
    <col min="125" max="125" width="12" bestFit="1" customWidth="1"/>
    <col min="126" max="126" width="11.42578125" bestFit="1" customWidth="1"/>
    <col min="127" max="141" width="12" bestFit="1" customWidth="1"/>
    <col min="142" max="142" width="12.85546875" bestFit="1" customWidth="1"/>
    <col min="143" max="143" width="13.5703125" bestFit="1" customWidth="1"/>
    <col min="144" max="146" width="12" bestFit="1" customWidth="1"/>
    <col min="147" max="147" width="11.85546875" customWidth="1"/>
    <col min="148" max="148" width="14" customWidth="1"/>
    <col min="149" max="149" width="12" customWidth="1"/>
    <col min="150" max="150" width="10.5703125" customWidth="1"/>
    <col min="151" max="151" width="35.140625" customWidth="1"/>
    <col min="152" max="152" width="39" customWidth="1"/>
    <col min="179" max="179" width="17.42578125" customWidth="1"/>
    <col min="180" max="180" width="12.42578125" customWidth="1"/>
    <col min="181" max="181" width="12.140625" customWidth="1"/>
    <col min="182" max="182" width="13.7109375" customWidth="1"/>
    <col min="183" max="183" width="12.85546875" customWidth="1"/>
    <col min="184" max="184" width="15" customWidth="1"/>
    <col min="185" max="185" width="12.7109375" customWidth="1"/>
    <col min="197" max="197" width="25.42578125" customWidth="1"/>
    <col min="246" max="246" width="55.42578125" customWidth="1"/>
    <col min="249" max="249" width="55.140625" customWidth="1"/>
    <col min="253" max="253" width="16" customWidth="1"/>
    <col min="255" max="255" width="35.140625" customWidth="1"/>
    <col min="283" max="283" width="28.85546875" customWidth="1"/>
    <col min="284" max="284" width="12.5703125" customWidth="1"/>
    <col min="285" max="285" width="21.42578125" customWidth="1"/>
    <col min="287" max="287" width="17.140625" customWidth="1"/>
    <col min="288" max="288" width="16.42578125" bestFit="1" customWidth="1"/>
    <col min="289" max="290" width="15" bestFit="1" customWidth="1"/>
    <col min="291" max="291" width="15.85546875" bestFit="1" customWidth="1"/>
    <col min="292" max="292" width="20.7109375" customWidth="1"/>
    <col min="295" max="295" width="35.5703125" customWidth="1"/>
    <col min="301" max="301" width="16" customWidth="1"/>
    <col min="302" max="302" width="15.28515625" customWidth="1"/>
    <col min="303" max="304" width="15.42578125" customWidth="1"/>
    <col min="305" max="305" width="22.42578125" customWidth="1"/>
    <col min="309" max="309" width="19.28515625" customWidth="1"/>
    <col min="310" max="310" width="17" bestFit="1" customWidth="1"/>
    <col min="311" max="311" width="14.85546875" customWidth="1"/>
    <col min="312" max="312" width="17" bestFit="1" customWidth="1"/>
    <col min="313" max="313" width="14.85546875" bestFit="1" customWidth="1"/>
    <col min="314" max="314" width="18.85546875" customWidth="1"/>
    <col min="315" max="315" width="14.85546875" bestFit="1" customWidth="1"/>
  </cols>
  <sheetData>
    <row r="1" spans="16:30" ht="15.75" thickBot="1" x14ac:dyDescent="0.3"/>
    <row r="2" spans="16:30" x14ac:dyDescent="0.25">
      <c r="T2" s="601" t="s">
        <v>686</v>
      </c>
      <c r="U2" s="601"/>
      <c r="Y2" s="43"/>
      <c r="Z2" s="43"/>
      <c r="AA2" s="43"/>
      <c r="AB2" s="43"/>
      <c r="AC2" s="43"/>
      <c r="AD2" s="43"/>
    </row>
    <row r="3" spans="16:30" x14ac:dyDescent="0.25">
      <c r="T3" s="455"/>
      <c r="U3" s="455"/>
      <c r="Y3" s="43"/>
      <c r="Z3" s="43"/>
      <c r="AA3" s="43"/>
      <c r="AB3" s="43"/>
      <c r="AC3" s="43"/>
      <c r="AD3" s="43"/>
    </row>
    <row r="4" spans="16:30" x14ac:dyDescent="0.25">
      <c r="T4" s="455" t="s">
        <v>353</v>
      </c>
      <c r="U4" s="455">
        <v>63.888358373652487</v>
      </c>
      <c r="Y4" s="43"/>
      <c r="Z4" s="636"/>
      <c r="AA4" s="636"/>
      <c r="AB4" s="636"/>
      <c r="AC4" s="636"/>
      <c r="AD4" s="43"/>
    </row>
    <row r="5" spans="16:30" x14ac:dyDescent="0.25">
      <c r="T5" s="455" t="s">
        <v>687</v>
      </c>
      <c r="U5" s="455">
        <v>6.1818871303124316</v>
      </c>
      <c r="Y5" s="43"/>
      <c r="Z5" s="43"/>
      <c r="AA5" s="43"/>
      <c r="AB5" s="43"/>
      <c r="AC5" s="43"/>
      <c r="AD5" s="43"/>
    </row>
    <row r="6" spans="16:30" x14ac:dyDescent="0.25">
      <c r="T6" s="455" t="s">
        <v>688</v>
      </c>
      <c r="U6" s="455">
        <v>59.226190476190482</v>
      </c>
      <c r="Y6" s="43"/>
      <c r="Z6" s="43"/>
      <c r="AA6" s="43"/>
      <c r="AB6" s="43"/>
      <c r="AC6" s="43"/>
      <c r="AD6" s="43"/>
    </row>
    <row r="7" spans="16:30" x14ac:dyDescent="0.25">
      <c r="T7" s="455" t="s">
        <v>689</v>
      </c>
      <c r="U7" s="455" t="e">
        <v>#N/A</v>
      </c>
      <c r="Y7" s="43"/>
      <c r="Z7" s="43"/>
      <c r="AA7" s="43"/>
      <c r="AB7" s="43"/>
      <c r="AC7" s="43"/>
      <c r="AD7" s="43"/>
    </row>
    <row r="8" spans="16:30" x14ac:dyDescent="0.25">
      <c r="P8" t="s">
        <v>684</v>
      </c>
      <c r="T8" s="455" t="s">
        <v>690</v>
      </c>
      <c r="U8" s="455">
        <v>10.707342596357297</v>
      </c>
      <c r="Y8" s="43"/>
      <c r="Z8" s="43"/>
      <c r="AA8" s="43"/>
      <c r="AB8" s="43"/>
      <c r="AC8" s="43"/>
      <c r="AD8" s="43"/>
    </row>
    <row r="9" spans="16:30" ht="15.75" thickBot="1" x14ac:dyDescent="0.3">
      <c r="T9" s="455" t="s">
        <v>691</v>
      </c>
      <c r="U9" s="455">
        <v>114.6471854757674</v>
      </c>
      <c r="Y9" s="43"/>
      <c r="Z9" s="43"/>
      <c r="AA9" s="43"/>
      <c r="AB9" s="43"/>
      <c r="AC9" s="43"/>
      <c r="AD9" s="43"/>
    </row>
    <row r="10" spans="16:30" x14ac:dyDescent="0.25">
      <c r="P10" s="457"/>
      <c r="Q10" s="457" t="s">
        <v>358</v>
      </c>
      <c r="R10" s="457" t="s">
        <v>359</v>
      </c>
      <c r="T10" s="455" t="s">
        <v>692</v>
      </c>
      <c r="U10" s="455" t="e">
        <v>#DIV/0!</v>
      </c>
    </row>
    <row r="11" spans="16:30" x14ac:dyDescent="0.25">
      <c r="P11" s="455" t="s">
        <v>353</v>
      </c>
      <c r="Q11" s="455">
        <v>195.3823953823954</v>
      </c>
      <c r="R11" s="455">
        <v>259.2707537560479</v>
      </c>
      <c r="T11" s="455" t="s">
        <v>693</v>
      </c>
      <c r="U11" s="455">
        <v>1.5879039129955645</v>
      </c>
    </row>
    <row r="12" spans="16:30" x14ac:dyDescent="0.25">
      <c r="P12" s="455" t="s">
        <v>327</v>
      </c>
      <c r="Q12" s="455">
        <v>4468.2455741708982</v>
      </c>
      <c r="R12" s="455">
        <v>5013.0211068992357</v>
      </c>
      <c r="T12" s="455" t="s">
        <v>694</v>
      </c>
      <c r="U12" s="455">
        <v>19.83384262796028</v>
      </c>
    </row>
    <row r="13" spans="16:30" x14ac:dyDescent="0.25">
      <c r="P13" s="455" t="s">
        <v>360</v>
      </c>
      <c r="Q13" s="455">
        <v>3</v>
      </c>
      <c r="R13" s="455">
        <v>3</v>
      </c>
      <c r="T13" s="455" t="s">
        <v>695</v>
      </c>
      <c r="U13" s="455">
        <v>56.302521008403346</v>
      </c>
    </row>
    <row r="14" spans="16:30" x14ac:dyDescent="0.25">
      <c r="P14" s="455" t="s">
        <v>685</v>
      </c>
      <c r="Q14" s="455">
        <v>0.98954283572658708</v>
      </c>
      <c r="R14" s="455"/>
      <c r="T14" s="455" t="s">
        <v>696</v>
      </c>
      <c r="U14" s="455">
        <v>76.136363636363626</v>
      </c>
    </row>
    <row r="15" spans="16:30" x14ac:dyDescent="0.25">
      <c r="P15" s="455" t="s">
        <v>361</v>
      </c>
      <c r="Q15" s="455">
        <v>0</v>
      </c>
      <c r="R15" s="455"/>
      <c r="T15" s="455" t="s">
        <v>325</v>
      </c>
      <c r="U15" s="455">
        <v>191.66507512095745</v>
      </c>
    </row>
    <row r="16" spans="16:30" x14ac:dyDescent="0.25">
      <c r="P16" s="455" t="s">
        <v>331</v>
      </c>
      <c r="Q16" s="455">
        <v>2</v>
      </c>
      <c r="R16" s="455"/>
      <c r="T16" s="455" t="s">
        <v>324</v>
      </c>
      <c r="U16" s="455">
        <v>3</v>
      </c>
    </row>
    <row r="17" spans="2:53" ht="15.75" thickBot="1" x14ac:dyDescent="0.3">
      <c r="B17" s="396"/>
      <c r="C17" s="400"/>
      <c r="D17" s="401"/>
      <c r="E17" s="401" t="s">
        <v>294</v>
      </c>
      <c r="F17" s="401"/>
      <c r="G17" s="401"/>
      <c r="H17" s="400"/>
      <c r="I17" s="401"/>
      <c r="J17" s="401" t="s">
        <v>299</v>
      </c>
      <c r="K17" s="401"/>
      <c r="L17" s="401"/>
      <c r="M17" s="402"/>
      <c r="P17" s="455" t="s">
        <v>362</v>
      </c>
      <c r="Q17" s="455">
        <v>-10.334766233498602</v>
      </c>
      <c r="R17" s="455"/>
      <c r="T17" s="456" t="s">
        <v>697</v>
      </c>
      <c r="U17" s="456">
        <v>26.598513536241853</v>
      </c>
    </row>
    <row r="18" spans="2:53" x14ac:dyDescent="0.25">
      <c r="B18" s="397" t="s">
        <v>293</v>
      </c>
      <c r="C18" s="397" t="s">
        <v>301</v>
      </c>
      <c r="D18" s="397" t="s">
        <v>295</v>
      </c>
      <c r="E18" s="397" t="s">
        <v>296</v>
      </c>
      <c r="F18" s="397" t="s">
        <v>297</v>
      </c>
      <c r="G18" s="397" t="s">
        <v>300</v>
      </c>
      <c r="H18" s="397" t="s">
        <v>301</v>
      </c>
      <c r="I18" s="397" t="s">
        <v>295</v>
      </c>
      <c r="J18" s="397" t="s">
        <v>296</v>
      </c>
      <c r="K18" s="397" t="s">
        <v>297</v>
      </c>
      <c r="L18" s="397" t="s">
        <v>300</v>
      </c>
      <c r="M18" s="397" t="s">
        <v>298</v>
      </c>
      <c r="P18" s="455" t="s">
        <v>363</v>
      </c>
      <c r="Q18" s="455">
        <v>4.6165888731570818E-3</v>
      </c>
      <c r="R18" s="455"/>
    </row>
    <row r="19" spans="2:53" x14ac:dyDescent="0.25">
      <c r="B19" s="393" t="s">
        <v>302</v>
      </c>
      <c r="C19" s="398">
        <v>21</v>
      </c>
      <c r="D19" s="398">
        <v>5</v>
      </c>
      <c r="E19" s="398">
        <v>12</v>
      </c>
      <c r="F19" s="398">
        <v>34</v>
      </c>
      <c r="G19" s="399">
        <f>2.4875/0.021</f>
        <v>118.45238095238093</v>
      </c>
      <c r="H19" s="398">
        <v>14</v>
      </c>
      <c r="I19" s="398">
        <v>4</v>
      </c>
      <c r="J19" s="398">
        <v>8</v>
      </c>
      <c r="K19" s="398">
        <v>21</v>
      </c>
      <c r="L19" s="399">
        <f>2.4875/0.014</f>
        <v>177.67857142857142</v>
      </c>
      <c r="M19" s="399">
        <f>L19-G19</f>
        <v>59.226190476190482</v>
      </c>
      <c r="P19" s="455" t="s">
        <v>364</v>
      </c>
      <c r="Q19" s="455">
        <v>2.9199855803537269</v>
      </c>
      <c r="R19" s="455"/>
    </row>
    <row r="20" spans="2:53" x14ac:dyDescent="0.25">
      <c r="B20" s="393" t="s">
        <v>303</v>
      </c>
      <c r="C20" s="398">
        <v>21</v>
      </c>
      <c r="D20" s="398">
        <v>6</v>
      </c>
      <c r="E20" s="398">
        <v>12</v>
      </c>
      <c r="F20" s="398">
        <v>29</v>
      </c>
      <c r="G20" s="398">
        <f>5.025/0.021</f>
        <v>239.28571428571428</v>
      </c>
      <c r="H20" s="398">
        <v>17.5</v>
      </c>
      <c r="I20" s="398">
        <v>3</v>
      </c>
      <c r="J20" s="398">
        <v>13</v>
      </c>
      <c r="K20" s="398">
        <v>23.5</v>
      </c>
      <c r="L20" s="398">
        <f>5.025/0.017</f>
        <v>295.58823529411762</v>
      </c>
      <c r="M20" s="399">
        <f>L20-G20</f>
        <v>56.302521008403346</v>
      </c>
      <c r="P20" s="455" t="s">
        <v>365</v>
      </c>
      <c r="Q20" s="455">
        <v>9.2331777463141602E-3</v>
      </c>
      <c r="R20" s="455"/>
      <c r="T20">
        <f>U4/U5</f>
        <v>10.334766233498602</v>
      </c>
    </row>
    <row r="21" spans="2:53" ht="15.75" thickBot="1" x14ac:dyDescent="0.3">
      <c r="B21" s="393" t="s">
        <v>303</v>
      </c>
      <c r="C21" s="398">
        <v>22</v>
      </c>
      <c r="D21" s="398">
        <v>6</v>
      </c>
      <c r="E21" s="398">
        <v>12</v>
      </c>
      <c r="F21" s="398">
        <v>36</v>
      </c>
      <c r="G21" s="398">
        <f>5.025/0.022</f>
        <v>228.40909090909093</v>
      </c>
      <c r="H21" s="398">
        <v>16.5</v>
      </c>
      <c r="I21" s="398">
        <v>3</v>
      </c>
      <c r="J21" s="398">
        <v>12.5</v>
      </c>
      <c r="K21" s="398">
        <v>21.5</v>
      </c>
      <c r="L21" s="398">
        <f>5.025/0.0165</f>
        <v>304.54545454545456</v>
      </c>
      <c r="M21" s="399">
        <f>L21-G21</f>
        <v>76.136363636363626</v>
      </c>
      <c r="P21" s="456" t="s">
        <v>366</v>
      </c>
      <c r="Q21" s="456">
        <v>4.3026527297494637</v>
      </c>
      <c r="R21" s="456"/>
    </row>
    <row r="25" spans="2:53" ht="26.25" x14ac:dyDescent="0.25">
      <c r="P25" s="473" t="s">
        <v>293</v>
      </c>
      <c r="Q25" s="474" t="s">
        <v>304</v>
      </c>
      <c r="R25" s="475" t="s">
        <v>702</v>
      </c>
      <c r="S25" s="475" t="s">
        <v>306</v>
      </c>
      <c r="T25" s="475" t="s">
        <v>701</v>
      </c>
      <c r="U25" s="475" t="s">
        <v>700</v>
      </c>
      <c r="V25" s="475" t="s">
        <v>306</v>
      </c>
      <c r="W25" s="475" t="s">
        <v>699</v>
      </c>
      <c r="X25" s="475" t="s">
        <v>349</v>
      </c>
    </row>
    <row r="26" spans="2:53" ht="26.25" x14ac:dyDescent="0.25">
      <c r="P26" s="476" t="s">
        <v>302</v>
      </c>
      <c r="Q26" s="477" t="s">
        <v>305</v>
      </c>
      <c r="R26" s="478">
        <v>17.5</v>
      </c>
      <c r="S26" s="478">
        <v>10</v>
      </c>
      <c r="T26" s="479">
        <f>2.4875/0.0175</f>
        <v>142.14285714285711</v>
      </c>
      <c r="U26" s="478">
        <v>13.5</v>
      </c>
      <c r="V26" s="478">
        <v>15</v>
      </c>
      <c r="W26" s="479">
        <f>2.4875/0.0135</f>
        <v>184.25925925925924</v>
      </c>
      <c r="X26" s="480">
        <f>(T26/W26)*100</f>
        <v>77.142857142857139</v>
      </c>
    </row>
    <row r="27" spans="2:53" x14ac:dyDescent="0.25">
      <c r="P27" s="481"/>
      <c r="Q27" s="482" t="s">
        <v>305</v>
      </c>
      <c r="R27" s="478">
        <v>18.399999999999999</v>
      </c>
      <c r="S27" s="478">
        <v>10</v>
      </c>
      <c r="T27" s="479">
        <f>2.4875/0.0184</f>
        <v>135.19021739130434</v>
      </c>
      <c r="U27" s="483">
        <v>13.9473684210526</v>
      </c>
      <c r="V27" s="484">
        <v>19</v>
      </c>
      <c r="W27" s="479">
        <f>2.4875/0.0139473684210526</f>
        <v>178.34905660377396</v>
      </c>
      <c r="X27" s="480">
        <f>(T27/W27)*100</f>
        <v>75.800915331807616</v>
      </c>
    </row>
    <row r="28" spans="2:53" ht="26.25" x14ac:dyDescent="0.25">
      <c r="P28" s="485" t="s">
        <v>307</v>
      </c>
      <c r="Q28" s="477" t="s">
        <v>308</v>
      </c>
      <c r="R28" s="483">
        <v>19.308</v>
      </c>
      <c r="S28" s="478">
        <v>26</v>
      </c>
      <c r="T28" s="479">
        <f>12.865/0.019308</f>
        <v>666.30412264346387</v>
      </c>
      <c r="U28" s="483">
        <v>12.1111111111111</v>
      </c>
      <c r="V28" s="478">
        <v>9</v>
      </c>
      <c r="W28" s="478">
        <f>12.865/0.0121111111111111</f>
        <v>1062.2477064220193</v>
      </c>
      <c r="X28" s="480">
        <f>(T28/W28)*100</f>
        <v>62.725870681122345</v>
      </c>
    </row>
    <row r="30" spans="2:53" x14ac:dyDescent="0.25"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</row>
    <row r="31" spans="2:53" ht="30" x14ac:dyDescent="0.25">
      <c r="P31" s="386"/>
      <c r="Q31" s="386"/>
      <c r="R31" s="386"/>
      <c r="S31" s="386"/>
      <c r="T31" s="386"/>
      <c r="U31" s="386"/>
      <c r="V31" s="386"/>
      <c r="W31" s="386"/>
      <c r="X31" s="386"/>
      <c r="Z31" s="390" t="s">
        <v>311</v>
      </c>
      <c r="AA31" s="391" t="s">
        <v>301</v>
      </c>
      <c r="AB31" s="392" t="s">
        <v>295</v>
      </c>
      <c r="AC31" s="392" t="s">
        <v>296</v>
      </c>
      <c r="AD31" s="392" t="s">
        <v>297</v>
      </c>
      <c r="AE31" s="392" t="s">
        <v>309</v>
      </c>
      <c r="AF31" s="392" t="s">
        <v>300</v>
      </c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</row>
    <row r="32" spans="2:53" x14ac:dyDescent="0.25">
      <c r="P32" s="386"/>
      <c r="Q32" s="386"/>
      <c r="R32" s="386"/>
      <c r="S32" s="386"/>
      <c r="T32" s="386"/>
      <c r="U32" s="386"/>
      <c r="V32" s="386"/>
      <c r="W32" s="386"/>
      <c r="X32" s="386"/>
      <c r="Z32" s="387" t="s">
        <v>310</v>
      </c>
      <c r="AA32" s="393">
        <v>16</v>
      </c>
      <c r="AB32" s="393">
        <v>4</v>
      </c>
      <c r="AC32" s="393">
        <v>10</v>
      </c>
      <c r="AD32" s="393">
        <v>30</v>
      </c>
      <c r="AE32" s="394"/>
      <c r="AF32" s="393">
        <f>5.025/0.016</f>
        <v>314.0625</v>
      </c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</row>
    <row r="33" spans="15:53" x14ac:dyDescent="0.25">
      <c r="P33" s="386"/>
      <c r="Q33" s="386"/>
      <c r="R33" s="386"/>
      <c r="S33" s="386"/>
      <c r="T33" s="386"/>
      <c r="U33" s="386"/>
      <c r="V33" s="386"/>
      <c r="W33" s="386"/>
      <c r="X33" s="386"/>
      <c r="Z33" s="386"/>
      <c r="AA33" s="393">
        <v>16</v>
      </c>
      <c r="AB33" s="393">
        <v>3</v>
      </c>
      <c r="AC33" s="393">
        <v>9</v>
      </c>
      <c r="AD33" s="393">
        <v>30</v>
      </c>
      <c r="AE33" s="395"/>
      <c r="AF33" s="393">
        <f>5.025/0.016</f>
        <v>314.0625</v>
      </c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</row>
    <row r="34" spans="15:53" x14ac:dyDescent="0.25">
      <c r="P34" s="386"/>
      <c r="Q34" s="386"/>
      <c r="R34" s="386"/>
      <c r="S34" s="386"/>
      <c r="T34" s="386"/>
      <c r="U34" s="386"/>
      <c r="V34" s="386"/>
      <c r="W34" s="386"/>
      <c r="X34" s="386"/>
      <c r="Z34" s="386"/>
      <c r="AA34" s="393">
        <v>17</v>
      </c>
      <c r="AB34" s="393">
        <v>3</v>
      </c>
      <c r="AC34" s="393">
        <v>10</v>
      </c>
      <c r="AD34" s="393">
        <v>24</v>
      </c>
      <c r="AE34" s="395"/>
      <c r="AF34" s="393">
        <f>5.025/0.017</f>
        <v>295.58823529411762</v>
      </c>
      <c r="AH34" s="61"/>
      <c r="AI34" s="61"/>
      <c r="AJ34" s="458"/>
      <c r="AK34" s="458"/>
      <c r="AL34" s="458"/>
      <c r="AM34" s="61"/>
      <c r="AN34" s="458"/>
      <c r="AO34" s="458"/>
      <c r="AP34" s="458"/>
      <c r="AQ34" s="61"/>
      <c r="AR34" s="61"/>
      <c r="AS34" s="458"/>
      <c r="AT34" s="458"/>
      <c r="AU34" s="458"/>
      <c r="AV34" s="61"/>
      <c r="AW34" s="61"/>
      <c r="AX34" s="61"/>
      <c r="AY34" s="61"/>
      <c r="AZ34" s="61"/>
      <c r="BA34" s="61"/>
    </row>
    <row r="35" spans="15:53" x14ac:dyDescent="0.25">
      <c r="P35" s="386"/>
      <c r="Q35" s="386"/>
      <c r="R35" s="386"/>
      <c r="S35" s="386"/>
      <c r="T35" s="386"/>
      <c r="U35" s="386"/>
      <c r="V35" s="386"/>
      <c r="W35" s="386"/>
      <c r="X35" s="386"/>
      <c r="Z35" s="386" t="s">
        <v>305</v>
      </c>
      <c r="AA35" s="393">
        <v>17</v>
      </c>
      <c r="AB35" s="393">
        <v>3</v>
      </c>
      <c r="AC35" s="393">
        <v>9</v>
      </c>
      <c r="AD35" s="393">
        <v>23</v>
      </c>
      <c r="AE35" s="395">
        <v>5.0250000000000004</v>
      </c>
      <c r="AF35" s="393">
        <f>5.025/0.017</f>
        <v>295.58823529411762</v>
      </c>
      <c r="AH35" s="61"/>
      <c r="AI35" s="61"/>
      <c r="AJ35" s="455"/>
      <c r="AK35" s="455"/>
      <c r="AL35" s="455"/>
      <c r="AM35" s="61"/>
      <c r="AN35" s="455"/>
      <c r="AO35" s="455"/>
      <c r="AP35" s="455"/>
      <c r="AQ35" s="61"/>
      <c r="AR35" s="61"/>
      <c r="AS35" s="455"/>
      <c r="AT35" s="455"/>
      <c r="AU35" s="455"/>
      <c r="AV35" s="61"/>
      <c r="AW35" s="61"/>
      <c r="AX35" s="61"/>
      <c r="AY35" s="61"/>
      <c r="AZ35" s="61"/>
      <c r="BA35" s="61"/>
    </row>
    <row r="36" spans="15:53" x14ac:dyDescent="0.25">
      <c r="Z36" s="386"/>
      <c r="AA36" s="393">
        <v>18</v>
      </c>
      <c r="AB36" s="393">
        <v>4</v>
      </c>
      <c r="AC36" s="393">
        <v>11</v>
      </c>
      <c r="AD36" s="393">
        <v>30</v>
      </c>
      <c r="AE36" s="395"/>
      <c r="AF36" s="393">
        <f>5.025/0.018</f>
        <v>279.16666666666669</v>
      </c>
      <c r="AH36" s="61"/>
      <c r="AI36" s="61"/>
      <c r="AJ36" s="455"/>
      <c r="AK36" s="455"/>
      <c r="AL36" s="455"/>
      <c r="AM36" s="61"/>
      <c r="AN36" s="455"/>
      <c r="AO36" s="455"/>
      <c r="AP36" s="455"/>
      <c r="AQ36" s="61"/>
      <c r="AR36" s="61"/>
      <c r="AS36" s="455"/>
      <c r="AT36" s="455"/>
      <c r="AU36" s="455"/>
      <c r="AV36" s="61"/>
      <c r="AW36" s="61"/>
      <c r="AX36" s="61"/>
      <c r="AY36" s="61"/>
      <c r="AZ36" s="61"/>
      <c r="BA36" s="61"/>
    </row>
    <row r="37" spans="15:53" x14ac:dyDescent="0.25">
      <c r="Z37" s="386"/>
      <c r="AA37" s="393">
        <v>18</v>
      </c>
      <c r="AB37" s="393">
        <v>4</v>
      </c>
      <c r="AC37" s="393">
        <v>11</v>
      </c>
      <c r="AD37" s="393">
        <v>30</v>
      </c>
      <c r="AE37" s="395"/>
      <c r="AF37" s="393">
        <f>5.025/0.018</f>
        <v>279.16666666666669</v>
      </c>
      <c r="AH37" s="61"/>
      <c r="AI37" s="61"/>
      <c r="AJ37" s="455"/>
      <c r="AK37" s="455"/>
      <c r="AL37" s="455"/>
      <c r="AM37" s="61"/>
      <c r="AN37" s="455"/>
      <c r="AO37" s="455"/>
      <c r="AP37" s="455"/>
      <c r="AQ37" s="61"/>
      <c r="AR37" s="61"/>
      <c r="AS37" s="455"/>
      <c r="AT37" s="455"/>
      <c r="AU37" s="455"/>
      <c r="AV37" s="61"/>
      <c r="AW37" s="61"/>
      <c r="AX37" s="61"/>
      <c r="AY37" s="61"/>
      <c r="AZ37" s="61"/>
      <c r="BA37" s="61"/>
    </row>
    <row r="38" spans="15:53" x14ac:dyDescent="0.25">
      <c r="Z38" s="389"/>
      <c r="AA38" s="393">
        <v>17</v>
      </c>
      <c r="AB38" s="393">
        <v>4</v>
      </c>
      <c r="AC38" s="393">
        <v>7</v>
      </c>
      <c r="AD38" s="393">
        <v>29</v>
      </c>
      <c r="AE38" s="395"/>
      <c r="AF38" s="393">
        <f>5.025/0.017</f>
        <v>295.58823529411762</v>
      </c>
      <c r="AH38" s="61"/>
      <c r="AI38" s="61"/>
      <c r="AJ38" s="455"/>
      <c r="AK38" s="455"/>
      <c r="AL38" s="455"/>
      <c r="AM38" s="61"/>
      <c r="AN38" s="455"/>
      <c r="AO38" s="455"/>
      <c r="AP38" s="455"/>
      <c r="AQ38" s="61"/>
      <c r="AR38" s="61"/>
      <c r="AS38" s="455"/>
      <c r="AT38" s="455"/>
      <c r="AU38" s="455"/>
      <c r="AV38" s="61"/>
      <c r="AW38" s="61"/>
      <c r="AX38" s="61"/>
      <c r="AY38" s="61"/>
      <c r="AZ38" s="61"/>
      <c r="BA38" s="61"/>
    </row>
    <row r="39" spans="15:53" x14ac:dyDescent="0.25">
      <c r="Z39" s="389" t="s">
        <v>312</v>
      </c>
      <c r="AA39" s="393">
        <v>17</v>
      </c>
      <c r="AB39" s="393">
        <v>3</v>
      </c>
      <c r="AC39" s="393">
        <v>10</v>
      </c>
      <c r="AD39" s="393">
        <v>27</v>
      </c>
      <c r="AE39" s="388"/>
      <c r="AF39" s="393">
        <f>5.025/0.017</f>
        <v>295.58823529411762</v>
      </c>
      <c r="AH39" s="61"/>
      <c r="AI39" s="61"/>
      <c r="AJ39" s="455"/>
      <c r="AK39" s="455"/>
      <c r="AL39" s="455"/>
      <c r="AM39" s="61"/>
      <c r="AN39" s="455"/>
      <c r="AO39" s="455"/>
      <c r="AP39" s="455"/>
      <c r="AQ39" s="61"/>
      <c r="AR39" s="61"/>
      <c r="AS39" s="455"/>
      <c r="AT39" s="455"/>
      <c r="AU39" s="455"/>
      <c r="AV39" s="61"/>
      <c r="AW39" s="61"/>
      <c r="AX39" s="61"/>
      <c r="AY39" s="61"/>
      <c r="AZ39" s="61"/>
      <c r="BA39" s="61"/>
    </row>
    <row r="40" spans="15:53" x14ac:dyDescent="0.25">
      <c r="AH40" s="61"/>
      <c r="AI40" s="61"/>
      <c r="AJ40" s="455"/>
      <c r="AK40" s="455"/>
      <c r="AL40" s="455"/>
      <c r="AM40" s="61"/>
      <c r="AN40" s="455"/>
      <c r="AO40" s="455"/>
      <c r="AP40" s="455"/>
      <c r="AQ40" s="61"/>
      <c r="AR40" s="61"/>
      <c r="AS40" s="455"/>
      <c r="AT40" s="455"/>
      <c r="AU40" s="455"/>
      <c r="AV40" s="61"/>
      <c r="AW40" s="61"/>
      <c r="AX40" s="61"/>
      <c r="AY40" s="61"/>
      <c r="AZ40" s="61"/>
      <c r="BA40" s="61"/>
    </row>
    <row r="41" spans="15:53" x14ac:dyDescent="0.25">
      <c r="AH41" s="61"/>
      <c r="AI41" s="61"/>
      <c r="AJ41" s="455"/>
      <c r="AK41" s="455"/>
      <c r="AL41" s="455"/>
      <c r="AM41" s="61"/>
      <c r="AN41" s="455"/>
      <c r="AO41" s="455"/>
      <c r="AP41" s="455"/>
      <c r="AQ41" s="61"/>
      <c r="AR41" s="61"/>
      <c r="AS41" s="455"/>
      <c r="AT41" s="455"/>
      <c r="AU41" s="455"/>
      <c r="AV41" s="61"/>
      <c r="AW41" s="61"/>
      <c r="AX41" s="61"/>
      <c r="AY41" s="61"/>
      <c r="AZ41" s="61"/>
      <c r="BA41" s="61"/>
    </row>
    <row r="42" spans="15:53" x14ac:dyDescent="0.25">
      <c r="AH42" s="61"/>
      <c r="AI42" s="61"/>
      <c r="AJ42" s="455"/>
      <c r="AK42" s="455"/>
      <c r="AL42" s="455"/>
      <c r="AM42" s="61"/>
      <c r="AN42" s="455"/>
      <c r="AO42" s="455"/>
      <c r="AP42" s="455"/>
      <c r="AQ42" s="61"/>
      <c r="AR42" s="61"/>
      <c r="AS42" s="455"/>
      <c r="AT42" s="455"/>
      <c r="AU42" s="455"/>
      <c r="AV42" s="61"/>
      <c r="AW42" s="61"/>
      <c r="AX42" s="61"/>
      <c r="AY42" s="61"/>
      <c r="AZ42" s="61"/>
      <c r="BA42" s="61"/>
    </row>
    <row r="43" spans="15:53" x14ac:dyDescent="0.25">
      <c r="AH43" s="61"/>
      <c r="AI43" s="61"/>
      <c r="AJ43" s="455"/>
      <c r="AK43" s="455"/>
      <c r="AL43" s="455"/>
      <c r="AM43" s="61"/>
      <c r="AN43" s="455"/>
      <c r="AO43" s="455"/>
      <c r="AP43" s="455"/>
      <c r="AQ43" s="61"/>
      <c r="AR43" s="61"/>
      <c r="AS43" s="455"/>
      <c r="AT43" s="455"/>
      <c r="AU43" s="455"/>
      <c r="AV43" s="61"/>
      <c r="AW43" s="61"/>
      <c r="AX43" s="61"/>
      <c r="AY43" s="61"/>
      <c r="AZ43" s="61"/>
      <c r="BA43" s="61"/>
    </row>
    <row r="44" spans="15:53" x14ac:dyDescent="0.25">
      <c r="O44" s="43"/>
      <c r="P44" s="43"/>
      <c r="Q44" s="43"/>
      <c r="R44" s="43"/>
      <c r="S44" s="43"/>
      <c r="T44" s="43"/>
      <c r="AH44" s="61"/>
      <c r="AI44" s="61"/>
      <c r="AJ44" s="455"/>
      <c r="AK44" s="455"/>
      <c r="AL44" s="455"/>
      <c r="AM44" s="61"/>
      <c r="AN44" s="455"/>
      <c r="AO44" s="455"/>
      <c r="AP44" s="455"/>
      <c r="AQ44" s="61"/>
      <c r="AR44" s="61"/>
      <c r="AS44" s="455"/>
      <c r="AT44" s="455"/>
      <c r="AU44" s="455"/>
      <c r="AV44" s="61"/>
      <c r="AW44" s="61"/>
      <c r="AX44" s="61"/>
      <c r="AY44" s="61"/>
      <c r="AZ44" s="61"/>
      <c r="BA44" s="61"/>
    </row>
    <row r="45" spans="15:53" x14ac:dyDescent="0.25">
      <c r="O45" s="43"/>
      <c r="P45" s="633"/>
      <c r="Q45" s="634"/>
      <c r="R45" s="634"/>
      <c r="S45" s="633"/>
      <c r="T45" s="43"/>
      <c r="AH45" s="61"/>
      <c r="AI45" s="61"/>
      <c r="AJ45" s="61"/>
      <c r="AK45" s="61"/>
      <c r="AL45" s="61"/>
      <c r="AM45" s="61"/>
      <c r="AN45" s="455"/>
      <c r="AO45" s="455"/>
      <c r="AP45" s="455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</row>
    <row r="46" spans="15:53" x14ac:dyDescent="0.25">
      <c r="O46" s="43"/>
      <c r="P46" s="633"/>
      <c r="Q46" s="633"/>
      <c r="R46" s="633"/>
      <c r="S46" s="633"/>
      <c r="T46" s="43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</row>
    <row r="47" spans="15:53" x14ac:dyDescent="0.25">
      <c r="O47" s="43"/>
      <c r="P47" s="635"/>
      <c r="Q47" s="633"/>
      <c r="R47" s="633"/>
      <c r="S47" s="635"/>
      <c r="T47" s="43"/>
    </row>
    <row r="48" spans="15:53" x14ac:dyDescent="0.25">
      <c r="O48" s="43"/>
      <c r="P48" s="61"/>
      <c r="Q48" s="633"/>
      <c r="R48" s="635"/>
      <c r="S48" s="61"/>
      <c r="T48" s="43"/>
    </row>
    <row r="53" spans="36:88" x14ac:dyDescent="0.25">
      <c r="BM53" s="80"/>
      <c r="BN53" s="226"/>
      <c r="BO53" s="226"/>
      <c r="BQ53" s="80"/>
      <c r="BU53" s="80"/>
      <c r="BV53" s="226"/>
      <c r="BW53" s="226"/>
      <c r="BX53" s="226"/>
      <c r="CA53" s="80"/>
      <c r="CD53" s="226"/>
      <c r="CE53" s="226"/>
    </row>
    <row r="54" spans="36:88" x14ac:dyDescent="0.25">
      <c r="BN54" s="80"/>
      <c r="BP54" s="226"/>
      <c r="BR54" s="80"/>
      <c r="BV54" s="80"/>
      <c r="BX54" s="226"/>
      <c r="CB54" s="80"/>
      <c r="CC54" s="226"/>
    </row>
    <row r="55" spans="36:88" ht="75.75" thickBot="1" x14ac:dyDescent="0.35">
      <c r="AJ55" s="415"/>
      <c r="AK55" s="413"/>
      <c r="AL55" s="440">
        <v>1</v>
      </c>
      <c r="AM55" s="440">
        <v>2</v>
      </c>
      <c r="AN55" s="440">
        <v>3</v>
      </c>
      <c r="AO55" s="440">
        <v>4</v>
      </c>
      <c r="AP55" s="440">
        <v>5</v>
      </c>
      <c r="AQ55" s="440">
        <v>6</v>
      </c>
      <c r="AR55" s="440">
        <v>7</v>
      </c>
      <c r="AS55" s="440">
        <v>8</v>
      </c>
      <c r="AT55" s="440">
        <v>9</v>
      </c>
      <c r="AU55" s="440">
        <v>10</v>
      </c>
      <c r="AV55" s="441">
        <v>11</v>
      </c>
      <c r="AW55" s="440">
        <v>12</v>
      </c>
      <c r="AX55" s="440">
        <v>13</v>
      </c>
      <c r="AY55" s="440">
        <v>14</v>
      </c>
      <c r="AZ55" s="440">
        <v>15</v>
      </c>
      <c r="BA55" s="440">
        <v>16</v>
      </c>
      <c r="BB55" s="440">
        <v>17</v>
      </c>
      <c r="BC55" s="440">
        <v>18</v>
      </c>
      <c r="BD55" s="440">
        <v>19</v>
      </c>
      <c r="BE55" s="440">
        <v>20</v>
      </c>
      <c r="BF55" s="431" t="s">
        <v>234</v>
      </c>
      <c r="BG55" s="442" t="s">
        <v>235</v>
      </c>
      <c r="BH55" s="442" t="s">
        <v>236</v>
      </c>
      <c r="BK55" s="247"/>
      <c r="BL55" s="99"/>
      <c r="BM55" s="440">
        <v>1</v>
      </c>
      <c r="BN55" s="440">
        <v>2</v>
      </c>
      <c r="BO55" s="440">
        <v>3</v>
      </c>
      <c r="BP55" s="440">
        <v>4</v>
      </c>
      <c r="BQ55" s="440">
        <v>5</v>
      </c>
      <c r="BR55" s="440">
        <v>6</v>
      </c>
      <c r="BS55" s="440">
        <v>7</v>
      </c>
      <c r="BT55" s="440">
        <v>8</v>
      </c>
      <c r="BU55" s="440">
        <v>9</v>
      </c>
      <c r="BV55" s="440">
        <v>10</v>
      </c>
      <c r="BW55" s="441">
        <v>11</v>
      </c>
      <c r="BX55" s="440">
        <v>12</v>
      </c>
      <c r="BY55" s="440">
        <v>13</v>
      </c>
      <c r="BZ55" s="440">
        <v>14</v>
      </c>
      <c r="CA55" s="440">
        <v>15</v>
      </c>
      <c r="CB55" s="440">
        <v>16</v>
      </c>
      <c r="CC55" s="440">
        <v>17</v>
      </c>
      <c r="CD55" s="440">
        <v>18</v>
      </c>
      <c r="CE55" s="440">
        <v>19</v>
      </c>
      <c r="CF55" s="440">
        <v>20</v>
      </c>
      <c r="CG55" s="431" t="s">
        <v>234</v>
      </c>
      <c r="CH55" s="442" t="s">
        <v>235</v>
      </c>
      <c r="CI55" s="442" t="s">
        <v>236</v>
      </c>
    </row>
    <row r="56" spans="36:88" ht="18.75" x14ac:dyDescent="0.3">
      <c r="AJ56" s="447" t="s">
        <v>79</v>
      </c>
      <c r="AK56" s="416" t="s">
        <v>212</v>
      </c>
      <c r="AL56" s="424"/>
      <c r="AM56" s="427"/>
      <c r="AN56" s="450">
        <f>(0.017+0.02)/2</f>
        <v>1.8500000000000003E-2</v>
      </c>
      <c r="AO56" s="424"/>
      <c r="AP56" s="424"/>
      <c r="AQ56" s="427"/>
      <c r="AR56" s="424"/>
      <c r="AS56" s="424"/>
      <c r="AT56" s="424"/>
      <c r="AU56" s="427"/>
      <c r="AV56" s="444">
        <v>1.2666666666666666E-2</v>
      </c>
      <c r="AW56" s="444">
        <v>1.5333333333333332E-2</v>
      </c>
      <c r="AX56" s="424"/>
      <c r="AY56" s="424"/>
      <c r="AZ56" s="424"/>
      <c r="BA56" s="427"/>
      <c r="BB56" s="438">
        <v>1.2E-2</v>
      </c>
      <c r="BC56" s="439">
        <v>1.1666666666666665E-2</v>
      </c>
      <c r="BD56" s="424"/>
      <c r="BE56" s="424"/>
      <c r="BF56" s="429">
        <f>RSQ(AL56:BE56,AL55:BE55)</f>
        <v>0.8413697029613989</v>
      </c>
      <c r="BG56" s="451">
        <f>FDIST(18*BF56/(1-BF56),1,18)</f>
        <v>1.2742235707248365E-8</v>
      </c>
      <c r="BH56" s="429">
        <f>FDIST(5*BF56/(1-BF56),1,5)</f>
        <v>3.6156728860290595E-3</v>
      </c>
      <c r="BK56" s="447" t="s">
        <v>79</v>
      </c>
      <c r="BL56" s="416" t="s">
        <v>214</v>
      </c>
      <c r="BM56" s="424"/>
      <c r="BN56" s="438">
        <v>1.3333333333333334E-2</v>
      </c>
      <c r="BO56" s="424"/>
      <c r="BP56" s="438">
        <v>1.7500000000000002E-2</v>
      </c>
      <c r="BQ56" s="424"/>
      <c r="BR56" s="427"/>
      <c r="BS56" s="424"/>
      <c r="BT56" s="424"/>
      <c r="BU56" s="424"/>
      <c r="BV56" s="427"/>
      <c r="BW56" s="424"/>
      <c r="BX56" s="439">
        <v>1.44E-2</v>
      </c>
      <c r="BY56" s="424"/>
      <c r="BZ56" s="424"/>
      <c r="CA56" s="424"/>
      <c r="CB56" s="427"/>
      <c r="CC56" s="424"/>
      <c r="CD56" s="439">
        <v>1.4500000000000001E-2</v>
      </c>
      <c r="CE56" s="439">
        <v>1.2499999999999999E-2</v>
      </c>
      <c r="CF56" s="424"/>
      <c r="CG56" s="429">
        <f>RSQ(BM56:CF56,BM55:CF55)</f>
        <v>0.20198220436309289</v>
      </c>
      <c r="CH56" s="426">
        <f>FDIST(18*CG56/(1-CG56),1,18)</f>
        <v>4.6811496384081851E-2</v>
      </c>
      <c r="CI56" s="429">
        <f>FDIST(5*CG56/(1-CG56),1,5)</f>
        <v>0.3116921836221595</v>
      </c>
    </row>
    <row r="57" spans="36:88" ht="19.5" thickBot="1" x14ac:dyDescent="0.35">
      <c r="AJ57" s="448"/>
      <c r="AK57" s="430" t="s">
        <v>213</v>
      </c>
      <c r="AL57" s="431"/>
      <c r="AM57" s="432"/>
      <c r="AN57" s="431"/>
      <c r="AO57" s="431"/>
      <c r="AP57" s="431"/>
      <c r="AQ57" s="432"/>
      <c r="AR57" s="431"/>
      <c r="AS57" s="431"/>
      <c r="AT57" s="431"/>
      <c r="AU57" s="432"/>
      <c r="AV57" s="431"/>
      <c r="AW57" s="431"/>
      <c r="AX57" s="431"/>
      <c r="AY57" s="431"/>
      <c r="AZ57" s="431"/>
      <c r="BA57" s="432"/>
      <c r="BB57" s="433">
        <v>1.15E-2</v>
      </c>
      <c r="BC57" s="431"/>
      <c r="BD57" s="431"/>
      <c r="BE57" s="431"/>
      <c r="BF57" s="435">
        <f>1</f>
        <v>1</v>
      </c>
      <c r="BG57" s="445"/>
      <c r="BH57" s="435"/>
      <c r="BK57" s="448"/>
      <c r="BL57" s="430" t="s">
        <v>215</v>
      </c>
      <c r="BM57" s="431"/>
      <c r="BN57" s="432"/>
      <c r="BO57" s="431"/>
      <c r="BP57" s="433">
        <v>1.2E-2</v>
      </c>
      <c r="BQ57" s="431"/>
      <c r="BR57" s="432"/>
      <c r="BS57" s="431"/>
      <c r="BT57" s="431"/>
      <c r="BU57" s="431"/>
      <c r="BV57" s="432"/>
      <c r="BW57" s="431"/>
      <c r="BX57" s="434">
        <v>1.2999999999999999E-2</v>
      </c>
      <c r="BY57" s="431"/>
      <c r="BZ57" s="431"/>
      <c r="CA57" s="431"/>
      <c r="CB57" s="432"/>
      <c r="CC57" s="431"/>
      <c r="CD57" s="431"/>
      <c r="CE57" s="431"/>
      <c r="CF57" s="431"/>
      <c r="CG57" s="435">
        <f>RSQ(BM57:CF57,BM55:CF55)</f>
        <v>0.99999999999999956</v>
      </c>
      <c r="CH57" s="436">
        <f>FDIST(18*CG57/(1-CG57),1,18)</f>
        <v>1.2459683851238668E-139</v>
      </c>
      <c r="CI57" s="437">
        <f>FDIST(2*CG57/(1-CG57),1,2)</f>
        <v>2.2204460492503136E-16</v>
      </c>
    </row>
    <row r="58" spans="36:88" ht="18.75" x14ac:dyDescent="0.3">
      <c r="AJ58" s="447" t="s">
        <v>41</v>
      </c>
      <c r="AK58" s="416" t="s">
        <v>212</v>
      </c>
      <c r="AL58" s="426"/>
      <c r="AM58" s="427"/>
      <c r="AN58" s="428">
        <v>1.555E-2</v>
      </c>
      <c r="AO58" s="424"/>
      <c r="AP58" s="424"/>
      <c r="AQ58" s="424"/>
      <c r="AR58" s="424"/>
      <c r="AS58" s="424"/>
      <c r="AT58" s="427"/>
      <c r="AU58" s="424"/>
      <c r="AV58" s="428">
        <v>1.15E-2</v>
      </c>
      <c r="AW58" s="426"/>
      <c r="AX58" s="424"/>
      <c r="AY58" s="424"/>
      <c r="AZ58" s="427"/>
      <c r="BA58" s="424"/>
      <c r="BB58" s="452">
        <f>(0.009)/1</f>
        <v>8.9999999999999993E-3</v>
      </c>
      <c r="BC58" s="453">
        <v>1.35E-2</v>
      </c>
      <c r="BD58" s="424"/>
      <c r="BE58" s="424"/>
      <c r="BF58" s="429">
        <f>RSQ(AL58:BE58,AL55:BE55)</f>
        <v>0.42674283589457246</v>
      </c>
      <c r="BG58" s="426">
        <f>FDIST(18*BF58/(1-BF58),1,18)</f>
        <v>1.7891759961135383E-3</v>
      </c>
      <c r="BH58" s="429">
        <f>FDIST(4*BF58/(1-BF58),1,4)</f>
        <v>0.1595027160358557</v>
      </c>
      <c r="BK58" s="447" t="s">
        <v>41</v>
      </c>
      <c r="BL58" s="414" t="s">
        <v>214</v>
      </c>
      <c r="BM58" s="424"/>
      <c r="BN58" s="426"/>
      <c r="BO58" s="424"/>
      <c r="BP58" s="426"/>
      <c r="BQ58" s="424"/>
      <c r="BR58" s="427"/>
      <c r="BS58" s="424"/>
      <c r="BT58" s="424"/>
      <c r="BU58" s="424"/>
      <c r="BV58" s="427"/>
      <c r="BW58" s="428">
        <v>1.15E-2</v>
      </c>
      <c r="BX58" s="428">
        <v>1.4333333333333332E-2</v>
      </c>
      <c r="BY58" s="424"/>
      <c r="BZ58" s="424"/>
      <c r="CA58" s="424"/>
      <c r="CB58" s="427"/>
      <c r="CC58" s="424"/>
      <c r="CD58" s="428">
        <f>(0.01+0.011+0.016+0.014+0.011+0.011+0.014+0.015)/8</f>
        <v>1.2749999999999999E-2</v>
      </c>
      <c r="CE58" s="428">
        <v>9.4285714285714285E-3</v>
      </c>
      <c r="CF58" s="424"/>
      <c r="CG58" s="429">
        <f>RSQ(BM58:CF58,BM55:CF55)</f>
        <v>0.26408860769948705</v>
      </c>
      <c r="CH58" s="426">
        <f>FDIST(18*CG58/(1-CG58),1,18)</f>
        <v>2.0457939021014643E-2</v>
      </c>
      <c r="CI58" s="429">
        <f>FDIST(4*CG58/(1-CG58),1,4)</f>
        <v>0.29701369323060833</v>
      </c>
    </row>
    <row r="59" spans="36:88" ht="19.5" thickBot="1" x14ac:dyDescent="0.35">
      <c r="AJ59" s="448"/>
      <c r="AK59" s="430" t="s">
        <v>213</v>
      </c>
      <c r="AL59" s="431"/>
      <c r="AM59" s="432"/>
      <c r="AN59" s="434">
        <v>2.4550000000000002E-2</v>
      </c>
      <c r="AO59" s="431"/>
      <c r="AP59" s="431"/>
      <c r="AQ59" s="431"/>
      <c r="AR59" s="431"/>
      <c r="AS59" s="431"/>
      <c r="AT59" s="432"/>
      <c r="AU59" s="431"/>
      <c r="AV59" s="434">
        <v>4.2000000000000003E-2</v>
      </c>
      <c r="AW59" s="431"/>
      <c r="AX59" s="431"/>
      <c r="AY59" s="431"/>
      <c r="AZ59" s="432"/>
      <c r="BA59" s="431"/>
      <c r="BB59" s="431"/>
      <c r="BC59" s="434">
        <v>1.5333333333333332E-2</v>
      </c>
      <c r="BD59" s="431"/>
      <c r="BE59" s="431"/>
      <c r="BF59" s="435">
        <f>RSQ(AL59:BE59,AL55:BE55)</f>
        <v>9.232053571194157E-2</v>
      </c>
      <c r="BG59" s="445">
        <f>FDIST(18*BF59/(1-BF59),1,18)</f>
        <v>0.19278562859824314</v>
      </c>
      <c r="BH59" s="435">
        <f>FDIST(3*BF59/(1-BF59),1,3)</f>
        <v>0.61917301987393436</v>
      </c>
      <c r="BK59" s="448"/>
      <c r="BL59" s="430" t="s">
        <v>215</v>
      </c>
      <c r="BM59" s="431"/>
      <c r="BN59" s="445"/>
      <c r="BO59" s="431"/>
      <c r="BP59" s="431"/>
      <c r="BQ59" s="431"/>
      <c r="BR59" s="432"/>
      <c r="BS59" s="431"/>
      <c r="BT59" s="431"/>
      <c r="BU59" s="431"/>
      <c r="BV59" s="432"/>
      <c r="BW59" s="446">
        <v>2.2993915920411868E-2</v>
      </c>
      <c r="BX59" s="431"/>
      <c r="BY59" s="431"/>
      <c r="BZ59" s="431"/>
      <c r="CA59" s="431"/>
      <c r="CB59" s="432"/>
      <c r="CC59" s="431"/>
      <c r="CD59" s="431"/>
      <c r="CE59" s="433">
        <v>2.4E-2</v>
      </c>
      <c r="CF59" s="431"/>
      <c r="CG59" s="435">
        <f>RSQ(BM59:CF59,BM55:CF55)</f>
        <v>1</v>
      </c>
      <c r="CH59" s="436"/>
      <c r="CI59" s="435"/>
    </row>
    <row r="60" spans="36:88" ht="18.75" x14ac:dyDescent="0.3">
      <c r="AJ60" s="447" t="s">
        <v>78</v>
      </c>
      <c r="AK60" s="416" t="s">
        <v>212</v>
      </c>
      <c r="AL60" s="444">
        <f>(0.013+0.014+0.014+0.016)/4</f>
        <v>1.4250000000000001E-2</v>
      </c>
      <c r="AM60" s="424"/>
      <c r="AN60" s="443"/>
      <c r="AO60" s="424"/>
      <c r="AP60" s="427"/>
      <c r="AQ60" s="424"/>
      <c r="AR60" s="424"/>
      <c r="AS60" s="424"/>
      <c r="AT60" s="427"/>
      <c r="AU60" s="424"/>
      <c r="AV60" s="444">
        <v>1.7000000000000001E-2</v>
      </c>
      <c r="AW60" s="444">
        <f>(0.015+0.0145+0.016+0.018+0.022)/5</f>
        <v>1.7099999999999997E-2</v>
      </c>
      <c r="AX60" s="424"/>
      <c r="AY60" s="424"/>
      <c r="AZ60" s="427"/>
      <c r="BA60" s="424"/>
      <c r="BB60" s="443"/>
      <c r="BC60" s="438">
        <v>1.8749999999999999E-2</v>
      </c>
      <c r="BD60" s="424"/>
      <c r="BE60" s="424"/>
      <c r="BF60" s="429">
        <f>RSQ(AL60:BE60,AL55:BE55)</f>
        <v>0.99866029139064305</v>
      </c>
      <c r="BG60" s="426">
        <f>FDIST(18*BF60/(1-BF60),1,18)</f>
        <v>2.5800620458852603E-27</v>
      </c>
      <c r="BH60" s="429">
        <f>FDIST(4*BF60/(1-BF60),1,4)</f>
        <v>6.7335797778468043E-7</v>
      </c>
      <c r="BK60" s="447" t="s">
        <v>78</v>
      </c>
      <c r="BL60" s="414" t="s">
        <v>214</v>
      </c>
      <c r="BM60" s="427"/>
      <c r="BN60" s="443"/>
      <c r="BO60" s="424"/>
      <c r="BP60" s="444">
        <f>0.023</f>
        <v>2.3E-2</v>
      </c>
      <c r="BQ60" s="427"/>
      <c r="BR60" s="424"/>
      <c r="BS60" s="424"/>
      <c r="BT60" s="424"/>
      <c r="BU60" s="427"/>
      <c r="BV60" s="424"/>
      <c r="BW60" s="444">
        <f>(0.016+0.016+0.014+0.017+0.017+0.018+0.018+0.017+0.017)/9</f>
        <v>1.666666666666667E-2</v>
      </c>
      <c r="BX60" s="443"/>
      <c r="BY60" s="424"/>
      <c r="BZ60" s="424"/>
      <c r="CA60" s="443"/>
      <c r="CB60" s="444">
        <v>2.7E-2</v>
      </c>
      <c r="CC60" s="424"/>
      <c r="CD60" s="424"/>
      <c r="CE60" s="424"/>
      <c r="CF60" s="424"/>
      <c r="CG60" s="429">
        <f>RSQ(BM60:CF60,BM55:CF55)</f>
        <v>8.6223512772694952E-2</v>
      </c>
      <c r="CH60" s="426">
        <f>FDIST(18*CG60/(1-CG60),1,18)</f>
        <v>0.20891294304380098</v>
      </c>
      <c r="CI60" s="429">
        <f>FDIST(3*CG60/(1-CG60),1,3)</f>
        <v>0.63157245405549256</v>
      </c>
    </row>
    <row r="61" spans="36:88" ht="18.75" x14ac:dyDescent="0.3">
      <c r="AJ61" s="425"/>
      <c r="AK61" s="449" t="s">
        <v>213</v>
      </c>
      <c r="AL61" s="419"/>
      <c r="AM61" s="417"/>
      <c r="AN61" s="417"/>
      <c r="AO61" s="417"/>
      <c r="AP61" s="419"/>
      <c r="AQ61" s="417"/>
      <c r="AR61" s="417"/>
      <c r="AS61" s="417"/>
      <c r="AT61" s="419"/>
      <c r="AU61" s="417"/>
      <c r="AV61" s="423">
        <v>0.01</v>
      </c>
      <c r="AW61" s="423">
        <v>0.02</v>
      </c>
      <c r="AX61" s="417"/>
      <c r="AY61" s="417"/>
      <c r="AZ61" s="419"/>
      <c r="BA61" s="417"/>
      <c r="BB61" s="417"/>
      <c r="BC61" s="417"/>
      <c r="BD61" s="417"/>
      <c r="BE61" s="417"/>
      <c r="BF61" s="420">
        <f>RSQ(AL61:BE61,AL55:BE55)</f>
        <v>1</v>
      </c>
      <c r="BG61" s="421"/>
      <c r="BH61" s="420"/>
      <c r="BK61" s="425"/>
      <c r="BL61" s="449" t="s">
        <v>215</v>
      </c>
      <c r="BM61" s="419"/>
      <c r="BN61" s="418">
        <v>1.2999999999999999E-2</v>
      </c>
      <c r="BO61" s="417"/>
      <c r="BP61" s="423">
        <f>(0.017+0.019+0.019)/3</f>
        <v>1.8333333333333337E-2</v>
      </c>
      <c r="BQ61" s="419"/>
      <c r="BR61" s="417"/>
      <c r="BS61" s="417"/>
      <c r="BT61" s="417"/>
      <c r="BU61" s="419"/>
      <c r="BV61" s="417"/>
      <c r="BW61" s="417"/>
      <c r="BX61" s="417"/>
      <c r="BY61" s="417"/>
      <c r="BZ61" s="417"/>
      <c r="CA61" s="418">
        <v>2.5999999999999999E-2</v>
      </c>
      <c r="CB61" s="417"/>
      <c r="CC61" s="417"/>
      <c r="CD61" s="417"/>
      <c r="CE61" s="417"/>
      <c r="CF61" s="417"/>
      <c r="CG61" s="420">
        <f>RSQ(BM61:CF61,BM55:CF55)</f>
        <v>0.92521726817353112</v>
      </c>
      <c r="CH61" s="422">
        <f>FDIST(18*CG61/(1-CG61),1,18)</f>
        <v>1.4048356106476665E-11</v>
      </c>
      <c r="CI61" s="420">
        <f>FDIST(3*CG61/(1-CG61),1,3)</f>
        <v>8.8823447951269906E-3</v>
      </c>
    </row>
    <row r="62" spans="36:88" x14ac:dyDescent="0.25">
      <c r="BK62" s="61"/>
      <c r="BL62" s="61"/>
      <c r="BM62" s="61"/>
      <c r="BN62" s="403"/>
      <c r="BO62" s="61"/>
      <c r="BP62" s="403"/>
      <c r="BQ62" s="61"/>
      <c r="BR62" s="61"/>
      <c r="BS62" s="61"/>
      <c r="BT62" s="61"/>
      <c r="BU62" s="61"/>
      <c r="BV62" s="61"/>
      <c r="BW62" s="404"/>
      <c r="BX62" s="404"/>
      <c r="BY62" s="61"/>
      <c r="BZ62" s="61"/>
      <c r="CA62" s="61"/>
      <c r="CB62" s="61"/>
      <c r="CC62" s="61"/>
      <c r="CD62" s="405"/>
      <c r="CE62" s="404"/>
      <c r="CF62" s="61"/>
      <c r="CG62" s="61"/>
      <c r="CH62" s="404"/>
      <c r="CI62" s="404"/>
      <c r="CJ62" s="404"/>
    </row>
    <row r="64" spans="36:88" x14ac:dyDescent="0.25">
      <c r="AJ64" s="386"/>
      <c r="AK64" s="386"/>
      <c r="AL64" s="386"/>
      <c r="AM64" s="386"/>
      <c r="AN64" s="386"/>
      <c r="AO64" s="386"/>
      <c r="AP64" s="386"/>
      <c r="AQ64" s="386"/>
      <c r="AR64" s="386"/>
      <c r="AS64" s="386"/>
      <c r="AT64" s="386"/>
      <c r="AU64" s="386"/>
      <c r="AV64" s="386"/>
      <c r="AW64" s="386"/>
      <c r="AX64" s="386"/>
      <c r="AY64" s="386"/>
      <c r="AZ64" s="386"/>
      <c r="BA64" s="386"/>
      <c r="BB64" s="386"/>
      <c r="BC64" s="386"/>
      <c r="BD64" s="386"/>
      <c r="BE64" s="386"/>
      <c r="BF64" s="386"/>
      <c r="BG64" s="386"/>
      <c r="BH64" s="386"/>
      <c r="BK64" s="386"/>
      <c r="BL64" s="386"/>
      <c r="BM64" s="386"/>
      <c r="BN64" s="386"/>
      <c r="BO64" s="386"/>
      <c r="BP64" s="386"/>
      <c r="BQ64" s="386"/>
      <c r="BR64" s="386"/>
      <c r="BS64" s="386"/>
      <c r="BT64" s="386"/>
      <c r="BU64" s="386"/>
      <c r="BV64" s="386"/>
      <c r="BW64" s="386"/>
      <c r="BX64" s="386"/>
      <c r="BY64" s="386"/>
      <c r="BZ64" s="386"/>
      <c r="CA64" s="386"/>
      <c r="CB64" s="386"/>
      <c r="CC64" s="386"/>
      <c r="CD64" s="386"/>
      <c r="CE64" s="386"/>
      <c r="CF64" s="386"/>
      <c r="CG64" s="386"/>
      <c r="CH64" s="386"/>
      <c r="CI64" s="386"/>
    </row>
    <row r="65" spans="36:102" x14ac:dyDescent="0.25">
      <c r="AJ65" s="386"/>
      <c r="AK65" s="386"/>
      <c r="AL65" s="386"/>
      <c r="AM65" s="386"/>
      <c r="AN65" s="386"/>
      <c r="AO65" s="386"/>
      <c r="AP65" s="386"/>
      <c r="AQ65" s="386"/>
      <c r="AR65" s="386"/>
      <c r="AS65" s="386"/>
      <c r="AT65" s="386"/>
      <c r="AU65" s="386"/>
      <c r="AV65" s="386"/>
      <c r="AW65" s="386"/>
      <c r="AX65" s="386"/>
      <c r="AY65" s="386"/>
      <c r="AZ65" s="386"/>
      <c r="BA65" s="386"/>
      <c r="BB65" s="386"/>
      <c r="BC65" s="386"/>
      <c r="BD65" s="386"/>
      <c r="BE65" s="386"/>
      <c r="BF65" s="386"/>
      <c r="BG65" s="386"/>
      <c r="BH65" s="386"/>
      <c r="BK65" s="386"/>
      <c r="BL65" s="386"/>
      <c r="BM65" s="386"/>
      <c r="BN65" s="386"/>
      <c r="BO65" s="386"/>
      <c r="BP65" s="386"/>
      <c r="BQ65" s="386"/>
      <c r="BR65" s="386"/>
      <c r="BS65" s="386"/>
      <c r="BT65" s="386"/>
      <c r="BU65" s="386"/>
      <c r="BV65" s="386"/>
      <c r="BW65" s="386"/>
      <c r="BX65" s="386"/>
      <c r="BY65" s="386"/>
      <c r="BZ65" s="386"/>
      <c r="CA65" s="386"/>
      <c r="CB65" s="386"/>
      <c r="CC65" s="386"/>
      <c r="CD65" s="386"/>
      <c r="CE65" s="386"/>
      <c r="CF65" s="386"/>
      <c r="CG65" s="386"/>
      <c r="CH65" s="386"/>
      <c r="CI65" s="386"/>
    </row>
    <row r="66" spans="36:102" x14ac:dyDescent="0.25">
      <c r="AJ66" s="386"/>
      <c r="AK66" s="386"/>
      <c r="AL66" s="386"/>
      <c r="AM66" s="386"/>
      <c r="AN66" s="386"/>
      <c r="AO66" s="386"/>
      <c r="AP66" s="386"/>
      <c r="AQ66" s="386"/>
      <c r="AR66" s="386"/>
      <c r="AS66" s="386"/>
      <c r="AT66" s="386"/>
      <c r="AU66" s="386"/>
      <c r="AV66" s="386"/>
      <c r="AW66" s="386"/>
      <c r="AX66" s="386"/>
      <c r="AY66" s="386"/>
      <c r="AZ66" s="386"/>
      <c r="BA66" s="386"/>
      <c r="BB66" s="386"/>
      <c r="BC66" s="386"/>
      <c r="BD66" s="386"/>
      <c r="BE66" s="386"/>
      <c r="BF66" s="386"/>
      <c r="BG66" s="386"/>
      <c r="BH66" s="386"/>
      <c r="BK66" s="386"/>
      <c r="BL66" s="386"/>
      <c r="BM66" s="386"/>
      <c r="BN66" s="386"/>
      <c r="BO66" s="386"/>
      <c r="BP66" s="386"/>
      <c r="BQ66" s="386"/>
      <c r="BR66" s="386"/>
      <c r="BS66" s="386"/>
      <c r="BT66" s="386"/>
      <c r="BU66" s="386"/>
      <c r="BV66" s="386"/>
      <c r="BW66" s="386"/>
      <c r="BX66" s="386"/>
      <c r="BY66" s="386"/>
      <c r="BZ66" s="386"/>
      <c r="CA66" s="386"/>
      <c r="CB66" s="386"/>
      <c r="CC66" s="386"/>
      <c r="CD66" s="386"/>
      <c r="CE66" s="386"/>
      <c r="CF66" s="386"/>
      <c r="CG66" s="386"/>
      <c r="CH66" s="386"/>
      <c r="CI66" s="386"/>
    </row>
    <row r="67" spans="36:102" x14ac:dyDescent="0.25"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</row>
    <row r="68" spans="36:102" x14ac:dyDescent="0.25"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86"/>
      <c r="AU68" s="386"/>
      <c r="AV68" s="386"/>
      <c r="AW68" s="386"/>
      <c r="AX68" s="386"/>
      <c r="AY68" s="386"/>
      <c r="AZ68" s="386"/>
      <c r="BA68" s="386"/>
      <c r="BB68" s="386"/>
      <c r="BC68" s="386"/>
      <c r="BD68" s="386"/>
      <c r="BE68" s="386"/>
      <c r="BF68" s="386"/>
      <c r="BG68" s="386"/>
      <c r="BH68" s="386"/>
      <c r="BK68" s="386"/>
      <c r="BL68" s="386"/>
      <c r="BM68" s="386"/>
      <c r="BN68" s="386"/>
      <c r="BO68" s="386"/>
      <c r="BP68" s="386"/>
      <c r="BQ68" s="386"/>
      <c r="BR68" s="386"/>
      <c r="BS68" s="386"/>
      <c r="BT68" s="386"/>
      <c r="BU68" s="386"/>
      <c r="BV68" s="386"/>
      <c r="BW68" s="386"/>
      <c r="BX68" s="386"/>
      <c r="BY68" s="386"/>
      <c r="BZ68" s="386"/>
      <c r="CA68" s="386"/>
      <c r="CB68" s="386"/>
      <c r="CC68" s="386"/>
      <c r="CD68" s="386"/>
      <c r="CE68" s="386"/>
      <c r="CF68" s="386"/>
      <c r="CG68" s="386"/>
      <c r="CH68" s="386"/>
      <c r="CI68" s="386"/>
    </row>
    <row r="69" spans="36:102" x14ac:dyDescent="0.25">
      <c r="AJ69" s="386"/>
      <c r="AK69" s="386"/>
      <c r="AL69" s="386"/>
      <c r="AM69" s="386"/>
      <c r="AN69" s="386"/>
      <c r="AO69" s="386"/>
      <c r="AP69" s="386"/>
      <c r="AQ69" s="386"/>
      <c r="AR69" s="386"/>
      <c r="AS69" s="386"/>
      <c r="AT69" s="386"/>
      <c r="AU69" s="386"/>
      <c r="AV69" s="386"/>
      <c r="AW69" s="386"/>
      <c r="AX69" s="386"/>
      <c r="AY69" s="386"/>
      <c r="AZ69" s="386"/>
      <c r="BA69" s="386"/>
      <c r="BB69" s="386"/>
      <c r="BC69" s="386"/>
      <c r="BD69" s="386"/>
      <c r="BE69" s="386"/>
      <c r="BF69" s="386"/>
      <c r="BG69" s="386"/>
      <c r="BH69" s="386"/>
      <c r="BK69" s="386"/>
      <c r="BL69" s="386"/>
      <c r="BM69" s="386"/>
      <c r="BN69" s="386"/>
      <c r="BO69" s="386"/>
      <c r="BP69" s="386"/>
      <c r="BQ69" s="386"/>
      <c r="BR69" s="386"/>
      <c r="BS69" s="386"/>
      <c r="BT69" s="386"/>
      <c r="BU69" s="386"/>
      <c r="BV69" s="386"/>
      <c r="BW69" s="386"/>
      <c r="BX69" s="386"/>
      <c r="BY69" s="386"/>
      <c r="BZ69" s="386"/>
      <c r="CA69" s="386"/>
      <c r="CB69" s="386"/>
      <c r="CC69" s="386"/>
      <c r="CD69" s="386"/>
      <c r="CE69" s="386"/>
      <c r="CF69" s="386"/>
      <c r="CG69" s="386"/>
      <c r="CH69" s="386"/>
      <c r="CI69" s="386"/>
    </row>
    <row r="70" spans="36:102" x14ac:dyDescent="0.25"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U70" s="386"/>
      <c r="AV70" s="386"/>
      <c r="AW70" s="386"/>
      <c r="AX70" s="386"/>
      <c r="AY70" s="386"/>
      <c r="AZ70" s="386"/>
      <c r="BA70" s="386"/>
      <c r="BB70" s="386"/>
      <c r="BC70" s="386"/>
      <c r="BD70" s="386"/>
      <c r="BE70" s="386"/>
      <c r="BF70" s="386"/>
      <c r="BG70" s="386"/>
      <c r="BH70" s="386"/>
      <c r="BK70" s="386"/>
      <c r="BL70" s="386"/>
      <c r="BM70" s="386"/>
      <c r="BN70" s="386"/>
      <c r="BO70" s="386"/>
      <c r="BP70" s="386"/>
      <c r="BQ70" s="386"/>
      <c r="BR70" s="386"/>
      <c r="BS70" s="386"/>
      <c r="BT70" s="386"/>
      <c r="BU70" s="386"/>
      <c r="BV70" s="386"/>
      <c r="BW70" s="386"/>
      <c r="BX70" s="386"/>
      <c r="BY70" s="386"/>
      <c r="BZ70" s="386"/>
      <c r="CA70" s="386"/>
      <c r="CB70" s="386"/>
      <c r="CC70" s="386"/>
      <c r="CD70" s="386"/>
      <c r="CE70" s="386"/>
      <c r="CF70" s="386"/>
      <c r="CG70" s="386"/>
      <c r="CH70" s="386"/>
      <c r="CI70" s="386"/>
    </row>
    <row r="71" spans="36:102" x14ac:dyDescent="0.25"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U71" s="386"/>
      <c r="AV71" s="386"/>
      <c r="AW71" s="386"/>
      <c r="AX71" s="386"/>
      <c r="AY71" s="386"/>
      <c r="AZ71" s="386"/>
      <c r="BA71" s="386"/>
      <c r="BB71" s="386"/>
      <c r="BC71" s="386"/>
      <c r="BD71" s="386"/>
      <c r="BE71" s="386"/>
      <c r="BF71" s="386"/>
      <c r="BG71" s="386"/>
      <c r="BH71" s="386"/>
      <c r="BK71" s="386"/>
      <c r="BL71" s="386"/>
      <c r="BM71" s="386"/>
      <c r="BN71" s="386"/>
      <c r="BO71" s="386"/>
      <c r="BP71" s="386"/>
      <c r="BQ71" s="386"/>
      <c r="BR71" s="386"/>
      <c r="BS71" s="386"/>
      <c r="BT71" s="386"/>
      <c r="BU71" s="386"/>
      <c r="BV71" s="386"/>
      <c r="BW71" s="386"/>
      <c r="BX71" s="386"/>
      <c r="BY71" s="386"/>
      <c r="BZ71" s="386"/>
      <c r="CA71" s="386"/>
      <c r="CB71" s="386"/>
      <c r="CC71" s="386"/>
      <c r="CD71" s="386"/>
      <c r="CE71" s="386"/>
      <c r="CF71" s="386"/>
      <c r="CG71" s="386"/>
      <c r="CH71" s="386"/>
      <c r="CI71" s="386"/>
    </row>
    <row r="72" spans="36:102" x14ac:dyDescent="0.25"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U72" s="386"/>
      <c r="AV72" s="386"/>
      <c r="AW72" s="386"/>
      <c r="AX72" s="386"/>
      <c r="AY72" s="386"/>
      <c r="AZ72" s="386"/>
      <c r="BA72" s="386"/>
      <c r="BB72" s="386"/>
      <c r="BC72" s="386"/>
      <c r="BD72" s="386"/>
      <c r="BE72" s="386"/>
      <c r="BF72" s="386"/>
      <c r="BG72" s="386"/>
      <c r="BH72" s="386"/>
      <c r="BK72" s="386"/>
      <c r="BL72" s="386"/>
      <c r="BM72" s="386"/>
      <c r="BN72" s="386"/>
      <c r="BO72" s="386"/>
      <c r="BP72" s="386"/>
      <c r="BQ72" s="386"/>
      <c r="BR72" s="386"/>
      <c r="BS72" s="386"/>
      <c r="BT72" s="386"/>
      <c r="BU72" s="386"/>
      <c r="BV72" s="386"/>
      <c r="BW72" s="386"/>
      <c r="BX72" s="386"/>
      <c r="BY72" s="386"/>
      <c r="BZ72" s="386"/>
      <c r="CA72" s="386"/>
      <c r="CB72" s="386"/>
      <c r="CC72" s="386"/>
      <c r="CD72" s="386"/>
      <c r="CE72" s="386"/>
      <c r="CF72" s="386"/>
      <c r="CG72" s="386"/>
      <c r="CH72" s="386"/>
      <c r="CI72" s="386"/>
    </row>
    <row r="73" spans="36:102" x14ac:dyDescent="0.25"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386"/>
      <c r="BA73" s="386"/>
      <c r="BB73" s="386"/>
      <c r="BC73" s="386"/>
      <c r="BD73" s="386"/>
      <c r="BE73" s="386"/>
      <c r="BF73" s="386"/>
      <c r="BG73" s="386"/>
      <c r="BH73" s="386"/>
      <c r="BK73" s="386"/>
      <c r="BL73" s="386"/>
      <c r="BM73" s="386"/>
      <c r="BN73" s="386"/>
      <c r="BO73" s="386"/>
      <c r="BP73" s="386"/>
      <c r="BQ73" s="386"/>
      <c r="BR73" s="386"/>
      <c r="BS73" s="386"/>
      <c r="BT73" s="386"/>
      <c r="BU73" s="386"/>
      <c r="BV73" s="386"/>
      <c r="BW73" s="386"/>
      <c r="BX73" s="386"/>
      <c r="BY73" s="386"/>
      <c r="BZ73" s="386"/>
      <c r="CA73" s="386"/>
      <c r="CB73" s="386"/>
      <c r="CC73" s="386"/>
      <c r="CD73" s="386"/>
      <c r="CE73" s="386"/>
      <c r="CF73" s="386"/>
      <c r="CG73" s="386"/>
      <c r="CH73" s="386"/>
      <c r="CI73" s="386"/>
    </row>
    <row r="74" spans="36:102" x14ac:dyDescent="0.25"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U74" s="386"/>
      <c r="AV74" s="386"/>
      <c r="AW74" s="386"/>
      <c r="AX74" s="386"/>
      <c r="AY74" s="386"/>
      <c r="AZ74" s="386"/>
      <c r="BA74" s="386"/>
      <c r="BB74" s="386"/>
      <c r="BC74" s="386"/>
      <c r="BD74" s="386"/>
      <c r="BE74" s="386"/>
      <c r="BF74" s="386"/>
      <c r="BG74" s="386"/>
      <c r="BH74" s="386"/>
      <c r="BK74" s="386"/>
      <c r="BL74" s="386"/>
      <c r="BM74" s="386"/>
      <c r="BN74" s="386"/>
      <c r="BO74" s="386"/>
      <c r="BP74" s="386"/>
      <c r="BQ74" s="386"/>
      <c r="BR74" s="386"/>
      <c r="BS74" s="386"/>
      <c r="BT74" s="386"/>
      <c r="BU74" s="386"/>
      <c r="BV74" s="386"/>
      <c r="BW74" s="386"/>
      <c r="BX74" s="386"/>
      <c r="BY74" s="386"/>
      <c r="BZ74" s="386"/>
      <c r="CA74" s="386"/>
      <c r="CB74" s="386"/>
      <c r="CC74" s="386"/>
      <c r="CD74" s="386"/>
      <c r="CE74" s="386"/>
      <c r="CF74" s="386"/>
      <c r="CG74" s="386"/>
      <c r="CH74" s="386"/>
      <c r="CI74" s="386"/>
    </row>
    <row r="75" spans="36:102" x14ac:dyDescent="0.25"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386"/>
      <c r="BA75" s="386"/>
      <c r="BB75" s="386"/>
      <c r="BC75" s="386"/>
      <c r="BD75" s="386"/>
      <c r="BE75" s="386"/>
      <c r="BF75" s="386"/>
      <c r="BG75" s="386"/>
      <c r="BH75" s="386"/>
      <c r="BK75" s="386"/>
      <c r="BL75" s="386"/>
      <c r="BM75" s="386"/>
      <c r="BN75" s="386"/>
      <c r="BO75" s="386"/>
      <c r="BP75" s="386"/>
      <c r="BQ75" s="386"/>
      <c r="BR75" s="386"/>
      <c r="BS75" s="386"/>
      <c r="BT75" s="386"/>
      <c r="BU75" s="386"/>
      <c r="BV75" s="386"/>
      <c r="BW75" s="386"/>
      <c r="BX75" s="386"/>
      <c r="BY75" s="386"/>
      <c r="BZ75" s="386"/>
      <c r="CA75" s="386"/>
      <c r="CB75" s="386"/>
      <c r="CC75" s="386"/>
      <c r="CD75" s="386"/>
      <c r="CE75" s="386"/>
      <c r="CF75" s="386"/>
      <c r="CG75" s="386"/>
      <c r="CH75" s="386"/>
      <c r="CI75" s="386"/>
    </row>
    <row r="76" spans="36:102" x14ac:dyDescent="0.25"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U76" s="386"/>
      <c r="AV76" s="386"/>
      <c r="AW76" s="386"/>
      <c r="AX76" s="386"/>
      <c r="AY76" s="386"/>
      <c r="AZ76" s="386"/>
      <c r="BA76" s="386"/>
      <c r="BB76" s="386"/>
      <c r="BC76" s="386"/>
      <c r="BD76" s="386"/>
      <c r="BE76" s="386"/>
      <c r="BF76" s="386"/>
      <c r="BG76" s="386"/>
      <c r="BH76" s="386"/>
      <c r="BK76" s="386"/>
      <c r="BL76" s="386"/>
      <c r="BM76" s="386"/>
      <c r="BN76" s="386"/>
      <c r="BO76" s="386"/>
      <c r="BP76" s="386"/>
      <c r="BQ76" s="386"/>
      <c r="BR76" s="386"/>
      <c r="BS76" s="386"/>
      <c r="BT76" s="386"/>
      <c r="BU76" s="386"/>
      <c r="BV76" s="386"/>
      <c r="BW76" s="386"/>
      <c r="BX76" s="386"/>
      <c r="BY76" s="386"/>
      <c r="BZ76" s="386"/>
      <c r="CA76" s="386"/>
      <c r="CB76" s="386"/>
      <c r="CC76" s="386"/>
      <c r="CD76" s="386"/>
      <c r="CE76" s="386"/>
      <c r="CF76" s="386"/>
      <c r="CG76" s="386"/>
      <c r="CH76" s="386"/>
      <c r="CI76" s="386"/>
    </row>
    <row r="77" spans="36:102" x14ac:dyDescent="0.25"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U77" s="386"/>
      <c r="AV77" s="386"/>
      <c r="AW77" s="386"/>
      <c r="AX77" s="386"/>
      <c r="AY77" s="386"/>
      <c r="AZ77" s="386"/>
      <c r="BA77" s="386"/>
      <c r="BB77" s="386"/>
      <c r="BC77" s="386"/>
      <c r="BD77" s="386"/>
      <c r="BE77" s="386"/>
      <c r="BF77" s="386"/>
      <c r="BG77" s="386"/>
      <c r="BH77" s="386"/>
      <c r="CL77" t="s">
        <v>807</v>
      </c>
    </row>
    <row r="78" spans="36:102" ht="15.75" thickBot="1" x14ac:dyDescent="0.3"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U78" s="386"/>
      <c r="AV78" s="386"/>
      <c r="AW78" s="386"/>
      <c r="AX78" s="386"/>
      <c r="AY78" s="386"/>
      <c r="AZ78" s="386"/>
      <c r="BA78" s="386"/>
      <c r="BB78" s="386"/>
      <c r="BC78" s="386"/>
      <c r="BD78" s="386"/>
      <c r="BE78" s="386"/>
      <c r="BF78" s="386"/>
      <c r="BG78" s="386"/>
      <c r="BH78" s="386"/>
    </row>
    <row r="79" spans="36:102" ht="18" customHeight="1" thickBot="1" x14ac:dyDescent="0.35">
      <c r="CL79" s="646"/>
      <c r="CM79" s="647" t="s">
        <v>351</v>
      </c>
      <c r="CN79" s="652">
        <v>1</v>
      </c>
      <c r="CO79" s="652">
        <v>2</v>
      </c>
      <c r="CP79" s="652">
        <v>3</v>
      </c>
      <c r="CQ79" s="652">
        <v>4</v>
      </c>
      <c r="CR79" s="653">
        <v>11</v>
      </c>
      <c r="CS79" s="652">
        <v>12</v>
      </c>
      <c r="CT79" s="652">
        <v>15</v>
      </c>
      <c r="CU79" s="652">
        <v>16</v>
      </c>
      <c r="CV79" s="652">
        <v>17</v>
      </c>
      <c r="CW79" s="652">
        <v>18</v>
      </c>
      <c r="CX79" s="654">
        <v>19</v>
      </c>
    </row>
    <row r="80" spans="36:102" s="468" customFormat="1" ht="35.450000000000003" customHeight="1" x14ac:dyDescent="0.3">
      <c r="CL80" s="648" t="s">
        <v>79</v>
      </c>
      <c r="CM80" s="466" t="s">
        <v>212</v>
      </c>
      <c r="CN80" s="655"/>
      <c r="CO80" s="655"/>
      <c r="CP80" s="656">
        <f>(0.017+0.02)/2</f>
        <v>1.8500000000000003E-2</v>
      </c>
      <c r="CQ80" s="655"/>
      <c r="CR80" s="657">
        <v>1.2666666666666666E-2</v>
      </c>
      <c r="CS80" s="657">
        <v>1.5333333333333332E-2</v>
      </c>
      <c r="CT80" s="655"/>
      <c r="CU80" s="655"/>
      <c r="CV80" s="657">
        <v>1.2E-2</v>
      </c>
      <c r="CW80" s="658">
        <v>1.1666666666666665E-2</v>
      </c>
      <c r="CX80" s="659"/>
    </row>
    <row r="81" spans="90:102" s="468" customFormat="1" ht="35.450000000000003" customHeight="1" x14ac:dyDescent="0.3">
      <c r="CL81" s="649" t="s">
        <v>815</v>
      </c>
      <c r="CM81" s="466" t="s">
        <v>213</v>
      </c>
      <c r="CN81" s="660"/>
      <c r="CO81" s="660"/>
      <c r="CP81" s="660"/>
      <c r="CQ81" s="660"/>
      <c r="CR81" s="660"/>
      <c r="CS81" s="660"/>
      <c r="CT81" s="660"/>
      <c r="CU81" s="660"/>
      <c r="CV81" s="661">
        <v>1.15E-2</v>
      </c>
      <c r="CW81" s="660"/>
      <c r="CX81" s="662"/>
    </row>
    <row r="82" spans="90:102" s="468" customFormat="1" ht="35.450000000000003" customHeight="1" x14ac:dyDescent="0.3">
      <c r="CL82" s="648"/>
      <c r="CM82" s="464" t="s">
        <v>214</v>
      </c>
      <c r="CN82" s="660"/>
      <c r="CO82" s="661">
        <v>1.3333333333333334E-2</v>
      </c>
      <c r="CP82" s="660"/>
      <c r="CQ82" s="661">
        <v>1.7500000000000002E-2</v>
      </c>
      <c r="CR82" s="660"/>
      <c r="CS82" s="663">
        <v>1.44E-2</v>
      </c>
      <c r="CT82" s="660"/>
      <c r="CU82" s="660"/>
      <c r="CV82" s="660"/>
      <c r="CW82" s="663">
        <v>1.4500000000000001E-2</v>
      </c>
      <c r="CX82" s="664">
        <v>1.2499999999999999E-2</v>
      </c>
    </row>
    <row r="83" spans="90:102" s="468" customFormat="1" ht="35.450000000000003" customHeight="1" thickBot="1" x14ac:dyDescent="0.35">
      <c r="CL83" s="650"/>
      <c r="CM83" s="467" t="s">
        <v>215</v>
      </c>
      <c r="CN83" s="665"/>
      <c r="CO83" s="665"/>
      <c r="CP83" s="665"/>
      <c r="CQ83" s="666">
        <v>1.2E-2</v>
      </c>
      <c r="CR83" s="665"/>
      <c r="CS83" s="667">
        <v>1.2999999999999999E-2</v>
      </c>
      <c r="CT83" s="665"/>
      <c r="CU83" s="665"/>
      <c r="CV83" s="665"/>
      <c r="CW83" s="665"/>
      <c r="CX83" s="668"/>
    </row>
    <row r="84" spans="90:102" s="468" customFormat="1" ht="35.450000000000003" customHeight="1" x14ac:dyDescent="0.3">
      <c r="CL84" s="648" t="s">
        <v>41</v>
      </c>
      <c r="CM84" s="466" t="s">
        <v>212</v>
      </c>
      <c r="CN84" s="658"/>
      <c r="CO84" s="658"/>
      <c r="CP84" s="658" t="s">
        <v>812</v>
      </c>
      <c r="CQ84" s="658"/>
      <c r="CR84" s="658" t="s">
        <v>808</v>
      </c>
      <c r="CS84" s="658"/>
      <c r="CT84" s="655"/>
      <c r="CU84" s="655"/>
      <c r="CV84" s="658" t="s">
        <v>813</v>
      </c>
      <c r="CW84" s="658" t="s">
        <v>814</v>
      </c>
      <c r="CX84" s="669" t="s">
        <v>811</v>
      </c>
    </row>
    <row r="85" spans="90:102" s="468" customFormat="1" ht="35.450000000000003" customHeight="1" x14ac:dyDescent="0.3">
      <c r="CL85" s="649" t="s">
        <v>816</v>
      </c>
      <c r="CM85" s="466" t="s">
        <v>213</v>
      </c>
      <c r="CN85" s="660"/>
      <c r="CO85" s="663"/>
      <c r="CP85" s="663">
        <v>2.4550000000000002E-2</v>
      </c>
      <c r="CQ85" s="660"/>
      <c r="CR85" s="663">
        <v>3.6999999999999998E-2</v>
      </c>
      <c r="CS85" s="660"/>
      <c r="CT85" s="660"/>
      <c r="CU85" s="660"/>
      <c r="CV85" s="660"/>
      <c r="CW85" s="663">
        <v>1.5333333333333332E-2</v>
      </c>
      <c r="CX85" s="670">
        <v>2.4E-2</v>
      </c>
    </row>
    <row r="86" spans="90:102" s="468" customFormat="1" ht="35.450000000000003" customHeight="1" x14ac:dyDescent="0.3">
      <c r="CL86" s="648"/>
      <c r="CM86" s="464" t="s">
        <v>214</v>
      </c>
      <c r="CN86" s="660"/>
      <c r="CO86" s="660"/>
      <c r="CP86" s="660"/>
      <c r="CQ86" s="660"/>
      <c r="CR86" s="663" t="s">
        <v>808</v>
      </c>
      <c r="CS86" s="663" t="s">
        <v>809</v>
      </c>
      <c r="CT86" s="660"/>
      <c r="CU86" s="660"/>
      <c r="CV86" s="660"/>
      <c r="CW86" s="663" t="s">
        <v>810</v>
      </c>
      <c r="CX86" s="662"/>
    </row>
    <row r="87" spans="90:102" s="468" customFormat="1" ht="35.450000000000003" customHeight="1" thickBot="1" x14ac:dyDescent="0.35">
      <c r="CL87" s="650"/>
      <c r="CM87" s="467" t="s">
        <v>215</v>
      </c>
      <c r="CN87" s="665"/>
      <c r="CO87" s="665"/>
      <c r="CP87" s="665"/>
      <c r="CQ87" s="665"/>
      <c r="CR87" s="666">
        <v>2.2993915920411868E-2</v>
      </c>
      <c r="CS87" s="665"/>
      <c r="CT87" s="665"/>
      <c r="CU87" s="665"/>
      <c r="CV87" s="665"/>
      <c r="CW87" s="665"/>
      <c r="CX87" s="668"/>
    </row>
    <row r="88" spans="90:102" s="468" customFormat="1" ht="35.450000000000003" customHeight="1" x14ac:dyDescent="0.3">
      <c r="CL88" s="648" t="s">
        <v>78</v>
      </c>
      <c r="CM88" s="466" t="s">
        <v>212</v>
      </c>
      <c r="CN88" s="657">
        <f>(0.013+0.014+0.014+0.016)/4</f>
        <v>1.4250000000000001E-2</v>
      </c>
      <c r="CO88" s="657"/>
      <c r="CP88" s="657"/>
      <c r="CQ88" s="657">
        <f>0.023</f>
        <v>2.3E-2</v>
      </c>
      <c r="CR88" s="657">
        <v>1.7000000000000001E-2</v>
      </c>
      <c r="CS88" s="657">
        <f>(0.015+0.0145+0.016+0.018+0.022)/5</f>
        <v>1.7099999999999997E-2</v>
      </c>
      <c r="CT88" s="655"/>
      <c r="CU88" s="655"/>
      <c r="CV88" s="657"/>
      <c r="CW88" s="657">
        <v>1.8749999999999999E-2</v>
      </c>
      <c r="CX88" s="659"/>
    </row>
    <row r="89" spans="90:102" s="468" customFormat="1" ht="35.450000000000003" customHeight="1" x14ac:dyDescent="0.3">
      <c r="CL89" s="649" t="s">
        <v>817</v>
      </c>
      <c r="CM89" s="466" t="s">
        <v>213</v>
      </c>
      <c r="CN89" s="660"/>
      <c r="CO89" s="661">
        <v>1.2999999999999999E-2</v>
      </c>
      <c r="CP89" s="660"/>
      <c r="CQ89" s="661">
        <f>(0.017+0.019+0.019)/3</f>
        <v>1.8333333333333337E-2</v>
      </c>
      <c r="CR89" s="661">
        <v>0.01</v>
      </c>
      <c r="CS89" s="661">
        <v>0.02</v>
      </c>
      <c r="CT89" s="660"/>
      <c r="CU89" s="660"/>
      <c r="CV89" s="660"/>
      <c r="CW89" s="660"/>
      <c r="CX89" s="662"/>
    </row>
    <row r="90" spans="90:102" s="468" customFormat="1" ht="35.450000000000003" customHeight="1" x14ac:dyDescent="0.3">
      <c r="CL90" s="648"/>
      <c r="CM90" s="464" t="s">
        <v>214</v>
      </c>
      <c r="CN90" s="660"/>
      <c r="CO90" s="660"/>
      <c r="CP90" s="660"/>
      <c r="CQ90" s="660"/>
      <c r="CR90" s="661">
        <f>(0.016+0.016+0.014+0.017+0.017+0.018+0.018+0.017+0.017)/9</f>
        <v>1.666666666666667E-2</v>
      </c>
      <c r="CS90" s="660"/>
      <c r="CT90" s="661"/>
      <c r="CU90" s="661">
        <v>2.7E-2</v>
      </c>
      <c r="CV90" s="660"/>
      <c r="CW90" s="660"/>
      <c r="CX90" s="662"/>
    </row>
    <row r="91" spans="90:102" s="468" customFormat="1" ht="35.450000000000003" customHeight="1" thickBot="1" x14ac:dyDescent="0.35">
      <c r="CL91" s="651"/>
      <c r="CM91" s="467" t="s">
        <v>213</v>
      </c>
      <c r="CN91" s="665"/>
      <c r="CO91" s="665"/>
      <c r="CP91" s="665"/>
      <c r="CQ91" s="665"/>
      <c r="CR91" s="665"/>
      <c r="CS91" s="665"/>
      <c r="CT91" s="666">
        <v>2.5999999999999999E-2</v>
      </c>
      <c r="CU91" s="665"/>
      <c r="CV91" s="665"/>
      <c r="CW91" s="665"/>
      <c r="CX91" s="668"/>
    </row>
    <row r="95" spans="90:102" ht="14.25" customHeight="1" x14ac:dyDescent="0.25"/>
    <row r="101" spans="113:205" x14ac:dyDescent="0.25"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</row>
    <row r="102" spans="113:205" ht="15.75" thickBot="1" x14ac:dyDescent="0.3"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Q102" s="386"/>
      <c r="GR102" s="386"/>
      <c r="GS102" s="386"/>
      <c r="GT102" s="386"/>
      <c r="GU102" s="386"/>
      <c r="GV102" s="386"/>
      <c r="GW102" s="386"/>
    </row>
    <row r="103" spans="113:205" x14ac:dyDescent="0.25"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I103" t="s">
        <v>328</v>
      </c>
      <c r="GJ103" s="457"/>
      <c r="GK103" s="457"/>
      <c r="GL103" s="457"/>
      <c r="GM103" s="457"/>
      <c r="GN103" s="459"/>
      <c r="GO103" s="459"/>
      <c r="GQ103" s="386"/>
      <c r="GR103" s="386"/>
      <c r="GS103" s="386"/>
      <c r="GT103" s="386"/>
      <c r="GU103" s="386"/>
      <c r="GV103" s="386"/>
      <c r="GW103" s="386"/>
    </row>
    <row r="104" spans="113:205" x14ac:dyDescent="0.25"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I104" s="377"/>
      <c r="GJ104" s="299" t="s">
        <v>330</v>
      </c>
      <c r="GK104" t="s">
        <v>331</v>
      </c>
      <c r="GL104" t="s">
        <v>332</v>
      </c>
      <c r="GM104" s="299" t="s">
        <v>333</v>
      </c>
      <c r="GN104" t="s">
        <v>335</v>
      </c>
      <c r="GO104" s="299" t="s">
        <v>350</v>
      </c>
      <c r="GQ104" s="386"/>
      <c r="GR104" s="386"/>
      <c r="GS104" s="386"/>
      <c r="GT104" s="386"/>
      <c r="GU104" s="386"/>
      <c r="GV104" s="386"/>
      <c r="GW104" s="386"/>
    </row>
    <row r="105" spans="113:205" x14ac:dyDescent="0.25"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I105" s="455" t="s">
        <v>336</v>
      </c>
      <c r="GJ105" s="299">
        <v>1.4484695651094935E-4</v>
      </c>
      <c r="GK105">
        <v>2</v>
      </c>
      <c r="GL105">
        <v>7.2423478255474673E-5</v>
      </c>
      <c r="GM105">
        <v>2.295375687465298</v>
      </c>
      <c r="GN105" s="468">
        <v>3.27</v>
      </c>
      <c r="GO105">
        <v>0.1156911809369808</v>
      </c>
      <c r="GQ105" s="386"/>
      <c r="GR105" s="386"/>
      <c r="GS105" s="386"/>
      <c r="GT105" s="386"/>
      <c r="GU105" s="386"/>
      <c r="GV105" s="386"/>
      <c r="GW105" s="386"/>
    </row>
    <row r="106" spans="113:205" x14ac:dyDescent="0.25"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I106" s="455" t="s">
        <v>337</v>
      </c>
      <c r="GJ106" s="299">
        <v>1.1043167150300906E-3</v>
      </c>
      <c r="GK106">
        <v>35</v>
      </c>
      <c r="GL106">
        <v>3.1551906143716875E-5</v>
      </c>
      <c r="GN106" t="s">
        <v>354</v>
      </c>
      <c r="GQ106" s="386"/>
      <c r="GR106" s="386"/>
      <c r="GS106" s="386"/>
      <c r="GT106" s="386"/>
      <c r="GU106" s="386"/>
      <c r="GV106" s="386"/>
      <c r="GW106" s="386"/>
    </row>
    <row r="107" spans="113:205" ht="18.75" x14ac:dyDescent="0.3">
      <c r="DP107" s="61"/>
      <c r="DQ107" s="537" t="s">
        <v>566</v>
      </c>
      <c r="DR107" s="465">
        <v>0.1928</v>
      </c>
      <c r="DS107" s="418">
        <v>0.20280000000000001</v>
      </c>
      <c r="DT107" s="465">
        <v>0.92279999999999995</v>
      </c>
      <c r="DU107" s="418">
        <v>1.175</v>
      </c>
      <c r="DV107" s="465">
        <v>1.2328000000000001</v>
      </c>
      <c r="DW107" s="418">
        <v>1.5628000000000002</v>
      </c>
      <c r="DX107" s="418">
        <v>1.6228</v>
      </c>
      <c r="DY107" s="465">
        <v>1.6428</v>
      </c>
      <c r="DZ107" s="423">
        <v>1.7849999999999999</v>
      </c>
      <c r="EA107" s="423">
        <v>1.7928000000000002</v>
      </c>
      <c r="EB107" s="465">
        <v>1.8628</v>
      </c>
      <c r="EC107" s="465">
        <v>2.0528</v>
      </c>
      <c r="ED107" s="423">
        <v>2.0550000000000002</v>
      </c>
      <c r="EE107" s="423">
        <v>2.0627999999999997</v>
      </c>
      <c r="EF107" s="465">
        <v>2.1328</v>
      </c>
      <c r="EG107" s="423">
        <v>2.1928000000000001</v>
      </c>
      <c r="EH107" s="418">
        <v>3.4750000000000001</v>
      </c>
      <c r="EI107" s="423">
        <v>4.5650000000000004</v>
      </c>
      <c r="EJ107" s="423">
        <v>5.0250000000000004</v>
      </c>
      <c r="EK107" s="423">
        <v>5.2650000000000006</v>
      </c>
      <c r="EL107" s="423">
        <v>5.6550000000000002</v>
      </c>
      <c r="EM107" s="423">
        <v>6.2250000000000005</v>
      </c>
      <c r="EN107" s="418">
        <v>6.415</v>
      </c>
      <c r="EO107" s="423">
        <v>8.8249999999999993</v>
      </c>
      <c r="EP107" s="423">
        <v>12.864999999999998</v>
      </c>
      <c r="EQ107" s="539" t="s">
        <v>353</v>
      </c>
      <c r="ER107" s="539" t="s">
        <v>327</v>
      </c>
      <c r="ES107" s="537" t="s">
        <v>577</v>
      </c>
      <c r="ET107" s="537" t="s">
        <v>244</v>
      </c>
      <c r="EV107" s="537" t="s">
        <v>566</v>
      </c>
      <c r="EW107" s="465">
        <v>0.1928</v>
      </c>
      <c r="EX107" s="418">
        <v>0.20280000000000001</v>
      </c>
      <c r="EY107" s="465">
        <v>0.92279999999999995</v>
      </c>
      <c r="EZ107" s="418">
        <v>1.175</v>
      </c>
      <c r="FA107" s="465">
        <v>1.2328000000000001</v>
      </c>
      <c r="FB107" s="418">
        <v>1.5628000000000002</v>
      </c>
      <c r="FC107" s="418">
        <v>1.6228</v>
      </c>
      <c r="FD107" s="465">
        <v>1.6428</v>
      </c>
      <c r="FE107" s="423">
        <v>1.7849999999999999</v>
      </c>
      <c r="FF107" s="423">
        <v>1.7928000000000002</v>
      </c>
      <c r="FG107" s="465">
        <v>1.8628</v>
      </c>
      <c r="FH107" s="465">
        <v>2.0528</v>
      </c>
      <c r="FI107" s="423">
        <v>2.0550000000000002</v>
      </c>
      <c r="FJ107" s="423">
        <v>2.0627999999999997</v>
      </c>
      <c r="FK107" s="465">
        <v>2.1328</v>
      </c>
      <c r="FL107" s="423">
        <v>2.1928000000000001</v>
      </c>
      <c r="FM107" s="418">
        <v>3.4750000000000001</v>
      </c>
      <c r="FN107" s="423">
        <v>4.5650000000000004</v>
      </c>
      <c r="FO107" s="423">
        <v>5.0250000000000004</v>
      </c>
      <c r="FP107" s="423">
        <v>5.2650000000000006</v>
      </c>
      <c r="FQ107" s="423">
        <v>5.6550000000000002</v>
      </c>
      <c r="FR107" s="423">
        <v>6.2250000000000005</v>
      </c>
      <c r="FS107" s="418">
        <v>6.415</v>
      </c>
      <c r="FT107" s="423">
        <v>8.8249999999999993</v>
      </c>
      <c r="FU107" s="423">
        <v>12.864999999999998</v>
      </c>
      <c r="FV107" s="539" t="s">
        <v>353</v>
      </c>
      <c r="FW107" s="539" t="s">
        <v>327</v>
      </c>
      <c r="FX107" s="537" t="s">
        <v>577</v>
      </c>
      <c r="FY107" s="537" t="s">
        <v>244</v>
      </c>
      <c r="FZ107" s="61"/>
      <c r="GI107" t="s">
        <v>341</v>
      </c>
      <c r="GJ107">
        <v>1.24916367154104E-3</v>
      </c>
      <c r="GK107">
        <f>GK105+GK106</f>
        <v>37</v>
      </c>
      <c r="GN107" t="s">
        <v>355</v>
      </c>
      <c r="GQ107" s="386"/>
      <c r="GR107" s="386"/>
      <c r="GS107" s="386"/>
      <c r="GT107" s="386"/>
      <c r="GU107" s="386"/>
      <c r="GV107" s="386"/>
      <c r="GW107" s="386"/>
    </row>
    <row r="108" spans="113:205" ht="18.75" x14ac:dyDescent="0.3">
      <c r="DP108" s="61"/>
      <c r="DQ108" s="537" t="s">
        <v>568</v>
      </c>
      <c r="DR108" s="526">
        <v>16.066666666666666</v>
      </c>
      <c r="DS108" s="526">
        <v>17.634782608695652</v>
      </c>
      <c r="DT108" s="526">
        <v>70.984615384615381</v>
      </c>
      <c r="DU108" s="527">
        <v>90.384615384615387</v>
      </c>
      <c r="DV108" s="526">
        <v>70.445714285714288</v>
      </c>
      <c r="DW108" s="527">
        <v>130.23333333333335</v>
      </c>
      <c r="DX108" s="527">
        <v>121.71</v>
      </c>
      <c r="DY108" s="526">
        <v>131.42400000000001</v>
      </c>
      <c r="DZ108" s="527">
        <v>89.25</v>
      </c>
      <c r="EA108" s="528">
        <v>96.908108108108109</v>
      </c>
      <c r="EB108" s="526">
        <v>128.46896551724137</v>
      </c>
      <c r="EC108" s="527">
        <v>175.95428571428573</v>
      </c>
      <c r="ED108" s="527">
        <v>205.5</v>
      </c>
      <c r="EE108" s="527">
        <v>134.53043478260869</v>
      </c>
      <c r="EF108" s="526">
        <v>148.11111111111111</v>
      </c>
      <c r="EG108" s="527">
        <v>173.11578947368423</v>
      </c>
      <c r="EH108" s="527">
        <v>133.65384615384616</v>
      </c>
      <c r="EI108" s="527">
        <v>248.99999999999997</v>
      </c>
      <c r="EJ108" s="527">
        <v>301.49999999999994</v>
      </c>
      <c r="EK108" s="527">
        <v>195.00000000000003</v>
      </c>
      <c r="EL108" s="527">
        <v>396.84210526315792</v>
      </c>
      <c r="EM108" s="527">
        <v>364.03508771929836</v>
      </c>
      <c r="EN108" s="527">
        <v>342.13333333333333</v>
      </c>
      <c r="EO108" s="527">
        <v>519.11764705882342</v>
      </c>
      <c r="EP108" s="527">
        <v>559.3478260869565</v>
      </c>
      <c r="EQ108" s="540">
        <v>194.45409071944377</v>
      </c>
      <c r="ER108" s="542">
        <v>20739.047155545162</v>
      </c>
      <c r="ES108" s="537"/>
      <c r="ET108" s="537"/>
      <c r="EV108" s="537" t="s">
        <v>568</v>
      </c>
      <c r="EW108" s="526">
        <v>16.066666666666666</v>
      </c>
      <c r="EX108" s="526">
        <v>17.634782608695652</v>
      </c>
      <c r="EY108" s="526">
        <v>70.984615384615381</v>
      </c>
      <c r="EZ108" s="527">
        <v>90.384615384615387</v>
      </c>
      <c r="FA108" s="526">
        <v>70.445714285714288</v>
      </c>
      <c r="FB108" s="527">
        <v>130.23333333333335</v>
      </c>
      <c r="FC108" s="527">
        <v>121.71</v>
      </c>
      <c r="FD108" s="526">
        <v>131.42400000000001</v>
      </c>
      <c r="FE108" s="527">
        <v>89.25</v>
      </c>
      <c r="FF108" s="528">
        <v>96.908108108108109</v>
      </c>
      <c r="FG108" s="526">
        <v>128.46896551724137</v>
      </c>
      <c r="FH108" s="527">
        <v>175.95428571428573</v>
      </c>
      <c r="FI108" s="527">
        <v>205.5</v>
      </c>
      <c r="FJ108" s="527">
        <v>134.53043478260869</v>
      </c>
      <c r="FK108" s="526">
        <v>148.11111111111111</v>
      </c>
      <c r="FL108" s="527">
        <v>173.11578947368423</v>
      </c>
      <c r="FM108" s="527">
        <v>133.65384615384616</v>
      </c>
      <c r="FN108" s="527">
        <v>248.99999999999997</v>
      </c>
      <c r="FO108" s="527">
        <v>301.49999999999994</v>
      </c>
      <c r="FP108" s="527">
        <v>195.00000000000003</v>
      </c>
      <c r="FQ108" s="527">
        <v>396.84210526315792</v>
      </c>
      <c r="FR108" s="527">
        <v>364.03508771929836</v>
      </c>
      <c r="FS108" s="527">
        <v>342.13333333333333</v>
      </c>
      <c r="FT108" s="527">
        <v>519.11764705882342</v>
      </c>
      <c r="FU108" s="527">
        <v>559.3478260869565</v>
      </c>
      <c r="FV108" s="544">
        <v>194.45409071944377</v>
      </c>
      <c r="FW108" s="545">
        <v>20739.047155545162</v>
      </c>
      <c r="FX108" s="421"/>
      <c r="FY108" s="421"/>
      <c r="FZ108" s="61"/>
      <c r="GJ108" s="87"/>
      <c r="GK108" s="87"/>
      <c r="GL108" s="87"/>
      <c r="GM108" s="87"/>
      <c r="GN108" s="458"/>
      <c r="GO108" s="458"/>
      <c r="GP108" s="458"/>
      <c r="GQ108" s="469"/>
      <c r="GR108" s="386"/>
      <c r="GS108" s="386"/>
      <c r="GT108" s="386"/>
      <c r="GU108" s="386"/>
      <c r="GV108" s="386"/>
      <c r="GW108" s="386"/>
    </row>
    <row r="109" spans="113:205" ht="18.75" x14ac:dyDescent="0.3">
      <c r="DP109" s="61"/>
      <c r="DQ109" s="537" t="s">
        <v>567</v>
      </c>
      <c r="DR109" s="529">
        <v>1.2E-2</v>
      </c>
      <c r="DS109" s="529">
        <v>1.15E-2</v>
      </c>
      <c r="DT109" s="529">
        <v>1.2999999999999999E-2</v>
      </c>
      <c r="DU109" s="529">
        <v>1.2999999999999999E-2</v>
      </c>
      <c r="DV109" s="529">
        <v>1.7500000000000002E-2</v>
      </c>
      <c r="DW109" s="529">
        <v>1.2E-2</v>
      </c>
      <c r="DX109" s="529">
        <v>1.3333333333333334E-2</v>
      </c>
      <c r="DY109" s="529">
        <v>1.2499999999999999E-2</v>
      </c>
      <c r="DZ109" s="529">
        <v>0.02</v>
      </c>
      <c r="EA109" s="529">
        <v>1.8500000000000003E-2</v>
      </c>
      <c r="EB109" s="529">
        <v>1.4500000000000001E-2</v>
      </c>
      <c r="EC109" s="529">
        <v>1.1666666666666665E-2</v>
      </c>
      <c r="ED109" s="529">
        <v>0.01</v>
      </c>
      <c r="EE109" s="529">
        <v>1.5333333333333332E-2</v>
      </c>
      <c r="EF109" s="529">
        <v>1.44E-2</v>
      </c>
      <c r="EG109" s="529">
        <v>1.2666666666666666E-2</v>
      </c>
      <c r="EH109" s="529">
        <v>2.5999999999999999E-2</v>
      </c>
      <c r="EI109" s="529">
        <v>1.8333333333333337E-2</v>
      </c>
      <c r="EJ109" s="529">
        <v>1.666666666666667E-2</v>
      </c>
      <c r="EK109" s="529">
        <v>2.7E-2</v>
      </c>
      <c r="EL109" s="529">
        <v>1.4250000000000001E-2</v>
      </c>
      <c r="EM109" s="529">
        <v>1.7099999999999997E-2</v>
      </c>
      <c r="EN109" s="529">
        <v>1.8749999999999999E-2</v>
      </c>
      <c r="EO109" s="529">
        <v>1.7000000000000001E-2</v>
      </c>
      <c r="EP109" s="529">
        <v>2.3E-2</v>
      </c>
      <c r="EQ109" s="537"/>
      <c r="ER109" s="543"/>
      <c r="ES109" s="537"/>
      <c r="ET109" s="537"/>
      <c r="EV109" s="537" t="s">
        <v>567</v>
      </c>
      <c r="EW109" s="529">
        <v>1.2E-2</v>
      </c>
      <c r="EX109" s="529">
        <v>1.15E-2</v>
      </c>
      <c r="EY109" s="529">
        <v>1.2999999999999999E-2</v>
      </c>
      <c r="EZ109" s="529">
        <v>1.2999999999999999E-2</v>
      </c>
      <c r="FA109" s="529">
        <v>1.7500000000000002E-2</v>
      </c>
      <c r="FB109" s="529">
        <v>1.2E-2</v>
      </c>
      <c r="FC109" s="529">
        <v>1.3333333333333334E-2</v>
      </c>
      <c r="FD109" s="529">
        <v>1.2499999999999999E-2</v>
      </c>
      <c r="FE109" s="529">
        <v>0.02</v>
      </c>
      <c r="FF109" s="529">
        <v>1.8500000000000003E-2</v>
      </c>
      <c r="FG109" s="529">
        <v>1.4500000000000001E-2</v>
      </c>
      <c r="FH109" s="529">
        <v>1.1666666666666665E-2</v>
      </c>
      <c r="FI109" s="529">
        <v>0.01</v>
      </c>
      <c r="FJ109" s="529">
        <v>1.5333333333333332E-2</v>
      </c>
      <c r="FK109" s="529">
        <v>1.44E-2</v>
      </c>
      <c r="FL109" s="529">
        <v>1.2666666666666666E-2</v>
      </c>
      <c r="FM109" s="529">
        <v>2.5999999999999999E-2</v>
      </c>
      <c r="FN109" s="529">
        <v>1.8333333333333337E-2</v>
      </c>
      <c r="FO109" s="529">
        <v>1.666666666666667E-2</v>
      </c>
      <c r="FP109" s="529">
        <v>2.7E-2</v>
      </c>
      <c r="FQ109" s="529">
        <v>1.4250000000000001E-2</v>
      </c>
      <c r="FR109" s="529">
        <v>1.7099999999999997E-2</v>
      </c>
      <c r="FS109" s="529">
        <v>1.8749999999999999E-2</v>
      </c>
      <c r="FT109" s="529">
        <v>1.7000000000000001E-2</v>
      </c>
      <c r="FU109" s="529">
        <v>2.3E-2</v>
      </c>
      <c r="FV109" s="421"/>
      <c r="FW109" s="546"/>
      <c r="FX109" s="421"/>
      <c r="FY109" s="421"/>
      <c r="FZ109" s="61"/>
      <c r="GJ109" s="299" t="s">
        <v>352</v>
      </c>
      <c r="GK109" s="299" t="s">
        <v>217</v>
      </c>
      <c r="GL109" s="299" t="s">
        <v>218</v>
      </c>
      <c r="GM109" s="299" t="s">
        <v>219</v>
      </c>
      <c r="GN109" s="80"/>
      <c r="GO109" s="80"/>
      <c r="GP109" s="80"/>
      <c r="GQ109" s="386"/>
      <c r="GR109" s="386"/>
      <c r="GS109" s="386"/>
      <c r="GT109" s="386"/>
      <c r="GU109" s="386"/>
      <c r="GV109" s="386"/>
      <c r="GW109" s="386"/>
    </row>
    <row r="110" spans="113:205" ht="18.75" x14ac:dyDescent="0.3">
      <c r="DP110" s="61"/>
      <c r="DQ110" s="530" t="s">
        <v>569</v>
      </c>
      <c r="DR110" s="531">
        <v>26.739401784475987</v>
      </c>
      <c r="DS110" s="531">
        <v>30.222045601311418</v>
      </c>
      <c r="DT110" s="531">
        <v>112.39494945394017</v>
      </c>
      <c r="DU110" s="531">
        <v>143.11233811051119</v>
      </c>
      <c r="DV110" s="531">
        <v>96.991948808056435</v>
      </c>
      <c r="DW110" s="531">
        <v>216.74448707872966</v>
      </c>
      <c r="DX110" s="531">
        <v>189.94186727010262</v>
      </c>
      <c r="DY110" s="531">
        <v>213.06471834334883</v>
      </c>
      <c r="DZ110" s="531">
        <v>117.3544301023427</v>
      </c>
      <c r="EA110" s="531">
        <v>130.7626850793805</v>
      </c>
      <c r="EB110" s="531">
        <v>191.83687480690674</v>
      </c>
      <c r="EC110" s="531">
        <v>298.50225388977759</v>
      </c>
      <c r="ED110" s="531">
        <v>394.40854711790683</v>
      </c>
      <c r="EE110" s="531">
        <v>195.64351427397176</v>
      </c>
      <c r="EF110" s="531">
        <v>221.92778606361213</v>
      </c>
      <c r="EG110" s="531">
        <v>278.38009394439513</v>
      </c>
      <c r="EH110" s="531">
        <v>163.83523754144994</v>
      </c>
      <c r="EI110" s="531">
        <v>337.05791144692472</v>
      </c>
      <c r="EJ110" s="531">
        <v>423.08663803990902</v>
      </c>
      <c r="EK110" s="531">
        <v>237.05182272515799</v>
      </c>
      <c r="EL110" s="531">
        <v>597.75906416264411</v>
      </c>
      <c r="EM110" s="531">
        <v>505.67274105764824</v>
      </c>
      <c r="EN110" s="531">
        <v>459.51624841813714</v>
      </c>
      <c r="EO110" s="531">
        <v>722.74849171466781</v>
      </c>
      <c r="EP110" s="531">
        <v>706.46702421701957</v>
      </c>
      <c r="EQ110" s="540">
        <v>280.44892484209316</v>
      </c>
      <c r="ER110" s="542">
        <v>37706.375289584546</v>
      </c>
      <c r="ES110" s="541">
        <v>1.778554248790766</v>
      </c>
      <c r="ET110" s="541">
        <v>4.1111391694378094E-2</v>
      </c>
      <c r="EV110" s="537" t="s">
        <v>576</v>
      </c>
      <c r="EW110" s="533">
        <v>3.0000000000000001E-3</v>
      </c>
      <c r="EX110" s="534">
        <v>2.5000000000000001E-3</v>
      </c>
      <c r="EY110" s="535">
        <v>3.0000000000000001E-3</v>
      </c>
      <c r="EZ110" s="534">
        <v>3.7000000000000002E-3</v>
      </c>
      <c r="FA110" s="533">
        <v>4.7999999999999996E-3</v>
      </c>
      <c r="FB110" s="534">
        <v>3.0000000000000001E-3</v>
      </c>
      <c r="FC110" s="534">
        <f>0.003</f>
        <v>3.0000000000000001E-3</v>
      </c>
      <c r="FD110" s="535">
        <v>2.8E-3</v>
      </c>
      <c r="FE110" s="534">
        <v>5.4000000000000003E-3</v>
      </c>
      <c r="FF110" s="536">
        <f>(0.004+0.004)/2</f>
        <v>4.0000000000000001E-3</v>
      </c>
      <c r="FG110" s="535">
        <v>3.0000000000000001E-3</v>
      </c>
      <c r="FH110" s="535">
        <v>3.0000000000000001E-3</v>
      </c>
      <c r="FI110" s="534">
        <v>2E-3</v>
      </c>
      <c r="FJ110" s="534">
        <v>3.0000000000000001E-3</v>
      </c>
      <c r="FK110" s="535">
        <v>3.7000000000000002E-3</v>
      </c>
      <c r="FL110" s="534">
        <v>3.0000000000000001E-3</v>
      </c>
      <c r="FM110" s="534">
        <v>8.0000000000000002E-3</v>
      </c>
      <c r="FN110" s="534">
        <v>4.3299999999999996E-3</v>
      </c>
      <c r="FO110" s="534">
        <v>3.5000000000000001E-3</v>
      </c>
      <c r="FP110" s="534">
        <v>6.4999999999999997E-3</v>
      </c>
      <c r="FQ110" s="534">
        <v>8.0000000000000002E-3</v>
      </c>
      <c r="FR110" s="534">
        <v>1.0999999999999999E-2</v>
      </c>
      <c r="FS110" s="534">
        <v>5.3E-3</v>
      </c>
      <c r="FT110" s="534">
        <v>3.0000000000000001E-3</v>
      </c>
      <c r="FU110" s="534">
        <v>5.0000000000000001E-3</v>
      </c>
      <c r="FV110" s="421"/>
      <c r="FW110" s="546"/>
      <c r="FX110" s="421"/>
      <c r="FY110" s="421"/>
      <c r="FZ110" s="61"/>
      <c r="GI110" t="s">
        <v>353</v>
      </c>
      <c r="GJ110" s="299">
        <v>1.6353661947780269E-2</v>
      </c>
      <c r="GK110" s="299">
        <v>1.3761538461538464E-2</v>
      </c>
      <c r="GL110" s="299">
        <v>1.7033781078126923E-2</v>
      </c>
      <c r="GM110" s="299">
        <v>1.8425E-2</v>
      </c>
      <c r="GQ110" s="386"/>
      <c r="GR110" s="386"/>
      <c r="GS110" s="386"/>
      <c r="GT110" s="386"/>
      <c r="GU110" s="386"/>
      <c r="GV110" s="386"/>
      <c r="GW110" s="386"/>
    </row>
    <row r="111" spans="113:205" ht="18.75" x14ac:dyDescent="0.3">
      <c r="DP111" s="61"/>
      <c r="DQ111" s="530" t="s">
        <v>570</v>
      </c>
      <c r="DR111" s="531">
        <v>11.483253588516746</v>
      </c>
      <c r="DS111" s="531">
        <v>12.449610182324173</v>
      </c>
      <c r="DT111" s="531">
        <v>51.872810058273522</v>
      </c>
      <c r="DU111" s="531">
        <v>66.049579343813818</v>
      </c>
      <c r="DV111" s="531">
        <v>55.308139795719988</v>
      </c>
      <c r="DW111" s="531">
        <v>93.081061764180347</v>
      </c>
      <c r="DX111" s="531">
        <v>89.543673784693482</v>
      </c>
      <c r="DY111" s="531">
        <v>95.016291040891474</v>
      </c>
      <c r="DZ111" s="531">
        <v>72.005808871976214</v>
      </c>
      <c r="EA111" s="531">
        <v>76.978345188853424</v>
      </c>
      <c r="EB111" s="531">
        <v>96.569838773782152</v>
      </c>
      <c r="EC111" s="531">
        <v>124.74224715914845</v>
      </c>
      <c r="ED111" s="531">
        <v>138.94836484933174</v>
      </c>
      <c r="EE111" s="531">
        <v>102.50956616806637</v>
      </c>
      <c r="EF111" s="531">
        <v>111.14314995917941</v>
      </c>
      <c r="EG111" s="531">
        <v>125.61629971929959</v>
      </c>
      <c r="EH111" s="531">
        <v>112.86254046270935</v>
      </c>
      <c r="EI111" s="531">
        <v>197.42247978203517</v>
      </c>
      <c r="EJ111" s="531">
        <v>234.19658531280584</v>
      </c>
      <c r="EK111" s="531">
        <v>165.61985550860345</v>
      </c>
      <c r="EL111" s="531">
        <v>297.01150230221111</v>
      </c>
      <c r="EM111" s="531">
        <v>284.38075804413046</v>
      </c>
      <c r="EN111" s="531">
        <v>272.5187272547048</v>
      </c>
      <c r="EO111" s="531">
        <v>405.00849026296862</v>
      </c>
      <c r="EP111" s="531">
        <v>462.94186088354178</v>
      </c>
      <c r="EQ111" s="540">
        <v>150.21123360247049</v>
      </c>
      <c r="ER111" s="542">
        <v>13402.556554125616</v>
      </c>
      <c r="ES111" s="540">
        <v>-1.197212412514691</v>
      </c>
      <c r="ET111" s="540">
        <v>0.11867856416703564</v>
      </c>
      <c r="EV111" s="530" t="s">
        <v>573</v>
      </c>
      <c r="EW111" s="531">
        <v>21.422222222222221</v>
      </c>
      <c r="EX111" s="531">
        <v>22.533333333333335</v>
      </c>
      <c r="EY111" s="531">
        <v>92.280000000000015</v>
      </c>
      <c r="EZ111" s="531">
        <v>126.34408602150539</v>
      </c>
      <c r="FA111" s="531">
        <v>97.070866141732267</v>
      </c>
      <c r="FB111" s="531">
        <v>173.64444444444445</v>
      </c>
      <c r="FC111" s="531">
        <v>157.0451612903226</v>
      </c>
      <c r="FD111" s="531">
        <v>169.36082474226808</v>
      </c>
      <c r="FE111" s="531">
        <v>122.26027397260273</v>
      </c>
      <c r="FF111" s="531">
        <v>123.64137931034482</v>
      </c>
      <c r="FG111" s="531">
        <v>161.98260869565217</v>
      </c>
      <c r="FH111" s="531">
        <v>236.86153846153846</v>
      </c>
      <c r="FI111" s="531">
        <v>256.875</v>
      </c>
      <c r="FJ111" s="531">
        <v>167.25405405405405</v>
      </c>
      <c r="FK111" s="531">
        <v>199.32710280373834</v>
      </c>
      <c r="FL111" s="531">
        <v>226.84137931034482</v>
      </c>
      <c r="FM111" s="531">
        <v>193.05555555555557</v>
      </c>
      <c r="FN111" s="531">
        <v>325.99381099738156</v>
      </c>
      <c r="FO111" s="531">
        <v>381.64556962025307</v>
      </c>
      <c r="FP111" s="531">
        <v>256.82926829268297</v>
      </c>
      <c r="FQ111" s="531">
        <v>904.8</v>
      </c>
      <c r="FR111" s="531">
        <v>1020.491803278689</v>
      </c>
      <c r="FS111" s="531">
        <v>476.95167286245351</v>
      </c>
      <c r="FT111" s="531">
        <v>630.35714285714266</v>
      </c>
      <c r="FU111" s="531">
        <v>714.72222222222217</v>
      </c>
      <c r="FV111" s="544">
        <v>290.38365281961939</v>
      </c>
      <c r="FW111" s="545">
        <v>69121.159897479185</v>
      </c>
      <c r="FX111" s="544">
        <v>1.6000691756159069</v>
      </c>
      <c r="FY111" s="544">
        <v>5.9044268777180886E-2</v>
      </c>
      <c r="FZ111" s="61"/>
      <c r="GI111" t="s">
        <v>295</v>
      </c>
      <c r="GJ111">
        <v>5.810437187675278E-3</v>
      </c>
      <c r="GK111">
        <v>2.2195197242349095E-3</v>
      </c>
      <c r="GL111">
        <v>7.9898118066384395E-3</v>
      </c>
      <c r="GM111">
        <v>5.0376436491035709E-3</v>
      </c>
      <c r="GQ111" s="386"/>
      <c r="GR111" s="386"/>
      <c r="GS111" s="386"/>
      <c r="GT111" s="386"/>
      <c r="GU111" s="386"/>
      <c r="GV111" s="386"/>
      <c r="GW111" s="386"/>
    </row>
    <row r="112" spans="113:205" ht="18.75" x14ac:dyDescent="0.3">
      <c r="DP112" s="61"/>
      <c r="DQ112" s="537" t="s">
        <v>571</v>
      </c>
      <c r="DR112" s="538">
        <v>10.672735117809321</v>
      </c>
      <c r="DS112" s="538">
        <v>12.587262992615766</v>
      </c>
      <c r="DT112" s="538">
        <v>41.41033406932479</v>
      </c>
      <c r="DU112" s="538">
        <v>52.727722725895802</v>
      </c>
      <c r="DV112" s="538">
        <v>26.546234522342147</v>
      </c>
      <c r="DW112" s="538">
        <v>86.511153745396314</v>
      </c>
      <c r="DX112" s="538">
        <v>68.231867270102626</v>
      </c>
      <c r="DY112" s="538">
        <v>81.640718343348823</v>
      </c>
      <c r="DZ112" s="538">
        <v>28.104430102342704</v>
      </c>
      <c r="EA112" s="538">
        <v>33.854576971272394</v>
      </c>
      <c r="EB112" s="538">
        <v>63.367909289665363</v>
      </c>
      <c r="EC112" s="538">
        <v>122.54796817549186</v>
      </c>
      <c r="ED112" s="538">
        <v>188.90854711790683</v>
      </c>
      <c r="EE112" s="538">
        <v>61.113079491363067</v>
      </c>
      <c r="EF112" s="538">
        <v>73.816674952501018</v>
      </c>
      <c r="EG112" s="538">
        <v>105.2643044707109</v>
      </c>
      <c r="EH112" s="538">
        <v>30.181391387603782</v>
      </c>
      <c r="EI112" s="538">
        <v>88.057911446924749</v>
      </c>
      <c r="EJ112" s="538">
        <v>121.58663803990908</v>
      </c>
      <c r="EK112" s="538">
        <v>42.051822725157962</v>
      </c>
      <c r="EL112" s="538">
        <v>200.91695889948619</v>
      </c>
      <c r="EM112" s="538">
        <v>141.63765333834988</v>
      </c>
      <c r="EN112" s="538">
        <v>117.38291508480381</v>
      </c>
      <c r="EO112" s="538">
        <v>203.63084465584438</v>
      </c>
      <c r="EP112" s="538">
        <v>147.11919813006307</v>
      </c>
      <c r="EQ112" s="537"/>
      <c r="ER112" s="537"/>
      <c r="ES112" s="537"/>
      <c r="ET112" s="537"/>
      <c r="EV112" s="530" t="s">
        <v>574</v>
      </c>
      <c r="EW112" s="531">
        <v>12.853333333333333</v>
      </c>
      <c r="EX112" s="531">
        <v>14.485714285714286</v>
      </c>
      <c r="EY112" s="531">
        <v>57.674999999999997</v>
      </c>
      <c r="EZ112" s="531">
        <v>70.359281437125759</v>
      </c>
      <c r="FA112" s="531">
        <v>55.282511210762337</v>
      </c>
      <c r="FB112" s="531">
        <v>104.18666666666668</v>
      </c>
      <c r="FC112" s="531">
        <v>99.35510204081632</v>
      </c>
      <c r="FD112" s="531">
        <v>107.37254901960785</v>
      </c>
      <c r="FE112" s="531">
        <v>70.275590551181097</v>
      </c>
      <c r="FF112" s="531">
        <v>79.679999999999993</v>
      </c>
      <c r="FG112" s="531">
        <v>106.44571428571427</v>
      </c>
      <c r="FH112" s="531">
        <v>139.96363636363637</v>
      </c>
      <c r="FI112" s="531">
        <v>171.25</v>
      </c>
      <c r="FJ112" s="531">
        <v>112.51636363636362</v>
      </c>
      <c r="FK112" s="531">
        <v>117.83425414364642</v>
      </c>
      <c r="FL112" s="531">
        <v>139.96595744680852</v>
      </c>
      <c r="FM112" s="531">
        <v>102.20588235294117</v>
      </c>
      <c r="FN112" s="531">
        <v>201.42668039417561</v>
      </c>
      <c r="FO112" s="531">
        <v>249.17355371900825</v>
      </c>
      <c r="FP112" s="531">
        <v>157.16417910447763</v>
      </c>
      <c r="FQ112" s="531">
        <v>254.15730337078654</v>
      </c>
      <c r="FR112" s="531">
        <v>221.53024911032034</v>
      </c>
      <c r="FS112" s="531">
        <v>266.73596673596677</v>
      </c>
      <c r="FT112" s="531">
        <v>441.24999999999994</v>
      </c>
      <c r="FU112" s="531">
        <v>459.46428571428567</v>
      </c>
      <c r="FV112" s="544">
        <v>152.50439099693355</v>
      </c>
      <c r="FW112" s="545">
        <v>12859.535577826406</v>
      </c>
      <c r="FX112" s="544">
        <v>-1.1442960049593971</v>
      </c>
      <c r="FY112" s="544">
        <v>0.12927561760441506</v>
      </c>
      <c r="FZ112" s="61"/>
    </row>
    <row r="113" spans="120:188" ht="18.75" x14ac:dyDescent="0.3">
      <c r="DP113" s="61"/>
      <c r="DQ113" s="537" t="s">
        <v>572</v>
      </c>
      <c r="DR113" s="538">
        <v>-4.5834130781499205</v>
      </c>
      <c r="DS113" s="538">
        <v>-5.1851724263714782</v>
      </c>
      <c r="DT113" s="538">
        <v>-19.111805326341859</v>
      </c>
      <c r="DU113" s="538">
        <v>-24.335036040801569</v>
      </c>
      <c r="DV113" s="538">
        <v>-15.1375744899943</v>
      </c>
      <c r="DW113" s="538">
        <v>-37.152271569153001</v>
      </c>
      <c r="DX113" s="538">
        <v>-32.166326215306512</v>
      </c>
      <c r="DY113" s="538">
        <v>-36.407708959108533</v>
      </c>
      <c r="DZ113" s="538">
        <v>-17.244191128023786</v>
      </c>
      <c r="EA113" s="538">
        <v>-19.929762919254685</v>
      </c>
      <c r="EB113" s="538">
        <v>-31.89912674345922</v>
      </c>
      <c r="EC113" s="538">
        <v>-51.212038555137283</v>
      </c>
      <c r="ED113" s="538">
        <v>-66.551635150668261</v>
      </c>
      <c r="EE113" s="538">
        <v>-32.020868614542323</v>
      </c>
      <c r="EF113" s="538">
        <v>-36.967961151931704</v>
      </c>
      <c r="EG113" s="538">
        <v>-47.499489754384641</v>
      </c>
      <c r="EH113" s="538">
        <v>-20.791305691136813</v>
      </c>
      <c r="EI113" s="538">
        <v>-51.577520217964803</v>
      </c>
      <c r="EJ113" s="538">
        <v>-67.303414687194106</v>
      </c>
      <c r="EK113" s="538">
        <v>-29.380144491396578</v>
      </c>
      <c r="EL113" s="538">
        <v>-99.830602960946806</v>
      </c>
      <c r="EM113" s="538">
        <v>-79.654329675167901</v>
      </c>
      <c r="EN113" s="538">
        <v>-69.614606078628526</v>
      </c>
      <c r="EO113" s="538">
        <v>-114.1091567958548</v>
      </c>
      <c r="EP113" s="538">
        <v>-96.405965203414723</v>
      </c>
      <c r="EQ113" s="537"/>
      <c r="ER113" s="537"/>
      <c r="ES113" s="537"/>
      <c r="ET113" s="537"/>
      <c r="EV113" s="537" t="s">
        <v>571</v>
      </c>
      <c r="EW113" s="538">
        <v>5.3555555555555543</v>
      </c>
      <c r="EX113" s="538">
        <v>4.8985507246376834</v>
      </c>
      <c r="EY113" s="538">
        <v>21.295384615384634</v>
      </c>
      <c r="EZ113" s="538">
        <v>35.959470636890003</v>
      </c>
      <c r="FA113" s="538">
        <v>26.625151856017979</v>
      </c>
      <c r="FB113" s="538">
        <v>43.411111111111097</v>
      </c>
      <c r="FC113" s="538">
        <v>35.335161290322603</v>
      </c>
      <c r="FD113" s="538">
        <v>37.936824742268072</v>
      </c>
      <c r="FE113" s="538">
        <v>33.010273972602732</v>
      </c>
      <c r="FF113" s="538">
        <v>26.733271202236708</v>
      </c>
      <c r="FG113" s="538">
        <v>33.513643178410803</v>
      </c>
      <c r="FH113" s="538">
        <v>60.907252747252727</v>
      </c>
      <c r="FI113" s="538">
        <v>51.375</v>
      </c>
      <c r="FJ113" s="538">
        <v>32.723619271445358</v>
      </c>
      <c r="FK113" s="538">
        <v>51.215991692627227</v>
      </c>
      <c r="FL113" s="538">
        <v>53.725589836660589</v>
      </c>
      <c r="FM113" s="538">
        <v>59.401709401709411</v>
      </c>
      <c r="FN113" s="538">
        <v>76.993810997381587</v>
      </c>
      <c r="FO113" s="538">
        <v>80.145569620253127</v>
      </c>
      <c r="FP113" s="538">
        <v>61.82926829268294</v>
      </c>
      <c r="FQ113" s="538">
        <v>507.95789473684204</v>
      </c>
      <c r="FR113" s="538">
        <v>656.45671555939066</v>
      </c>
      <c r="FS113" s="538">
        <v>134.81833952912018</v>
      </c>
      <c r="FT113" s="538">
        <v>111.23949579831924</v>
      </c>
      <c r="FU113" s="538">
        <v>155.37439613526567</v>
      </c>
      <c r="FV113" s="421"/>
      <c r="FW113" s="421"/>
      <c r="FX113" s="420"/>
      <c r="FY113" s="421"/>
      <c r="FZ113" s="61"/>
    </row>
    <row r="114" spans="120:188" ht="18.75" x14ac:dyDescent="0.3">
      <c r="DP114" s="61"/>
      <c r="DQ114" s="537" t="s">
        <v>377</v>
      </c>
      <c r="DR114" s="538">
        <v>66.427811936572539</v>
      </c>
      <c r="DS114" s="538">
        <v>71.377477522229441</v>
      </c>
      <c r="DT114" s="538">
        <v>58.337054930778322</v>
      </c>
      <c r="DU114" s="538">
        <v>58.337054930778351</v>
      </c>
      <c r="DV114" s="538">
        <v>37.68324984920406</v>
      </c>
      <c r="DW114" s="538">
        <v>66.427811936572539</v>
      </c>
      <c r="DX114" s="538">
        <v>56.06101985876478</v>
      </c>
      <c r="DY114" s="538">
        <v>62.120098569020001</v>
      </c>
      <c r="DZ114" s="538">
        <v>31.489557537638888</v>
      </c>
      <c r="EA114" s="538">
        <v>34.934720770221958</v>
      </c>
      <c r="EB114" s="538">
        <v>49.325460849267131</v>
      </c>
      <c r="EC114" s="538">
        <v>69.647617662740572</v>
      </c>
      <c r="ED114" s="538">
        <v>91.926300300684574</v>
      </c>
      <c r="EE114" s="538">
        <v>45.426954569884003</v>
      </c>
      <c r="EF114" s="538">
        <v>49.838715271756115</v>
      </c>
      <c r="EG114" s="538">
        <v>60.805721298294628</v>
      </c>
      <c r="EH114" s="538">
        <v>22.581760462667575</v>
      </c>
      <c r="EI114" s="538">
        <v>35.364623071054126</v>
      </c>
      <c r="EJ114" s="538">
        <v>40.327243130981458</v>
      </c>
      <c r="EK114" s="538">
        <v>21.565037294952802</v>
      </c>
      <c r="EL114" s="538">
        <v>50.628941897748518</v>
      </c>
      <c r="EM114" s="538">
        <v>38.907692724269594</v>
      </c>
      <c r="EN114" s="538">
        <v>34.309113918005806</v>
      </c>
      <c r="EO114" s="538">
        <v>39.226338347301464</v>
      </c>
      <c r="EP114" s="538">
        <v>26.301916494298098</v>
      </c>
      <c r="EQ114" s="537"/>
      <c r="ER114" s="537"/>
      <c r="ES114" s="537"/>
      <c r="ET114" s="537"/>
      <c r="EV114" s="537" t="s">
        <v>572</v>
      </c>
      <c r="EW114" s="538">
        <v>-3.2133333333333329</v>
      </c>
      <c r="EX114" s="538">
        <v>-3.1490683229813659</v>
      </c>
      <c r="EY114" s="538">
        <v>-13.309615384615384</v>
      </c>
      <c r="EZ114" s="538">
        <v>-20.025333947489628</v>
      </c>
      <c r="FA114" s="538">
        <v>-15.163203074951952</v>
      </c>
      <c r="FB114" s="538">
        <v>-26.046666666666667</v>
      </c>
      <c r="FC114" s="538">
        <v>-22.354897959183674</v>
      </c>
      <c r="FD114" s="538">
        <v>-24.051450980392161</v>
      </c>
      <c r="FE114" s="538">
        <v>-18.974409448818903</v>
      </c>
      <c r="FF114" s="538">
        <v>-17.228108108108117</v>
      </c>
      <c r="FG114" s="538">
        <v>-22.023251231527098</v>
      </c>
      <c r="FH114" s="538">
        <v>-35.990649350649363</v>
      </c>
      <c r="FI114" s="538">
        <v>-34.25</v>
      </c>
      <c r="FJ114" s="538">
        <v>-22.014071146245072</v>
      </c>
      <c r="FK114" s="538">
        <v>-30.276856967464695</v>
      </c>
      <c r="FL114" s="538">
        <v>-33.149832026875714</v>
      </c>
      <c r="FM114" s="538">
        <v>-31.447963800904986</v>
      </c>
      <c r="FN114" s="538">
        <v>-47.573319605824366</v>
      </c>
      <c r="FO114" s="538">
        <v>-52.326446280991689</v>
      </c>
      <c r="FP114" s="538">
        <v>-37.835820895522403</v>
      </c>
      <c r="FQ114" s="538">
        <v>-142.68480189237138</v>
      </c>
      <c r="FR114" s="538">
        <v>-142.50483860897802</v>
      </c>
      <c r="FS114" s="538">
        <v>-75.397366597366556</v>
      </c>
      <c r="FT114" s="538">
        <v>-77.867647058823479</v>
      </c>
      <c r="FU114" s="538">
        <v>-99.883540372670836</v>
      </c>
      <c r="FV114" s="421"/>
      <c r="FW114" s="421"/>
      <c r="FX114" s="420"/>
      <c r="FY114" s="421"/>
      <c r="FZ114" s="61"/>
    </row>
    <row r="115" spans="120:188" ht="18.75" x14ac:dyDescent="0.3">
      <c r="DP115" s="61"/>
      <c r="DQ115" s="537" t="s">
        <v>378</v>
      </c>
      <c r="DR115" s="538">
        <v>-28.527467291389556</v>
      </c>
      <c r="DS115" s="538">
        <v>-29.403098078536487</v>
      </c>
      <c r="DT115" s="538">
        <v>-26.92386966216344</v>
      </c>
      <c r="DU115" s="538">
        <v>-26.92386966216344</v>
      </c>
      <c r="DV115" s="538">
        <v>-21.488283060910135</v>
      </c>
      <c r="DW115" s="538">
        <v>-28.527467291389556</v>
      </c>
      <c r="DX115" s="538">
        <v>-26.42866339274218</v>
      </c>
      <c r="DY115" s="538">
        <v>-27.702481250843476</v>
      </c>
      <c r="DZ115" s="538">
        <v>-19.321222552407605</v>
      </c>
      <c r="EA115" s="538">
        <v>-20.565629964648124</v>
      </c>
      <c r="EB115" s="538">
        <v>-24.830219979609126</v>
      </c>
      <c r="EC115" s="538">
        <v>-29.105308999574646</v>
      </c>
      <c r="ED115" s="538">
        <v>-32.385223917600129</v>
      </c>
      <c r="EE115" s="538">
        <v>-23.801951332637628</v>
      </c>
      <c r="EF115" s="538">
        <v>-24.959613680974144</v>
      </c>
      <c r="EG115" s="538">
        <v>-27.437988122744372</v>
      </c>
      <c r="EH115" s="538">
        <v>-15.556084833656328</v>
      </c>
      <c r="EI115" s="538">
        <v>-20.71386354135133</v>
      </c>
      <c r="EJ115" s="538">
        <v>-22.322857276017942</v>
      </c>
      <c r="EK115" s="538">
        <v>-15.066740764818746</v>
      </c>
      <c r="EL115" s="538">
        <v>-25.156252735517086</v>
      </c>
      <c r="EM115" s="538">
        <v>-21.880948392696723</v>
      </c>
      <c r="EN115" s="538">
        <v>-20.347215338648255</v>
      </c>
      <c r="EO115" s="538">
        <v>-21.981367314782233</v>
      </c>
      <c r="EP115" s="538">
        <v>-17.23542323885377</v>
      </c>
      <c r="EQ115" s="537"/>
      <c r="ER115" s="537"/>
      <c r="ES115" s="537"/>
      <c r="ET115" s="537"/>
      <c r="EV115" s="537" t="s">
        <v>377</v>
      </c>
      <c r="EW115" s="538">
        <v>33.333333333333314</v>
      </c>
      <c r="EX115" s="538">
        <v>27.777777777777786</v>
      </c>
      <c r="EY115" s="538">
        <v>30.000000000000028</v>
      </c>
      <c r="EZ115" s="538">
        <v>39.784946236559136</v>
      </c>
      <c r="FA115" s="538">
        <v>37.795275590551171</v>
      </c>
      <c r="FB115" s="538">
        <v>33.333333333333314</v>
      </c>
      <c r="FC115" s="538">
        <v>29.032258064516157</v>
      </c>
      <c r="FD115" s="538">
        <v>28.865979381443339</v>
      </c>
      <c r="FE115" s="538">
        <v>36.986301369863014</v>
      </c>
      <c r="FF115" s="538">
        <v>27.586206896551715</v>
      </c>
      <c r="FG115" s="538">
        <v>26.08695652173914</v>
      </c>
      <c r="FH115" s="538">
        <v>34.615384615384613</v>
      </c>
      <c r="FI115" s="538">
        <v>25</v>
      </c>
      <c r="FJ115" s="538">
        <v>24.324324324324323</v>
      </c>
      <c r="FK115" s="538">
        <v>34.579439252336471</v>
      </c>
      <c r="FL115" s="538">
        <v>31.034482758620669</v>
      </c>
      <c r="FM115" s="538">
        <v>44.444444444444429</v>
      </c>
      <c r="FN115" s="538">
        <v>30.921209235896242</v>
      </c>
      <c r="FO115" s="538">
        <v>26.582278481012651</v>
      </c>
      <c r="FP115" s="538">
        <v>31.707317073170742</v>
      </c>
      <c r="FQ115" s="538">
        <v>127.99999999999997</v>
      </c>
      <c r="FR115" s="538">
        <v>180.32786885245906</v>
      </c>
      <c r="FS115" s="538">
        <v>39.40520446096653</v>
      </c>
      <c r="FT115" s="538">
        <v>21.428571428571416</v>
      </c>
      <c r="FU115" s="538">
        <v>27.777777777777771</v>
      </c>
      <c r="FV115" s="421"/>
      <c r="FW115" s="421"/>
      <c r="FX115" s="420"/>
      <c r="FY115" s="421"/>
      <c r="FZ115" s="61"/>
    </row>
    <row r="116" spans="120:188" ht="18.75" x14ac:dyDescent="0.3">
      <c r="DP116" s="61"/>
      <c r="DQ116" s="61"/>
      <c r="DR116" s="463"/>
      <c r="DS116" s="490"/>
      <c r="DT116" s="463"/>
      <c r="DU116" s="463"/>
      <c r="DV116" s="463"/>
      <c r="DW116" s="463"/>
      <c r="DX116" s="463"/>
      <c r="DY116" s="463"/>
      <c r="DZ116" s="463"/>
      <c r="EA116" s="463"/>
      <c r="EB116" s="463"/>
      <c r="EC116" s="463"/>
      <c r="ED116" s="463"/>
      <c r="EE116" s="463"/>
      <c r="EF116" s="463"/>
      <c r="EG116" s="463"/>
      <c r="EH116" s="463"/>
      <c r="EI116" s="463"/>
      <c r="EJ116" s="463"/>
      <c r="EK116" s="463"/>
      <c r="EL116" s="463"/>
      <c r="EM116" s="463"/>
      <c r="EN116" s="463"/>
      <c r="EO116" s="463"/>
      <c r="EP116" s="463"/>
      <c r="EQ116" s="61"/>
      <c r="EV116" s="537" t="s">
        <v>378</v>
      </c>
      <c r="EW116" s="538">
        <v>-20</v>
      </c>
      <c r="EX116" s="538">
        <v>-17.857142857142847</v>
      </c>
      <c r="EY116" s="538">
        <v>-18.75</v>
      </c>
      <c r="EZ116" s="538">
        <v>-22.155688622754482</v>
      </c>
      <c r="FA116" s="538">
        <v>-21.524663677130036</v>
      </c>
      <c r="FB116" s="538">
        <v>-20</v>
      </c>
      <c r="FC116" s="538">
        <v>-18.367346938775512</v>
      </c>
      <c r="FD116" s="538">
        <v>-18.300653594771248</v>
      </c>
      <c r="FE116" s="538">
        <v>-21.259842519685051</v>
      </c>
      <c r="FF116" s="538">
        <v>-17.777777777777786</v>
      </c>
      <c r="FG116" s="538">
        <v>-17.142857142857153</v>
      </c>
      <c r="FH116" s="538">
        <v>-20.454545454545453</v>
      </c>
      <c r="FI116" s="538">
        <v>-16.666666666666657</v>
      </c>
      <c r="FJ116" s="538">
        <v>-16.363636363636374</v>
      </c>
      <c r="FK116" s="538">
        <v>-20.44198895027624</v>
      </c>
      <c r="FL116" s="538">
        <v>-19.148936170212778</v>
      </c>
      <c r="FM116" s="538">
        <v>-23.529411764705884</v>
      </c>
      <c r="FN116" s="538">
        <v>-19.105750845712606</v>
      </c>
      <c r="FO116" s="538">
        <v>-17.355371900826427</v>
      </c>
      <c r="FP116" s="538">
        <v>-19.402985074626869</v>
      </c>
      <c r="FQ116" s="538">
        <v>-35.955056179775283</v>
      </c>
      <c r="FR116" s="538">
        <v>-39.145907473309613</v>
      </c>
      <c r="FS116" s="538">
        <v>-22.037422037422033</v>
      </c>
      <c r="FT116" s="538">
        <v>-14.999999999999986</v>
      </c>
      <c r="FU116" s="538">
        <v>-17.857142857142861</v>
      </c>
      <c r="FV116" s="421"/>
      <c r="FW116" s="421"/>
      <c r="FX116" s="421"/>
      <c r="FY116" s="421"/>
      <c r="FZ116" s="61"/>
      <c r="GA116" s="61"/>
      <c r="GB116" s="61"/>
      <c r="GC116" s="61"/>
      <c r="GD116" s="61"/>
      <c r="GE116" s="61"/>
      <c r="GF116" s="395"/>
    </row>
    <row r="117" spans="120:188" ht="18.75" x14ac:dyDescent="0.3">
      <c r="DP117" s="61"/>
      <c r="DQ117" s="61"/>
      <c r="DR117" s="463"/>
      <c r="DS117" s="463"/>
      <c r="DT117" s="463"/>
      <c r="DU117" s="489"/>
      <c r="DV117" s="489"/>
      <c r="DW117" s="489"/>
      <c r="DX117" s="489"/>
      <c r="DY117" s="489"/>
      <c r="DZ117" s="489"/>
      <c r="EA117" s="489"/>
      <c r="EB117" s="489"/>
      <c r="EC117" s="489"/>
      <c r="ED117" s="489"/>
      <c r="EE117" s="492"/>
      <c r="EF117" s="489"/>
      <c r="EG117" s="489"/>
      <c r="EH117" s="489"/>
      <c r="EI117" s="489"/>
      <c r="EJ117" s="489"/>
      <c r="EK117" s="489"/>
      <c r="EL117" s="489"/>
      <c r="EM117" s="489"/>
      <c r="EN117" s="489"/>
      <c r="EO117" s="489"/>
      <c r="EP117" s="61"/>
      <c r="EQ117" s="395"/>
      <c r="ER117" s="386"/>
      <c r="ES117" s="386"/>
      <c r="ET117" s="386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395"/>
    </row>
    <row r="118" spans="120:188" x14ac:dyDescent="0.25">
      <c r="DP118" s="61"/>
      <c r="DQ118" s="386"/>
      <c r="DR118" s="386"/>
      <c r="DS118" s="386"/>
      <c r="DT118" s="386"/>
      <c r="DU118" s="386"/>
      <c r="DV118" s="386"/>
      <c r="DW118" s="386"/>
      <c r="DX118" s="386"/>
      <c r="DY118" s="386"/>
      <c r="DZ118" s="386"/>
      <c r="EA118" s="386"/>
      <c r="EB118" s="386"/>
      <c r="EC118" s="386"/>
      <c r="ED118" s="386"/>
      <c r="EE118" s="386"/>
      <c r="EF118" s="386"/>
      <c r="EG118" s="386"/>
      <c r="EH118" s="386"/>
      <c r="EI118" s="386"/>
      <c r="EJ118" s="386"/>
      <c r="EK118" s="386"/>
      <c r="EL118" s="386"/>
      <c r="EM118" s="386"/>
      <c r="EN118" s="386"/>
      <c r="EO118" s="386"/>
      <c r="EP118" s="386"/>
      <c r="EQ118" s="395"/>
      <c r="ER118" s="386"/>
      <c r="ES118" s="386"/>
      <c r="ET118" s="386"/>
      <c r="EV118" s="395"/>
      <c r="EW118" s="395"/>
      <c r="EX118" s="395"/>
      <c r="EY118" s="395"/>
      <c r="EZ118" s="395"/>
      <c r="FA118" s="395"/>
      <c r="FB118" s="395"/>
      <c r="FC118" s="395"/>
      <c r="FD118" s="395"/>
      <c r="FE118" s="395"/>
      <c r="FF118" s="395"/>
      <c r="FG118" s="395"/>
      <c r="FH118" s="395"/>
      <c r="FI118" s="395"/>
      <c r="FJ118" s="395"/>
      <c r="FK118" s="395"/>
      <c r="FL118" s="395"/>
      <c r="FM118" s="395"/>
      <c r="FN118" s="395"/>
      <c r="FO118" s="395"/>
      <c r="FP118" s="395"/>
      <c r="FQ118" s="395"/>
      <c r="FR118" s="395"/>
      <c r="FS118" s="395"/>
      <c r="FT118" s="395"/>
      <c r="FU118" s="395"/>
      <c r="FV118" s="395"/>
      <c r="FW118" s="395"/>
      <c r="FX118" s="395"/>
      <c r="FY118" s="395"/>
      <c r="FZ118" s="61"/>
      <c r="GA118" s="61"/>
      <c r="GB118" s="61"/>
      <c r="GC118" s="61"/>
      <c r="GD118" s="61"/>
      <c r="GE118" s="61"/>
      <c r="GF118" s="395"/>
    </row>
    <row r="119" spans="120:188" x14ac:dyDescent="0.25">
      <c r="DP119" s="61"/>
      <c r="DQ119" s="386"/>
      <c r="DR119" s="386"/>
      <c r="DS119" s="386"/>
      <c r="DT119" s="386"/>
      <c r="DU119" s="386"/>
      <c r="DV119" s="386"/>
      <c r="DW119" s="386"/>
      <c r="DX119" s="386"/>
      <c r="DY119" s="386"/>
      <c r="DZ119" s="386"/>
      <c r="EA119" s="386"/>
      <c r="EB119" s="386"/>
      <c r="EC119" s="386"/>
      <c r="ED119" s="386"/>
      <c r="EE119" s="386"/>
      <c r="EF119" s="386"/>
      <c r="EG119" s="386"/>
      <c r="EH119" s="386"/>
      <c r="EI119" s="386"/>
      <c r="EJ119" s="386"/>
      <c r="EK119" s="386"/>
      <c r="EL119" s="386"/>
      <c r="EM119" s="386"/>
      <c r="EN119" s="386"/>
      <c r="EO119" s="386"/>
      <c r="EP119" s="386"/>
      <c r="EQ119" s="395"/>
      <c r="ER119" s="386"/>
      <c r="ES119" s="386"/>
      <c r="ET119" s="386"/>
      <c r="EV119" s="395"/>
      <c r="EW119" s="395"/>
      <c r="EX119" s="395"/>
      <c r="EY119" s="395"/>
      <c r="EZ119" s="395"/>
      <c r="FA119" s="395"/>
      <c r="FB119" s="395"/>
      <c r="FC119" s="395"/>
      <c r="FD119" s="395"/>
      <c r="FE119" s="395"/>
      <c r="FF119" s="395"/>
      <c r="FG119" s="395"/>
      <c r="FH119" s="395"/>
      <c r="FI119" s="395"/>
      <c r="FJ119" s="395"/>
      <c r="FK119" s="395"/>
      <c r="FL119" s="395"/>
      <c r="FM119" s="395"/>
      <c r="FN119" s="395"/>
      <c r="FO119" s="395"/>
      <c r="FP119" s="395"/>
      <c r="FQ119" s="395"/>
      <c r="FR119" s="395"/>
      <c r="FS119" s="395"/>
      <c r="FT119" s="395"/>
      <c r="FU119" s="395"/>
      <c r="FV119" s="395"/>
      <c r="FW119" s="395"/>
      <c r="FX119" s="395"/>
      <c r="FY119" s="395"/>
      <c r="FZ119" s="61"/>
      <c r="GA119" s="61"/>
      <c r="GB119" s="61"/>
      <c r="GC119" s="61"/>
      <c r="GD119" s="61"/>
      <c r="GE119" s="61"/>
      <c r="GF119" s="395"/>
    </row>
    <row r="120" spans="120:188" x14ac:dyDescent="0.25">
      <c r="DP120" s="61"/>
      <c r="DQ120" s="386"/>
      <c r="DR120" s="386"/>
      <c r="DS120" s="386"/>
      <c r="DT120" s="386"/>
      <c r="DU120" s="386"/>
      <c r="DV120" s="386"/>
      <c r="DW120" s="386"/>
      <c r="DX120" s="386"/>
      <c r="DY120" s="386"/>
      <c r="DZ120" s="386"/>
      <c r="EA120" s="386"/>
      <c r="EB120" s="386"/>
      <c r="EC120" s="386"/>
      <c r="ED120" s="386"/>
      <c r="EE120" s="386"/>
      <c r="EF120" s="386"/>
      <c r="EG120" s="386"/>
      <c r="EH120" s="386"/>
      <c r="EI120" s="386"/>
      <c r="EJ120" s="386"/>
      <c r="EK120" s="386"/>
      <c r="EL120" s="386"/>
      <c r="EM120" s="386"/>
      <c r="EN120" s="386"/>
      <c r="EO120" s="386"/>
      <c r="EP120" s="386"/>
      <c r="EQ120" s="488"/>
      <c r="ER120" s="386"/>
      <c r="ES120" s="386"/>
      <c r="ET120" s="386"/>
      <c r="EV120" s="488"/>
      <c r="EW120" s="488"/>
      <c r="EX120" s="395"/>
      <c r="EY120" s="395"/>
      <c r="EZ120" s="395"/>
      <c r="FA120" s="395"/>
      <c r="FB120" s="395"/>
      <c r="FC120" s="395"/>
      <c r="FD120" s="395"/>
      <c r="FE120" s="395"/>
      <c r="FF120" s="395"/>
      <c r="FG120" s="395"/>
      <c r="FH120" s="395"/>
      <c r="FI120" s="395"/>
      <c r="FJ120" s="395"/>
      <c r="FK120" s="395"/>
      <c r="FL120" s="395"/>
      <c r="FM120" s="395"/>
      <c r="FN120" s="395"/>
      <c r="FO120" s="395"/>
      <c r="FP120" s="395"/>
      <c r="FQ120" s="395"/>
      <c r="FR120" s="395"/>
      <c r="FS120" s="395"/>
      <c r="FT120" s="395"/>
      <c r="FU120" s="395"/>
      <c r="FV120" s="395"/>
      <c r="FW120" s="395"/>
      <c r="FX120" s="395"/>
      <c r="FY120" s="395"/>
      <c r="FZ120" s="61"/>
      <c r="GA120" s="61"/>
      <c r="GB120" s="61"/>
      <c r="GC120" s="61"/>
      <c r="GD120" s="61"/>
      <c r="GE120" s="61"/>
      <c r="GF120" s="395"/>
    </row>
    <row r="121" spans="120:188" x14ac:dyDescent="0.25">
      <c r="DP121" s="61"/>
      <c r="DQ121" s="386"/>
      <c r="DR121" s="386"/>
      <c r="DS121" s="386"/>
      <c r="DT121" s="386"/>
      <c r="DU121" s="386"/>
      <c r="DV121" s="386"/>
      <c r="DW121" s="386"/>
      <c r="DX121" s="386"/>
      <c r="DY121" s="386"/>
      <c r="DZ121" s="386"/>
      <c r="EA121" s="386"/>
      <c r="EB121" s="386"/>
      <c r="EC121" s="386"/>
      <c r="ED121" s="386"/>
      <c r="EE121" s="386"/>
      <c r="EF121" s="386"/>
      <c r="EG121" s="386"/>
      <c r="EH121" s="386"/>
      <c r="EI121" s="386"/>
      <c r="EJ121" s="386"/>
      <c r="EK121" s="386"/>
      <c r="EL121" s="386"/>
      <c r="EM121" s="386"/>
      <c r="EN121" s="386"/>
      <c r="EO121" s="386"/>
      <c r="EP121" s="386"/>
      <c r="EQ121" s="488"/>
      <c r="ER121" s="386"/>
      <c r="ES121" s="386"/>
      <c r="ET121" s="386"/>
      <c r="EV121" s="488"/>
      <c r="EW121" s="488"/>
      <c r="EX121" s="395"/>
      <c r="EY121" s="395"/>
      <c r="EZ121" s="395"/>
      <c r="FA121" s="395"/>
      <c r="FB121" s="395"/>
      <c r="FC121" s="395"/>
      <c r="FD121" s="395"/>
      <c r="FE121" s="395"/>
      <c r="FF121" s="395"/>
      <c r="FG121" s="395"/>
      <c r="FH121" s="395"/>
      <c r="FI121" s="395"/>
      <c r="FJ121" s="395"/>
      <c r="FK121" s="395"/>
      <c r="FL121" s="395"/>
      <c r="FM121" s="395"/>
      <c r="FN121" s="395"/>
      <c r="FO121" s="395"/>
      <c r="FP121" s="395"/>
      <c r="FQ121" s="395"/>
      <c r="FR121" s="395"/>
      <c r="FS121" s="395"/>
      <c r="FT121" s="395"/>
      <c r="FU121" s="395"/>
      <c r="FV121" s="395"/>
      <c r="FW121" s="395"/>
      <c r="FX121" s="395"/>
      <c r="FY121" s="395"/>
      <c r="FZ121" s="61"/>
      <c r="GA121" s="61"/>
      <c r="GB121" s="61"/>
      <c r="GC121" s="61"/>
      <c r="GD121" s="61"/>
      <c r="GE121" s="61"/>
      <c r="GF121" s="395"/>
    </row>
    <row r="122" spans="120:188" x14ac:dyDescent="0.25">
      <c r="DP122" s="61"/>
      <c r="DQ122" s="386"/>
      <c r="DR122" s="386"/>
      <c r="DS122" s="386"/>
      <c r="DT122" s="386"/>
      <c r="DU122" s="386"/>
      <c r="DV122" s="386"/>
      <c r="DW122" s="386"/>
      <c r="DX122" s="386"/>
      <c r="DY122" s="386"/>
      <c r="DZ122" s="386"/>
      <c r="EA122" s="386"/>
      <c r="EB122" s="386"/>
      <c r="EC122" s="386"/>
      <c r="ED122" s="386"/>
      <c r="EE122" s="386"/>
      <c r="EF122" s="386"/>
      <c r="EG122" s="386"/>
      <c r="EH122" s="386"/>
      <c r="EI122" s="386"/>
      <c r="EJ122" s="386"/>
      <c r="EK122" s="386"/>
      <c r="EL122" s="386"/>
      <c r="EM122" s="386"/>
      <c r="EN122" s="386"/>
      <c r="EO122" s="386"/>
      <c r="EP122" s="386"/>
      <c r="EQ122" s="488"/>
      <c r="ER122" s="386"/>
      <c r="ES122" s="386"/>
      <c r="ET122" s="386"/>
      <c r="EV122" s="488"/>
      <c r="EW122" s="488"/>
      <c r="EX122" s="395"/>
      <c r="EY122" s="395"/>
      <c r="EZ122" s="395"/>
      <c r="FA122" s="395"/>
      <c r="FB122" s="395"/>
      <c r="FC122" s="395"/>
      <c r="FD122" s="395"/>
      <c r="FE122" s="395"/>
      <c r="FF122" s="395"/>
      <c r="FG122" s="395"/>
      <c r="FH122" s="395"/>
      <c r="FI122" s="395"/>
      <c r="FJ122" s="395"/>
      <c r="FK122" s="395"/>
      <c r="FL122" s="395"/>
      <c r="FM122" s="395"/>
      <c r="FN122" s="395"/>
      <c r="FO122" s="395"/>
      <c r="FP122" s="395"/>
      <c r="FQ122" s="395"/>
      <c r="FR122" s="395"/>
      <c r="FS122" s="395"/>
      <c r="FT122" s="395"/>
      <c r="FU122" s="395"/>
      <c r="FV122" s="395"/>
      <c r="FW122" s="395"/>
      <c r="FX122" s="395"/>
      <c r="FY122" s="395"/>
      <c r="FZ122" s="61"/>
      <c r="GA122" s="61"/>
      <c r="GB122" s="61"/>
      <c r="GC122" s="61"/>
      <c r="GD122" s="61"/>
      <c r="GE122" s="61"/>
      <c r="GF122" s="395"/>
    </row>
    <row r="123" spans="120:188" x14ac:dyDescent="0.25">
      <c r="DP123" s="61"/>
      <c r="DQ123" s="386"/>
      <c r="DR123" s="386"/>
      <c r="DS123" s="386"/>
      <c r="DT123" s="386"/>
      <c r="DU123" s="386"/>
      <c r="DV123" s="386"/>
      <c r="DW123" s="386"/>
      <c r="DX123" s="386"/>
      <c r="DY123" s="386"/>
      <c r="DZ123" s="386"/>
      <c r="EA123" s="386"/>
      <c r="EB123" s="386"/>
      <c r="EC123" s="386"/>
      <c r="ED123" s="386"/>
      <c r="EE123" s="386"/>
      <c r="EF123" s="386"/>
      <c r="EG123" s="386"/>
      <c r="EH123" s="386"/>
      <c r="EI123" s="386"/>
      <c r="EJ123" s="386"/>
      <c r="EK123" s="386"/>
      <c r="EL123" s="386"/>
      <c r="EM123" s="386"/>
      <c r="EN123" s="386"/>
      <c r="EO123" s="386"/>
      <c r="EP123" s="386"/>
      <c r="EQ123" s="488"/>
      <c r="ER123" s="386"/>
      <c r="ES123" s="386"/>
      <c r="ET123" s="386"/>
      <c r="EV123" s="488"/>
      <c r="EW123" s="488"/>
      <c r="EX123" s="395"/>
      <c r="EY123" s="395"/>
      <c r="EZ123" s="395"/>
      <c r="FA123" s="395"/>
      <c r="FB123" s="395"/>
      <c r="FC123" s="395"/>
      <c r="FD123" s="395"/>
      <c r="FE123" s="395"/>
      <c r="FF123" s="395"/>
      <c r="FG123" s="395"/>
      <c r="FH123" s="395"/>
      <c r="FI123" s="395"/>
      <c r="FJ123" s="395"/>
      <c r="FK123" s="395"/>
      <c r="FL123" s="395"/>
      <c r="FM123" s="395"/>
      <c r="FN123" s="395"/>
      <c r="FO123" s="395"/>
      <c r="FP123" s="395"/>
      <c r="FQ123" s="395"/>
      <c r="FR123" s="395"/>
      <c r="FS123" s="395"/>
      <c r="FT123" s="395"/>
      <c r="FU123" s="395"/>
      <c r="FV123" s="395"/>
      <c r="FW123" s="395"/>
      <c r="FX123" s="395"/>
      <c r="FY123" s="395"/>
      <c r="FZ123" s="61"/>
      <c r="GA123" s="61"/>
      <c r="GB123" s="61"/>
      <c r="GC123" s="61"/>
      <c r="GD123" s="61"/>
      <c r="GE123" s="61"/>
      <c r="GF123" s="395"/>
    </row>
    <row r="124" spans="120:188" x14ac:dyDescent="0.25">
      <c r="DP124" s="61"/>
      <c r="DQ124" s="386"/>
      <c r="DR124" s="386"/>
      <c r="DS124" s="386"/>
      <c r="DT124" s="386"/>
      <c r="DU124" s="386"/>
      <c r="DV124" s="386"/>
      <c r="DW124" s="386"/>
      <c r="DX124" s="386"/>
      <c r="DY124" s="386"/>
      <c r="DZ124" s="386"/>
      <c r="EA124" s="386"/>
      <c r="EB124" s="386"/>
      <c r="EC124" s="386"/>
      <c r="ED124" s="386"/>
      <c r="EE124" s="386"/>
      <c r="EF124" s="386"/>
      <c r="EG124" s="386"/>
      <c r="EH124" s="386"/>
      <c r="EI124" s="386"/>
      <c r="EJ124" s="386"/>
      <c r="EK124" s="386"/>
      <c r="EL124" s="386"/>
      <c r="EM124" s="386"/>
      <c r="EN124" s="386"/>
      <c r="EO124" s="386"/>
      <c r="EP124" s="386"/>
      <c r="EQ124" s="488"/>
      <c r="ER124" s="386"/>
      <c r="ES124" s="386"/>
      <c r="ET124" s="386"/>
      <c r="EV124" s="488"/>
      <c r="EW124" s="488"/>
      <c r="EX124" s="395"/>
      <c r="EY124" s="395"/>
      <c r="EZ124" s="395"/>
      <c r="FA124" s="395"/>
      <c r="FB124" s="395"/>
      <c r="FC124" s="395"/>
      <c r="FD124" s="395"/>
      <c r="FE124" s="395"/>
      <c r="FF124" s="395"/>
      <c r="FG124" s="395"/>
      <c r="FH124" s="395"/>
      <c r="FI124" s="395"/>
      <c r="FJ124" s="395"/>
      <c r="FK124" s="395"/>
      <c r="FL124" s="395"/>
      <c r="FM124" s="395"/>
      <c r="FN124" s="395"/>
      <c r="FO124" s="395"/>
      <c r="FP124" s="395"/>
      <c r="FQ124" s="395"/>
      <c r="FR124" s="395"/>
      <c r="FS124" s="395"/>
      <c r="FT124" s="395"/>
      <c r="FU124" s="395"/>
      <c r="FV124" s="395"/>
      <c r="FW124" s="395"/>
      <c r="FX124" s="395"/>
      <c r="FY124" s="395"/>
      <c r="FZ124" s="61"/>
      <c r="GA124" s="61"/>
      <c r="GB124" s="61"/>
      <c r="GC124" s="61"/>
      <c r="GD124" s="61"/>
      <c r="GE124" s="61"/>
      <c r="GF124" s="395"/>
    </row>
    <row r="125" spans="120:188" x14ac:dyDescent="0.25">
      <c r="DP125" s="61"/>
      <c r="DQ125" s="386"/>
      <c r="DR125" s="386"/>
      <c r="DS125" s="386"/>
      <c r="DT125" s="386"/>
      <c r="DU125" s="386"/>
      <c r="DV125" s="386"/>
      <c r="DW125" s="386"/>
      <c r="DX125" s="386"/>
      <c r="DY125" s="386"/>
      <c r="DZ125" s="386"/>
      <c r="EA125" s="386"/>
      <c r="EB125" s="386"/>
      <c r="EC125" s="386"/>
      <c r="ED125" s="386"/>
      <c r="EE125" s="386"/>
      <c r="EF125" s="386"/>
      <c r="EG125" s="386"/>
      <c r="EH125" s="386"/>
      <c r="EI125" s="386"/>
      <c r="EJ125" s="386"/>
      <c r="EK125" s="386"/>
      <c r="EL125" s="386"/>
      <c r="EM125" s="386"/>
      <c r="EN125" s="386"/>
      <c r="EO125" s="386"/>
      <c r="EP125" s="386"/>
      <c r="EQ125" s="488"/>
      <c r="ER125" s="386"/>
      <c r="ES125" s="386"/>
      <c r="ET125" s="386"/>
      <c r="EV125" s="488"/>
      <c r="EW125" s="488"/>
      <c r="EX125" s="395"/>
      <c r="EY125" s="395"/>
      <c r="EZ125" s="395"/>
      <c r="FA125" s="395"/>
      <c r="FB125" s="395"/>
      <c r="FC125" s="395"/>
      <c r="FD125" s="395"/>
      <c r="FE125" s="395"/>
      <c r="FF125" s="395"/>
      <c r="FG125" s="395"/>
      <c r="FH125" s="395"/>
      <c r="FI125" s="395"/>
      <c r="FJ125" s="395"/>
      <c r="FK125" s="395"/>
      <c r="FL125" s="395"/>
      <c r="FM125" s="395"/>
      <c r="FN125" s="395"/>
      <c r="FO125" s="395"/>
      <c r="FP125" s="395"/>
      <c r="FQ125" s="395"/>
      <c r="FR125" s="395"/>
      <c r="FS125" s="395"/>
      <c r="FT125" s="395"/>
      <c r="FU125" s="395"/>
      <c r="FV125" s="395"/>
      <c r="FW125" s="395"/>
      <c r="FX125" s="395"/>
      <c r="FY125" s="395"/>
      <c r="FZ125" s="61"/>
      <c r="GA125" s="61"/>
      <c r="GB125" s="61"/>
      <c r="GC125" s="61"/>
      <c r="GD125" s="61"/>
      <c r="GE125" s="61"/>
      <c r="GF125" s="395"/>
    </row>
    <row r="126" spans="120:188" x14ac:dyDescent="0.25">
      <c r="DP126" s="61"/>
      <c r="DQ126" s="386"/>
      <c r="DR126" s="386"/>
      <c r="DS126" s="386"/>
      <c r="DT126" s="386"/>
      <c r="DU126" s="386"/>
      <c r="DV126" s="386"/>
      <c r="DW126" s="386"/>
      <c r="DX126" s="386"/>
      <c r="DY126" s="386"/>
      <c r="DZ126" s="386"/>
      <c r="EA126" s="386"/>
      <c r="EB126" s="386"/>
      <c r="EC126" s="386"/>
      <c r="ED126" s="386"/>
      <c r="EE126" s="386"/>
      <c r="EF126" s="386"/>
      <c r="EG126" s="386"/>
      <c r="EH126" s="386"/>
      <c r="EI126" s="386"/>
      <c r="EJ126" s="386"/>
      <c r="EK126" s="386"/>
      <c r="EL126" s="386"/>
      <c r="EM126" s="386"/>
      <c r="EN126" s="386"/>
      <c r="EO126" s="386"/>
      <c r="EP126" s="386"/>
      <c r="EQ126" s="488"/>
      <c r="ER126" s="386"/>
      <c r="ES126" s="386"/>
      <c r="ET126" s="386"/>
      <c r="EV126" s="488"/>
      <c r="EW126" s="488"/>
      <c r="EX126" s="395"/>
      <c r="EY126" s="395"/>
      <c r="EZ126" s="395"/>
      <c r="FA126" s="395"/>
      <c r="FB126" s="395"/>
      <c r="FC126" s="395"/>
      <c r="FD126" s="395"/>
      <c r="FE126" s="395"/>
      <c r="FF126" s="395"/>
      <c r="FG126" s="395"/>
      <c r="FH126" s="395"/>
      <c r="FI126" s="395"/>
      <c r="FJ126" s="395"/>
      <c r="FK126" s="395"/>
      <c r="FL126" s="395"/>
      <c r="FM126" s="395"/>
      <c r="FN126" s="395"/>
      <c r="FO126" s="395"/>
      <c r="FP126" s="395"/>
      <c r="FQ126" s="395"/>
      <c r="FR126" s="395"/>
      <c r="FS126" s="395"/>
      <c r="FT126" s="395"/>
      <c r="FU126" s="395"/>
      <c r="FV126" s="395"/>
      <c r="FW126" s="395"/>
      <c r="FX126" s="395"/>
      <c r="FY126" s="395"/>
      <c r="FZ126" s="61"/>
      <c r="GA126" s="61"/>
      <c r="GB126" s="61"/>
      <c r="GC126" s="61"/>
      <c r="GD126" s="61"/>
      <c r="GE126" s="61"/>
      <c r="GF126" s="395"/>
    </row>
    <row r="127" spans="120:188" ht="18.75" x14ac:dyDescent="0.3">
      <c r="DP127" s="61"/>
      <c r="DQ127" s="61"/>
      <c r="DR127" s="463"/>
      <c r="DS127" s="463"/>
      <c r="DT127" s="463"/>
      <c r="DU127" s="493"/>
      <c r="DV127" s="493"/>
      <c r="DW127" s="493"/>
      <c r="DX127" s="493"/>
      <c r="DY127" s="493"/>
      <c r="DZ127" s="493"/>
      <c r="EA127" s="493"/>
      <c r="EB127" s="493"/>
      <c r="EC127" s="493"/>
      <c r="ED127" s="493"/>
      <c r="EE127" s="493"/>
      <c r="EF127" s="493"/>
      <c r="EG127" s="493"/>
      <c r="EH127" s="493"/>
      <c r="EI127" s="493"/>
      <c r="EJ127" s="493"/>
      <c r="EK127" s="493"/>
      <c r="EL127" s="493"/>
      <c r="EM127" s="493"/>
      <c r="EN127" s="493"/>
      <c r="EO127" s="489"/>
      <c r="EP127" s="404"/>
      <c r="EQ127" s="488"/>
      <c r="ER127" s="386"/>
      <c r="ES127" s="386"/>
      <c r="ET127" s="386"/>
      <c r="EV127" s="404"/>
      <c r="EW127" s="404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395"/>
      <c r="FW127" s="395"/>
      <c r="FX127" s="395"/>
      <c r="FY127" s="395"/>
      <c r="FZ127" s="61"/>
      <c r="GA127" s="61"/>
      <c r="GB127" s="61"/>
      <c r="GC127" s="61"/>
      <c r="GD127" s="61"/>
      <c r="GE127" s="61"/>
      <c r="GF127" s="395"/>
    </row>
    <row r="128" spans="120:188" ht="18.75" x14ac:dyDescent="0.3">
      <c r="DP128" s="61"/>
      <c r="DQ128" s="61"/>
      <c r="DR128" s="463"/>
      <c r="DS128" s="463"/>
      <c r="DT128" s="463"/>
      <c r="DU128" s="489"/>
      <c r="DV128" s="489"/>
      <c r="DW128" s="489"/>
      <c r="DX128" s="489"/>
      <c r="DY128" s="489"/>
      <c r="DZ128" s="489"/>
      <c r="EA128" s="489"/>
      <c r="EB128" s="489"/>
      <c r="EC128" s="489"/>
      <c r="ED128" s="489"/>
      <c r="EE128" s="489"/>
      <c r="EF128" s="489"/>
      <c r="EG128" s="489"/>
      <c r="EH128" s="489"/>
      <c r="EI128" s="489"/>
      <c r="EJ128" s="489"/>
      <c r="EK128" s="489"/>
      <c r="EL128" s="489"/>
      <c r="EM128" s="489"/>
      <c r="EN128" s="489"/>
      <c r="EO128" s="489"/>
      <c r="EP128" s="61"/>
      <c r="EQ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395"/>
    </row>
    <row r="129" spans="120:200" ht="18.75" x14ac:dyDescent="0.3">
      <c r="DP129" s="61"/>
      <c r="DQ129" s="61"/>
      <c r="DR129" s="463"/>
      <c r="DS129" s="463"/>
      <c r="DT129" s="463"/>
      <c r="DU129" s="489"/>
      <c r="DV129" s="489"/>
      <c r="DW129" s="489"/>
      <c r="DX129" s="489"/>
      <c r="DY129" s="489"/>
      <c r="DZ129" s="489"/>
      <c r="EA129" s="489"/>
      <c r="EB129" s="489"/>
      <c r="EC129" s="489"/>
      <c r="ED129" s="489"/>
      <c r="EE129" s="492"/>
      <c r="EF129" s="489"/>
      <c r="EG129" s="489"/>
      <c r="EH129" s="489"/>
      <c r="EI129" s="489"/>
      <c r="EJ129" s="489"/>
      <c r="EK129" s="489"/>
      <c r="EL129" s="489"/>
      <c r="EM129" s="489"/>
      <c r="EN129" s="489"/>
      <c r="EO129" s="489"/>
      <c r="EP129" s="61"/>
      <c r="EQ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395"/>
    </row>
    <row r="130" spans="120:200" ht="18.75" x14ac:dyDescent="0.3">
      <c r="DP130" s="61"/>
      <c r="DQ130" s="61"/>
      <c r="DR130" s="463"/>
      <c r="DS130" s="463"/>
      <c r="DT130" s="463"/>
      <c r="DU130" s="489"/>
      <c r="DV130" s="489"/>
      <c r="DW130" s="489"/>
      <c r="DX130" s="489"/>
      <c r="DY130" s="489"/>
      <c r="DZ130" s="489"/>
      <c r="EA130" s="489"/>
      <c r="EB130" s="489"/>
      <c r="EC130" s="489"/>
      <c r="ED130" s="489"/>
      <c r="EE130" s="489"/>
      <c r="EF130" s="489"/>
      <c r="EG130" s="489"/>
      <c r="EH130" s="489"/>
      <c r="EI130" s="489"/>
      <c r="EJ130" s="489"/>
      <c r="EK130" s="489"/>
      <c r="EL130" s="489"/>
      <c r="EM130" s="489"/>
      <c r="EN130" s="489"/>
      <c r="EO130" s="489"/>
      <c r="EP130" s="61"/>
      <c r="EQ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395"/>
    </row>
    <row r="131" spans="120:200" ht="18.75" x14ac:dyDescent="0.3">
      <c r="DP131" s="61"/>
      <c r="DQ131" s="61"/>
      <c r="DR131" s="463"/>
      <c r="DS131" s="463"/>
      <c r="DT131" s="463"/>
      <c r="DU131" s="493"/>
      <c r="DV131" s="493"/>
      <c r="DW131" s="493"/>
      <c r="DX131" s="493"/>
      <c r="DY131" s="493"/>
      <c r="DZ131" s="493"/>
      <c r="EA131" s="493"/>
      <c r="EB131" s="493"/>
      <c r="EC131" s="493"/>
      <c r="ED131" s="493"/>
      <c r="EE131" s="493"/>
      <c r="EF131" s="493"/>
      <c r="EG131" s="493"/>
      <c r="EH131" s="493"/>
      <c r="EI131" s="493"/>
      <c r="EJ131" s="493"/>
      <c r="EK131" s="493"/>
      <c r="EL131" s="493"/>
      <c r="EM131" s="493"/>
      <c r="EN131" s="493"/>
      <c r="EO131" s="493"/>
      <c r="EP131" s="61"/>
      <c r="EQ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395"/>
    </row>
    <row r="132" spans="120:200" ht="18.75" x14ac:dyDescent="0.3">
      <c r="DP132" s="61"/>
      <c r="DQ132" s="61"/>
      <c r="DR132" s="463"/>
      <c r="DS132" s="463"/>
      <c r="DT132" s="463"/>
      <c r="DU132" s="489"/>
      <c r="DV132" s="489"/>
      <c r="DW132" s="489"/>
      <c r="DX132" s="489"/>
      <c r="DY132" s="489"/>
      <c r="DZ132" s="489"/>
      <c r="EA132" s="489"/>
      <c r="EB132" s="489"/>
      <c r="EC132" s="489"/>
      <c r="ED132" s="489"/>
      <c r="EE132" s="489"/>
      <c r="EF132" s="489"/>
      <c r="EG132" s="493"/>
      <c r="EH132" s="489"/>
      <c r="EI132" s="489"/>
      <c r="EJ132" s="489"/>
      <c r="EK132" s="489"/>
      <c r="EL132" s="489"/>
      <c r="EM132" s="489"/>
      <c r="EN132" s="489"/>
      <c r="EO132" s="489"/>
      <c r="EP132" s="61"/>
      <c r="EQ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395"/>
    </row>
    <row r="133" spans="120:200" ht="18.75" x14ac:dyDescent="0.3">
      <c r="DP133" s="61"/>
      <c r="DQ133" s="61"/>
      <c r="DR133" s="463"/>
      <c r="DS133" s="463"/>
      <c r="DT133" s="463"/>
      <c r="DU133" s="489"/>
      <c r="DV133" s="489"/>
      <c r="DW133" s="489"/>
      <c r="DX133" s="489"/>
      <c r="DY133" s="489"/>
      <c r="DZ133" s="489"/>
      <c r="EA133" s="489"/>
      <c r="EB133" s="489"/>
      <c r="EC133" s="489"/>
      <c r="ED133" s="489"/>
      <c r="EE133" s="489"/>
      <c r="EF133" s="489"/>
      <c r="EG133" s="493"/>
      <c r="EH133" s="489"/>
      <c r="EI133" s="489"/>
      <c r="EJ133" s="489"/>
      <c r="EK133" s="489"/>
      <c r="EL133" s="489"/>
      <c r="EM133" s="489"/>
      <c r="EN133" s="489"/>
      <c r="EO133" s="489"/>
      <c r="EP133" s="61"/>
      <c r="EQ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395"/>
    </row>
    <row r="134" spans="120:200" ht="18.75" x14ac:dyDescent="0.3">
      <c r="DP134" s="61"/>
      <c r="DQ134" s="61"/>
      <c r="DR134" s="463"/>
      <c r="DS134" s="463"/>
      <c r="DT134" s="463"/>
      <c r="DU134" s="489"/>
      <c r="DV134" s="489"/>
      <c r="DW134" s="489"/>
      <c r="DX134" s="489"/>
      <c r="DY134" s="489"/>
      <c r="DZ134" s="489"/>
      <c r="EA134" s="489"/>
      <c r="EB134" s="489"/>
      <c r="EC134" s="489"/>
      <c r="ED134" s="489"/>
      <c r="EE134" s="489"/>
      <c r="EF134" s="489"/>
      <c r="EG134" s="489"/>
      <c r="EH134" s="489"/>
      <c r="EI134" s="489"/>
      <c r="EJ134" s="489"/>
      <c r="EK134" s="489"/>
      <c r="EL134" s="489"/>
      <c r="EM134" s="489"/>
      <c r="EN134" s="489"/>
      <c r="EO134" s="489"/>
      <c r="EP134" s="61"/>
      <c r="EQ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395"/>
    </row>
    <row r="135" spans="120:200" ht="18.75" x14ac:dyDescent="0.3">
      <c r="DP135" s="61"/>
      <c r="DQ135" s="61"/>
      <c r="DR135" s="463"/>
      <c r="DS135" s="463"/>
      <c r="DT135" s="463"/>
      <c r="DU135" s="489"/>
      <c r="DV135" s="489"/>
      <c r="DW135" s="489"/>
      <c r="DX135" s="489"/>
      <c r="DY135" s="489"/>
      <c r="DZ135" s="489"/>
      <c r="EA135" s="489"/>
      <c r="EB135" s="489"/>
      <c r="EC135" s="489"/>
      <c r="ED135" s="489"/>
      <c r="EE135" s="492"/>
      <c r="EF135" s="489"/>
      <c r="EG135" s="489"/>
      <c r="EH135" s="489"/>
      <c r="EI135" s="489"/>
      <c r="EJ135" s="489"/>
      <c r="EK135" s="489"/>
      <c r="EL135" s="489"/>
      <c r="EM135" s="489"/>
      <c r="EN135" s="489"/>
      <c r="EO135" s="489"/>
      <c r="EP135" s="61"/>
      <c r="EQ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395"/>
    </row>
    <row r="136" spans="120:200" ht="18.75" x14ac:dyDescent="0.3">
      <c r="DP136" s="61"/>
      <c r="DQ136" s="61"/>
      <c r="DR136" s="463"/>
      <c r="DS136" s="463"/>
      <c r="DT136" s="463"/>
      <c r="DU136" s="489"/>
      <c r="DV136" s="493"/>
      <c r="DW136" s="489"/>
      <c r="DX136" s="493"/>
      <c r="DY136" s="489"/>
      <c r="DZ136" s="489"/>
      <c r="EA136" s="489"/>
      <c r="EB136" s="489"/>
      <c r="EC136" s="489"/>
      <c r="ED136" s="489"/>
      <c r="EE136" s="489"/>
      <c r="EF136" s="493"/>
      <c r="EG136" s="489"/>
      <c r="EH136" s="489"/>
      <c r="EI136" s="489"/>
      <c r="EJ136" s="489"/>
      <c r="EK136" s="489"/>
      <c r="EL136" s="493"/>
      <c r="EM136" s="493"/>
      <c r="EN136" s="489"/>
      <c r="EO136" s="489"/>
      <c r="EP136" s="61"/>
      <c r="EQ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395"/>
    </row>
    <row r="137" spans="120:200" ht="18.75" x14ac:dyDescent="0.3">
      <c r="DP137" s="61"/>
      <c r="DQ137" s="61"/>
      <c r="DR137" s="463"/>
      <c r="DS137" s="463"/>
      <c r="DT137" s="463"/>
      <c r="DU137" s="493"/>
      <c r="DV137" s="463"/>
      <c r="DW137" s="493"/>
      <c r="DX137" s="463"/>
      <c r="DY137" s="493"/>
      <c r="DZ137" s="493"/>
      <c r="EA137" s="493"/>
      <c r="EB137" s="493"/>
      <c r="EC137" s="493"/>
      <c r="ED137" s="493"/>
      <c r="EE137" s="493"/>
      <c r="EF137" s="463"/>
      <c r="EG137" s="493"/>
      <c r="EH137" s="493"/>
      <c r="EI137" s="493"/>
      <c r="EJ137" s="493"/>
      <c r="EK137" s="493"/>
      <c r="EL137" s="463"/>
      <c r="EM137" s="463"/>
      <c r="EN137" s="493"/>
      <c r="EO137" s="493"/>
      <c r="EP137" s="61"/>
      <c r="EQ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395"/>
    </row>
    <row r="138" spans="120:200" ht="18.75" x14ac:dyDescent="0.3">
      <c r="DP138" s="61"/>
      <c r="DQ138" s="61"/>
      <c r="DR138" s="463"/>
      <c r="DS138" s="463"/>
      <c r="DT138" s="463"/>
      <c r="DU138" s="493"/>
      <c r="DV138" s="493"/>
      <c r="DW138" s="493"/>
      <c r="DX138" s="493"/>
      <c r="DY138" s="493"/>
      <c r="DZ138" s="493"/>
      <c r="EA138" s="493"/>
      <c r="EB138" s="493"/>
      <c r="EC138" s="493"/>
      <c r="ED138" s="493"/>
      <c r="EE138" s="493"/>
      <c r="EF138" s="493"/>
      <c r="EG138" s="493"/>
      <c r="EH138" s="493"/>
      <c r="EI138" s="493"/>
      <c r="EJ138" s="493"/>
      <c r="EK138" s="493"/>
      <c r="EL138" s="493"/>
      <c r="EM138" s="493"/>
      <c r="EN138" s="493"/>
      <c r="EO138" s="493"/>
      <c r="EP138" s="404"/>
      <c r="EQ138" s="404"/>
      <c r="EV138" s="404"/>
      <c r="EW138" s="404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395"/>
    </row>
    <row r="139" spans="120:200" ht="18.75" x14ac:dyDescent="0.3">
      <c r="DP139" s="61"/>
      <c r="DQ139" s="61"/>
      <c r="DR139" s="463"/>
      <c r="DS139" s="463"/>
      <c r="DT139" s="463"/>
      <c r="DU139" s="493"/>
      <c r="DV139" s="493"/>
      <c r="DW139" s="493"/>
      <c r="DX139" s="493"/>
      <c r="DY139" s="493"/>
      <c r="DZ139" s="493"/>
      <c r="EA139" s="493"/>
      <c r="EB139" s="493"/>
      <c r="EC139" s="493"/>
      <c r="ED139" s="493"/>
      <c r="EE139" s="493"/>
      <c r="EF139" s="493"/>
      <c r="EG139" s="493"/>
      <c r="EH139" s="493"/>
      <c r="EI139" s="493"/>
      <c r="EJ139" s="493"/>
      <c r="EK139" s="493"/>
      <c r="EL139" s="493"/>
      <c r="EM139" s="493"/>
      <c r="EN139" s="493"/>
      <c r="EO139" s="493"/>
      <c r="EP139" s="404"/>
      <c r="EQ139" s="404"/>
      <c r="EV139" s="404"/>
      <c r="EW139" s="404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395"/>
    </row>
    <row r="140" spans="120:200" ht="18.75" x14ac:dyDescent="0.3">
      <c r="DP140" s="61"/>
      <c r="DQ140" s="61"/>
      <c r="DR140" s="463"/>
      <c r="DS140" s="463"/>
      <c r="DT140" s="463"/>
      <c r="DU140" s="489"/>
      <c r="DV140" s="489"/>
      <c r="DW140" s="489"/>
      <c r="DX140" s="489"/>
      <c r="DY140" s="489"/>
      <c r="DZ140" s="489"/>
      <c r="EA140" s="489"/>
      <c r="EB140" s="489"/>
      <c r="EC140" s="489"/>
      <c r="ED140" s="489"/>
      <c r="EE140" s="489"/>
      <c r="EF140" s="489"/>
      <c r="EG140" s="489"/>
      <c r="EH140" s="489"/>
      <c r="EI140" s="489"/>
      <c r="EJ140" s="489"/>
      <c r="EK140" s="489"/>
      <c r="EL140" s="489"/>
      <c r="EM140" s="489"/>
      <c r="EN140" s="489"/>
      <c r="EO140" s="489"/>
      <c r="EP140" s="404"/>
      <c r="EQ140" s="404"/>
      <c r="EV140" s="404"/>
      <c r="EW140" s="404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395"/>
    </row>
    <row r="141" spans="120:200" ht="18.75" x14ac:dyDescent="0.3">
      <c r="DP141" s="61"/>
      <c r="DQ141" s="61"/>
      <c r="DR141" s="463"/>
      <c r="DS141" s="463"/>
      <c r="DT141" s="463"/>
      <c r="DU141" s="489"/>
      <c r="DV141" s="489"/>
      <c r="DW141" s="489"/>
      <c r="DX141" s="489"/>
      <c r="DY141" s="489"/>
      <c r="DZ141" s="489"/>
      <c r="EA141" s="489"/>
      <c r="EB141" s="489"/>
      <c r="EC141" s="489"/>
      <c r="ED141" s="489"/>
      <c r="EE141" s="492"/>
      <c r="EF141" s="489"/>
      <c r="EG141" s="489"/>
      <c r="EH141" s="489"/>
      <c r="EI141" s="489"/>
      <c r="EJ141" s="489"/>
      <c r="EK141" s="489"/>
      <c r="EL141" s="489"/>
      <c r="EM141" s="489"/>
      <c r="EN141" s="489"/>
      <c r="EO141" s="489"/>
      <c r="EP141" s="404"/>
      <c r="EQ141" s="404"/>
      <c r="EV141" s="404"/>
      <c r="EW141" s="404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395"/>
    </row>
    <row r="142" spans="120:200" ht="18.75" x14ac:dyDescent="0.3">
      <c r="DP142" s="61"/>
      <c r="DQ142" s="61"/>
      <c r="DR142" s="463"/>
      <c r="DS142" s="463"/>
      <c r="DT142" s="463"/>
      <c r="DU142" s="489"/>
      <c r="DV142" s="489"/>
      <c r="DW142" s="489"/>
      <c r="DX142" s="493"/>
      <c r="DY142" s="489"/>
      <c r="DZ142" s="489"/>
      <c r="EA142" s="489"/>
      <c r="EB142" s="489"/>
      <c r="EC142" s="489"/>
      <c r="ED142" s="489"/>
      <c r="EE142" s="489"/>
      <c r="EF142" s="493"/>
      <c r="EG142" s="493"/>
      <c r="EH142" s="489"/>
      <c r="EI142" s="489"/>
      <c r="EJ142" s="489"/>
      <c r="EK142" s="489"/>
      <c r="EL142" s="489"/>
      <c r="EM142" s="489"/>
      <c r="EN142" s="489"/>
      <c r="EO142" s="489"/>
      <c r="EP142" s="404"/>
      <c r="EQ142" s="404"/>
      <c r="EV142" s="404"/>
      <c r="EW142" s="404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395"/>
    </row>
    <row r="143" spans="120:200" ht="18.75" x14ac:dyDescent="0.3">
      <c r="DP143" s="61"/>
      <c r="DQ143" s="61"/>
      <c r="DR143" s="463"/>
      <c r="DS143" s="463"/>
      <c r="DT143" s="463"/>
      <c r="DU143" s="493"/>
      <c r="DV143" s="493"/>
      <c r="DW143" s="493"/>
      <c r="DX143" s="463"/>
      <c r="DY143" s="493"/>
      <c r="DZ143" s="493"/>
      <c r="EA143" s="493"/>
      <c r="EB143" s="493"/>
      <c r="EC143" s="493"/>
      <c r="ED143" s="493"/>
      <c r="EE143" s="493"/>
      <c r="EF143" s="493"/>
      <c r="EG143" s="493"/>
      <c r="EH143" s="493"/>
      <c r="EI143" s="493"/>
      <c r="EJ143" s="493"/>
      <c r="EK143" s="493"/>
      <c r="EL143" s="493"/>
      <c r="EM143" s="493"/>
      <c r="EN143" s="493"/>
      <c r="EO143" s="493"/>
      <c r="EP143" s="404"/>
      <c r="EQ143" s="404"/>
      <c r="EV143" s="404"/>
      <c r="EW143" s="404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395"/>
    </row>
    <row r="144" spans="120:200" ht="18.75" x14ac:dyDescent="0.3">
      <c r="DP144" s="61"/>
      <c r="DQ144" s="61"/>
      <c r="DR144" s="463"/>
      <c r="DS144" s="463"/>
      <c r="DT144" s="463"/>
      <c r="DU144" s="493"/>
      <c r="DV144" s="493"/>
      <c r="DW144" s="493"/>
      <c r="DX144" s="493"/>
      <c r="DY144" s="493"/>
      <c r="DZ144" s="493"/>
      <c r="EA144" s="493"/>
      <c r="EB144" s="493"/>
      <c r="EC144" s="493"/>
      <c r="ED144" s="493"/>
      <c r="EE144" s="493"/>
      <c r="EF144" s="493"/>
      <c r="EG144" s="493"/>
      <c r="EH144" s="493"/>
      <c r="EI144" s="493"/>
      <c r="EJ144" s="493"/>
      <c r="EK144" s="493"/>
      <c r="EL144" s="493"/>
      <c r="EM144" s="493"/>
      <c r="EN144" s="493"/>
      <c r="EO144" s="493"/>
      <c r="EP144" s="404"/>
      <c r="EQ144" s="404"/>
      <c r="EV144" s="404"/>
      <c r="EW144" s="404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395"/>
    </row>
    <row r="145" spans="120:200" ht="18.75" x14ac:dyDescent="0.3">
      <c r="DP145" s="61"/>
      <c r="DQ145" s="61"/>
      <c r="DR145" s="463"/>
      <c r="DS145" s="463"/>
      <c r="DT145" s="463"/>
      <c r="DU145" s="493"/>
      <c r="DV145" s="493"/>
      <c r="DW145" s="493"/>
      <c r="DX145" s="493"/>
      <c r="DY145" s="493"/>
      <c r="DZ145" s="493"/>
      <c r="EA145" s="493"/>
      <c r="EB145" s="493"/>
      <c r="EC145" s="493"/>
      <c r="ED145" s="493"/>
      <c r="EE145" s="493"/>
      <c r="EF145" s="493"/>
      <c r="EG145" s="493"/>
      <c r="EH145" s="493"/>
      <c r="EI145" s="493"/>
      <c r="EJ145" s="493"/>
      <c r="EK145" s="493"/>
      <c r="EL145" s="493"/>
      <c r="EM145" s="493"/>
      <c r="EN145" s="493"/>
      <c r="EO145" s="493"/>
      <c r="EP145" s="404"/>
      <c r="EQ145" s="404"/>
      <c r="EV145" s="404"/>
      <c r="EW145" s="404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395"/>
    </row>
    <row r="146" spans="120:200" ht="18.75" x14ac:dyDescent="0.3">
      <c r="DP146" s="61"/>
      <c r="DQ146" s="61"/>
      <c r="DR146" s="463"/>
      <c r="DS146" s="463"/>
      <c r="DT146" s="463"/>
      <c r="DU146" s="489"/>
      <c r="DV146" s="489"/>
      <c r="DW146" s="489"/>
      <c r="DX146" s="489"/>
      <c r="DY146" s="489"/>
      <c r="DZ146" s="489"/>
      <c r="EA146" s="489"/>
      <c r="EB146" s="489"/>
      <c r="EC146" s="489"/>
      <c r="ED146" s="489"/>
      <c r="EE146" s="489"/>
      <c r="EF146" s="489"/>
      <c r="EG146" s="489"/>
      <c r="EH146" s="489"/>
      <c r="EI146" s="489"/>
      <c r="EJ146" s="489"/>
      <c r="EK146" s="489"/>
      <c r="EL146" s="489"/>
      <c r="EM146" s="489"/>
      <c r="EN146" s="489"/>
      <c r="EO146" s="489"/>
      <c r="EP146" s="61"/>
      <c r="EQ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395"/>
    </row>
    <row r="147" spans="120:200" ht="18.75" x14ac:dyDescent="0.3">
      <c r="DP147" s="61"/>
      <c r="DQ147" s="61"/>
      <c r="DR147" s="463"/>
      <c r="DS147" s="463"/>
      <c r="DT147" s="463"/>
      <c r="DU147" s="61"/>
      <c r="DV147" s="489"/>
      <c r="DW147" s="489"/>
      <c r="DX147" s="489"/>
      <c r="DY147" s="489"/>
      <c r="DZ147" s="489"/>
      <c r="EA147" s="489"/>
      <c r="EB147" s="489"/>
      <c r="EC147" s="489"/>
      <c r="ED147" s="494"/>
      <c r="EE147" s="489"/>
      <c r="EF147" s="489"/>
      <c r="EG147" s="489"/>
      <c r="EH147" s="489"/>
      <c r="EI147" s="489"/>
      <c r="EJ147" s="489"/>
      <c r="EK147" s="489"/>
      <c r="EL147" s="489"/>
      <c r="EM147" s="489"/>
      <c r="EN147" s="489"/>
      <c r="EO147" s="489"/>
      <c r="EP147" s="61"/>
      <c r="EQ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395"/>
    </row>
    <row r="148" spans="120:200" ht="18.75" x14ac:dyDescent="0.3">
      <c r="DP148" s="61"/>
      <c r="DQ148" s="61"/>
      <c r="DR148" s="463"/>
      <c r="DS148" s="490"/>
      <c r="DT148" s="463"/>
      <c r="DU148" s="489"/>
      <c r="DV148" s="489"/>
      <c r="DW148" s="489"/>
      <c r="DX148" s="489"/>
      <c r="DY148" s="489"/>
      <c r="DZ148" s="489"/>
      <c r="EA148" s="489"/>
      <c r="EB148" s="489"/>
      <c r="EC148" s="489"/>
      <c r="ED148" s="489"/>
      <c r="EE148" s="489"/>
      <c r="EF148" s="489"/>
      <c r="EG148" s="489"/>
      <c r="EH148" s="489"/>
      <c r="EI148" s="489"/>
      <c r="EJ148" s="489"/>
      <c r="EK148" s="489"/>
      <c r="EL148" s="489"/>
      <c r="EM148" s="489"/>
      <c r="EN148" s="489"/>
      <c r="EO148" s="489"/>
      <c r="EP148" s="463"/>
      <c r="EQ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395"/>
    </row>
    <row r="149" spans="120:200" ht="18.75" x14ac:dyDescent="0.3">
      <c r="DP149" s="61"/>
      <c r="DQ149" s="61"/>
      <c r="DR149" s="463"/>
      <c r="DS149" s="463"/>
      <c r="DT149" s="463"/>
      <c r="DU149" s="489"/>
      <c r="DV149" s="489"/>
      <c r="DW149" s="489"/>
      <c r="DX149" s="489"/>
      <c r="DY149" s="489"/>
      <c r="DZ149" s="489"/>
      <c r="EA149" s="489"/>
      <c r="EB149" s="489"/>
      <c r="EC149" s="489"/>
      <c r="ED149" s="489"/>
      <c r="EE149" s="492"/>
      <c r="EF149" s="489"/>
      <c r="EG149" s="489"/>
      <c r="EH149" s="489"/>
      <c r="EI149" s="489"/>
      <c r="EJ149" s="489"/>
      <c r="EK149" s="489"/>
      <c r="EL149" s="489"/>
      <c r="EM149" s="489"/>
      <c r="EN149" s="489"/>
      <c r="EO149" s="47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395"/>
    </row>
    <row r="150" spans="120:200" ht="18.75" x14ac:dyDescent="0.3">
      <c r="DP150" s="61"/>
      <c r="DQ150" s="61"/>
      <c r="DR150" s="463"/>
      <c r="DS150" s="463"/>
      <c r="DT150" s="463"/>
      <c r="DU150" s="493"/>
      <c r="DV150" s="493"/>
      <c r="DW150" s="493"/>
      <c r="DX150" s="493"/>
      <c r="DY150" s="493"/>
      <c r="DZ150" s="493"/>
      <c r="EA150" s="493"/>
      <c r="EB150" s="493"/>
      <c r="EC150" s="493"/>
      <c r="ED150" s="493"/>
      <c r="EE150" s="493"/>
      <c r="EF150" s="493"/>
      <c r="EG150" s="493"/>
      <c r="EH150" s="493"/>
      <c r="EI150" s="493"/>
      <c r="EJ150" s="493"/>
      <c r="EK150" s="493"/>
      <c r="EL150" s="493"/>
      <c r="EM150" s="493"/>
      <c r="EN150" s="493"/>
      <c r="EO150" s="47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395"/>
    </row>
    <row r="151" spans="120:200" ht="18.75" x14ac:dyDescent="0.3">
      <c r="DP151" s="61"/>
      <c r="DQ151" s="61"/>
      <c r="DR151" s="463"/>
      <c r="DS151" s="463"/>
      <c r="DT151" s="463"/>
      <c r="DU151" s="495"/>
      <c r="DV151" s="493"/>
      <c r="DW151" s="495"/>
      <c r="DX151" s="493"/>
      <c r="DY151" s="493"/>
      <c r="DZ151" s="493"/>
      <c r="EA151" s="493"/>
      <c r="EB151" s="493"/>
      <c r="EC151" s="493"/>
      <c r="ED151" s="493"/>
      <c r="EE151" s="495"/>
      <c r="EF151" s="495"/>
      <c r="EG151" s="493"/>
      <c r="EH151" s="493"/>
      <c r="EI151" s="493"/>
      <c r="EJ151" s="493"/>
      <c r="EK151" s="495"/>
      <c r="EL151" s="495"/>
      <c r="EM151" s="493"/>
      <c r="EN151" s="493"/>
      <c r="EO151" s="47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395"/>
    </row>
    <row r="152" spans="120:200" ht="18.75" x14ac:dyDescent="0.3">
      <c r="DP152" s="61"/>
      <c r="DQ152" s="61"/>
      <c r="DR152" s="463"/>
      <c r="DS152" s="463"/>
      <c r="DT152" s="463"/>
      <c r="DU152" s="493"/>
      <c r="DV152" s="493"/>
      <c r="DW152" s="493"/>
      <c r="DX152" s="493"/>
      <c r="DY152" s="493"/>
      <c r="DZ152" s="493"/>
      <c r="EA152" s="493"/>
      <c r="EB152" s="493"/>
      <c r="EC152" s="493"/>
      <c r="ED152" s="493"/>
      <c r="EE152" s="493"/>
      <c r="EF152" s="493"/>
      <c r="EG152" s="493"/>
      <c r="EH152" s="493"/>
      <c r="EI152" s="493"/>
      <c r="EJ152" s="493"/>
      <c r="EK152" s="493"/>
      <c r="EL152" s="493"/>
      <c r="EM152" s="493"/>
      <c r="EN152" s="493"/>
      <c r="EO152" s="47"/>
      <c r="EP152" s="404"/>
      <c r="EQ152" s="61"/>
      <c r="ER152" s="404"/>
      <c r="ES152" s="404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395"/>
    </row>
    <row r="153" spans="120:200" ht="18.75" x14ac:dyDescent="0.3">
      <c r="DP153" s="61"/>
      <c r="DQ153" s="61"/>
      <c r="DR153" s="463"/>
      <c r="DS153" s="463"/>
      <c r="DT153" s="463"/>
      <c r="DU153" s="493"/>
      <c r="DV153" s="493"/>
      <c r="DW153" s="493"/>
      <c r="DX153" s="493"/>
      <c r="DY153" s="493"/>
      <c r="DZ153" s="493"/>
      <c r="EA153" s="493"/>
      <c r="EB153" s="493"/>
      <c r="EC153" s="493"/>
      <c r="ED153" s="493"/>
      <c r="EE153" s="493"/>
      <c r="EF153" s="493"/>
      <c r="EG153" s="493"/>
      <c r="EH153" s="493"/>
      <c r="EI153" s="493"/>
      <c r="EJ153" s="493"/>
      <c r="EK153" s="493"/>
      <c r="EL153" s="493"/>
      <c r="EM153" s="493"/>
      <c r="EN153" s="493"/>
      <c r="EO153" s="47"/>
      <c r="EP153" s="146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395"/>
    </row>
    <row r="154" spans="120:200" ht="18.75" x14ac:dyDescent="0.3">
      <c r="DP154" s="61"/>
      <c r="DQ154" s="61"/>
      <c r="DR154" s="463"/>
      <c r="DS154" s="463"/>
      <c r="DT154" s="463"/>
      <c r="DU154" s="489"/>
      <c r="DV154" s="489"/>
      <c r="DW154" s="489"/>
      <c r="DX154" s="489"/>
      <c r="DY154" s="489"/>
      <c r="DZ154" s="489"/>
      <c r="EA154" s="489"/>
      <c r="EB154" s="489"/>
      <c r="EC154" s="489"/>
      <c r="ED154" s="489"/>
      <c r="EE154" s="489"/>
      <c r="EF154" s="489"/>
      <c r="EG154" s="489"/>
      <c r="EH154" s="489"/>
      <c r="EI154" s="489"/>
      <c r="EJ154" s="489"/>
      <c r="EK154" s="496"/>
      <c r="EL154" s="489"/>
      <c r="EM154" s="489"/>
      <c r="EN154" s="489"/>
      <c r="EO154" s="47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395"/>
    </row>
    <row r="155" spans="120:200" ht="18.75" x14ac:dyDescent="0.3">
      <c r="DP155" s="61"/>
      <c r="DQ155" s="61"/>
      <c r="DR155" s="463"/>
      <c r="DS155" s="463"/>
      <c r="DT155" s="463"/>
      <c r="DU155" s="489"/>
      <c r="DV155" s="489"/>
      <c r="DW155" s="489"/>
      <c r="DX155" s="489"/>
      <c r="DY155" s="489"/>
      <c r="DZ155" s="489"/>
      <c r="EA155" s="489"/>
      <c r="EB155" s="489"/>
      <c r="EC155" s="489"/>
      <c r="ED155" s="489"/>
      <c r="EE155" s="492"/>
      <c r="EF155" s="489"/>
      <c r="EG155" s="489"/>
      <c r="EH155" s="489"/>
      <c r="EI155" s="489"/>
      <c r="EJ155" s="489"/>
      <c r="EK155" s="489"/>
      <c r="EL155" s="489"/>
      <c r="EM155" s="489"/>
      <c r="EN155" s="489"/>
      <c r="EO155" s="47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395"/>
    </row>
    <row r="156" spans="120:200" ht="18.75" x14ac:dyDescent="0.3">
      <c r="DP156" s="61"/>
      <c r="DQ156" s="61"/>
      <c r="DR156" s="463"/>
      <c r="DS156" s="463"/>
      <c r="DT156" s="463"/>
      <c r="DU156" s="489"/>
      <c r="DV156" s="489"/>
      <c r="DW156" s="493"/>
      <c r="DX156" s="489"/>
      <c r="DY156" s="489"/>
      <c r="DZ156" s="489"/>
      <c r="EA156" s="489"/>
      <c r="EB156" s="489"/>
      <c r="EC156" s="489"/>
      <c r="ED156" s="489"/>
      <c r="EE156" s="493"/>
      <c r="EF156" s="489"/>
      <c r="EG156" s="489"/>
      <c r="EH156" s="489"/>
      <c r="EI156" s="489"/>
      <c r="EJ156" s="489"/>
      <c r="EK156" s="489"/>
      <c r="EL156" s="493"/>
      <c r="EM156" s="489"/>
      <c r="EN156" s="489"/>
      <c r="EO156" s="47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395"/>
    </row>
    <row r="157" spans="120:200" ht="18.75" x14ac:dyDescent="0.3">
      <c r="DP157" s="61"/>
      <c r="DQ157" s="61"/>
      <c r="DR157" s="463"/>
      <c r="DS157" s="463"/>
      <c r="DT157" s="463"/>
      <c r="DU157" s="493"/>
      <c r="DV157" s="493"/>
      <c r="DW157" s="463"/>
      <c r="DX157" s="493"/>
      <c r="DY157" s="493"/>
      <c r="DZ157" s="493"/>
      <c r="EA157" s="493"/>
      <c r="EB157" s="493"/>
      <c r="EC157" s="493"/>
      <c r="ED157" s="493"/>
      <c r="EE157" s="463"/>
      <c r="EF157" s="493"/>
      <c r="EG157" s="493"/>
      <c r="EH157" s="493"/>
      <c r="EI157" s="493"/>
      <c r="EJ157" s="493"/>
      <c r="EK157" s="493"/>
      <c r="EL157" s="463"/>
      <c r="EM157" s="493"/>
      <c r="EN157" s="493"/>
      <c r="EO157" s="47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395"/>
    </row>
    <row r="158" spans="120:200" ht="18.75" x14ac:dyDescent="0.3">
      <c r="DP158" s="61"/>
      <c r="DQ158" s="61"/>
      <c r="DR158" s="463"/>
      <c r="DS158" s="463"/>
      <c r="DT158" s="463"/>
      <c r="DU158" s="493"/>
      <c r="DV158" s="493"/>
      <c r="DW158" s="493"/>
      <c r="DX158" s="493"/>
      <c r="DY158" s="493"/>
      <c r="DZ158" s="493"/>
      <c r="EA158" s="493"/>
      <c r="EB158" s="493"/>
      <c r="EC158" s="493"/>
      <c r="ED158" s="493"/>
      <c r="EE158" s="493"/>
      <c r="EF158" s="493"/>
      <c r="EG158" s="493"/>
      <c r="EH158" s="493"/>
      <c r="EI158" s="493"/>
      <c r="EJ158" s="493"/>
      <c r="EK158" s="493"/>
      <c r="EL158" s="493"/>
      <c r="EM158" s="493"/>
      <c r="EN158" s="493"/>
      <c r="EO158" s="47"/>
      <c r="EP158" s="404"/>
      <c r="EQ158" s="404"/>
      <c r="ER158" s="404"/>
      <c r="ES158" s="404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395"/>
    </row>
    <row r="159" spans="120:200" ht="18.75" x14ac:dyDescent="0.3">
      <c r="DP159" s="61"/>
      <c r="DQ159" s="61"/>
      <c r="DR159" s="463"/>
      <c r="DS159" s="463"/>
      <c r="DT159" s="463"/>
      <c r="DU159" s="493"/>
      <c r="DV159" s="493"/>
      <c r="DW159" s="493"/>
      <c r="DX159" s="493"/>
      <c r="DY159" s="493"/>
      <c r="DZ159" s="493"/>
      <c r="EA159" s="493"/>
      <c r="EB159" s="493"/>
      <c r="EC159" s="493"/>
      <c r="ED159" s="493"/>
      <c r="EE159" s="493"/>
      <c r="EF159" s="493"/>
      <c r="EG159" s="493"/>
      <c r="EH159" s="493"/>
      <c r="EI159" s="493"/>
      <c r="EJ159" s="493"/>
      <c r="EK159" s="493"/>
      <c r="EL159" s="493"/>
      <c r="EM159" s="493"/>
      <c r="EN159" s="493"/>
      <c r="EO159" s="47"/>
      <c r="EP159" s="404"/>
      <c r="EQ159" s="61"/>
      <c r="ER159" s="404"/>
      <c r="ES159" s="404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395"/>
    </row>
    <row r="160" spans="120:200" ht="18.75" x14ac:dyDescent="0.3">
      <c r="DP160" s="61"/>
      <c r="DQ160" s="61"/>
      <c r="DR160" s="463"/>
      <c r="DS160" s="463"/>
      <c r="DT160" s="463"/>
      <c r="DU160" s="489"/>
      <c r="DV160" s="489"/>
      <c r="DW160" s="489"/>
      <c r="DX160" s="489"/>
      <c r="DY160" s="489"/>
      <c r="DZ160" s="489"/>
      <c r="EA160" s="489"/>
      <c r="EB160" s="489"/>
      <c r="EC160" s="489"/>
      <c r="ED160" s="489"/>
      <c r="EE160" s="489"/>
      <c r="EF160" s="489"/>
      <c r="EG160" s="489"/>
      <c r="EH160" s="489"/>
      <c r="EI160" s="489"/>
      <c r="EJ160" s="489"/>
      <c r="EK160" s="489"/>
      <c r="EL160" s="489"/>
      <c r="EM160" s="489"/>
      <c r="EN160" s="489"/>
      <c r="EO160" s="47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395"/>
    </row>
    <row r="161" spans="113:316" ht="18.75" x14ac:dyDescent="0.3">
      <c r="DP161" s="61"/>
      <c r="DQ161" s="61"/>
      <c r="DR161" s="463"/>
      <c r="DS161" s="463"/>
      <c r="DT161" s="463"/>
      <c r="DU161" s="489"/>
      <c r="DV161" s="489"/>
      <c r="DW161" s="489"/>
      <c r="DX161" s="489"/>
      <c r="DY161" s="489"/>
      <c r="DZ161" s="489"/>
      <c r="EA161" s="489"/>
      <c r="EB161" s="489"/>
      <c r="EC161" s="489"/>
      <c r="ED161" s="489"/>
      <c r="EE161" s="492"/>
      <c r="EF161" s="489"/>
      <c r="EG161" s="489"/>
      <c r="EH161" s="489"/>
      <c r="EI161" s="489"/>
      <c r="EJ161" s="489"/>
      <c r="EK161" s="489"/>
      <c r="EL161" s="489"/>
      <c r="EM161" s="489"/>
      <c r="EN161" s="489"/>
      <c r="EO161" s="47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395"/>
    </row>
    <row r="162" spans="113:316" ht="18.75" x14ac:dyDescent="0.3">
      <c r="DP162" s="61"/>
      <c r="DQ162" s="61"/>
      <c r="DR162" s="463"/>
      <c r="DS162" s="463"/>
      <c r="DT162" s="463"/>
      <c r="DU162" s="489"/>
      <c r="DV162" s="489"/>
      <c r="DW162" s="489"/>
      <c r="DX162" s="489"/>
      <c r="DY162" s="489"/>
      <c r="DZ162" s="489"/>
      <c r="EA162" s="489"/>
      <c r="EB162" s="489"/>
      <c r="EC162" s="489"/>
      <c r="ED162" s="489"/>
      <c r="EE162" s="489"/>
      <c r="EF162" s="489"/>
      <c r="EG162" s="489"/>
      <c r="EH162" s="489"/>
      <c r="EI162" s="489"/>
      <c r="EJ162" s="489"/>
      <c r="EK162" s="489"/>
      <c r="EL162" s="489"/>
      <c r="EM162" s="489"/>
      <c r="EN162" s="489"/>
      <c r="EO162" s="47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395"/>
    </row>
    <row r="163" spans="113:316" ht="18.75" x14ac:dyDescent="0.3">
      <c r="DP163" s="61"/>
      <c r="DQ163" s="61"/>
      <c r="DR163" s="463"/>
      <c r="DS163" s="463"/>
      <c r="DT163" s="463"/>
      <c r="DU163" s="489"/>
      <c r="DV163" s="489"/>
      <c r="DW163" s="489"/>
      <c r="DX163" s="489"/>
      <c r="DY163" s="493"/>
      <c r="DZ163" s="489"/>
      <c r="EA163" s="493"/>
      <c r="EB163" s="493"/>
      <c r="EC163" s="493"/>
      <c r="ED163" s="493"/>
      <c r="EE163" s="493"/>
      <c r="EF163" s="489"/>
      <c r="EG163" s="489"/>
      <c r="EH163" s="489"/>
      <c r="EI163" s="489"/>
      <c r="EJ163" s="489"/>
      <c r="EK163" s="489"/>
      <c r="EL163" s="489"/>
      <c r="EM163" s="489"/>
      <c r="EN163" s="489"/>
      <c r="EO163" s="47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395"/>
    </row>
    <row r="164" spans="113:316" ht="18.75" x14ac:dyDescent="0.3">
      <c r="DP164" s="61"/>
      <c r="DQ164" s="61"/>
      <c r="DR164" s="463"/>
      <c r="DS164" s="463"/>
      <c r="DT164" s="463"/>
      <c r="DU164" s="489"/>
      <c r="DV164" s="489"/>
      <c r="DW164" s="489"/>
      <c r="DX164" s="489"/>
      <c r="DY164" s="493"/>
      <c r="DZ164" s="489"/>
      <c r="EA164" s="493"/>
      <c r="EB164" s="493"/>
      <c r="EC164" s="493"/>
      <c r="ED164" s="493"/>
      <c r="EE164" s="493"/>
      <c r="EF164" s="489"/>
      <c r="EG164" s="489"/>
      <c r="EH164" s="489"/>
      <c r="EI164" s="489"/>
      <c r="EJ164" s="489"/>
      <c r="EK164" s="489"/>
      <c r="EL164" s="489"/>
      <c r="EM164" s="489"/>
      <c r="EN164" s="489"/>
      <c r="EO164" s="47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395"/>
    </row>
    <row r="165" spans="113:316" ht="18.75" x14ac:dyDescent="0.3">
      <c r="DP165" s="61"/>
      <c r="DQ165" s="61"/>
      <c r="DR165" s="463"/>
      <c r="DS165" s="463"/>
      <c r="DT165" s="463"/>
      <c r="DU165" s="489"/>
      <c r="DV165" s="489"/>
      <c r="DW165" s="489"/>
      <c r="DX165" s="489"/>
      <c r="DY165" s="493"/>
      <c r="DZ165" s="489"/>
      <c r="EA165" s="493"/>
      <c r="EB165" s="493"/>
      <c r="EC165" s="493"/>
      <c r="ED165" s="493"/>
      <c r="EE165" s="493"/>
      <c r="EF165" s="489"/>
      <c r="EG165" s="489"/>
      <c r="EH165" s="489"/>
      <c r="EI165" s="489"/>
      <c r="EJ165" s="489"/>
      <c r="EK165" s="489"/>
      <c r="EL165" s="489"/>
      <c r="EM165" s="489"/>
      <c r="EN165" s="489"/>
      <c r="EO165" s="47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395"/>
    </row>
    <row r="166" spans="113:316" ht="18.75" x14ac:dyDescent="0.3">
      <c r="DP166" s="61"/>
      <c r="DQ166" s="61"/>
      <c r="DR166" s="463"/>
      <c r="DS166" s="463"/>
      <c r="DT166" s="463"/>
      <c r="DU166" s="489"/>
      <c r="DV166" s="489"/>
      <c r="DW166" s="489"/>
      <c r="DX166" s="489"/>
      <c r="DY166" s="489"/>
      <c r="DZ166" s="489"/>
      <c r="EA166" s="489"/>
      <c r="EB166" s="489"/>
      <c r="EC166" s="489"/>
      <c r="ED166" s="489"/>
      <c r="EE166" s="489"/>
      <c r="EF166" s="489"/>
      <c r="EG166" s="489"/>
      <c r="EH166" s="489"/>
      <c r="EI166" s="489"/>
      <c r="EJ166" s="489"/>
      <c r="EK166" s="489"/>
      <c r="EL166" s="489"/>
      <c r="EM166" s="489"/>
      <c r="EN166" s="489"/>
      <c r="EO166" s="47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395"/>
    </row>
    <row r="167" spans="113:316" ht="18.75" x14ac:dyDescent="0.3">
      <c r="DP167" s="61"/>
      <c r="DQ167" s="61"/>
      <c r="DR167" s="463"/>
      <c r="DS167" s="463"/>
      <c r="DT167" s="463"/>
      <c r="DU167" s="489"/>
      <c r="DV167" s="489"/>
      <c r="DW167" s="489"/>
      <c r="DX167" s="489"/>
      <c r="DY167" s="489"/>
      <c r="DZ167" s="489"/>
      <c r="EA167" s="489"/>
      <c r="EB167" s="489"/>
      <c r="EC167" s="489"/>
      <c r="ED167" s="489"/>
      <c r="EE167" s="492"/>
      <c r="EF167" s="489"/>
      <c r="EG167" s="489"/>
      <c r="EH167" s="489"/>
      <c r="EI167" s="489"/>
      <c r="EJ167" s="489"/>
      <c r="EK167" s="489"/>
      <c r="EL167" s="489"/>
      <c r="EM167" s="489"/>
      <c r="EN167" s="489"/>
      <c r="EO167" s="47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395"/>
    </row>
    <row r="168" spans="113:316" ht="18.75" x14ac:dyDescent="0.3">
      <c r="DP168" s="61"/>
      <c r="DQ168" s="61"/>
      <c r="DR168" s="463"/>
      <c r="DS168" s="463"/>
      <c r="DT168" s="463"/>
      <c r="DU168" s="493"/>
      <c r="DV168" s="493"/>
      <c r="DW168" s="493"/>
      <c r="DX168" s="493"/>
      <c r="DY168" s="493"/>
      <c r="DZ168" s="493"/>
      <c r="EA168" s="493"/>
      <c r="EB168" s="493"/>
      <c r="EC168" s="493"/>
      <c r="ED168" s="493"/>
      <c r="EE168" s="493"/>
      <c r="EF168" s="493"/>
      <c r="EG168" s="493"/>
      <c r="EH168" s="493"/>
      <c r="EI168" s="493"/>
      <c r="EJ168" s="493"/>
      <c r="EK168" s="493"/>
      <c r="EL168" s="493"/>
      <c r="EM168" s="493"/>
      <c r="EN168" s="493"/>
      <c r="EO168" s="47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395"/>
    </row>
    <row r="169" spans="113:316" ht="18.75" x14ac:dyDescent="0.3">
      <c r="DP169" s="61"/>
      <c r="DQ169" s="61"/>
      <c r="DR169" s="463"/>
      <c r="DS169" s="463"/>
      <c r="DT169" s="463"/>
      <c r="DU169" s="493"/>
      <c r="DV169" s="495"/>
      <c r="DW169" s="493"/>
      <c r="DX169" s="495"/>
      <c r="DY169" s="493"/>
      <c r="DZ169" s="493"/>
      <c r="EA169" s="493"/>
      <c r="EB169" s="493"/>
      <c r="EC169" s="493"/>
      <c r="ED169" s="493"/>
      <c r="EE169" s="495"/>
      <c r="EF169" s="495"/>
      <c r="EG169" s="493"/>
      <c r="EH169" s="493"/>
      <c r="EI169" s="493"/>
      <c r="EJ169" s="493"/>
      <c r="EK169" s="493"/>
      <c r="EL169" s="495"/>
      <c r="EM169" s="495"/>
      <c r="EN169" s="493"/>
      <c r="EO169" s="47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395"/>
    </row>
    <row r="170" spans="113:316" ht="18.75" x14ac:dyDescent="0.3">
      <c r="DI170" s="61"/>
      <c r="DJ170" s="61"/>
      <c r="DK170" s="463"/>
      <c r="DL170" s="463"/>
      <c r="DM170" s="463"/>
      <c r="DN170" s="493"/>
      <c r="DO170" s="493"/>
      <c r="DP170" s="493"/>
      <c r="DQ170" s="493"/>
      <c r="DR170" s="493"/>
      <c r="DS170" s="493"/>
      <c r="DT170" s="493"/>
      <c r="DU170" s="493"/>
      <c r="DV170" s="493"/>
      <c r="DW170" s="493"/>
      <c r="DX170" s="493"/>
      <c r="DY170" s="493"/>
      <c r="DZ170" s="493"/>
      <c r="EA170" s="493"/>
      <c r="EB170" s="493"/>
      <c r="EC170" s="493"/>
      <c r="ED170" s="493"/>
      <c r="EE170" s="493"/>
      <c r="EF170" s="493"/>
      <c r="EG170" s="493"/>
      <c r="EH170" s="489"/>
      <c r="EI170" s="493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395"/>
    </row>
    <row r="171" spans="113:316" ht="18.75" x14ac:dyDescent="0.3">
      <c r="DI171" s="61"/>
      <c r="DJ171" s="61"/>
      <c r="DK171" s="463"/>
      <c r="DL171" s="463"/>
      <c r="DM171" s="463"/>
      <c r="DN171" s="489"/>
      <c r="DO171" s="489"/>
      <c r="DP171" s="489"/>
      <c r="DQ171" s="489"/>
      <c r="DR171" s="489"/>
      <c r="DS171" s="493"/>
      <c r="DT171" s="489"/>
      <c r="DU171" s="489"/>
      <c r="DV171" s="489"/>
      <c r="DW171" s="489"/>
      <c r="DX171" s="489"/>
      <c r="DY171" s="489"/>
      <c r="DZ171" s="493"/>
      <c r="EA171" s="489"/>
      <c r="EB171" s="489"/>
      <c r="EC171" s="489"/>
      <c r="ED171" s="489"/>
      <c r="EE171" s="489"/>
      <c r="EF171" s="489"/>
      <c r="EG171" s="489"/>
      <c r="EH171" s="489"/>
      <c r="EI171" s="463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</row>
    <row r="172" spans="113:316" x14ac:dyDescent="0.25"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</row>
    <row r="173" spans="113:316" x14ac:dyDescent="0.25"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</row>
    <row r="174" spans="113:316" x14ac:dyDescent="0.25"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KW174" t="s">
        <v>736</v>
      </c>
    </row>
    <row r="175" spans="113:316" x14ac:dyDescent="0.25"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</row>
    <row r="176" spans="113:316" ht="75" x14ac:dyDescent="0.3"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KU176" s="555" t="s">
        <v>421</v>
      </c>
      <c r="KV176" s="556" t="s">
        <v>645</v>
      </c>
      <c r="KW176" s="556" t="s">
        <v>746</v>
      </c>
      <c r="KX176" s="556" t="s">
        <v>659</v>
      </c>
      <c r="KY176" s="556" t="s">
        <v>654</v>
      </c>
      <c r="KZ176" s="537" t="s">
        <v>369</v>
      </c>
      <c r="LA176" s="537" t="s">
        <v>370</v>
      </c>
      <c r="LB176" s="537" t="s">
        <v>373</v>
      </c>
      <c r="LC176" s="537" t="s">
        <v>374</v>
      </c>
      <c r="LD176" s="537" t="s">
        <v>595</v>
      </c>
    </row>
    <row r="177" spans="113:316" ht="18.75" x14ac:dyDescent="0.3"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KU177" s="537" t="s">
        <v>578</v>
      </c>
      <c r="KV177" s="557">
        <v>13</v>
      </c>
      <c r="KW177" s="537">
        <v>3.198</v>
      </c>
      <c r="KX177" s="557">
        <v>246</v>
      </c>
      <c r="KY177" s="558">
        <v>3.8916041666666699</v>
      </c>
      <c r="KZ177" s="584">
        <v>351.10463560405589</v>
      </c>
      <c r="LA177" s="584">
        <v>189.32482483284963</v>
      </c>
      <c r="LB177" s="584">
        <v>105.10463560405589</v>
      </c>
      <c r="LC177" s="584">
        <v>-56.675175167150371</v>
      </c>
      <c r="LD177" s="559" t="s">
        <v>596</v>
      </c>
    </row>
    <row r="178" spans="113:316" ht="18.75" x14ac:dyDescent="0.3"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KU178" s="590" t="s">
        <v>579</v>
      </c>
      <c r="KV178" s="557">
        <v>19</v>
      </c>
      <c r="KW178" s="537">
        <v>5.3769999999999998</v>
      </c>
      <c r="KX178" s="557">
        <v>283</v>
      </c>
      <c r="KY178" s="558">
        <v>5.6877291666666698</v>
      </c>
      <c r="KZ178" s="584">
        <v>403.9130564062919</v>
      </c>
      <c r="LA178" s="584">
        <v>217.80050986868474</v>
      </c>
      <c r="LB178" s="584">
        <v>120.9130564062919</v>
      </c>
      <c r="LC178" s="584">
        <v>-65.199490131315258</v>
      </c>
      <c r="LD178" s="560"/>
    </row>
    <row r="179" spans="113:316" ht="18.75" x14ac:dyDescent="0.3"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KU179" s="537" t="s">
        <v>664</v>
      </c>
      <c r="KV179" s="557">
        <v>13.5</v>
      </c>
      <c r="KW179" s="537">
        <v>3.7664999999999997</v>
      </c>
      <c r="KX179" s="557">
        <v>279</v>
      </c>
      <c r="KY179" s="558">
        <v>4.0412812499999999</v>
      </c>
      <c r="KZ179" s="584">
        <v>398.20403794118522</v>
      </c>
      <c r="LA179" s="584">
        <v>214.72205743237828</v>
      </c>
      <c r="LB179" s="584">
        <v>119.20403794118522</v>
      </c>
      <c r="LC179" s="584">
        <v>-64.277942567621722</v>
      </c>
      <c r="LD179" s="560"/>
    </row>
    <row r="180" spans="113:316" ht="18.75" x14ac:dyDescent="0.3"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KU180" s="537" t="s">
        <v>665</v>
      </c>
      <c r="KV180" s="557">
        <v>15.8</v>
      </c>
      <c r="KW180" s="537">
        <v>6.0198000000000009</v>
      </c>
      <c r="KX180" s="557">
        <v>381</v>
      </c>
      <c r="KY180" s="558">
        <v>4.7297958333333296</v>
      </c>
      <c r="KZ180" s="584">
        <v>543.7840088014035</v>
      </c>
      <c r="LA180" s="584">
        <v>293.22259455819398</v>
      </c>
      <c r="LB180" s="584">
        <v>162.7840088014035</v>
      </c>
      <c r="LC180" s="584">
        <v>-87.777405441806025</v>
      </c>
      <c r="LD180" s="560"/>
    </row>
    <row r="181" spans="113:316" ht="18.75" x14ac:dyDescent="0.3"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KU181" s="537" t="s">
        <v>582</v>
      </c>
      <c r="KV181" s="557">
        <v>11</v>
      </c>
      <c r="KW181" s="537">
        <v>1.617</v>
      </c>
      <c r="KX181" s="557">
        <v>147</v>
      </c>
      <c r="KY181" s="558">
        <v>3.29289583333333</v>
      </c>
      <c r="KZ181" s="584">
        <v>209.80642859266749</v>
      </c>
      <c r="LA181" s="584">
        <v>113.13312703426382</v>
      </c>
      <c r="LB181" s="584">
        <v>62.806428592667487</v>
      </c>
      <c r="LC181" s="584">
        <v>-33.866872965736178</v>
      </c>
      <c r="LD181" s="560"/>
    </row>
    <row r="182" spans="113:316" ht="18.75" x14ac:dyDescent="0.3"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KU182" s="537" t="s">
        <v>666</v>
      </c>
      <c r="KV182" s="557">
        <v>16</v>
      </c>
      <c r="KW182" s="537">
        <v>5.1680000000000001</v>
      </c>
      <c r="KX182" s="557">
        <v>323</v>
      </c>
      <c r="KY182" s="558">
        <v>4.7896666666666698</v>
      </c>
      <c r="KZ182" s="584">
        <v>461.00324105735785</v>
      </c>
      <c r="LA182" s="584">
        <v>248.58503423174975</v>
      </c>
      <c r="LB182" s="584">
        <v>138.00324105735785</v>
      </c>
      <c r="LC182" s="584">
        <v>-74.414965768250255</v>
      </c>
      <c r="LD182" s="560"/>
    </row>
    <row r="183" spans="113:316" ht="18.75" x14ac:dyDescent="0.3">
      <c r="KU183" s="537" t="s">
        <v>667</v>
      </c>
      <c r="KV183" s="557">
        <v>12</v>
      </c>
      <c r="KW183" s="537">
        <v>1.5840000000000001</v>
      </c>
      <c r="KX183" s="557">
        <v>132</v>
      </c>
      <c r="KY183" s="558">
        <v>3.5922499999999999</v>
      </c>
      <c r="KZ183" s="584">
        <v>188.39760934851779</v>
      </c>
      <c r="LA183" s="584">
        <v>101.58893039811444</v>
      </c>
      <c r="LB183" s="584">
        <v>56.39760934851779</v>
      </c>
      <c r="LC183" s="584">
        <v>-30.411069601885558</v>
      </c>
      <c r="LD183" s="560"/>
    </row>
    <row r="184" spans="113:316" ht="18.75" x14ac:dyDescent="0.3">
      <c r="KU184" s="537" t="s">
        <v>668</v>
      </c>
      <c r="KV184" s="557">
        <v>13</v>
      </c>
      <c r="KW184" s="537">
        <v>3.653</v>
      </c>
      <c r="KX184" s="557">
        <v>281</v>
      </c>
      <c r="KY184" s="558">
        <v>3.8916041666666699</v>
      </c>
      <c r="KZ184" s="584">
        <v>401.05854717373859</v>
      </c>
      <c r="LA184" s="584">
        <v>216.26128365053151</v>
      </c>
      <c r="LB184" s="584">
        <v>120.05854717373859</v>
      </c>
      <c r="LC184" s="584">
        <v>-64.73871634946849</v>
      </c>
      <c r="LD184" s="560"/>
    </row>
    <row r="185" spans="113:316" ht="18.75" x14ac:dyDescent="0.3">
      <c r="KU185" s="537" t="s">
        <v>669</v>
      </c>
      <c r="KV185" s="557">
        <v>14</v>
      </c>
      <c r="KW185" s="537">
        <v>3.15</v>
      </c>
      <c r="KX185" s="557">
        <v>225</v>
      </c>
      <c r="KY185" s="558">
        <v>4.19095833333333</v>
      </c>
      <c r="KZ185" s="584">
        <v>321.1322886622462</v>
      </c>
      <c r="LA185" s="584">
        <v>173.16294954224054</v>
      </c>
      <c r="LB185" s="584">
        <v>96.132288662246197</v>
      </c>
      <c r="LC185" s="584">
        <v>-51.83705045775946</v>
      </c>
      <c r="LD185" s="560"/>
    </row>
    <row r="186" spans="113:316" ht="18.75" x14ac:dyDescent="0.3">
      <c r="KU186" s="537" t="s">
        <v>670</v>
      </c>
      <c r="KV186" s="557">
        <v>19.8</v>
      </c>
      <c r="KW186" s="537">
        <v>6.7122000000000002</v>
      </c>
      <c r="KX186" s="557">
        <v>339</v>
      </c>
      <c r="KY186" s="558">
        <v>5.9272125000000004</v>
      </c>
      <c r="KZ186" s="584">
        <v>483.83931491778418</v>
      </c>
      <c r="LA186" s="584">
        <v>260.89884397697574</v>
      </c>
      <c r="LB186" s="584">
        <v>144.83931491778418</v>
      </c>
      <c r="LC186" s="584">
        <v>-78.101156023024259</v>
      </c>
      <c r="LD186" s="560"/>
    </row>
    <row r="187" spans="113:316" ht="18.75" x14ac:dyDescent="0.3">
      <c r="KU187" s="537" t="s">
        <v>671</v>
      </c>
      <c r="KV187" s="557">
        <v>10.1</v>
      </c>
      <c r="KW187" s="537">
        <v>4.1712999999999996</v>
      </c>
      <c r="KX187" s="557">
        <v>413</v>
      </c>
      <c r="KY187" s="558">
        <v>3.0234770833333302</v>
      </c>
      <c r="KZ187" s="584">
        <v>589.45615652225626</v>
      </c>
      <c r="LA187" s="584">
        <v>317.85021404864591</v>
      </c>
      <c r="LB187" s="584">
        <v>176.45615652225626</v>
      </c>
      <c r="LC187" s="584">
        <v>-95.14978595135409</v>
      </c>
      <c r="LD187" s="560"/>
    </row>
    <row r="188" spans="113:316" ht="18.75" x14ac:dyDescent="0.3">
      <c r="KU188" s="537" t="s">
        <v>672</v>
      </c>
      <c r="KV188" s="557">
        <v>11</v>
      </c>
      <c r="KW188" s="537">
        <v>3.9929999999999999</v>
      </c>
      <c r="KX188" s="557">
        <v>363</v>
      </c>
      <c r="KY188" s="558">
        <v>3.29289583333333</v>
      </c>
      <c r="KZ188" s="584">
        <v>518.09342570842387</v>
      </c>
      <c r="LA188" s="584">
        <v>279.36955859481475</v>
      </c>
      <c r="LB188" s="584">
        <v>155.09342570842387</v>
      </c>
      <c r="LC188" s="584">
        <v>-83.630441405185252</v>
      </c>
      <c r="LD188" s="560"/>
    </row>
    <row r="189" spans="113:316" ht="18.75" x14ac:dyDescent="0.3">
      <c r="KU189" s="537" t="s">
        <v>590</v>
      </c>
      <c r="KV189" s="557">
        <v>14.5</v>
      </c>
      <c r="KW189" s="537">
        <v>4.9155000000000006</v>
      </c>
      <c r="KX189" s="557">
        <v>339</v>
      </c>
      <c r="KY189" s="558">
        <v>4.3406354166666699</v>
      </c>
      <c r="KZ189" s="584">
        <v>483.83931491778424</v>
      </c>
      <c r="LA189" s="584">
        <v>260.89884397697574</v>
      </c>
      <c r="LB189" s="584">
        <v>144.83931491778424</v>
      </c>
      <c r="LC189" s="584">
        <v>-78.101156023024259</v>
      </c>
      <c r="LD189" s="560"/>
    </row>
    <row r="190" spans="113:316" ht="18.75" x14ac:dyDescent="0.3">
      <c r="KU190" s="537" t="s">
        <v>591</v>
      </c>
      <c r="KV190" s="557">
        <v>14</v>
      </c>
      <c r="KW190" s="537">
        <v>7.266</v>
      </c>
      <c r="KX190" s="557">
        <v>519</v>
      </c>
      <c r="KY190" s="558">
        <v>4.19095833333333</v>
      </c>
      <c r="KZ190" s="584">
        <v>740.74514584758117</v>
      </c>
      <c r="LA190" s="584">
        <v>399.42920361076818</v>
      </c>
      <c r="LB190" s="584">
        <v>221.74514584758117</v>
      </c>
      <c r="LC190" s="584">
        <v>-119.57079638923182</v>
      </c>
      <c r="LD190" s="560"/>
    </row>
    <row r="191" spans="113:316" ht="18.75" x14ac:dyDescent="0.3">
      <c r="KU191" s="537" t="s">
        <v>673</v>
      </c>
      <c r="KV191" s="557">
        <v>14</v>
      </c>
      <c r="KW191" s="537">
        <v>3.6960000000000002</v>
      </c>
      <c r="KX191" s="557">
        <v>264</v>
      </c>
      <c r="KY191" s="558">
        <v>4.19095833333333</v>
      </c>
      <c r="KZ191" s="584">
        <v>376.79521869703552</v>
      </c>
      <c r="LA191" s="584">
        <v>203.17786079622891</v>
      </c>
      <c r="LB191" s="584">
        <v>112.79521869703552</v>
      </c>
      <c r="LC191" s="584">
        <v>-60.822139203771087</v>
      </c>
      <c r="LD191" s="560"/>
    </row>
    <row r="192" spans="113:316" ht="18.75" x14ac:dyDescent="0.3">
      <c r="KU192" s="537" t="s">
        <v>674</v>
      </c>
      <c r="KV192" s="557">
        <v>14</v>
      </c>
      <c r="KW192" s="537">
        <v>4.3959999999999999</v>
      </c>
      <c r="KX192" s="557">
        <v>314</v>
      </c>
      <c r="KY192" s="558">
        <v>4.19095833333333</v>
      </c>
      <c r="KZ192" s="584">
        <v>448.15794951086798</v>
      </c>
      <c r="LA192" s="584">
        <v>241.65851625006013</v>
      </c>
      <c r="LB192" s="584">
        <v>134.15794951086798</v>
      </c>
      <c r="LC192" s="584">
        <v>-72.341483749939869</v>
      </c>
      <c r="LD192" s="560"/>
    </row>
    <row r="193" spans="307:317" ht="18.75" x14ac:dyDescent="0.3">
      <c r="KU193" s="537" t="s">
        <v>675</v>
      </c>
      <c r="KV193" s="557">
        <v>17</v>
      </c>
      <c r="KW193" s="537">
        <v>15.861000000000001</v>
      </c>
      <c r="KX193" s="557">
        <v>933</v>
      </c>
      <c r="KY193" s="558">
        <v>5.0890208333333398</v>
      </c>
      <c r="KZ193" s="584">
        <v>1331.6285569861143</v>
      </c>
      <c r="LA193" s="584">
        <v>718.04903076849064</v>
      </c>
      <c r="LB193" s="584">
        <v>398.62855698611429</v>
      </c>
      <c r="LC193" s="584">
        <v>-214.95096923150936</v>
      </c>
      <c r="LD193" s="560"/>
    </row>
    <row r="194" spans="307:317" ht="18.75" x14ac:dyDescent="0.3">
      <c r="KU194" s="553" t="s">
        <v>663</v>
      </c>
      <c r="KV194" s="589">
        <v>18.2</v>
      </c>
      <c r="KW194" s="559">
        <v>1.1648000000000001</v>
      </c>
      <c r="KX194" s="561">
        <v>64</v>
      </c>
      <c r="KY194" s="562">
        <v>5.4482458333333303</v>
      </c>
      <c r="KZ194" s="585">
        <v>91.344295441705569</v>
      </c>
      <c r="LA194" s="585">
        <v>49.255238980903975</v>
      </c>
      <c r="LB194" s="585">
        <v>27.344295441705569</v>
      </c>
      <c r="LC194" s="585">
        <v>-14.744761019096025</v>
      </c>
      <c r="LD194" s="559" t="s">
        <v>647</v>
      </c>
    </row>
    <row r="195" spans="307:317" ht="18.75" x14ac:dyDescent="0.3">
      <c r="KU195" s="613" t="s">
        <v>459</v>
      </c>
      <c r="KV195" s="588">
        <v>20.8</v>
      </c>
      <c r="KW195" s="564">
        <v>1.1232</v>
      </c>
      <c r="KX195" s="563">
        <v>54</v>
      </c>
      <c r="KY195" s="565">
        <v>6.2265666666666704</v>
      </c>
      <c r="KZ195" s="586">
        <v>77.07174927893908</v>
      </c>
      <c r="LA195" s="586">
        <v>41.559107890137724</v>
      </c>
      <c r="LB195" s="586">
        <v>23.07174927893908</v>
      </c>
      <c r="LC195" s="586">
        <v>-12.440892109862276</v>
      </c>
      <c r="LD195" s="566" t="s">
        <v>646</v>
      </c>
    </row>
    <row r="196" spans="307:317" ht="18.75" x14ac:dyDescent="0.3">
      <c r="KU196" s="614" t="s">
        <v>738</v>
      </c>
      <c r="KV196" s="561"/>
      <c r="KW196" s="559"/>
      <c r="KX196" s="561"/>
      <c r="KY196" s="615"/>
      <c r="KZ196" s="559"/>
      <c r="LA196" s="559"/>
      <c r="LB196" s="559"/>
      <c r="LC196" s="616"/>
      <c r="LD196" s="616" t="s">
        <v>789</v>
      </c>
      <c r="LE196" s="461"/>
    </row>
    <row r="197" spans="307:317" ht="18.75" x14ac:dyDescent="0.3">
      <c r="KU197" s="617" t="s">
        <v>783</v>
      </c>
      <c r="KV197" s="618">
        <v>17.550999999999998</v>
      </c>
      <c r="KW197" s="619">
        <v>5.1248919999999991</v>
      </c>
      <c r="KX197" s="620">
        <v>292</v>
      </c>
      <c r="KY197" s="621">
        <v>5.2539649791666703</v>
      </c>
      <c r="KZ197" s="622">
        <v>416.75834795278172</v>
      </c>
      <c r="LA197" s="622">
        <v>224.72702785037436</v>
      </c>
      <c r="LB197" s="622">
        <v>124.75834795278172</v>
      </c>
      <c r="LC197" s="623">
        <v>-67.272972149625645</v>
      </c>
      <c r="LD197" s="624" t="s">
        <v>790</v>
      </c>
      <c r="LE197" s="461"/>
    </row>
    <row r="198" spans="307:317" ht="18.75" x14ac:dyDescent="0.3">
      <c r="KU198" s="617" t="s">
        <v>784</v>
      </c>
      <c r="KV198" s="618">
        <v>17.550999999999998</v>
      </c>
      <c r="KW198" s="619">
        <v>4.6334639999999991</v>
      </c>
      <c r="KX198" s="620">
        <v>264</v>
      </c>
      <c r="KY198" s="621">
        <v>5.2539649791666703</v>
      </c>
      <c r="KZ198" s="622">
        <v>376.79521869703552</v>
      </c>
      <c r="LA198" s="622">
        <v>203.17786079622888</v>
      </c>
      <c r="LB198" s="622">
        <v>112.79521869703552</v>
      </c>
      <c r="LC198" s="623">
        <v>-60.822139203771115</v>
      </c>
      <c r="LD198" s="624"/>
      <c r="LE198" s="461"/>
    </row>
    <row r="199" spans="307:317" ht="18.75" x14ac:dyDescent="0.3">
      <c r="KU199" s="625" t="s">
        <v>785</v>
      </c>
      <c r="KV199" s="626">
        <v>17.550999999999998</v>
      </c>
      <c r="KW199" s="564">
        <v>4.3877499999999996</v>
      </c>
      <c r="KX199" s="563">
        <v>250</v>
      </c>
      <c r="KY199" s="565">
        <v>5.2539649791666703</v>
      </c>
      <c r="KZ199" s="627">
        <v>356.81365406916245</v>
      </c>
      <c r="LA199" s="627">
        <v>192.40327726915615</v>
      </c>
      <c r="LB199" s="627">
        <v>106.81365406916245</v>
      </c>
      <c r="LC199" s="628">
        <v>-57.596722730843851</v>
      </c>
      <c r="LD199" s="624"/>
      <c r="LE199" s="461"/>
    </row>
    <row r="200" spans="307:317" ht="18.75" x14ac:dyDescent="0.3">
      <c r="KU200" s="614" t="s">
        <v>740</v>
      </c>
      <c r="KV200" s="629"/>
      <c r="KW200" s="559"/>
      <c r="KX200" s="561"/>
      <c r="KY200" s="615"/>
      <c r="KZ200" s="630"/>
      <c r="LA200" s="630"/>
      <c r="LB200" s="630"/>
      <c r="LC200" s="631"/>
      <c r="LD200" s="624"/>
      <c r="LE200" s="461"/>
    </row>
    <row r="201" spans="307:317" ht="18.75" x14ac:dyDescent="0.3">
      <c r="KU201" s="625" t="s">
        <v>786</v>
      </c>
      <c r="KV201" s="626">
        <v>14.464506172839505</v>
      </c>
      <c r="KW201" s="632">
        <v>4.8311450617283951</v>
      </c>
      <c r="KX201" s="563">
        <v>334</v>
      </c>
      <c r="KY201" s="565">
        <v>4.33001019161523</v>
      </c>
      <c r="KZ201" s="627">
        <v>476.70304183640098</v>
      </c>
      <c r="LA201" s="627">
        <v>257.05077843159262</v>
      </c>
      <c r="LB201" s="627">
        <v>142.70304183640098</v>
      </c>
      <c r="LC201" s="628">
        <v>-76.949221568407381</v>
      </c>
      <c r="LD201" s="624"/>
      <c r="LE201" s="461"/>
    </row>
    <row r="202" spans="307:317" ht="18.75" x14ac:dyDescent="0.3">
      <c r="KU202" s="614" t="s">
        <v>742</v>
      </c>
      <c r="KV202" s="561"/>
      <c r="KW202" s="559"/>
      <c r="KX202" s="561"/>
      <c r="KY202" s="562"/>
      <c r="KZ202" s="630"/>
      <c r="LA202" s="630"/>
      <c r="LB202" s="630"/>
      <c r="LC202" s="631"/>
      <c r="LD202" s="624"/>
      <c r="LE202" s="461"/>
    </row>
    <row r="203" spans="307:317" ht="18.75" x14ac:dyDescent="0.3">
      <c r="KU203" s="617" t="s">
        <v>791</v>
      </c>
      <c r="KV203" s="620">
        <v>23</v>
      </c>
      <c r="KW203" s="560">
        <v>8.0500000000000007</v>
      </c>
      <c r="KX203" s="620">
        <v>350</v>
      </c>
      <c r="KY203" s="621">
        <v>6.8851458333333397</v>
      </c>
      <c r="KZ203" s="622">
        <v>499.53911569682742</v>
      </c>
      <c r="LA203" s="622">
        <v>269.36458817681864</v>
      </c>
      <c r="LB203" s="622">
        <v>149.53911569682742</v>
      </c>
      <c r="LC203" s="623">
        <v>-80.635411823181357</v>
      </c>
      <c r="LD203" s="624"/>
      <c r="LE203" s="461"/>
    </row>
    <row r="204" spans="307:317" ht="18.75" x14ac:dyDescent="0.3">
      <c r="KU204" s="617" t="s">
        <v>787</v>
      </c>
      <c r="KV204" s="620">
        <v>23</v>
      </c>
      <c r="KW204" s="560">
        <v>7.3599999999999994</v>
      </c>
      <c r="KX204" s="620">
        <v>320</v>
      </c>
      <c r="KY204" s="621">
        <v>6.8851458333333397</v>
      </c>
      <c r="KZ204" s="622">
        <v>456.72147720852786</v>
      </c>
      <c r="LA204" s="622">
        <v>246.27619490451985</v>
      </c>
      <c r="LB204" s="622">
        <v>136.72147720852786</v>
      </c>
      <c r="LC204" s="623">
        <v>-73.723805095480145</v>
      </c>
      <c r="LD204" s="624"/>
      <c r="LE204" s="461"/>
    </row>
    <row r="205" spans="307:317" ht="18.75" x14ac:dyDescent="0.3">
      <c r="KU205" s="625" t="s">
        <v>788</v>
      </c>
      <c r="KV205" s="563">
        <v>23</v>
      </c>
      <c r="KW205" s="564">
        <v>8.1649999999999991</v>
      </c>
      <c r="KX205" s="563">
        <v>355</v>
      </c>
      <c r="KY205" s="565">
        <v>6.8851458333333397</v>
      </c>
      <c r="KZ205" s="627">
        <v>506.67538877821062</v>
      </c>
      <c r="LA205" s="627">
        <v>273.21265372220171</v>
      </c>
      <c r="LB205" s="627">
        <v>151.67538877821062</v>
      </c>
      <c r="LC205" s="628">
        <v>-81.787346277798292</v>
      </c>
      <c r="LD205" s="566"/>
      <c r="LE205" s="461"/>
    </row>
    <row r="227" spans="319:329" ht="56.25" x14ac:dyDescent="0.3">
      <c r="LG227" s="415" t="s">
        <v>421</v>
      </c>
      <c r="LH227" s="464" t="s">
        <v>606</v>
      </c>
      <c r="LI227" s="464" t="s">
        <v>659</v>
      </c>
      <c r="LJ227" s="413" t="s">
        <v>369</v>
      </c>
      <c r="LK227" s="413" t="s">
        <v>370</v>
      </c>
      <c r="LL227" s="413" t="s">
        <v>454</v>
      </c>
      <c r="LM227" s="413" t="s">
        <v>451</v>
      </c>
      <c r="LN227" s="413" t="s">
        <v>450</v>
      </c>
      <c r="LO227" s="413" t="s">
        <v>655</v>
      </c>
      <c r="LP227" s="552" t="s">
        <v>656</v>
      </c>
      <c r="LQ227" s="587" t="s">
        <v>595</v>
      </c>
    </row>
    <row r="228" spans="319:329" ht="18.75" x14ac:dyDescent="0.3">
      <c r="LG228" s="415" t="s">
        <v>658</v>
      </c>
      <c r="LH228" s="567" t="s">
        <v>560</v>
      </c>
      <c r="LI228" s="568" t="s">
        <v>611</v>
      </c>
      <c r="LJ228" s="551">
        <v>264.04210401118019</v>
      </c>
      <c r="LK228" s="551">
        <v>142.37842517917551</v>
      </c>
      <c r="LL228" s="574"/>
      <c r="LM228" s="574"/>
      <c r="LN228" s="574"/>
      <c r="LO228" s="574"/>
      <c r="LP228" s="575"/>
      <c r="LQ228" s="553" t="s">
        <v>457</v>
      </c>
    </row>
    <row r="229" spans="319:329" ht="18.75" x14ac:dyDescent="0.3">
      <c r="LG229" s="447" t="s">
        <v>607</v>
      </c>
      <c r="LH229" s="463" t="s">
        <v>561</v>
      </c>
      <c r="LI229" s="486" t="s">
        <v>612</v>
      </c>
      <c r="LJ229" s="487">
        <v>230.50162052867893</v>
      </c>
      <c r="LK229" s="487">
        <v>124.29251711587486</v>
      </c>
      <c r="LL229" s="576">
        <v>36</v>
      </c>
      <c r="LM229" s="576">
        <v>51.381166185959401</v>
      </c>
      <c r="LN229" s="576">
        <v>27.706071926758476</v>
      </c>
      <c r="LO229" s="576">
        <v>-67.323125863645174</v>
      </c>
      <c r="LP229" s="577">
        <v>146.41036397636304</v>
      </c>
      <c r="LQ229" s="554"/>
    </row>
    <row r="230" spans="319:329" ht="18.75" x14ac:dyDescent="0.3">
      <c r="LG230" s="447" t="s">
        <v>608</v>
      </c>
      <c r="LH230" s="463" t="s">
        <v>562</v>
      </c>
      <c r="LI230" s="486" t="s">
        <v>613</v>
      </c>
      <c r="LJ230" s="487">
        <v>189.34911242603553</v>
      </c>
      <c r="LK230" s="487">
        <v>102.10200580416551</v>
      </c>
      <c r="LL230" s="576">
        <v>33</v>
      </c>
      <c r="LM230" s="576">
        <v>47.099402337129447</v>
      </c>
      <c r="LN230" s="576">
        <v>25.397232599528614</v>
      </c>
      <c r="LO230" s="576">
        <v>-47.929795453274203</v>
      </c>
      <c r="LP230" s="577">
        <v>120.42643038993226</v>
      </c>
      <c r="LQ230" s="554"/>
    </row>
    <row r="231" spans="319:329" ht="18.75" x14ac:dyDescent="0.3">
      <c r="LG231" s="447"/>
      <c r="LH231" s="463" t="s">
        <v>563</v>
      </c>
      <c r="LI231" s="569">
        <v>110</v>
      </c>
      <c r="LJ231" s="487">
        <v>156.99800779043147</v>
      </c>
      <c r="LK231" s="487">
        <v>84.657441998428695</v>
      </c>
      <c r="LL231" s="576"/>
      <c r="LM231" s="576"/>
      <c r="LN231" s="576"/>
      <c r="LO231" s="576"/>
      <c r="LP231" s="577"/>
      <c r="LQ231" s="554"/>
    </row>
    <row r="232" spans="319:329" ht="18.75" x14ac:dyDescent="0.3">
      <c r="LG232" s="415" t="s">
        <v>657</v>
      </c>
      <c r="LH232" s="567" t="s">
        <v>560</v>
      </c>
      <c r="LI232" s="551" t="s">
        <v>614</v>
      </c>
      <c r="LJ232" s="551">
        <v>173.41143587761294</v>
      </c>
      <c r="LK232" s="551">
        <v>93.507992752809869</v>
      </c>
      <c r="LL232" s="574"/>
      <c r="LM232" s="574"/>
      <c r="LN232" s="574"/>
      <c r="LO232" s="574"/>
      <c r="LP232" s="575"/>
      <c r="LQ232" s="554"/>
    </row>
    <row r="233" spans="319:329" ht="18.75" x14ac:dyDescent="0.3">
      <c r="LG233" s="447" t="s">
        <v>607</v>
      </c>
      <c r="LH233" s="463" t="s">
        <v>561</v>
      </c>
      <c r="LI233" s="487" t="s">
        <v>615</v>
      </c>
      <c r="LJ233" s="487">
        <v>373.22708215634395</v>
      </c>
      <c r="LK233" s="487">
        <v>201.25382802353732</v>
      </c>
      <c r="LL233" s="576">
        <v>62</v>
      </c>
      <c r="LM233" s="576">
        <v>88.489786209152271</v>
      </c>
      <c r="LN233" s="576">
        <v>47.716012762750694</v>
      </c>
      <c r="LO233" s="576">
        <v>-118.66728855885569</v>
      </c>
      <c r="LP233" s="577">
        <v>254.87308753075865</v>
      </c>
      <c r="LQ233" s="554"/>
    </row>
    <row r="234" spans="319:329" ht="18.75" x14ac:dyDescent="0.3">
      <c r="LG234" s="447" t="s">
        <v>608</v>
      </c>
      <c r="LH234" s="463" t="s">
        <v>562</v>
      </c>
      <c r="LI234" s="487">
        <v>253</v>
      </c>
      <c r="LJ234" s="487">
        <v>361.09541791799239</v>
      </c>
      <c r="LK234" s="487">
        <v>194.71211659638601</v>
      </c>
      <c r="LL234" s="576">
        <v>63</v>
      </c>
      <c r="LM234" s="576">
        <v>89.917040825428955</v>
      </c>
      <c r="LN234" s="576">
        <v>48.485625871827352</v>
      </c>
      <c r="LO234" s="576">
        <v>-76.466260496177426</v>
      </c>
      <c r="LP234" s="577">
        <v>214.86892719343373</v>
      </c>
      <c r="LQ234" s="554"/>
    </row>
    <row r="235" spans="319:329" ht="19.5" thickBot="1" x14ac:dyDescent="0.35">
      <c r="LG235" s="448"/>
      <c r="LH235" s="571" t="s">
        <v>563</v>
      </c>
      <c r="LI235" s="471">
        <v>190</v>
      </c>
      <c r="LJ235" s="471">
        <v>271.17837709256344</v>
      </c>
      <c r="LK235" s="471">
        <v>146.22649072455866</v>
      </c>
      <c r="LL235" s="578">
        <v>60</v>
      </c>
      <c r="LM235" s="578">
        <v>85.635276976598959</v>
      </c>
      <c r="LN235" s="578">
        <v>46.176786544597476</v>
      </c>
      <c r="LO235" s="578">
        <v>-39.316609391405819</v>
      </c>
      <c r="LP235" s="579">
        <v>171.12867291260227</v>
      </c>
      <c r="LQ235" s="572"/>
    </row>
    <row r="236" spans="319:329" ht="18.75" x14ac:dyDescent="0.3">
      <c r="LG236" s="570" t="s">
        <v>653</v>
      </c>
      <c r="LH236" s="416" t="s">
        <v>560</v>
      </c>
      <c r="LI236" s="416"/>
      <c r="LJ236" s="416"/>
      <c r="LK236" s="416"/>
      <c r="LL236" s="576"/>
      <c r="LM236" s="576"/>
      <c r="LN236" s="576"/>
      <c r="LO236" s="576"/>
      <c r="LP236" s="577"/>
      <c r="LQ236" s="554" t="s">
        <v>621</v>
      </c>
    </row>
    <row r="237" spans="319:329" ht="18.75" x14ac:dyDescent="0.3">
      <c r="LG237" s="570" t="s">
        <v>610</v>
      </c>
      <c r="LH237" s="463" t="s">
        <v>561</v>
      </c>
      <c r="LI237" s="487">
        <v>135.23333333333332</v>
      </c>
      <c r="LJ237" s="487">
        <v>193.01239927447895</v>
      </c>
      <c r="LK237" s="487">
        <v>104.07734611746218</v>
      </c>
      <c r="LL237" s="576"/>
      <c r="LM237" s="576"/>
      <c r="LN237" s="576"/>
      <c r="LO237" s="576"/>
      <c r="LP237" s="577"/>
      <c r="LQ237" s="554"/>
    </row>
    <row r="238" spans="319:329" ht="18.75" x14ac:dyDescent="0.3">
      <c r="LG238" s="447" t="s">
        <v>608</v>
      </c>
      <c r="LH238" s="463" t="s">
        <v>562</v>
      </c>
      <c r="LI238" s="487">
        <v>148.92500000000001</v>
      </c>
      <c r="LJ238" s="487">
        <v>212.55389372900004</v>
      </c>
      <c r="LK238" s="487">
        <v>114.6146322692363</v>
      </c>
      <c r="LL238" s="576"/>
      <c r="LM238" s="576"/>
      <c r="LN238" s="576"/>
      <c r="LO238" s="576"/>
      <c r="LP238" s="577"/>
      <c r="LQ238" s="554"/>
    </row>
    <row r="239" spans="319:329" ht="18.75" x14ac:dyDescent="0.3">
      <c r="LG239" s="415" t="s">
        <v>616</v>
      </c>
      <c r="LH239" s="413" t="s">
        <v>560</v>
      </c>
      <c r="LI239" s="413">
        <v>156.32499999999999</v>
      </c>
      <c r="LJ239" s="413">
        <v>223.11557788944725</v>
      </c>
      <c r="LK239" s="413">
        <v>120.30976927640332</v>
      </c>
      <c r="LL239" s="574"/>
      <c r="LM239" s="574"/>
      <c r="LN239" s="574"/>
      <c r="LO239" s="574"/>
      <c r="LP239" s="575"/>
      <c r="LQ239" s="554"/>
    </row>
    <row r="240" spans="319:329" ht="18.75" x14ac:dyDescent="0.3">
      <c r="LG240" s="447" t="s">
        <v>617</v>
      </c>
      <c r="LH240" s="416" t="s">
        <v>561</v>
      </c>
      <c r="LI240" s="416">
        <v>118.60000000000001</v>
      </c>
      <c r="LJ240" s="416">
        <v>169.27239749041067</v>
      </c>
      <c r="LK240" s="416">
        <v>91.276114736487671</v>
      </c>
      <c r="LL240" s="576">
        <v>37.725000000000001</v>
      </c>
      <c r="LM240" s="576">
        <v>53.843180399036591</v>
      </c>
      <c r="LN240" s="576">
        <v>29.033654539915656</v>
      </c>
      <c r="LO240" s="576">
        <v>-48.962628214007339</v>
      </c>
      <c r="LP240" s="577">
        <v>131.83946315295958</v>
      </c>
      <c r="LQ240" s="554"/>
    </row>
    <row r="241" spans="319:329" ht="18.75" x14ac:dyDescent="0.3">
      <c r="LG241" s="447"/>
      <c r="LH241" s="416" t="s">
        <v>562</v>
      </c>
      <c r="LI241" s="416">
        <v>102.66666666666667</v>
      </c>
      <c r="LJ241" s="416">
        <v>146.53147393773602</v>
      </c>
      <c r="LK241" s="416">
        <v>79.013612531866784</v>
      </c>
      <c r="LL241" s="576">
        <v>17.949999999999996</v>
      </c>
      <c r="LM241" s="576">
        <v>25.619220362165876</v>
      </c>
      <c r="LN241" s="576">
        <v>13.81455530792541</v>
      </c>
      <c r="LO241" s="576">
        <v>-56.585968037837276</v>
      </c>
      <c r="LP241" s="577">
        <v>96.019743707928569</v>
      </c>
      <c r="LQ241" s="554"/>
    </row>
    <row r="242" spans="319:329" ht="18.75" x14ac:dyDescent="0.3">
      <c r="LG242" s="415" t="s">
        <v>618</v>
      </c>
      <c r="LH242" s="413" t="s">
        <v>561</v>
      </c>
      <c r="LI242" s="413">
        <v>125.77500000000001</v>
      </c>
      <c r="LJ242" s="413">
        <v>179.51294936219563</v>
      </c>
      <c r="LK242" s="413">
        <v>96.798088794112445</v>
      </c>
      <c r="LL242" s="574">
        <v>36.875</v>
      </c>
      <c r="LM242" s="574">
        <v>52.63001397520145</v>
      </c>
      <c r="LN242" s="574">
        <v>28.379483397200524</v>
      </c>
      <c r="LO242" s="574">
        <v>-54.335377170882666</v>
      </c>
      <c r="LP242" s="575">
        <v>135.34487454328465</v>
      </c>
      <c r="LQ242" s="554"/>
    </row>
    <row r="243" spans="319:329" ht="19.5" thickBot="1" x14ac:dyDescent="0.35">
      <c r="LG243" s="448" t="s">
        <v>619</v>
      </c>
      <c r="LH243" s="430" t="s">
        <v>562</v>
      </c>
      <c r="LI243" s="430">
        <v>96.4</v>
      </c>
      <c r="LJ243" s="430">
        <v>137.58734500906903</v>
      </c>
      <c r="LK243" s="430">
        <v>74.190703714986597</v>
      </c>
      <c r="LL243" s="578"/>
      <c r="LM243" s="578"/>
      <c r="LN243" s="578"/>
      <c r="LO243" s="578"/>
      <c r="LP243" s="579"/>
      <c r="LQ243" s="572"/>
    </row>
    <row r="244" spans="319:329" ht="18.75" x14ac:dyDescent="0.3">
      <c r="LG244" s="573" t="s">
        <v>649</v>
      </c>
      <c r="LH244" s="416" t="s">
        <v>560</v>
      </c>
      <c r="LI244" s="416">
        <v>216.34184999999999</v>
      </c>
      <c r="LJ244" s="416">
        <v>308.7749041063305</v>
      </c>
      <c r="LK244" s="416">
        <v>166.49952380188873</v>
      </c>
      <c r="LL244" s="576"/>
      <c r="LM244" s="576"/>
      <c r="LN244" s="576"/>
      <c r="LO244" s="576"/>
      <c r="LP244" s="577"/>
      <c r="LQ244" s="554" t="s">
        <v>620</v>
      </c>
    </row>
    <row r="245" spans="319:329" ht="18.75" x14ac:dyDescent="0.3">
      <c r="LG245" s="447" t="s">
        <v>650</v>
      </c>
      <c r="LH245" s="416" t="s">
        <v>561</v>
      </c>
      <c r="LI245" s="416">
        <v>229.58587500000002</v>
      </c>
      <c r="LJ245" s="416">
        <v>327.67749992566382</v>
      </c>
      <c r="LK245" s="416">
        <v>176.69229905882727</v>
      </c>
      <c r="LL245" s="576">
        <v>73.455150000000003</v>
      </c>
      <c r="LM245" s="576">
        <v>104.83920192679378</v>
      </c>
      <c r="LN245" s="576">
        <v>56.532046369189828</v>
      </c>
      <c r="LO245" s="576">
        <v>-47.640045357137524</v>
      </c>
      <c r="LP245" s="577">
        <v>209.01129365312113</v>
      </c>
      <c r="LQ245" s="554"/>
    </row>
    <row r="246" spans="319:329" ht="18.75" x14ac:dyDescent="0.3">
      <c r="LG246" s="447" t="s">
        <v>617</v>
      </c>
      <c r="LH246" s="416" t="s">
        <v>562</v>
      </c>
      <c r="LI246" s="416">
        <v>158.40255000000002</v>
      </c>
      <c r="LJ246" s="416">
        <v>226.08077071749281</v>
      </c>
      <c r="LK246" s="416">
        <v>121.90867899116546</v>
      </c>
      <c r="LL246" s="576"/>
      <c r="LM246" s="576"/>
      <c r="LN246" s="576"/>
      <c r="LO246" s="576"/>
      <c r="LP246" s="577"/>
      <c r="LQ246" s="554"/>
    </row>
    <row r="247" spans="319:329" ht="18.75" x14ac:dyDescent="0.3">
      <c r="LG247" s="415" t="s">
        <v>623</v>
      </c>
      <c r="LH247" s="413" t="s">
        <v>560</v>
      </c>
      <c r="LI247" s="413">
        <v>286.51965730278761</v>
      </c>
      <c r="LJ247" s="413">
        <v>408.93650353940734</v>
      </c>
      <c r="LK247" s="413">
        <v>220.50928426836737</v>
      </c>
      <c r="LL247" s="574">
        <v>91.429943882787597</v>
      </c>
      <c r="LM247" s="574">
        <v>130.4938094726237</v>
      </c>
      <c r="LN247" s="574">
        <v>70.365683374333486</v>
      </c>
      <c r="LO247" s="574">
        <v>-57.933409798416278</v>
      </c>
      <c r="LP247" s="575">
        <v>258.79290264537349</v>
      </c>
      <c r="LQ247" s="554"/>
    </row>
    <row r="248" spans="319:329" ht="18.75" x14ac:dyDescent="0.3">
      <c r="LG248" s="447" t="s">
        <v>617</v>
      </c>
      <c r="LH248" s="416" t="s">
        <v>561</v>
      </c>
      <c r="LI248" s="416">
        <v>202.47359203000002</v>
      </c>
      <c r="LJ248" s="416">
        <v>288.98136889893254</v>
      </c>
      <c r="LK248" s="416">
        <v>155.82633066812036</v>
      </c>
      <c r="LL248" s="576">
        <v>64.141312819999996</v>
      </c>
      <c r="LM248" s="576">
        <v>91.545984816389648</v>
      </c>
      <c r="LN248" s="576">
        <v>49.363995179656555</v>
      </c>
      <c r="LO248" s="576">
        <v>-41.609053414422569</v>
      </c>
      <c r="LP248" s="577">
        <v>182.51903341046875</v>
      </c>
      <c r="LQ248" s="554"/>
    </row>
    <row r="249" spans="319:329" ht="18.75" x14ac:dyDescent="0.3">
      <c r="LG249" s="447"/>
      <c r="LH249" s="416" t="s">
        <v>562</v>
      </c>
      <c r="LI249" s="416">
        <v>138.33227921000002</v>
      </c>
      <c r="LJ249" s="416">
        <v>197.4353840825429</v>
      </c>
      <c r="LK249" s="416">
        <v>106.46233548846381</v>
      </c>
      <c r="LL249" s="576"/>
      <c r="LM249" s="576"/>
      <c r="LN249" s="576"/>
      <c r="LO249" s="576"/>
      <c r="LP249" s="577"/>
      <c r="LQ249" s="554"/>
    </row>
    <row r="250" spans="319:329" ht="18.75" x14ac:dyDescent="0.3">
      <c r="LG250" s="415" t="s">
        <v>624</v>
      </c>
      <c r="LH250" s="413" t="s">
        <v>560</v>
      </c>
      <c r="LI250" s="413">
        <v>279.67743206499188</v>
      </c>
      <c r="LJ250" s="413">
        <v>399.17090598315872</v>
      </c>
      <c r="LK250" s="413">
        <v>215.24341803010483</v>
      </c>
      <c r="LL250" s="574">
        <v>58.546766389991873</v>
      </c>
      <c r="LM250" s="574">
        <v>83.561142598186549</v>
      </c>
      <c r="LN250" s="574">
        <v>45.058358907784488</v>
      </c>
      <c r="LO250" s="574">
        <v>-100.36634535486738</v>
      </c>
      <c r="LP250" s="575">
        <v>228.98584686083842</v>
      </c>
      <c r="LQ250" s="554"/>
    </row>
    <row r="251" spans="319:329" ht="18.75" x14ac:dyDescent="0.3">
      <c r="LG251" s="447" t="s">
        <v>619</v>
      </c>
      <c r="LH251" s="416" t="s">
        <v>561</v>
      </c>
      <c r="LI251" s="416">
        <v>221.13066567500002</v>
      </c>
      <c r="LJ251" s="416">
        <v>315.60976338497221</v>
      </c>
      <c r="LK251" s="416">
        <v>170.18505912232035</v>
      </c>
      <c r="LL251" s="576">
        <v>89.172641964779658</v>
      </c>
      <c r="LM251" s="576">
        <v>127.27206488981665</v>
      </c>
      <c r="LN251" s="576">
        <v>68.62843422709075</v>
      </c>
      <c r="LO251" s="576">
        <v>-27.342550611203148</v>
      </c>
      <c r="LP251" s="577">
        <v>223.24304972811055</v>
      </c>
      <c r="LQ251" s="554"/>
    </row>
    <row r="252" spans="319:329" ht="18.75" x14ac:dyDescent="0.3">
      <c r="LG252" s="447"/>
      <c r="LH252" s="416" t="s">
        <v>562</v>
      </c>
      <c r="LI252" s="416">
        <v>145.93206752855366</v>
      </c>
      <c r="LJ252" s="416">
        <v>208.282217042924</v>
      </c>
      <c r="LK252" s="416">
        <v>112.31123220463009</v>
      </c>
      <c r="LL252" s="576"/>
      <c r="LM252" s="576"/>
      <c r="LN252" s="576"/>
      <c r="LO252" s="576"/>
      <c r="LP252" s="577"/>
      <c r="LQ252" s="554"/>
    </row>
    <row r="253" spans="319:329" ht="18.75" x14ac:dyDescent="0.3">
      <c r="LG253" s="415" t="s">
        <v>625</v>
      </c>
      <c r="LH253" s="413" t="s">
        <v>560</v>
      </c>
      <c r="LI253" s="413"/>
      <c r="LJ253" s="413"/>
      <c r="LK253" s="413"/>
      <c r="LL253" s="574"/>
      <c r="LM253" s="574"/>
      <c r="LN253" s="574"/>
      <c r="LO253" s="574"/>
      <c r="LP253" s="575"/>
      <c r="LQ253" s="554"/>
    </row>
    <row r="254" spans="319:329" ht="18.75" x14ac:dyDescent="0.3">
      <c r="LG254" s="447" t="s">
        <v>610</v>
      </c>
      <c r="LH254" s="416" t="s">
        <v>561</v>
      </c>
      <c r="LI254" s="416">
        <v>205.04286000000002</v>
      </c>
      <c r="LJ254" s="416">
        <v>292.64836846956678</v>
      </c>
      <c r="LK254" s="416">
        <v>157.80367297856304</v>
      </c>
      <c r="LL254" s="576">
        <v>92.530200000000008</v>
      </c>
      <c r="LM254" s="576">
        <v>132.06415509500169</v>
      </c>
      <c r="LN254" s="576">
        <v>71.212454905481891</v>
      </c>
      <c r="LO254" s="576">
        <v>-16.153969807177788</v>
      </c>
      <c r="LP254" s="577">
        <v>219.43057980766139</v>
      </c>
      <c r="LQ254" s="554"/>
    </row>
    <row r="255" spans="319:329" ht="18.75" x14ac:dyDescent="0.3">
      <c r="LG255" s="447" t="s">
        <v>626</v>
      </c>
      <c r="LH255" s="416" t="s">
        <v>562</v>
      </c>
      <c r="LI255" s="416">
        <v>132.84809999999999</v>
      </c>
      <c r="LJ255" s="416">
        <v>189.60806398858199</v>
      </c>
      <c r="LK255" s="416">
        <v>102.24163927592231</v>
      </c>
      <c r="LL255" s="576"/>
      <c r="LM255" s="576"/>
      <c r="LN255" s="576"/>
      <c r="LO255" s="576"/>
      <c r="LP255" s="577"/>
      <c r="LQ255" s="554"/>
    </row>
    <row r="256" spans="319:329" ht="18.75" x14ac:dyDescent="0.3">
      <c r="LG256" s="415" t="s">
        <v>627</v>
      </c>
      <c r="LH256" s="413" t="s">
        <v>560</v>
      </c>
      <c r="LI256" s="413">
        <v>132.84809999999999</v>
      </c>
      <c r="LJ256" s="413">
        <v>189.60806398858199</v>
      </c>
      <c r="LK256" s="413">
        <v>102.24163927592231</v>
      </c>
      <c r="LL256" s="574"/>
      <c r="LM256" s="574"/>
      <c r="LN256" s="574"/>
      <c r="LO256" s="574"/>
      <c r="LP256" s="575"/>
      <c r="LQ256" s="554"/>
    </row>
    <row r="257" spans="319:329" ht="18.75" x14ac:dyDescent="0.3">
      <c r="LG257" s="447" t="s">
        <v>628</v>
      </c>
      <c r="LH257" s="416" t="s">
        <v>561</v>
      </c>
      <c r="LI257" s="416">
        <v>178.00814999999997</v>
      </c>
      <c r="LJ257" s="416">
        <v>254.06295382236627</v>
      </c>
      <c r="LK257" s="416">
        <v>136.99740576247814</v>
      </c>
      <c r="LL257" s="576">
        <v>80.68089999999998</v>
      </c>
      <c r="LM257" s="576">
        <v>115.15218697035472</v>
      </c>
      <c r="LN257" s="576">
        <v>62.093078292100223</v>
      </c>
      <c r="LO257" s="576">
        <v>-20.213781484916055</v>
      </c>
      <c r="LP257" s="577">
        <v>197.45904674737102</v>
      </c>
      <c r="LQ257" s="554"/>
    </row>
    <row r="258" spans="319:329" ht="18.75" x14ac:dyDescent="0.3">
      <c r="LG258" s="447" t="s">
        <v>626</v>
      </c>
      <c r="LH258" s="416" t="s">
        <v>562</v>
      </c>
      <c r="LI258" s="416">
        <v>139.7876</v>
      </c>
      <c r="LJ258" s="416">
        <v>199.51249739823379</v>
      </c>
      <c r="LK258" s="416">
        <v>107.58236944635955</v>
      </c>
      <c r="LL258" s="576"/>
      <c r="LM258" s="576"/>
      <c r="LN258" s="576"/>
      <c r="LO258" s="576"/>
      <c r="LP258" s="577"/>
      <c r="LQ258" s="554"/>
    </row>
    <row r="259" spans="319:329" ht="18.75" x14ac:dyDescent="0.3">
      <c r="LG259" s="415" t="s">
        <v>631</v>
      </c>
      <c r="LH259" s="413" t="s">
        <v>560</v>
      </c>
      <c r="LI259" s="413">
        <v>132.84809999999999</v>
      </c>
      <c r="LJ259" s="413">
        <v>189.60806398858199</v>
      </c>
      <c r="LK259" s="413">
        <v>102.24163927592231</v>
      </c>
      <c r="LL259" s="574"/>
      <c r="LM259" s="574"/>
      <c r="LN259" s="574"/>
      <c r="LO259" s="574"/>
      <c r="LP259" s="575"/>
      <c r="LQ259" s="554"/>
    </row>
    <row r="260" spans="319:329" ht="18.75" x14ac:dyDescent="0.3">
      <c r="LG260" s="447" t="s">
        <v>632</v>
      </c>
      <c r="LH260" s="416" t="s">
        <v>561</v>
      </c>
      <c r="LI260" s="416">
        <v>178.00814999999997</v>
      </c>
      <c r="LJ260" s="416">
        <v>254.06295382236627</v>
      </c>
      <c r="LK260" s="416">
        <v>136.99740576247814</v>
      </c>
      <c r="LL260" s="576">
        <v>80.68089999999998</v>
      </c>
      <c r="LM260" s="576">
        <v>115.15218697035472</v>
      </c>
      <c r="LN260" s="576">
        <v>62.093078292100223</v>
      </c>
      <c r="LO260" s="576">
        <v>-20.213781484916055</v>
      </c>
      <c r="LP260" s="577">
        <v>197.45904674737102</v>
      </c>
      <c r="LQ260" s="554"/>
    </row>
    <row r="261" spans="319:329" ht="18.75" x14ac:dyDescent="0.3">
      <c r="LG261" s="447" t="s">
        <v>626</v>
      </c>
      <c r="LH261" s="416" t="s">
        <v>562</v>
      </c>
      <c r="LI261" s="416">
        <v>139.7876</v>
      </c>
      <c r="LJ261" s="416">
        <v>199.51249739823379</v>
      </c>
      <c r="LK261" s="416">
        <v>107.58236944635955</v>
      </c>
      <c r="LL261" s="576"/>
      <c r="LM261" s="576"/>
      <c r="LN261" s="576"/>
      <c r="LO261" s="576"/>
      <c r="LP261" s="577"/>
      <c r="LQ261" s="554"/>
    </row>
    <row r="262" spans="319:329" ht="18.75" x14ac:dyDescent="0.3">
      <c r="LG262" s="415" t="s">
        <v>629</v>
      </c>
      <c r="LH262" s="413" t="s">
        <v>560</v>
      </c>
      <c r="LI262" s="413">
        <v>211.3709375</v>
      </c>
      <c r="LJ262" s="413"/>
      <c r="LK262" s="413"/>
      <c r="LL262" s="574"/>
      <c r="LM262" s="574"/>
      <c r="LN262" s="574"/>
      <c r="LO262" s="574"/>
      <c r="LP262" s="575"/>
      <c r="LQ262" s="554"/>
    </row>
    <row r="263" spans="319:329" ht="18.75" x14ac:dyDescent="0.3">
      <c r="LG263" s="447" t="s">
        <v>630</v>
      </c>
      <c r="LH263" s="416" t="s">
        <v>561</v>
      </c>
      <c r="LI263" s="416">
        <v>224.10303090800002</v>
      </c>
      <c r="LJ263" s="416">
        <v>319.85208538503173</v>
      </c>
      <c r="LK263" s="416">
        <v>172.47263037060077</v>
      </c>
      <c r="LL263" s="576">
        <v>74.067570590000003</v>
      </c>
      <c r="LM263" s="576">
        <v>105.71328204097414</v>
      </c>
      <c r="LN263" s="576">
        <v>57.003373283522265</v>
      </c>
      <c r="LO263" s="576">
        <v>-40.618236588978057</v>
      </c>
      <c r="LP263" s="577">
        <v>203.33489191347445</v>
      </c>
      <c r="LQ263" s="554"/>
    </row>
    <row r="264" spans="319:329" ht="18.75" x14ac:dyDescent="0.3">
      <c r="LG264" s="447" t="s">
        <v>626</v>
      </c>
      <c r="LH264" s="416" t="s">
        <v>562</v>
      </c>
      <c r="LI264" s="416">
        <v>146.13905967199997</v>
      </c>
      <c r="LJ264" s="416">
        <v>208.57764753519078</v>
      </c>
      <c r="LK264" s="416">
        <v>112.47053607170226</v>
      </c>
      <c r="LL264" s="576"/>
      <c r="LM264" s="576"/>
      <c r="LN264" s="576"/>
      <c r="LO264" s="576"/>
      <c r="LP264" s="577"/>
      <c r="LQ264" s="554"/>
    </row>
    <row r="265" spans="319:329" ht="18.75" x14ac:dyDescent="0.3">
      <c r="LG265" s="415" t="s">
        <v>633</v>
      </c>
      <c r="LH265" s="413" t="s">
        <v>560</v>
      </c>
      <c r="LI265" s="413"/>
      <c r="LJ265" s="413"/>
      <c r="LK265" s="413"/>
      <c r="LL265" s="574"/>
      <c r="LM265" s="574"/>
      <c r="LN265" s="574"/>
      <c r="LO265" s="574"/>
      <c r="LP265" s="575"/>
      <c r="LQ265" s="554"/>
    </row>
    <row r="266" spans="319:329" ht="18.75" x14ac:dyDescent="0.3">
      <c r="LG266" s="447" t="s">
        <v>634</v>
      </c>
      <c r="LH266" s="416" t="s">
        <v>561</v>
      </c>
      <c r="LI266" s="416">
        <v>227.88581999999997</v>
      </c>
      <c r="LJ266" s="416">
        <v>325.25108857898965</v>
      </c>
      <c r="LK266" s="416">
        <v>175.38391444467601</v>
      </c>
      <c r="LL266" s="576">
        <v>114.20430000000002</v>
      </c>
      <c r="LM266" s="576">
        <v>162.99861437364336</v>
      </c>
      <c r="LN266" s="576">
        <v>87.893126392919555</v>
      </c>
      <c r="LO266" s="576">
        <v>-6.7548694978355996</v>
      </c>
      <c r="LP266" s="577">
        <v>257.64661026439853</v>
      </c>
      <c r="LQ266" s="554"/>
    </row>
    <row r="267" spans="319:329" ht="18.75" x14ac:dyDescent="0.3">
      <c r="LG267" s="447" t="s">
        <v>626</v>
      </c>
      <c r="LH267" s="416" t="s">
        <v>562</v>
      </c>
      <c r="LI267" s="416">
        <v>143.92034999999998</v>
      </c>
      <c r="LJ267" s="416">
        <v>205.41098391365114</v>
      </c>
      <c r="LK267" s="416">
        <v>110.76298802289597</v>
      </c>
      <c r="LL267" s="576"/>
      <c r="LM267" s="576"/>
      <c r="LN267" s="576"/>
      <c r="LO267" s="576"/>
      <c r="LP267" s="577"/>
      <c r="LQ267" s="554"/>
    </row>
    <row r="268" spans="319:329" ht="18.75" x14ac:dyDescent="0.3">
      <c r="LG268" s="415" t="s">
        <v>635</v>
      </c>
      <c r="LH268" s="413" t="s">
        <v>560</v>
      </c>
      <c r="LI268" s="413"/>
      <c r="LJ268" s="413"/>
      <c r="LK268" s="413"/>
      <c r="LL268" s="574"/>
      <c r="LM268" s="574"/>
      <c r="LN268" s="574"/>
      <c r="LO268" s="574"/>
      <c r="LP268" s="575"/>
      <c r="LQ268" s="554"/>
    </row>
    <row r="269" spans="319:329" ht="18.75" x14ac:dyDescent="0.3">
      <c r="LG269" s="447" t="s">
        <v>636</v>
      </c>
      <c r="LH269" s="416" t="s">
        <v>561</v>
      </c>
      <c r="LI269" s="416">
        <v>236.83206000000001</v>
      </c>
      <c r="LJ269" s="416">
        <v>338.01965091730847</v>
      </c>
      <c r="LK269" s="416">
        <v>182.26905802562169</v>
      </c>
      <c r="LL269" s="576">
        <v>104.13811400000002</v>
      </c>
      <c r="LM269" s="576">
        <v>148.63160393684399</v>
      </c>
      <c r="LN269" s="576">
        <v>80.14605768891596</v>
      </c>
      <c r="LO269" s="576">
        <v>-19.387186049018126</v>
      </c>
      <c r="LP269" s="577">
        <v>248.16484767477812</v>
      </c>
      <c r="LQ269" s="554"/>
    </row>
    <row r="270" spans="319:329" ht="19.5" thickBot="1" x14ac:dyDescent="0.35">
      <c r="LG270" s="448" t="s">
        <v>626</v>
      </c>
      <c r="LH270" s="430" t="s">
        <v>562</v>
      </c>
      <c r="LI270" s="430">
        <v>154.93029066666668</v>
      </c>
      <c r="LJ270" s="430">
        <v>221.12497255508313</v>
      </c>
      <c r="LK270" s="430">
        <v>119.23638269011848</v>
      </c>
      <c r="LL270" s="578"/>
      <c r="LM270" s="578"/>
      <c r="LN270" s="578"/>
      <c r="LO270" s="578"/>
      <c r="LP270" s="579"/>
      <c r="LQ270" s="572"/>
    </row>
    <row r="271" spans="319:329" ht="18.75" x14ac:dyDescent="0.3">
      <c r="LG271" s="607" t="s">
        <v>773</v>
      </c>
      <c r="LH271" s="416" t="s">
        <v>560</v>
      </c>
      <c r="LI271" s="487">
        <v>280</v>
      </c>
      <c r="LJ271" s="416">
        <v>399.81469477565349</v>
      </c>
      <c r="LK271" s="416">
        <v>215.5905658259712</v>
      </c>
      <c r="LL271" s="416">
        <v>52.88250000000005</v>
      </c>
      <c r="LM271" s="416">
        <v>75.47679224525001</v>
      </c>
      <c r="LN271" s="416">
        <v>40.699065240744602</v>
      </c>
      <c r="LO271" s="416">
        <v>-108.74733670443229</v>
      </c>
      <c r="LP271" s="414">
        <v>224.9231941904269</v>
      </c>
      <c r="LQ271" s="414" t="s">
        <v>747</v>
      </c>
    </row>
    <row r="272" spans="319:329" ht="18.75" x14ac:dyDescent="0.3">
      <c r="LG272" s="447" t="s">
        <v>765</v>
      </c>
      <c r="LH272" s="416" t="s">
        <v>561</v>
      </c>
      <c r="LI272" s="487" t="s">
        <v>768</v>
      </c>
      <c r="LJ272" s="416">
        <v>350.68635485117898</v>
      </c>
      <c r="LK272" s="416">
        <v>189.09927688434956</v>
      </c>
      <c r="LL272" s="416">
        <v>97.593499999999992</v>
      </c>
      <c r="LM272" s="416">
        <v>139.2907733935952</v>
      </c>
      <c r="LN272" s="416">
        <v>75.109236960669534</v>
      </c>
      <c r="LO272" s="416">
        <v>-28.366642584060529</v>
      </c>
      <c r="LP272" s="414">
        <v>242.76665293832525</v>
      </c>
      <c r="LQ272" s="414"/>
    </row>
    <row r="273" spans="319:329" ht="18.75" x14ac:dyDescent="0.3">
      <c r="LG273" s="425" t="s">
        <v>608</v>
      </c>
      <c r="LH273" s="449" t="s">
        <v>562</v>
      </c>
      <c r="LI273" s="470" t="s">
        <v>769</v>
      </c>
      <c r="LJ273" s="449">
        <v>224.56980761797155</v>
      </c>
      <c r="LK273" s="449">
        <v>121.0939280732415</v>
      </c>
      <c r="LL273" s="105"/>
      <c r="LM273" s="105"/>
      <c r="LN273" s="105"/>
      <c r="LO273" s="105"/>
      <c r="LP273" s="101"/>
      <c r="LQ273" s="414"/>
    </row>
    <row r="274" spans="319:329" ht="18.75" x14ac:dyDescent="0.3">
      <c r="LG274" s="415" t="s">
        <v>770</v>
      </c>
      <c r="LH274" s="413" t="s">
        <v>560</v>
      </c>
      <c r="LI274" s="551" t="s">
        <v>771</v>
      </c>
      <c r="LJ274" s="413">
        <v>358.57527876066729</v>
      </c>
      <c r="LK274" s="413">
        <v>193.35319148936168</v>
      </c>
      <c r="LL274" s="413">
        <v>83.715125</v>
      </c>
      <c r="LM274" s="413">
        <v>119.48279860842675</v>
      </c>
      <c r="LN274" s="413">
        <v>64.428257627988245</v>
      </c>
      <c r="LO274" s="413">
        <v>-45.739288662878863</v>
      </c>
      <c r="LP274" s="552">
        <v>229.65034489929383</v>
      </c>
      <c r="LQ274" s="414"/>
    </row>
    <row r="275" spans="319:329" ht="18.75" x14ac:dyDescent="0.3">
      <c r="LG275" s="425" t="s">
        <v>608</v>
      </c>
      <c r="LH275" s="449" t="s">
        <v>561</v>
      </c>
      <c r="LI275" s="470" t="s">
        <v>772</v>
      </c>
      <c r="LJ275" s="449">
        <v>239.09248015224054</v>
      </c>
      <c r="LK275" s="449">
        <v>128.92493386137343</v>
      </c>
      <c r="LL275" s="105"/>
      <c r="LM275" s="105"/>
      <c r="LN275" s="105"/>
      <c r="LO275" s="105"/>
      <c r="LP275" s="101"/>
      <c r="LQ275" s="609"/>
    </row>
    <row r="276" spans="319:329" ht="18.75" x14ac:dyDescent="0.3">
      <c r="LG276" s="608" t="s">
        <v>648</v>
      </c>
      <c r="LH276" s="413" t="s">
        <v>560</v>
      </c>
      <c r="LI276" s="413"/>
      <c r="LJ276" s="413"/>
      <c r="LK276" s="413"/>
      <c r="LL276" s="574"/>
      <c r="LM276" s="574"/>
      <c r="LN276" s="574"/>
      <c r="LO276" s="574"/>
      <c r="LP276" s="575"/>
      <c r="LQ276" s="414" t="s">
        <v>652</v>
      </c>
    </row>
    <row r="277" spans="319:329" ht="18.75" x14ac:dyDescent="0.3">
      <c r="LG277" s="447" t="s">
        <v>637</v>
      </c>
      <c r="LH277" s="416" t="s">
        <v>561</v>
      </c>
      <c r="LI277" s="416">
        <v>188.5</v>
      </c>
      <c r="LJ277" s="416">
        <v>269.03749516814844</v>
      </c>
      <c r="LK277" s="416">
        <v>145.0720710609437</v>
      </c>
      <c r="LL277" s="576">
        <v>20.333333333333332</v>
      </c>
      <c r="LM277" s="576">
        <v>29.020843864291844</v>
      </c>
      <c r="LN277" s="576">
        <v>15.648799884558022</v>
      </c>
      <c r="LO277" s="576">
        <v>-95.931042503712931</v>
      </c>
      <c r="LP277" s="577">
        <v>140.60068625256281</v>
      </c>
      <c r="LQ277" s="414" t="s">
        <v>651</v>
      </c>
    </row>
    <row r="278" spans="319:329" ht="18.75" x14ac:dyDescent="0.3">
      <c r="LG278" s="447" t="s">
        <v>619</v>
      </c>
      <c r="LH278" s="416" t="s">
        <v>562</v>
      </c>
      <c r="LI278" s="416">
        <v>174</v>
      </c>
      <c r="LJ278" s="416">
        <v>248.34230323213708</v>
      </c>
      <c r="LK278" s="416">
        <v>133.91268097933266</v>
      </c>
      <c r="LL278" s="576">
        <v>34.666666666666664</v>
      </c>
      <c r="LM278" s="576">
        <v>49.478160030923867</v>
      </c>
      <c r="LN278" s="576">
        <v>26.679921114656313</v>
      </c>
      <c r="LO278" s="576">
        <v>-62.101682357347094</v>
      </c>
      <c r="LP278" s="577">
        <v>138.25976350292726</v>
      </c>
      <c r="LQ278" s="414"/>
    </row>
    <row r="279" spans="319:329" ht="18.75" x14ac:dyDescent="0.3">
      <c r="LG279" s="447"/>
      <c r="LH279" s="416" t="s">
        <v>563</v>
      </c>
      <c r="LI279" s="416">
        <v>141</v>
      </c>
      <c r="LJ279" s="416">
        <v>201.24290089500761</v>
      </c>
      <c r="LK279" s="416">
        <v>108.51544837980404</v>
      </c>
      <c r="LL279" s="576">
        <v>60.333333333333336</v>
      </c>
      <c r="LM279" s="576">
        <v>86.111028515357859</v>
      </c>
      <c r="LN279" s="576">
        <v>46.433324247623005</v>
      </c>
      <c r="LO279" s="576">
        <v>-2.670574956645543</v>
      </c>
      <c r="LP279" s="577">
        <v>135.21492771962642</v>
      </c>
      <c r="LQ279" s="414"/>
    </row>
    <row r="280" spans="319:329" ht="18.75" x14ac:dyDescent="0.3">
      <c r="LG280" s="447"/>
      <c r="LH280" s="416" t="s">
        <v>564</v>
      </c>
      <c r="LI280" s="416">
        <v>74.75</v>
      </c>
      <c r="LJ280" s="416">
        <v>106.68728256667957</v>
      </c>
      <c r="LK280" s="416">
        <v>57.528579903477677</v>
      </c>
      <c r="LL280" s="576">
        <v>76</v>
      </c>
      <c r="LM280" s="576">
        <v>108.47135083702537</v>
      </c>
      <c r="LN280" s="576">
        <v>58.490596289823458</v>
      </c>
      <c r="LO280" s="576">
        <v>39.418992581022728</v>
      </c>
      <c r="LP280" s="577">
        <v>127.54295454582611</v>
      </c>
      <c r="LQ280" s="414"/>
    </row>
    <row r="281" spans="319:329" ht="18.75" x14ac:dyDescent="0.3">
      <c r="LG281" s="425"/>
      <c r="LH281" s="449" t="s">
        <v>565</v>
      </c>
      <c r="LI281" s="449">
        <v>28.5</v>
      </c>
      <c r="LJ281" s="449">
        <v>40.676756563884517</v>
      </c>
      <c r="LK281" s="449">
        <v>21.9339736086838</v>
      </c>
      <c r="LL281" s="582"/>
      <c r="LM281" s="582"/>
      <c r="LN281" s="582"/>
      <c r="LO281" s="582"/>
      <c r="LP281" s="583"/>
      <c r="LQ281" s="414"/>
    </row>
    <row r="282" spans="319:329" ht="18.75" x14ac:dyDescent="0.3">
      <c r="LG282" s="415" t="s">
        <v>639</v>
      </c>
      <c r="LH282" s="413" t="s">
        <v>560</v>
      </c>
      <c r="LI282" s="413"/>
      <c r="LJ282" s="413"/>
      <c r="LK282" s="413"/>
      <c r="LL282" s="574"/>
      <c r="LM282" s="574"/>
      <c r="LN282" s="574"/>
      <c r="LO282" s="574"/>
      <c r="LP282" s="575"/>
      <c r="LQ282" s="554"/>
    </row>
    <row r="283" spans="319:329" ht="18.75" x14ac:dyDescent="0.3">
      <c r="LG283" s="447" t="s">
        <v>617</v>
      </c>
      <c r="LH283" s="416" t="s">
        <v>561</v>
      </c>
      <c r="LI283" s="416">
        <v>185.25</v>
      </c>
      <c r="LJ283" s="416">
        <v>264.39891766524937</v>
      </c>
      <c r="LK283" s="416">
        <v>142.57082845644467</v>
      </c>
      <c r="LL283" s="576">
        <v>19</v>
      </c>
      <c r="LM283" s="576">
        <v>27.117837709256335</v>
      </c>
      <c r="LN283" s="576">
        <v>14.622649072455857</v>
      </c>
      <c r="LO283" s="576">
        <v>-96.847586397948419</v>
      </c>
      <c r="LP283" s="577">
        <v>138.58807317966063</v>
      </c>
      <c r="LQ283" s="554"/>
    </row>
    <row r="284" spans="319:329" ht="18.75" x14ac:dyDescent="0.3">
      <c r="LG284" s="447"/>
      <c r="LH284" s="416" t="s">
        <v>562</v>
      </c>
      <c r="LI284" s="416">
        <v>175.25</v>
      </c>
      <c r="LJ284" s="416">
        <v>250.12637150248284</v>
      </c>
      <c r="LK284" s="416">
        <v>134.87469736567846</v>
      </c>
      <c r="LL284" s="576">
        <v>54</v>
      </c>
      <c r="LM284" s="576">
        <v>77.07174927893908</v>
      </c>
      <c r="LN284" s="576">
        <v>41.559107890137717</v>
      </c>
      <c r="LO284" s="576">
        <v>-38.234728316798673</v>
      </c>
      <c r="LP284" s="577">
        <v>156.86558548587547</v>
      </c>
      <c r="LQ284" s="554"/>
    </row>
    <row r="285" spans="319:329" ht="18.75" x14ac:dyDescent="0.3">
      <c r="LG285" s="447"/>
      <c r="LH285" s="416" t="s">
        <v>563</v>
      </c>
      <c r="LI285" s="416">
        <v>123.25</v>
      </c>
      <c r="LJ285" s="416">
        <v>175.90913145609707</v>
      </c>
      <c r="LK285" s="416">
        <v>94.854815693693979</v>
      </c>
      <c r="LL285" s="576">
        <v>50.666666666666664</v>
      </c>
      <c r="LM285" s="576">
        <v>72.314233891350256</v>
      </c>
      <c r="LN285" s="576">
        <v>38.993730859882305</v>
      </c>
      <c r="LO285" s="576">
        <v>-7.4796023155861393</v>
      </c>
      <c r="LP285" s="577">
        <v>118.78756706681871</v>
      </c>
      <c r="LQ285" s="554"/>
    </row>
    <row r="286" spans="319:329" ht="18.75" x14ac:dyDescent="0.3">
      <c r="LG286" s="447"/>
      <c r="LH286" s="416" t="s">
        <v>564</v>
      </c>
      <c r="LI286" s="416">
        <v>65.25</v>
      </c>
      <c r="LJ286" s="416">
        <v>93.128363712051382</v>
      </c>
      <c r="LK286" s="416">
        <v>50.217255367249741</v>
      </c>
      <c r="LL286" s="576">
        <v>77</v>
      </c>
      <c r="LM286" s="576">
        <v>109.89860545330203</v>
      </c>
      <c r="LN286" s="576">
        <v>59.260209398900095</v>
      </c>
      <c r="LO286" s="576">
        <v>38.215681168499287</v>
      </c>
      <c r="LP286" s="577">
        <v>130.94313368370283</v>
      </c>
      <c r="LQ286" s="554"/>
    </row>
    <row r="287" spans="319:329" ht="18.75" x14ac:dyDescent="0.3">
      <c r="LG287" s="447"/>
      <c r="LH287" s="416" t="s">
        <v>565</v>
      </c>
      <c r="LI287" s="416">
        <v>32</v>
      </c>
      <c r="LJ287" s="416">
        <v>45.672147720852792</v>
      </c>
      <c r="LK287" s="416">
        <v>24.627619490451984</v>
      </c>
      <c r="LL287" s="576"/>
      <c r="LM287" s="576"/>
      <c r="LN287" s="576"/>
      <c r="LO287" s="576"/>
      <c r="LP287" s="577"/>
      <c r="LQ287" s="554"/>
    </row>
    <row r="288" spans="319:329" ht="18.75" x14ac:dyDescent="0.3">
      <c r="LG288" s="415" t="s">
        <v>640</v>
      </c>
      <c r="LH288" s="413" t="s">
        <v>560</v>
      </c>
      <c r="LI288" s="413"/>
      <c r="LJ288" s="413"/>
      <c r="LK288" s="413"/>
      <c r="LL288" s="574"/>
      <c r="LM288" s="574"/>
      <c r="LN288" s="574"/>
      <c r="LO288" s="574"/>
      <c r="LP288" s="575"/>
      <c r="LQ288" s="554"/>
    </row>
    <row r="289" spans="319:329" ht="18.75" x14ac:dyDescent="0.3">
      <c r="LG289" s="447" t="s">
        <v>617</v>
      </c>
      <c r="LH289" s="416" t="s">
        <v>561</v>
      </c>
      <c r="LI289" s="416">
        <v>189</v>
      </c>
      <c r="LJ289" s="416">
        <v>269.75112247628681</v>
      </c>
      <c r="LK289" s="416">
        <v>145.45687761548203</v>
      </c>
      <c r="LL289" s="576">
        <v>10</v>
      </c>
      <c r="LM289" s="576">
        <v>12.845291546489833</v>
      </c>
      <c r="LN289" s="576">
        <v>6.9265179816896136</v>
      </c>
      <c r="LO289" s="576">
        <v>-111.77777406791495</v>
      </c>
      <c r="LP289" s="577">
        <v>131.54958359609441</v>
      </c>
      <c r="LQ289" s="554"/>
    </row>
    <row r="290" spans="319:329" ht="18.75" x14ac:dyDescent="0.3">
      <c r="LG290" s="447"/>
      <c r="LH290" s="416" t="s">
        <v>562</v>
      </c>
      <c r="LI290" s="416">
        <v>181.75</v>
      </c>
      <c r="LJ290" s="416">
        <v>259.40352650828112</v>
      </c>
      <c r="LK290" s="416">
        <v>139.87718257467651</v>
      </c>
      <c r="LL290" s="576">
        <v>43.25</v>
      </c>
      <c r="LM290" s="576">
        <v>61.728762153965107</v>
      </c>
      <c r="LN290" s="576">
        <v>33.285766967564008</v>
      </c>
      <c r="LO290" s="576">
        <v>-57.797581779639486</v>
      </c>
      <c r="LP290" s="577">
        <v>152.81211090116861</v>
      </c>
      <c r="LQ290" s="554"/>
    </row>
    <row r="291" spans="319:329" ht="18.75" x14ac:dyDescent="0.3">
      <c r="LG291" s="447"/>
      <c r="LH291" s="416" t="s">
        <v>563</v>
      </c>
      <c r="LI291" s="416">
        <v>138.5</v>
      </c>
      <c r="LJ291" s="416">
        <v>197.67476435431601</v>
      </c>
      <c r="LK291" s="416">
        <v>106.59141560711249</v>
      </c>
      <c r="LL291" s="576">
        <v>58.25</v>
      </c>
      <c r="LM291" s="576">
        <v>83.137581398114847</v>
      </c>
      <c r="LN291" s="576">
        <v>44.829963603713381</v>
      </c>
      <c r="LO291" s="576">
        <v>-7.9457673490886478</v>
      </c>
      <c r="LP291" s="577">
        <v>135.91331235091687</v>
      </c>
      <c r="LQ291" s="554"/>
    </row>
    <row r="292" spans="319:329" ht="18.75" x14ac:dyDescent="0.3">
      <c r="LG292" s="447"/>
      <c r="LH292" s="416" t="s">
        <v>564</v>
      </c>
      <c r="LI292" s="416">
        <v>80.25</v>
      </c>
      <c r="LJ292" s="416">
        <v>114.53718295620115</v>
      </c>
      <c r="LK292" s="416">
        <v>61.761452003399114</v>
      </c>
      <c r="LL292" s="576">
        <v>56.5</v>
      </c>
      <c r="LM292" s="576">
        <v>80.639885819630706</v>
      </c>
      <c r="LN292" s="576">
        <v>43.483140662829278</v>
      </c>
      <c r="LO292" s="576">
        <v>28.3573859972287</v>
      </c>
      <c r="LP292" s="577">
        <v>95.765640485231287</v>
      </c>
      <c r="LQ292" s="554"/>
    </row>
    <row r="293" spans="319:329" ht="18.75" x14ac:dyDescent="0.3">
      <c r="LG293" s="447"/>
      <c r="LH293" s="416" t="s">
        <v>565</v>
      </c>
      <c r="LI293" s="416">
        <v>23</v>
      </c>
      <c r="LJ293" s="416">
        <v>32.826856174362945</v>
      </c>
      <c r="LK293" s="416">
        <v>17.701101508762363</v>
      </c>
      <c r="LL293" s="576"/>
      <c r="LM293" s="576"/>
      <c r="LN293" s="576"/>
      <c r="LO293" s="576"/>
      <c r="LP293" s="577"/>
      <c r="LQ293" s="554"/>
    </row>
    <row r="294" spans="319:329" ht="18.75" x14ac:dyDescent="0.3">
      <c r="LG294" s="415" t="s">
        <v>641</v>
      </c>
      <c r="LH294" s="413" t="s">
        <v>560</v>
      </c>
      <c r="LI294" s="413"/>
      <c r="LJ294" s="413"/>
      <c r="LK294" s="413"/>
      <c r="LL294" s="574"/>
      <c r="LM294" s="574"/>
      <c r="LN294" s="574"/>
      <c r="LO294" s="574"/>
      <c r="LP294" s="575"/>
      <c r="LQ294" s="554"/>
    </row>
    <row r="295" spans="319:329" ht="18.75" x14ac:dyDescent="0.3">
      <c r="LG295" s="447" t="s">
        <v>642</v>
      </c>
      <c r="LH295" s="416" t="s">
        <v>561</v>
      </c>
      <c r="LI295" s="416">
        <v>176</v>
      </c>
      <c r="LJ295" s="416">
        <v>251.19681246469034</v>
      </c>
      <c r="LK295" s="416">
        <v>135.45190719748592</v>
      </c>
      <c r="LL295" s="576">
        <v>35.25</v>
      </c>
      <c r="LM295" s="576">
        <v>50.310725223751902</v>
      </c>
      <c r="LN295" s="576">
        <v>27.12886209495101</v>
      </c>
      <c r="LO295" s="576">
        <v>-65.434180043452542</v>
      </c>
      <c r="LP295" s="577">
        <v>142.87376736215546</v>
      </c>
      <c r="LQ295" s="554"/>
    </row>
    <row r="296" spans="319:329" ht="18.75" x14ac:dyDescent="0.3">
      <c r="LG296" s="447" t="s">
        <v>626</v>
      </c>
      <c r="LH296" s="416" t="s">
        <v>562</v>
      </c>
      <c r="LI296" s="416">
        <v>149</v>
      </c>
      <c r="LJ296" s="416">
        <v>212.6609378252208</v>
      </c>
      <c r="LK296" s="416">
        <v>114.67235325241704</v>
      </c>
      <c r="LL296" s="576">
        <v>62.75</v>
      </c>
      <c r="LM296" s="576">
        <v>89.560227171359756</v>
      </c>
      <c r="LN296" s="576">
        <v>48.293222594558181</v>
      </c>
      <c r="LO296" s="576">
        <v>-14.182720589444216</v>
      </c>
      <c r="LP296" s="577">
        <v>152.03617035536217</v>
      </c>
      <c r="LQ296" s="554"/>
    </row>
    <row r="297" spans="319:329" ht="18.75" x14ac:dyDescent="0.3">
      <c r="LG297" s="447"/>
      <c r="LH297" s="416" t="s">
        <v>563</v>
      </c>
      <c r="LI297" s="416">
        <v>95</v>
      </c>
      <c r="LJ297" s="416">
        <v>135.58918854628172</v>
      </c>
      <c r="LK297" s="416">
        <v>73.113245362279329</v>
      </c>
      <c r="LL297" s="576">
        <v>55.25</v>
      </c>
      <c r="LM297" s="576">
        <v>78.855817549284893</v>
      </c>
      <c r="LN297" s="576">
        <v>42.521124276483512</v>
      </c>
      <c r="LO297" s="576">
        <v>16.3798743652825</v>
      </c>
      <c r="LP297" s="577">
        <v>104.99706746048591</v>
      </c>
      <c r="LQ297" s="554"/>
    </row>
    <row r="298" spans="319:329" ht="18.75" x14ac:dyDescent="0.3">
      <c r="LG298" s="447"/>
      <c r="LH298" s="416" t="s">
        <v>564</v>
      </c>
      <c r="LI298" s="416">
        <v>38.6</v>
      </c>
      <c r="LJ298" s="416">
        <v>55.092028188278675</v>
      </c>
      <c r="LK298" s="416">
        <v>29.707066010357703</v>
      </c>
      <c r="LL298" s="576"/>
      <c r="LM298" s="576"/>
      <c r="LN298" s="576"/>
      <c r="LO298" s="576"/>
      <c r="LP298" s="577"/>
      <c r="LQ298" s="554"/>
    </row>
    <row r="299" spans="319:329" ht="18.75" x14ac:dyDescent="0.3">
      <c r="LG299" s="415" t="s">
        <v>643</v>
      </c>
      <c r="LH299" s="413" t="s">
        <v>560</v>
      </c>
      <c r="LI299" s="413"/>
      <c r="LJ299" s="413"/>
      <c r="LK299" s="413"/>
      <c r="LL299" s="574"/>
      <c r="LM299" s="574"/>
      <c r="LN299" s="574"/>
      <c r="LO299" s="574"/>
      <c r="LP299" s="575"/>
      <c r="LQ299" s="554"/>
    </row>
    <row r="300" spans="319:329" ht="18.75" x14ac:dyDescent="0.3">
      <c r="LG300" s="447" t="s">
        <v>634</v>
      </c>
      <c r="LH300" s="416" t="s">
        <v>561</v>
      </c>
      <c r="LI300" s="416">
        <v>153.4</v>
      </c>
      <c r="LJ300" s="416">
        <v>218.9408581368381</v>
      </c>
      <c r="LK300" s="416">
        <v>118.05865093235418</v>
      </c>
      <c r="LL300" s="580">
        <v>49.6</v>
      </c>
      <c r="LM300" s="580">
        <v>70.791828967321834</v>
      </c>
      <c r="LN300" s="580">
        <v>38.172810210200566</v>
      </c>
      <c r="LO300" s="580">
        <v>-30.090378237162042</v>
      </c>
      <c r="LP300" s="581">
        <v>139.05501741468447</v>
      </c>
      <c r="LQ300" s="554"/>
    </row>
    <row r="301" spans="319:329" ht="18.75" x14ac:dyDescent="0.3">
      <c r="LG301" s="447" t="s">
        <v>626</v>
      </c>
      <c r="LH301" s="416" t="s">
        <v>562</v>
      </c>
      <c r="LI301" s="416">
        <v>103.8</v>
      </c>
      <c r="LJ301" s="416">
        <v>148.14902916951624</v>
      </c>
      <c r="LK301" s="416">
        <v>79.885840722153631</v>
      </c>
      <c r="LL301" s="576">
        <v>61.6</v>
      </c>
      <c r="LM301" s="576">
        <v>87.91888436264162</v>
      </c>
      <c r="LN301" s="576">
        <v>47.40816751912007</v>
      </c>
      <c r="LO301" s="576">
        <v>19.655695915279004</v>
      </c>
      <c r="LP301" s="577">
        <v>115.67135596648268</v>
      </c>
      <c r="LQ301" s="554"/>
    </row>
    <row r="302" spans="319:329" ht="18.75" x14ac:dyDescent="0.3">
      <c r="LG302" s="425"/>
      <c r="LH302" s="449" t="s">
        <v>563</v>
      </c>
      <c r="LI302" s="449">
        <v>42.2</v>
      </c>
      <c r="LJ302" s="449">
        <v>60.230144806874613</v>
      </c>
      <c r="LK302" s="449">
        <v>32.477673203033554</v>
      </c>
      <c r="LL302" s="582"/>
      <c r="LM302" s="582"/>
      <c r="LN302" s="582"/>
      <c r="LO302" s="582"/>
      <c r="LP302" s="583"/>
      <c r="LQ302" s="424"/>
    </row>
    <row r="306" spans="319:329" x14ac:dyDescent="0.25">
      <c r="LG306" s="386"/>
      <c r="LH306" s="386"/>
      <c r="LI306" s="386"/>
      <c r="LJ306" s="386"/>
      <c r="LK306" s="386"/>
      <c r="LL306" s="386"/>
      <c r="LM306" s="386"/>
      <c r="LN306" s="386"/>
      <c r="LO306" s="386"/>
      <c r="LP306" s="386"/>
      <c r="LQ306" s="386"/>
    </row>
    <row r="307" spans="319:329" x14ac:dyDescent="0.25">
      <c r="LG307" s="386"/>
      <c r="LH307" s="386"/>
      <c r="LI307" s="386"/>
      <c r="LJ307" s="386"/>
      <c r="LK307" s="386"/>
      <c r="LL307" s="386"/>
      <c r="LM307" s="386"/>
      <c r="LN307" s="386"/>
      <c r="LO307" s="386"/>
      <c r="LP307" s="386"/>
      <c r="LQ307" s="386"/>
    </row>
    <row r="308" spans="319:329" x14ac:dyDescent="0.25">
      <c r="LG308" s="386"/>
      <c r="LH308" s="386"/>
      <c r="LI308" s="386"/>
      <c r="LJ308" s="386"/>
      <c r="LK308" s="386"/>
      <c r="LL308" s="386"/>
      <c r="LM308" s="386"/>
      <c r="LN308" s="386"/>
      <c r="LO308" s="386"/>
      <c r="LP308" s="386"/>
      <c r="LQ308" s="386"/>
    </row>
    <row r="309" spans="319:329" x14ac:dyDescent="0.25">
      <c r="LG309" s="386"/>
      <c r="LH309" s="386"/>
      <c r="LI309" s="386"/>
      <c r="LJ309" s="386"/>
      <c r="LK309" s="386"/>
      <c r="LL309" s="386"/>
      <c r="LM309" s="386"/>
      <c r="LN309" s="386"/>
      <c r="LO309" s="386"/>
      <c r="LP309" s="386"/>
      <c r="LQ309" s="386"/>
    </row>
    <row r="310" spans="319:329" x14ac:dyDescent="0.25">
      <c r="LG310" s="386"/>
      <c r="LH310" s="386"/>
      <c r="LI310" s="386"/>
      <c r="LJ310" s="386"/>
      <c r="LK310" s="386"/>
      <c r="LL310" s="386"/>
      <c r="LM310" s="386"/>
      <c r="LN310" s="386"/>
      <c r="LO310" s="386"/>
      <c r="LP310" s="386"/>
      <c r="LQ310" s="386"/>
    </row>
    <row r="311" spans="319:329" x14ac:dyDescent="0.25">
      <c r="LG311" s="386"/>
      <c r="LH311" s="386"/>
      <c r="LI311" s="386"/>
      <c r="LJ311" s="386"/>
      <c r="LK311" s="386"/>
      <c r="LL311" s="386"/>
      <c r="LM311" s="386"/>
      <c r="LN311" s="386"/>
      <c r="LO311" s="386"/>
      <c r="LP311" s="386"/>
      <c r="LQ311" s="386"/>
    </row>
    <row r="312" spans="319:329" x14ac:dyDescent="0.25">
      <c r="LG312" s="386"/>
      <c r="LH312" s="386"/>
      <c r="LI312" s="386"/>
      <c r="LJ312" s="386"/>
      <c r="LK312" s="386"/>
      <c r="LL312" s="386"/>
      <c r="LM312" s="386"/>
      <c r="LN312" s="386"/>
      <c r="LO312" s="386"/>
      <c r="LP312" s="386"/>
      <c r="LQ312" s="386"/>
    </row>
    <row r="313" spans="319:329" x14ac:dyDescent="0.25">
      <c r="LG313" s="386"/>
      <c r="LH313" s="386"/>
      <c r="LI313" s="386"/>
      <c r="LJ313" s="386"/>
      <c r="LK313" s="386"/>
      <c r="LL313" s="386"/>
      <c r="LM313" s="386"/>
      <c r="LN313" s="386"/>
      <c r="LO313" s="386"/>
      <c r="LP313" s="386"/>
      <c r="LQ313" s="386"/>
    </row>
    <row r="314" spans="319:329" x14ac:dyDescent="0.25">
      <c r="LG314" s="386"/>
      <c r="LH314" s="386"/>
      <c r="LI314" s="386"/>
      <c r="LJ314" s="386"/>
      <c r="LK314" s="386"/>
      <c r="LL314" s="386"/>
      <c r="LM314" s="386"/>
      <c r="LN314" s="386"/>
      <c r="LO314" s="386"/>
      <c r="LP314" s="386"/>
      <c r="LQ314" s="386"/>
    </row>
    <row r="315" spans="319:329" x14ac:dyDescent="0.25">
      <c r="LG315" s="386"/>
      <c r="LH315" s="386"/>
      <c r="LI315" s="386"/>
      <c r="LJ315" s="386"/>
      <c r="LK315" s="386"/>
      <c r="LL315" s="386"/>
      <c r="LM315" s="386"/>
      <c r="LN315" s="386"/>
      <c r="LO315" s="386"/>
      <c r="LP315" s="386"/>
      <c r="LQ315" s="386"/>
    </row>
    <row r="316" spans="319:329" x14ac:dyDescent="0.25">
      <c r="LG316" s="386"/>
      <c r="LH316" s="386"/>
      <c r="LI316" s="386"/>
      <c r="LJ316" s="386"/>
      <c r="LK316" s="386"/>
      <c r="LL316" s="386"/>
      <c r="LM316" s="386"/>
      <c r="LN316" s="386"/>
      <c r="LO316" s="386"/>
      <c r="LP316" s="386"/>
      <c r="LQ316" s="386"/>
    </row>
    <row r="317" spans="319:329" x14ac:dyDescent="0.25">
      <c r="LG317" s="386"/>
      <c r="LH317" s="386"/>
      <c r="LI317" s="386"/>
      <c r="LJ317" s="386"/>
      <c r="LK317" s="386"/>
      <c r="LL317" s="386"/>
      <c r="LM317" s="386"/>
      <c r="LN317" s="386"/>
      <c r="LO317" s="386"/>
      <c r="LP317" s="386"/>
      <c r="LQ317" s="386"/>
    </row>
    <row r="318" spans="319:329" x14ac:dyDescent="0.25">
      <c r="LG318" s="386"/>
      <c r="LH318" s="386"/>
      <c r="LI318" s="386"/>
      <c r="LJ318" s="386"/>
      <c r="LK318" s="386"/>
      <c r="LL318" s="386"/>
      <c r="LM318" s="386"/>
      <c r="LN318" s="386"/>
      <c r="LO318" s="386"/>
      <c r="LP318" s="386"/>
      <c r="LQ318" s="386"/>
    </row>
    <row r="319" spans="319:329" x14ac:dyDescent="0.25">
      <c r="LG319" s="386"/>
      <c r="LH319" s="386"/>
      <c r="LI319" s="386"/>
      <c r="LJ319" s="386"/>
      <c r="LK319" s="386"/>
      <c r="LL319" s="386"/>
      <c r="LM319" s="386"/>
      <c r="LN319" s="386"/>
      <c r="LO319" s="386"/>
      <c r="LP319" s="386"/>
      <c r="LQ319" s="386"/>
    </row>
    <row r="320" spans="319:329" x14ac:dyDescent="0.25">
      <c r="LG320" s="386"/>
      <c r="LH320" s="386"/>
      <c r="LI320" s="386"/>
      <c r="LJ320" s="386"/>
      <c r="LK320" s="386"/>
      <c r="LL320" s="386"/>
      <c r="LM320" s="386"/>
      <c r="LN320" s="386"/>
      <c r="LO320" s="386"/>
      <c r="LP320" s="386"/>
      <c r="LQ320" s="386"/>
    </row>
    <row r="321" spans="319:329" x14ac:dyDescent="0.25">
      <c r="LG321" s="386"/>
      <c r="LH321" s="386"/>
      <c r="LI321" s="386"/>
      <c r="LJ321" s="386"/>
      <c r="LK321" s="386"/>
      <c r="LL321" s="386"/>
      <c r="LM321" s="386"/>
      <c r="LN321" s="386"/>
      <c r="LO321" s="386"/>
      <c r="LP321" s="386"/>
      <c r="LQ321" s="386"/>
    </row>
    <row r="322" spans="319:329" x14ac:dyDescent="0.25">
      <c r="LG322" s="386"/>
      <c r="LH322" s="386"/>
      <c r="LI322" s="386"/>
      <c r="LJ322" s="386"/>
      <c r="LK322" s="386"/>
      <c r="LL322" s="386"/>
      <c r="LM322" s="386"/>
      <c r="LN322" s="386"/>
      <c r="LO322" s="386"/>
      <c r="LP322" s="386"/>
      <c r="LQ322" s="386"/>
    </row>
    <row r="323" spans="319:329" x14ac:dyDescent="0.25">
      <c r="LG323" s="386"/>
      <c r="LH323" s="386"/>
      <c r="LI323" s="386"/>
      <c r="LJ323" s="386"/>
      <c r="LK323" s="386"/>
      <c r="LL323" s="386"/>
      <c r="LM323" s="386"/>
      <c r="LN323" s="386"/>
      <c r="LO323" s="386"/>
      <c r="LP323" s="386"/>
      <c r="LQ323" s="386"/>
    </row>
    <row r="324" spans="319:329" x14ac:dyDescent="0.25">
      <c r="LG324" s="386"/>
      <c r="LH324" s="386"/>
      <c r="LI324" s="386"/>
      <c r="LJ324" s="386"/>
      <c r="LK324" s="386"/>
      <c r="LL324" s="386"/>
      <c r="LM324" s="386"/>
      <c r="LN324" s="386"/>
      <c r="LO324" s="386"/>
      <c r="LP324" s="386"/>
      <c r="LQ324" s="386"/>
    </row>
    <row r="325" spans="319:329" x14ac:dyDescent="0.25">
      <c r="LG325" s="386"/>
      <c r="LH325" s="386"/>
      <c r="LI325" s="386"/>
      <c r="LJ325" s="386"/>
      <c r="LK325" s="386"/>
      <c r="LL325" s="386"/>
      <c r="LM325" s="386"/>
      <c r="LN325" s="386"/>
      <c r="LO325" s="386"/>
      <c r="LP325" s="386"/>
      <c r="LQ325" s="386"/>
    </row>
    <row r="326" spans="319:329" x14ac:dyDescent="0.25">
      <c r="LG326" s="386"/>
      <c r="LH326" s="386"/>
      <c r="LI326" s="386"/>
      <c r="LJ326" s="386"/>
      <c r="LK326" s="386"/>
      <c r="LL326" s="386"/>
      <c r="LM326" s="386"/>
      <c r="LN326" s="386"/>
      <c r="LO326" s="386"/>
      <c r="LP326" s="386"/>
      <c r="LQ326" s="386"/>
    </row>
    <row r="327" spans="319:329" x14ac:dyDescent="0.25">
      <c r="LG327" s="386"/>
      <c r="LH327" s="386"/>
      <c r="LI327" s="386"/>
      <c r="LJ327" s="386"/>
      <c r="LK327" s="386"/>
      <c r="LL327" s="386"/>
      <c r="LM327" s="386"/>
      <c r="LN327" s="386"/>
      <c r="LO327" s="386"/>
      <c r="LP327" s="386"/>
      <c r="LQ327" s="386"/>
    </row>
    <row r="328" spans="319:329" x14ac:dyDescent="0.25">
      <c r="LG328" s="386"/>
      <c r="LH328" s="386"/>
      <c r="LI328" s="386"/>
      <c r="LJ328" s="386"/>
      <c r="LK328" s="386"/>
      <c r="LL328" s="386"/>
      <c r="LM328" s="386"/>
      <c r="LN328" s="386"/>
      <c r="LO328" s="386"/>
      <c r="LP328" s="386"/>
      <c r="LQ328" s="386"/>
    </row>
    <row r="329" spans="319:329" x14ac:dyDescent="0.25">
      <c r="LG329" s="386"/>
      <c r="LH329" s="386"/>
      <c r="LI329" s="386"/>
      <c r="LJ329" s="386"/>
      <c r="LK329" s="386"/>
      <c r="LL329" s="386"/>
      <c r="LM329" s="386"/>
      <c r="LN329" s="386"/>
      <c r="LO329" s="386"/>
      <c r="LP329" s="386"/>
      <c r="LQ329" s="386"/>
    </row>
    <row r="330" spans="319:329" x14ac:dyDescent="0.25">
      <c r="LG330" s="386"/>
      <c r="LH330" s="386"/>
      <c r="LI330" s="386"/>
      <c r="LJ330" s="386"/>
      <c r="LK330" s="386"/>
      <c r="LL330" s="386"/>
      <c r="LM330" s="386"/>
      <c r="LN330" s="386"/>
      <c r="LO330" s="386"/>
      <c r="LP330" s="386"/>
      <c r="LQ330" s="386"/>
    </row>
    <row r="331" spans="319:329" x14ac:dyDescent="0.25">
      <c r="LG331" s="386"/>
      <c r="LH331" s="386"/>
      <c r="LI331" s="386"/>
      <c r="LJ331" s="386"/>
      <c r="LK331" s="386"/>
      <c r="LL331" s="386"/>
      <c r="LM331" s="386"/>
      <c r="LN331" s="386"/>
      <c r="LO331" s="386"/>
      <c r="LP331" s="386"/>
      <c r="LQ331" s="386"/>
    </row>
    <row r="332" spans="319:329" x14ac:dyDescent="0.25">
      <c r="LG332" s="386"/>
      <c r="LH332" s="386"/>
      <c r="LI332" s="386"/>
      <c r="LJ332" s="386"/>
      <c r="LK332" s="386"/>
      <c r="LL332" s="386"/>
      <c r="LM332" s="386"/>
      <c r="LN332" s="386"/>
      <c r="LO332" s="386"/>
      <c r="LP332" s="386"/>
      <c r="LQ332" s="386"/>
    </row>
    <row r="333" spans="319:329" x14ac:dyDescent="0.25">
      <c r="LG333" s="386"/>
      <c r="LH333" s="386"/>
      <c r="LI333" s="386"/>
      <c r="LJ333" s="386"/>
      <c r="LK333" s="386"/>
      <c r="LL333" s="386"/>
      <c r="LM333" s="386"/>
      <c r="LN333" s="386"/>
      <c r="LO333" s="386"/>
      <c r="LP333" s="386"/>
      <c r="LQ333" s="386"/>
    </row>
    <row r="334" spans="319:329" x14ac:dyDescent="0.25">
      <c r="LG334" s="386"/>
      <c r="LH334" s="386"/>
      <c r="LI334" s="386"/>
      <c r="LJ334" s="386"/>
      <c r="LK334" s="386"/>
      <c r="LL334" s="386"/>
      <c r="LM334" s="386"/>
      <c r="LN334" s="386"/>
      <c r="LO334" s="386"/>
      <c r="LP334" s="386"/>
      <c r="LQ334" s="386"/>
    </row>
    <row r="335" spans="319:329" x14ac:dyDescent="0.25">
      <c r="LG335" s="386"/>
      <c r="LH335" s="386"/>
      <c r="LI335" s="386"/>
      <c r="LJ335" s="386"/>
      <c r="LK335" s="386"/>
      <c r="LL335" s="386"/>
      <c r="LM335" s="386"/>
      <c r="LN335" s="386"/>
      <c r="LO335" s="386"/>
      <c r="LP335" s="386"/>
      <c r="LQ335" s="386"/>
    </row>
    <row r="336" spans="319:329" x14ac:dyDescent="0.25">
      <c r="LG336" s="386"/>
      <c r="LH336" s="386"/>
      <c r="LI336" s="386"/>
      <c r="LJ336" s="386"/>
      <c r="LK336" s="386"/>
      <c r="LL336" s="386"/>
      <c r="LM336" s="386"/>
      <c r="LN336" s="386"/>
      <c r="LO336" s="386"/>
      <c r="LP336" s="386"/>
      <c r="LQ336" s="386"/>
    </row>
    <row r="337" spans="319:329" x14ac:dyDescent="0.25">
      <c r="LG337" s="386"/>
      <c r="LH337" s="386"/>
      <c r="LI337" s="386"/>
      <c r="LJ337" s="386"/>
      <c r="LK337" s="386"/>
      <c r="LL337" s="386"/>
      <c r="LM337" s="386"/>
      <c r="LN337" s="386"/>
      <c r="LO337" s="386"/>
      <c r="LP337" s="386"/>
      <c r="LQ337" s="386"/>
    </row>
    <row r="338" spans="319:329" x14ac:dyDescent="0.25">
      <c r="LG338" s="386"/>
      <c r="LH338" s="386"/>
      <c r="LI338" s="386"/>
      <c r="LJ338" s="386"/>
      <c r="LK338" s="386"/>
      <c r="LL338" s="386"/>
      <c r="LM338" s="386"/>
      <c r="LN338" s="386"/>
      <c r="LO338" s="386"/>
      <c r="LP338" s="386"/>
      <c r="LQ338" s="386"/>
    </row>
    <row r="339" spans="319:329" x14ac:dyDescent="0.25">
      <c r="LG339" s="386"/>
      <c r="LH339" s="386"/>
      <c r="LI339" s="386"/>
      <c r="LJ339" s="386"/>
      <c r="LK339" s="386"/>
      <c r="LL339" s="386"/>
      <c r="LM339" s="386"/>
      <c r="LN339" s="386"/>
      <c r="LO339" s="386"/>
      <c r="LP339" s="386"/>
      <c r="LQ339" s="386"/>
    </row>
    <row r="340" spans="319:329" x14ac:dyDescent="0.25">
      <c r="LG340" s="386"/>
      <c r="LH340" s="386"/>
      <c r="LI340" s="386"/>
      <c r="LJ340" s="386"/>
      <c r="LK340" s="386"/>
      <c r="LL340" s="386"/>
      <c r="LM340" s="386"/>
      <c r="LN340" s="386"/>
      <c r="LO340" s="386"/>
      <c r="LP340" s="386"/>
      <c r="LQ340" s="386"/>
    </row>
    <row r="341" spans="319:329" x14ac:dyDescent="0.25">
      <c r="LG341" s="386"/>
      <c r="LH341" s="386"/>
      <c r="LI341" s="386"/>
      <c r="LJ341" s="386"/>
      <c r="LK341" s="386"/>
      <c r="LL341" s="386"/>
      <c r="LM341" s="386"/>
      <c r="LN341" s="386"/>
      <c r="LO341" s="386"/>
      <c r="LP341" s="386"/>
      <c r="LQ341" s="386"/>
    </row>
    <row r="342" spans="319:329" x14ac:dyDescent="0.25">
      <c r="LG342" s="386"/>
      <c r="LH342" s="386"/>
      <c r="LI342" s="386"/>
      <c r="LJ342" s="386"/>
      <c r="LK342" s="386"/>
      <c r="LL342" s="386"/>
      <c r="LM342" s="386"/>
      <c r="LN342" s="386"/>
      <c r="LO342" s="386"/>
      <c r="LP342" s="386"/>
      <c r="LQ342" s="386"/>
    </row>
    <row r="343" spans="319:329" x14ac:dyDescent="0.25">
      <c r="LG343" s="386"/>
      <c r="LH343" s="386"/>
      <c r="LI343" s="386"/>
      <c r="LJ343" s="386"/>
      <c r="LK343" s="386"/>
      <c r="LL343" s="386"/>
      <c r="LM343" s="386"/>
      <c r="LN343" s="386"/>
      <c r="LO343" s="386"/>
      <c r="LP343" s="386"/>
      <c r="LQ343" s="386"/>
    </row>
    <row r="344" spans="319:329" x14ac:dyDescent="0.25">
      <c r="LG344" s="386"/>
      <c r="LH344" s="386"/>
      <c r="LI344" s="386"/>
      <c r="LJ344" s="386"/>
      <c r="LK344" s="386"/>
      <c r="LL344" s="386"/>
      <c r="LM344" s="386"/>
      <c r="LN344" s="386"/>
      <c r="LO344" s="386"/>
      <c r="LP344" s="386"/>
      <c r="LQ344" s="386"/>
    </row>
    <row r="345" spans="319:329" x14ac:dyDescent="0.25">
      <c r="LG345" s="386"/>
      <c r="LH345" s="386"/>
      <c r="LI345" s="386"/>
      <c r="LJ345" s="386"/>
      <c r="LK345" s="386"/>
      <c r="LL345" s="386"/>
      <c r="LM345" s="386"/>
      <c r="LN345" s="386"/>
      <c r="LO345" s="386"/>
      <c r="LP345" s="386"/>
      <c r="LQ345" s="386"/>
    </row>
    <row r="346" spans="319:329" x14ac:dyDescent="0.25">
      <c r="LG346" s="386"/>
      <c r="LH346" s="386"/>
      <c r="LI346" s="386"/>
      <c r="LJ346" s="386"/>
      <c r="LK346" s="386"/>
      <c r="LL346" s="386"/>
      <c r="LM346" s="386"/>
      <c r="LN346" s="386"/>
      <c r="LO346" s="386"/>
      <c r="LP346" s="386"/>
      <c r="LQ346" s="386"/>
    </row>
    <row r="347" spans="319:329" x14ac:dyDescent="0.25">
      <c r="LG347" s="386"/>
      <c r="LH347" s="386"/>
      <c r="LI347" s="386"/>
      <c r="LJ347" s="386"/>
      <c r="LK347" s="386"/>
      <c r="LL347" s="386"/>
      <c r="LM347" s="386"/>
      <c r="LN347" s="386"/>
      <c r="LO347" s="386"/>
      <c r="LP347" s="386"/>
      <c r="LQ347" s="386"/>
    </row>
    <row r="348" spans="319:329" x14ac:dyDescent="0.25">
      <c r="LG348" s="386"/>
      <c r="LH348" s="386"/>
      <c r="LI348" s="386"/>
      <c r="LJ348" s="386"/>
      <c r="LK348" s="386"/>
      <c r="LL348" s="386"/>
      <c r="LM348" s="386"/>
      <c r="LN348" s="386"/>
      <c r="LO348" s="386"/>
      <c r="LP348" s="386"/>
      <c r="LQ348" s="386"/>
    </row>
    <row r="349" spans="319:329" x14ac:dyDescent="0.25">
      <c r="LG349" s="386"/>
      <c r="LH349" s="386"/>
      <c r="LI349" s="386"/>
      <c r="LJ349" s="386"/>
      <c r="LK349" s="386"/>
      <c r="LL349" s="386"/>
      <c r="LM349" s="386"/>
      <c r="LN349" s="386"/>
      <c r="LO349" s="386"/>
      <c r="LP349" s="386"/>
      <c r="LQ349" s="386"/>
    </row>
    <row r="350" spans="319:329" x14ac:dyDescent="0.25">
      <c r="LG350" s="386"/>
      <c r="LH350" s="386"/>
      <c r="LI350" s="386"/>
      <c r="LJ350" s="386"/>
      <c r="LK350" s="386"/>
      <c r="LL350" s="386"/>
      <c r="LM350" s="386"/>
      <c r="LN350" s="386"/>
      <c r="LO350" s="386"/>
      <c r="LP350" s="386"/>
      <c r="LQ350" s="386"/>
    </row>
    <row r="351" spans="319:329" x14ac:dyDescent="0.25">
      <c r="LG351" s="386"/>
      <c r="LH351" s="386"/>
      <c r="LI351" s="386"/>
      <c r="LJ351" s="386"/>
      <c r="LK351" s="386"/>
      <c r="LL351" s="386"/>
      <c r="LM351" s="386"/>
      <c r="LN351" s="386"/>
      <c r="LO351" s="386"/>
      <c r="LP351" s="386"/>
      <c r="LQ351" s="386"/>
    </row>
    <row r="352" spans="319:329" x14ac:dyDescent="0.25">
      <c r="LG352" s="386"/>
      <c r="LH352" s="386"/>
      <c r="LI352" s="386"/>
      <c r="LJ352" s="386"/>
      <c r="LK352" s="386"/>
      <c r="LL352" s="386"/>
      <c r="LM352" s="386"/>
      <c r="LN352" s="386"/>
      <c r="LO352" s="386"/>
      <c r="LP352" s="386"/>
      <c r="LQ352" s="386"/>
    </row>
    <row r="353" spans="319:329" x14ac:dyDescent="0.25">
      <c r="LG353" s="386"/>
      <c r="LH353" s="386"/>
      <c r="LI353" s="386"/>
      <c r="LJ353" s="386"/>
      <c r="LK353" s="386"/>
      <c r="LL353" s="386"/>
      <c r="LM353" s="386"/>
      <c r="LN353" s="386"/>
      <c r="LO353" s="386"/>
      <c r="LP353" s="386"/>
      <c r="LQ353" s="386"/>
    </row>
    <row r="354" spans="319:329" x14ac:dyDescent="0.25">
      <c r="LG354" s="386"/>
      <c r="LH354" s="386"/>
      <c r="LI354" s="386"/>
      <c r="LJ354" s="386"/>
      <c r="LK354" s="386"/>
      <c r="LL354" s="386"/>
      <c r="LM354" s="386"/>
      <c r="LN354" s="386"/>
      <c r="LO354" s="386"/>
      <c r="LP354" s="386"/>
      <c r="LQ354" s="386"/>
    </row>
    <row r="355" spans="319:329" x14ac:dyDescent="0.25">
      <c r="LG355" s="386"/>
      <c r="LH355" s="386"/>
      <c r="LI355" s="386"/>
      <c r="LJ355" s="386"/>
      <c r="LK355" s="386"/>
      <c r="LL355" s="386"/>
      <c r="LM355" s="386"/>
      <c r="LN355" s="386"/>
      <c r="LO355" s="386"/>
      <c r="LP355" s="386"/>
      <c r="LQ355" s="386"/>
    </row>
    <row r="356" spans="319:329" x14ac:dyDescent="0.25">
      <c r="LG356" s="386"/>
      <c r="LH356" s="386"/>
      <c r="LI356" s="386"/>
      <c r="LJ356" s="386"/>
      <c r="LK356" s="386"/>
      <c r="LL356" s="386"/>
      <c r="LM356" s="386"/>
      <c r="LN356" s="386"/>
      <c r="LO356" s="386"/>
      <c r="LP356" s="386"/>
      <c r="LQ356" s="386"/>
    </row>
    <row r="357" spans="319:329" x14ac:dyDescent="0.25">
      <c r="LG357" s="386"/>
      <c r="LH357" s="386"/>
      <c r="LI357" s="386"/>
      <c r="LJ357" s="386"/>
      <c r="LK357" s="386"/>
      <c r="LL357" s="386"/>
      <c r="LM357" s="386"/>
      <c r="LN357" s="386"/>
      <c r="LO357" s="386"/>
      <c r="LP357" s="386"/>
      <c r="LQ357" s="386"/>
    </row>
    <row r="358" spans="319:329" x14ac:dyDescent="0.25">
      <c r="LG358" s="386"/>
      <c r="LH358" s="386"/>
      <c r="LI358" s="386"/>
      <c r="LJ358" s="386"/>
      <c r="LK358" s="386"/>
      <c r="LL358" s="386"/>
      <c r="LM358" s="386"/>
      <c r="LN358" s="386"/>
      <c r="LO358" s="386"/>
      <c r="LP358" s="386"/>
      <c r="LQ358" s="386"/>
    </row>
    <row r="359" spans="319:329" x14ac:dyDescent="0.25">
      <c r="LG359" s="386"/>
      <c r="LH359" s="386"/>
      <c r="LI359" s="386"/>
      <c r="LJ359" s="386"/>
      <c r="LK359" s="386"/>
      <c r="LL359" s="386"/>
      <c r="LM359" s="386"/>
      <c r="LN359" s="386"/>
      <c r="LO359" s="386"/>
      <c r="LP359" s="386"/>
      <c r="LQ359" s="386"/>
    </row>
    <row r="360" spans="319:329" x14ac:dyDescent="0.25">
      <c r="LG360" s="386"/>
      <c r="LH360" s="386"/>
      <c r="LI360" s="386"/>
      <c r="LJ360" s="386"/>
      <c r="LK360" s="386"/>
      <c r="LL360" s="386"/>
      <c r="LM360" s="386"/>
      <c r="LN360" s="386"/>
      <c r="LO360" s="386"/>
      <c r="LP360" s="386"/>
      <c r="LQ360" s="386"/>
    </row>
    <row r="361" spans="319:329" x14ac:dyDescent="0.25">
      <c r="LG361" s="386"/>
      <c r="LH361" s="386"/>
      <c r="LI361" s="386"/>
      <c r="LJ361" s="386"/>
      <c r="LK361" s="386"/>
      <c r="LL361" s="386"/>
      <c r="LM361" s="386"/>
      <c r="LN361" s="386"/>
      <c r="LO361" s="386"/>
      <c r="LP361" s="386"/>
      <c r="LQ361" s="386"/>
    </row>
    <row r="362" spans="319:329" x14ac:dyDescent="0.25">
      <c r="LG362" s="386"/>
      <c r="LH362" s="386"/>
      <c r="LI362" s="386"/>
      <c r="LJ362" s="386"/>
      <c r="LK362" s="386"/>
      <c r="LL362" s="386"/>
      <c r="LM362" s="386"/>
      <c r="LN362" s="386"/>
      <c r="LO362" s="386"/>
      <c r="LP362" s="386"/>
      <c r="LQ362" s="386"/>
    </row>
    <row r="363" spans="319:329" x14ac:dyDescent="0.25">
      <c r="LG363" s="386"/>
      <c r="LH363" s="386"/>
      <c r="LI363" s="386"/>
      <c r="LJ363" s="386"/>
      <c r="LK363" s="386"/>
      <c r="LL363" s="386"/>
      <c r="LM363" s="386"/>
      <c r="LN363" s="386"/>
      <c r="LO363" s="386"/>
      <c r="LP363" s="386"/>
      <c r="LQ363" s="386"/>
    </row>
    <row r="364" spans="319:329" x14ac:dyDescent="0.25">
      <c r="LG364" s="386"/>
      <c r="LH364" s="386"/>
      <c r="LI364" s="386"/>
      <c r="LJ364" s="386"/>
      <c r="LK364" s="386"/>
      <c r="LL364" s="386"/>
      <c r="LM364" s="386"/>
      <c r="LN364" s="386"/>
      <c r="LO364" s="386"/>
      <c r="LP364" s="386"/>
      <c r="LQ364" s="386"/>
    </row>
    <row r="365" spans="319:329" x14ac:dyDescent="0.25">
      <c r="LG365" s="386"/>
      <c r="LH365" s="386"/>
      <c r="LI365" s="386"/>
      <c r="LJ365" s="386"/>
      <c r="LK365" s="386"/>
      <c r="LL365" s="386"/>
      <c r="LM365" s="386"/>
      <c r="LN365" s="386"/>
      <c r="LO365" s="386"/>
      <c r="LP365" s="386"/>
      <c r="LQ365" s="386"/>
    </row>
    <row r="366" spans="319:329" x14ac:dyDescent="0.25">
      <c r="LG366" s="386"/>
      <c r="LH366" s="386"/>
      <c r="LI366" s="386"/>
      <c r="LJ366" s="386"/>
      <c r="LK366" s="386"/>
      <c r="LL366" s="386"/>
      <c r="LM366" s="386"/>
      <c r="LN366" s="386"/>
      <c r="LO366" s="386"/>
      <c r="LP366" s="386"/>
      <c r="LQ366" s="386"/>
    </row>
    <row r="367" spans="319:329" x14ac:dyDescent="0.25">
      <c r="LG367" s="386"/>
      <c r="LH367" s="386"/>
      <c r="LI367" s="386"/>
      <c r="LJ367" s="386"/>
      <c r="LK367" s="386"/>
      <c r="LL367" s="386"/>
      <c r="LM367" s="386"/>
      <c r="LN367" s="386"/>
      <c r="LO367" s="386"/>
      <c r="LP367" s="386"/>
      <c r="LQ367" s="386"/>
    </row>
    <row r="368" spans="319:329" x14ac:dyDescent="0.25">
      <c r="LG368" s="386"/>
      <c r="LH368" s="386"/>
      <c r="LI368" s="386"/>
      <c r="LJ368" s="386"/>
      <c r="LK368" s="386"/>
      <c r="LL368" s="386"/>
      <c r="LM368" s="386"/>
      <c r="LN368" s="386"/>
      <c r="LO368" s="386"/>
      <c r="LP368" s="386"/>
      <c r="LQ368" s="386"/>
    </row>
    <row r="369" spans="319:329" x14ac:dyDescent="0.25">
      <c r="LG369" s="386"/>
      <c r="LH369" s="386"/>
      <c r="LI369" s="386"/>
      <c r="LJ369" s="386"/>
      <c r="LK369" s="386"/>
      <c r="LL369" s="386"/>
      <c r="LM369" s="386"/>
      <c r="LN369" s="386"/>
      <c r="LO369" s="386"/>
      <c r="LP369" s="386"/>
      <c r="LQ369" s="386"/>
    </row>
    <row r="370" spans="319:329" x14ac:dyDescent="0.25">
      <c r="LG370" s="386"/>
      <c r="LH370" s="386"/>
      <c r="LI370" s="386"/>
      <c r="LJ370" s="386"/>
      <c r="LK370" s="386"/>
      <c r="LL370" s="386"/>
      <c r="LM370" s="386"/>
      <c r="LN370" s="386"/>
      <c r="LO370" s="386"/>
      <c r="LP370" s="386"/>
      <c r="LQ370" s="386"/>
    </row>
    <row r="371" spans="319:329" x14ac:dyDescent="0.25">
      <c r="LG371" s="386"/>
      <c r="LH371" s="386"/>
      <c r="LI371" s="386"/>
      <c r="LJ371" s="386"/>
      <c r="LK371" s="386"/>
      <c r="LL371" s="386"/>
      <c r="LM371" s="386"/>
      <c r="LN371" s="386"/>
      <c r="LO371" s="386"/>
      <c r="LP371" s="386"/>
      <c r="LQ371" s="386"/>
    </row>
    <row r="372" spans="319:329" x14ac:dyDescent="0.25">
      <c r="LG372" s="386"/>
      <c r="LH372" s="386"/>
      <c r="LI372" s="386"/>
      <c r="LJ372" s="386"/>
      <c r="LK372" s="386"/>
      <c r="LL372" s="386"/>
      <c r="LM372" s="386"/>
      <c r="LN372" s="386"/>
      <c r="LO372" s="386"/>
      <c r="LP372" s="386"/>
      <c r="LQ372" s="386"/>
    </row>
    <row r="373" spans="319:329" x14ac:dyDescent="0.25">
      <c r="LG373" s="386"/>
      <c r="LH373" s="386"/>
      <c r="LI373" s="386"/>
      <c r="LJ373" s="386"/>
      <c r="LK373" s="386"/>
      <c r="LL373" s="386"/>
      <c r="LM373" s="386"/>
      <c r="LN373" s="386"/>
      <c r="LO373" s="386"/>
      <c r="LP373" s="386"/>
      <c r="LQ373" s="386"/>
    </row>
    <row r="374" spans="319:329" x14ac:dyDescent="0.25">
      <c r="LG374" s="386"/>
      <c r="LH374" s="386"/>
      <c r="LI374" s="386"/>
      <c r="LJ374" s="386"/>
      <c r="LK374" s="386"/>
      <c r="LL374" s="386"/>
      <c r="LM374" s="386"/>
      <c r="LN374" s="386"/>
      <c r="LO374" s="386"/>
      <c r="LP374" s="386"/>
      <c r="LQ374" s="386"/>
    </row>
    <row r="375" spans="319:329" x14ac:dyDescent="0.25">
      <c r="LG375" s="386"/>
      <c r="LH375" s="386"/>
      <c r="LI375" s="386"/>
      <c r="LJ375" s="386"/>
      <c r="LK375" s="386"/>
      <c r="LL375" s="386"/>
      <c r="LM375" s="386"/>
      <c r="LN375" s="386"/>
      <c r="LO375" s="386"/>
      <c r="LP375" s="386"/>
      <c r="LQ375" s="386"/>
    </row>
    <row r="376" spans="319:329" x14ac:dyDescent="0.25">
      <c r="LG376" s="386"/>
      <c r="LH376" s="386"/>
      <c r="LI376" s="386"/>
      <c r="LJ376" s="386"/>
      <c r="LK376" s="386"/>
      <c r="LL376" s="386"/>
      <c r="LM376" s="386"/>
      <c r="LN376" s="386"/>
      <c r="LO376" s="386"/>
      <c r="LP376" s="386"/>
      <c r="LQ376" s="386"/>
    </row>
    <row r="377" spans="319:329" x14ac:dyDescent="0.25">
      <c r="LG377" s="386"/>
      <c r="LH377" s="386"/>
      <c r="LI377" s="386"/>
      <c r="LJ377" s="386"/>
      <c r="LK377" s="386"/>
      <c r="LL377" s="386"/>
      <c r="LM377" s="386"/>
      <c r="LN377" s="386"/>
      <c r="LO377" s="386"/>
      <c r="LP377" s="386"/>
      <c r="LQ377" s="386"/>
    </row>
    <row r="378" spans="319:329" x14ac:dyDescent="0.25">
      <c r="LG378" s="386"/>
      <c r="LH378" s="386"/>
      <c r="LI378" s="386"/>
      <c r="LJ378" s="386"/>
      <c r="LK378" s="386"/>
      <c r="LL378" s="386"/>
      <c r="LM378" s="386"/>
      <c r="LN378" s="386"/>
      <c r="LO378" s="386"/>
      <c r="LP378" s="386"/>
      <c r="LQ378" s="386"/>
    </row>
    <row r="379" spans="319:329" x14ac:dyDescent="0.25">
      <c r="LG379" s="386"/>
      <c r="LH379" s="386"/>
      <c r="LI379" s="386"/>
      <c r="LJ379" s="386"/>
      <c r="LK379" s="386"/>
      <c r="LL379" s="386"/>
      <c r="LM379" s="386"/>
      <c r="LN379" s="386"/>
      <c r="LO379" s="386"/>
      <c r="LP379" s="386"/>
      <c r="LQ379" s="386"/>
    </row>
    <row r="380" spans="319:329" x14ac:dyDescent="0.25">
      <c r="LG380" s="386"/>
      <c r="LH380" s="386"/>
      <c r="LI380" s="386"/>
      <c r="LJ380" s="386"/>
      <c r="LK380" s="386"/>
      <c r="LL380" s="386"/>
      <c r="LM380" s="386"/>
      <c r="LN380" s="386"/>
      <c r="LO380" s="386"/>
      <c r="LP380" s="386"/>
      <c r="LQ380" s="386"/>
    </row>
    <row r="381" spans="319:329" x14ac:dyDescent="0.25">
      <c r="LG381" s="386"/>
      <c r="LH381" s="386"/>
      <c r="LI381" s="386"/>
      <c r="LJ381" s="386"/>
      <c r="LK381" s="386"/>
      <c r="LL381" s="386"/>
      <c r="LM381" s="386"/>
      <c r="LN381" s="386"/>
      <c r="LO381" s="386"/>
      <c r="LP381" s="386"/>
      <c r="LQ381" s="386"/>
    </row>
    <row r="382" spans="319:329" x14ac:dyDescent="0.25">
      <c r="LG382" s="386"/>
      <c r="LH382" s="386"/>
      <c r="LI382" s="386"/>
      <c r="LJ382" s="386"/>
      <c r="LK382" s="386"/>
      <c r="LL382" s="386"/>
      <c r="LM382" s="386"/>
      <c r="LN382" s="386"/>
      <c r="LO382" s="386"/>
      <c r="LP382" s="386"/>
      <c r="LQ382" s="386"/>
    </row>
    <row r="383" spans="319:329" x14ac:dyDescent="0.25">
      <c r="LG383" s="386"/>
      <c r="LH383" s="386"/>
      <c r="LI383" s="386"/>
      <c r="LJ383" s="386"/>
      <c r="LK383" s="386"/>
      <c r="LL383" s="386"/>
      <c r="LM383" s="386"/>
      <c r="LN383" s="386"/>
      <c r="LO383" s="386"/>
      <c r="LP383" s="386"/>
      <c r="LQ383" s="386"/>
    </row>
    <row r="384" spans="319:329" x14ac:dyDescent="0.25">
      <c r="LG384" s="386"/>
      <c r="LH384" s="386"/>
      <c r="LI384" s="386"/>
      <c r="LJ384" s="386"/>
      <c r="LK384" s="386"/>
      <c r="LL384" s="386"/>
      <c r="LM384" s="386"/>
      <c r="LN384" s="386"/>
      <c r="LO384" s="386"/>
      <c r="LP384" s="386"/>
      <c r="LQ384" s="386"/>
    </row>
    <row r="385" spans="319:339" x14ac:dyDescent="0.25">
      <c r="LG385" s="386"/>
      <c r="LH385" s="386"/>
      <c r="LI385" s="386"/>
      <c r="LJ385" s="386"/>
      <c r="LK385" s="386"/>
      <c r="LL385" s="386"/>
      <c r="LM385" s="386"/>
      <c r="LN385" s="386"/>
      <c r="LO385" s="386"/>
      <c r="LP385" s="386"/>
      <c r="LQ385" s="386"/>
    </row>
    <row r="386" spans="319:339" x14ac:dyDescent="0.25">
      <c r="LG386" s="386"/>
      <c r="LH386" s="386"/>
      <c r="LI386" s="386"/>
      <c r="LJ386" s="386"/>
      <c r="LK386" s="386"/>
      <c r="LL386" s="386"/>
      <c r="LM386" s="386"/>
      <c r="LN386" s="386"/>
      <c r="LO386" s="386"/>
      <c r="LP386" s="386"/>
      <c r="LQ386" s="386"/>
    </row>
    <row r="387" spans="319:339" x14ac:dyDescent="0.25">
      <c r="LG387" s="386"/>
      <c r="LH387" s="386"/>
      <c r="LI387" s="386"/>
      <c r="LJ387" s="386"/>
      <c r="LK387" s="386"/>
      <c r="LL387" s="386"/>
      <c r="LM387" s="386"/>
      <c r="LN387" s="386"/>
      <c r="LO387" s="386"/>
      <c r="LP387" s="386"/>
      <c r="LQ387" s="386"/>
    </row>
    <row r="388" spans="319:339" x14ac:dyDescent="0.25">
      <c r="LG388" s="386"/>
      <c r="LH388" s="386"/>
      <c r="LI388" s="386"/>
      <c r="LJ388" s="386"/>
      <c r="LK388" s="386"/>
      <c r="LL388" s="386"/>
      <c r="LM388" s="386"/>
      <c r="LN388" s="386"/>
      <c r="LO388" s="386"/>
      <c r="LP388" s="386"/>
      <c r="LQ388" s="386"/>
    </row>
    <row r="389" spans="319:339" x14ac:dyDescent="0.25">
      <c r="LG389" s="386"/>
      <c r="LH389" s="386"/>
      <c r="LI389" s="386"/>
      <c r="LJ389" s="386"/>
      <c r="LK389" s="386"/>
      <c r="LL389" s="386"/>
      <c r="LM389" s="386"/>
      <c r="LN389" s="386"/>
      <c r="LO389" s="386"/>
      <c r="LP389" s="386"/>
      <c r="LQ389" s="386"/>
    </row>
    <row r="390" spans="319:339" x14ac:dyDescent="0.25">
      <c r="LG390" s="386"/>
      <c r="LH390" s="386"/>
      <c r="LI390" s="386"/>
      <c r="LJ390" s="386"/>
      <c r="LK390" s="386"/>
      <c r="LL390" s="386"/>
      <c r="LM390" s="386"/>
      <c r="LN390" s="386"/>
      <c r="LO390" s="386"/>
      <c r="LP390" s="386"/>
      <c r="LQ390" s="386"/>
    </row>
    <row r="391" spans="319:339" x14ac:dyDescent="0.25">
      <c r="LG391" s="386"/>
      <c r="LH391" s="386"/>
      <c r="LI391" s="386"/>
      <c r="LJ391" s="386"/>
      <c r="LK391" s="386"/>
      <c r="LL391" s="386"/>
      <c r="LM391" s="386"/>
      <c r="LN391" s="386"/>
      <c r="LO391" s="386"/>
      <c r="LP391" s="386"/>
      <c r="LQ391" s="386"/>
    </row>
    <row r="392" spans="319:339" x14ac:dyDescent="0.25">
      <c r="LG392" s="386"/>
      <c r="LH392" s="386"/>
      <c r="LI392" s="386"/>
      <c r="LJ392" s="386"/>
      <c r="LK392" s="386"/>
      <c r="LL392" s="386"/>
      <c r="LM392" s="386"/>
      <c r="LN392" s="386"/>
      <c r="LO392" s="386"/>
      <c r="LP392" s="386"/>
      <c r="LQ392" s="386"/>
    </row>
    <row r="393" spans="319:339" x14ac:dyDescent="0.25">
      <c r="LG393" s="386"/>
      <c r="LH393" s="386"/>
      <c r="LI393" s="386"/>
      <c r="LJ393" s="386"/>
      <c r="LK393" s="386"/>
      <c r="LL393" s="386"/>
      <c r="LM393" s="386"/>
      <c r="LN393" s="386"/>
      <c r="LO393" s="386"/>
      <c r="LP393" s="386"/>
      <c r="LQ393" s="386"/>
    </row>
    <row r="394" spans="319:339" x14ac:dyDescent="0.25">
      <c r="LG394" s="386"/>
      <c r="LH394" s="386"/>
      <c r="LI394" s="386"/>
      <c r="LJ394" s="386"/>
      <c r="LK394" s="386"/>
      <c r="LL394" s="386"/>
      <c r="LM394" s="386"/>
      <c r="LN394" s="386"/>
      <c r="LO394" s="386"/>
      <c r="LP394" s="386"/>
      <c r="LQ394" s="386"/>
    </row>
    <row r="395" spans="319:339" ht="19.5" thickBot="1" x14ac:dyDescent="0.35">
      <c r="LG395" s="386"/>
      <c r="LH395" s="386"/>
      <c r="LI395" s="386"/>
      <c r="LJ395" s="386"/>
      <c r="LK395" s="386"/>
      <c r="LL395" s="386"/>
      <c r="LM395" s="386"/>
      <c r="LN395" s="386"/>
      <c r="LO395" s="386"/>
      <c r="LP395" s="386"/>
      <c r="LQ395" s="386"/>
      <c r="LT395" s="461"/>
      <c r="LU395" s="496" t="s">
        <v>678</v>
      </c>
      <c r="LV395" s="462"/>
      <c r="LW395" s="462"/>
      <c r="LX395" s="462"/>
      <c r="LY395" s="462"/>
      <c r="LZ395" s="462"/>
      <c r="MA395" s="461"/>
    </row>
    <row r="396" spans="319:339" ht="18.75" x14ac:dyDescent="0.3">
      <c r="LG396" s="386"/>
      <c r="LH396" s="386"/>
      <c r="LI396" s="386"/>
      <c r="LJ396" s="386"/>
      <c r="LK396" s="386"/>
      <c r="LL396" s="386"/>
      <c r="LM396" s="386"/>
      <c r="LN396" s="386"/>
      <c r="LO396" s="386"/>
      <c r="LP396" s="386"/>
      <c r="LQ396" s="386"/>
      <c r="LT396" s="461"/>
      <c r="LU396" s="462"/>
      <c r="LV396" s="592" t="s">
        <v>330</v>
      </c>
      <c r="LW396" s="592" t="s">
        <v>331</v>
      </c>
      <c r="LX396" s="592" t="s">
        <v>332</v>
      </c>
      <c r="LY396" s="592" t="s">
        <v>333</v>
      </c>
      <c r="LZ396" s="593" t="s">
        <v>335</v>
      </c>
      <c r="MA396" s="593" t="s">
        <v>350</v>
      </c>
    </row>
    <row r="397" spans="319:339" ht="18.75" x14ac:dyDescent="0.3">
      <c r="LG397" s="386"/>
      <c r="LH397" s="386"/>
      <c r="LI397" s="386"/>
      <c r="LJ397" s="386"/>
      <c r="LK397" s="386"/>
      <c r="LL397" s="386"/>
      <c r="LM397" s="386"/>
      <c r="LN397" s="386"/>
      <c r="LO397" s="386"/>
      <c r="LP397" s="386"/>
      <c r="LQ397" s="386"/>
      <c r="LT397" s="461"/>
      <c r="LU397" s="594" t="s">
        <v>336</v>
      </c>
      <c r="LV397" s="462">
        <v>3.6730650752369351E-4</v>
      </c>
      <c r="LW397" s="462">
        <v>10</v>
      </c>
      <c r="LX397" s="462">
        <v>3.6730650752369352E-5</v>
      </c>
      <c r="LY397" s="462">
        <v>1.0416778711674548</v>
      </c>
      <c r="LZ397" s="462">
        <v>2.38</v>
      </c>
      <c r="MA397" s="461">
        <v>0.44810127741500727</v>
      </c>
    </row>
    <row r="398" spans="319:339" ht="18.75" x14ac:dyDescent="0.3">
      <c r="LG398" s="386"/>
      <c r="LH398" s="386"/>
      <c r="LI398" s="386"/>
      <c r="LJ398" s="386"/>
      <c r="LK398" s="386"/>
      <c r="LL398" s="386"/>
      <c r="LM398" s="386"/>
      <c r="LN398" s="386"/>
      <c r="LO398" s="386"/>
      <c r="LP398" s="386"/>
      <c r="LQ398" s="386"/>
      <c r="LT398" s="461"/>
      <c r="LU398" s="594" t="s">
        <v>337</v>
      </c>
      <c r="LV398" s="462">
        <v>6.69959863420032E-4</v>
      </c>
      <c r="LW398" s="462">
        <v>19</v>
      </c>
      <c r="LX398" s="462">
        <v>3.5261045443159577E-5</v>
      </c>
      <c r="LY398" s="462"/>
      <c r="LZ398" s="462" t="s">
        <v>354</v>
      </c>
      <c r="MA398" s="461"/>
    </row>
    <row r="399" spans="319:339" ht="18.75" x14ac:dyDescent="0.3">
      <c r="LG399" s="386"/>
      <c r="LH399" s="386"/>
      <c r="LI399" s="386"/>
      <c r="LJ399" s="386"/>
      <c r="LK399" s="386"/>
      <c r="LL399" s="386"/>
      <c r="LM399" s="386"/>
      <c r="LN399" s="386"/>
      <c r="LO399" s="386"/>
      <c r="LP399" s="386"/>
      <c r="LQ399" s="386"/>
      <c r="LT399" s="461"/>
      <c r="LU399" s="594" t="s">
        <v>341</v>
      </c>
      <c r="LV399" s="462">
        <v>1.0372663709437256E-3</v>
      </c>
      <c r="LW399" s="462"/>
      <c r="LX399" s="462"/>
      <c r="LY399" s="462"/>
      <c r="LZ399" s="462" t="s">
        <v>680</v>
      </c>
      <c r="MA399" s="461"/>
    </row>
    <row r="400" spans="319:339" ht="18.75" x14ac:dyDescent="0.3">
      <c r="LG400" s="386"/>
      <c r="LH400" s="386"/>
      <c r="LI400" s="386"/>
      <c r="LJ400" s="386"/>
      <c r="LK400" s="386"/>
      <c r="LL400" s="386"/>
      <c r="LM400" s="386"/>
      <c r="LN400" s="386"/>
      <c r="LO400" s="386"/>
      <c r="LP400" s="386"/>
      <c r="LQ400" s="386"/>
      <c r="LT400" s="461"/>
      <c r="LU400" s="461"/>
      <c r="LV400" s="461"/>
      <c r="LW400" s="461"/>
      <c r="LX400" s="461"/>
      <c r="LY400" s="461"/>
      <c r="LZ400" s="461"/>
      <c r="MA400" s="461"/>
    </row>
    <row r="401" spans="319:339" ht="18.75" x14ac:dyDescent="0.3">
      <c r="LG401" s="386"/>
      <c r="LH401" s="386"/>
      <c r="LI401" s="386"/>
      <c r="LJ401" s="386"/>
      <c r="LK401" s="386"/>
      <c r="LL401" s="386"/>
      <c r="LM401" s="386"/>
      <c r="LN401" s="386"/>
      <c r="LO401" s="386"/>
      <c r="LP401" s="386"/>
      <c r="LQ401" s="386"/>
      <c r="LT401" s="461"/>
      <c r="LU401" s="461"/>
      <c r="LV401" s="461"/>
      <c r="LW401" s="461"/>
      <c r="LX401" s="461"/>
      <c r="LY401" s="461"/>
      <c r="LZ401" s="461"/>
      <c r="MA401" s="461"/>
    </row>
    <row r="402" spans="319:339" ht="18.75" x14ac:dyDescent="0.3">
      <c r="LG402" s="386"/>
      <c r="LH402" s="386"/>
      <c r="LI402" s="386"/>
      <c r="LJ402" s="386"/>
      <c r="LK402" s="386"/>
      <c r="LL402" s="386"/>
      <c r="LM402" s="386"/>
      <c r="LN402" s="386"/>
      <c r="LO402" s="386"/>
      <c r="LP402" s="386"/>
      <c r="LQ402" s="386"/>
      <c r="LT402" s="461"/>
      <c r="LU402" s="461"/>
      <c r="LV402" s="461"/>
      <c r="LW402" s="461"/>
      <c r="LX402" s="461"/>
      <c r="LY402" s="461"/>
      <c r="LZ402" s="461"/>
      <c r="MA402" s="461"/>
    </row>
    <row r="403" spans="319:339" ht="19.5" thickBot="1" x14ac:dyDescent="0.35">
      <c r="LG403" s="386"/>
      <c r="LH403" s="386"/>
      <c r="LI403" s="386"/>
      <c r="LJ403" s="386"/>
      <c r="LK403" s="386"/>
      <c r="LL403" s="386"/>
      <c r="LM403" s="386"/>
      <c r="LN403" s="386"/>
      <c r="LO403" s="386"/>
      <c r="LP403" s="386"/>
      <c r="LQ403" s="386"/>
      <c r="LT403" s="461"/>
      <c r="LU403" s="496" t="s">
        <v>681</v>
      </c>
      <c r="LV403" s="462"/>
      <c r="LW403" s="462"/>
      <c r="LX403" s="462"/>
      <c r="LY403" s="462"/>
      <c r="LZ403" s="462"/>
      <c r="MA403" s="461"/>
    </row>
    <row r="404" spans="319:339" ht="18.75" x14ac:dyDescent="0.3">
      <c r="LG404" s="386"/>
      <c r="LH404" s="386"/>
      <c r="LI404" s="386"/>
      <c r="LJ404" s="386"/>
      <c r="LK404" s="386"/>
      <c r="LL404" s="386"/>
      <c r="LM404" s="386"/>
      <c r="LN404" s="386"/>
      <c r="LO404" s="386"/>
      <c r="LP404" s="386"/>
      <c r="LQ404" s="386"/>
      <c r="LT404" s="461"/>
      <c r="LU404" s="462"/>
      <c r="LV404" s="592" t="s">
        <v>330</v>
      </c>
      <c r="LW404" s="592" t="s">
        <v>331</v>
      </c>
      <c r="LX404" s="592" t="s">
        <v>332</v>
      </c>
      <c r="LY404" s="592" t="s">
        <v>333</v>
      </c>
      <c r="LZ404" s="593" t="s">
        <v>335</v>
      </c>
      <c r="MA404" s="593" t="s">
        <v>350</v>
      </c>
    </row>
    <row r="405" spans="319:339" ht="18.75" x14ac:dyDescent="0.3">
      <c r="LG405" s="386"/>
      <c r="LH405" s="386"/>
      <c r="LI405" s="386"/>
      <c r="LJ405" s="386"/>
      <c r="LK405" s="386"/>
      <c r="LL405" s="386"/>
      <c r="LM405" s="386"/>
      <c r="LN405" s="386"/>
      <c r="LO405" s="386"/>
      <c r="LP405" s="386"/>
      <c r="LQ405" s="386"/>
      <c r="LT405" s="461"/>
      <c r="LU405" s="594" t="s">
        <v>336</v>
      </c>
      <c r="LV405" s="462">
        <v>5.671241480514742E-5</v>
      </c>
      <c r="LW405" s="462">
        <v>3</v>
      </c>
      <c r="LX405" s="462">
        <v>1.8904138268382472E-5</v>
      </c>
      <c r="LY405" s="462">
        <v>0.48442913249697017</v>
      </c>
      <c r="LZ405" s="462">
        <v>3.29</v>
      </c>
      <c r="MA405" s="461">
        <v>0.69810576488089593</v>
      </c>
    </row>
    <row r="406" spans="319:339" ht="18.75" x14ac:dyDescent="0.3">
      <c r="LG406" s="386"/>
      <c r="LH406" s="386"/>
      <c r="LI406" s="386"/>
      <c r="LJ406" s="386"/>
      <c r="LK406" s="386"/>
      <c r="LL406" s="386"/>
      <c r="LM406" s="386"/>
      <c r="LN406" s="386"/>
      <c r="LO406" s="386"/>
      <c r="LP406" s="386"/>
      <c r="LQ406" s="386"/>
      <c r="LT406" s="461"/>
      <c r="LU406" s="594" t="s">
        <v>337</v>
      </c>
      <c r="LV406" s="462">
        <v>5.8535305786447638E-4</v>
      </c>
      <c r="LW406" s="462">
        <v>15</v>
      </c>
      <c r="LX406" s="462">
        <v>3.9023537190965094E-5</v>
      </c>
      <c r="LY406" s="462"/>
      <c r="LZ406" s="462" t="s">
        <v>354</v>
      </c>
      <c r="MA406" s="461"/>
    </row>
    <row r="407" spans="319:339" ht="18.75" x14ac:dyDescent="0.3">
      <c r="LG407" s="386"/>
      <c r="LH407" s="386"/>
      <c r="LI407" s="386"/>
      <c r="LJ407" s="386"/>
      <c r="LK407" s="386"/>
      <c r="LL407" s="386"/>
      <c r="LM407" s="386"/>
      <c r="LN407" s="386"/>
      <c r="LO407" s="386"/>
      <c r="LP407" s="386"/>
      <c r="LQ407" s="386"/>
      <c r="LT407" s="461"/>
      <c r="LU407" s="594" t="s">
        <v>341</v>
      </c>
      <c r="LV407" s="462">
        <v>6.4206547266962375E-4</v>
      </c>
      <c r="LW407" s="462"/>
      <c r="LX407" s="462"/>
      <c r="LY407" s="462"/>
      <c r="LZ407" s="462" t="s">
        <v>680</v>
      </c>
      <c r="MA407" s="461"/>
    </row>
    <row r="408" spans="319:339" x14ac:dyDescent="0.25">
      <c r="LG408" s="386"/>
      <c r="LH408" s="386"/>
      <c r="LI408" s="386"/>
      <c r="LJ408" s="386"/>
      <c r="LK408" s="386"/>
      <c r="LL408" s="386"/>
      <c r="LM408" s="386"/>
      <c r="LN408" s="386"/>
      <c r="LO408" s="386"/>
      <c r="LP408" s="386"/>
      <c r="LQ408" s="386"/>
    </row>
    <row r="409" spans="319:339" x14ac:dyDescent="0.25">
      <c r="LG409" s="386"/>
      <c r="LH409" s="386"/>
      <c r="LI409" s="386"/>
      <c r="LJ409" s="386"/>
      <c r="LK409" s="386"/>
      <c r="LL409" s="386"/>
      <c r="LM409" s="386"/>
      <c r="LN409" s="386"/>
      <c r="LO409" s="386"/>
      <c r="LP409" s="386"/>
      <c r="LQ409" s="386"/>
    </row>
    <row r="410" spans="319:339" x14ac:dyDescent="0.25">
      <c r="LG410" s="386"/>
      <c r="LH410" s="386"/>
      <c r="LI410" s="386"/>
      <c r="LJ410" s="386"/>
      <c r="LK410" s="386"/>
      <c r="LL410" s="386"/>
      <c r="LM410" s="386"/>
      <c r="LN410" s="386"/>
      <c r="LO410" s="386"/>
      <c r="LP410" s="386"/>
      <c r="LQ410" s="386"/>
    </row>
    <row r="411" spans="319:339" ht="19.5" thickBot="1" x14ac:dyDescent="0.35">
      <c r="LG411" s="386"/>
      <c r="LH411" s="386"/>
      <c r="LI411" s="386"/>
      <c r="LJ411" s="386"/>
      <c r="LK411" s="386"/>
      <c r="LL411" s="386"/>
      <c r="LM411" s="386"/>
      <c r="LN411" s="386"/>
      <c r="LO411" s="386"/>
      <c r="LP411" s="386"/>
      <c r="LQ411" s="386"/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39" ht="18.75" x14ac:dyDescent="0.3">
      <c r="LG412" s="386"/>
      <c r="LH412" s="386"/>
      <c r="LI412" s="386"/>
      <c r="LJ412" s="386"/>
      <c r="LK412" s="386"/>
      <c r="LL412" s="386"/>
      <c r="LM412" s="386"/>
      <c r="LN412" s="386"/>
      <c r="LO412" s="386"/>
      <c r="LP412" s="386"/>
      <c r="LQ412" s="386"/>
      <c r="LU412" s="595"/>
      <c r="LV412" s="599" t="s">
        <v>330</v>
      </c>
      <c r="LW412" s="449" t="s">
        <v>331</v>
      </c>
      <c r="LX412" s="449" t="s">
        <v>332</v>
      </c>
      <c r="LY412" s="599" t="s">
        <v>333</v>
      </c>
      <c r="LZ412" s="449" t="s">
        <v>335</v>
      </c>
      <c r="MA412" s="599" t="s">
        <v>350</v>
      </c>
    </row>
    <row r="413" spans="319:339" ht="18.75" x14ac:dyDescent="0.3">
      <c r="LG413" s="386"/>
      <c r="LH413" s="386"/>
      <c r="LI413" s="386"/>
      <c r="LJ413" s="386"/>
      <c r="LK413" s="386"/>
      <c r="LL413" s="386"/>
      <c r="LM413" s="386"/>
      <c r="LN413" s="386"/>
      <c r="LO413" s="386"/>
      <c r="LP413" s="386"/>
      <c r="LQ413" s="386"/>
      <c r="LU413" s="594" t="s">
        <v>336</v>
      </c>
      <c r="LV413" s="596">
        <v>1.4484695651094935E-4</v>
      </c>
      <c r="LW413" s="461">
        <v>2</v>
      </c>
      <c r="LX413" s="461">
        <v>7.2423478255474673E-5</v>
      </c>
      <c r="LY413" s="461">
        <v>2.295375687465298</v>
      </c>
      <c r="LZ413" s="597">
        <v>3.27</v>
      </c>
      <c r="MA413" s="461">
        <v>0.1156911809369808</v>
      </c>
    </row>
    <row r="414" spans="319:339" ht="18.75" x14ac:dyDescent="0.3">
      <c r="LG414" s="386"/>
      <c r="LH414" s="386"/>
      <c r="LI414" s="386"/>
      <c r="LJ414" s="386"/>
      <c r="LK414" s="386"/>
      <c r="LL414" s="386"/>
      <c r="LM414" s="386"/>
      <c r="LN414" s="386"/>
      <c r="LO414" s="386"/>
      <c r="LP414" s="386"/>
      <c r="LQ414" s="386"/>
      <c r="LU414" s="594" t="s">
        <v>337</v>
      </c>
      <c r="LV414" s="596">
        <v>1.1043167150300906E-3</v>
      </c>
      <c r="LW414" s="461">
        <v>35</v>
      </c>
      <c r="LX414" s="461">
        <v>3.1551906143716875E-5</v>
      </c>
      <c r="LY414" s="461"/>
      <c r="LZ414" s="462" t="s">
        <v>354</v>
      </c>
      <c r="MA414" s="461"/>
    </row>
    <row r="415" spans="319:339" ht="18.75" x14ac:dyDescent="0.3">
      <c r="LG415" s="386"/>
      <c r="LH415" s="386"/>
      <c r="LI415" s="386"/>
      <c r="LJ415" s="386"/>
      <c r="LK415" s="386"/>
      <c r="LL415" s="386"/>
      <c r="LM415" s="386"/>
      <c r="LN415" s="386"/>
      <c r="LO415" s="386"/>
      <c r="LP415" s="386"/>
      <c r="LQ415" s="386"/>
      <c r="LU415" s="461" t="s">
        <v>341</v>
      </c>
      <c r="LV415" s="461">
        <v>1.24916367154104E-3</v>
      </c>
      <c r="LW415" s="461">
        <v>37</v>
      </c>
      <c r="LX415" s="461"/>
      <c r="LY415" s="461"/>
      <c r="LZ415" s="462" t="s">
        <v>680</v>
      </c>
      <c r="MA415" s="461"/>
    </row>
    <row r="416" spans="319:339" ht="18.75" x14ac:dyDescent="0.3">
      <c r="LG416" s="386"/>
      <c r="LH416" s="386"/>
      <c r="LI416" s="386"/>
      <c r="LJ416" s="386"/>
      <c r="LK416" s="386"/>
      <c r="LL416" s="386"/>
      <c r="LM416" s="386"/>
      <c r="LN416" s="386"/>
      <c r="LO416" s="386"/>
      <c r="LP416" s="386"/>
      <c r="LQ416" s="386"/>
      <c r="LU416" s="461"/>
      <c r="LV416" s="489"/>
      <c r="LW416" s="489"/>
      <c r="LX416" s="489"/>
      <c r="LY416" s="489"/>
      <c r="LZ416" s="598"/>
      <c r="MA416" s="598"/>
    </row>
    <row r="417" spans="319:339" ht="18.75" x14ac:dyDescent="0.3">
      <c r="LG417" s="386"/>
      <c r="LH417" s="386"/>
      <c r="LI417" s="386"/>
      <c r="LJ417" s="386"/>
      <c r="LK417" s="386"/>
      <c r="LL417" s="386"/>
      <c r="LM417" s="386"/>
      <c r="LN417" s="386"/>
      <c r="LO417" s="386"/>
      <c r="LP417" s="386"/>
      <c r="LQ417" s="386"/>
      <c r="LU417" s="461"/>
      <c r="LV417" s="596" t="s">
        <v>352</v>
      </c>
      <c r="LW417" s="596" t="s">
        <v>217</v>
      </c>
      <c r="LX417" s="596" t="s">
        <v>218</v>
      </c>
      <c r="LY417" s="596" t="s">
        <v>219</v>
      </c>
      <c r="LZ417" s="462"/>
      <c r="MA417" s="462"/>
    </row>
    <row r="418" spans="319:339" ht="18.75" x14ac:dyDescent="0.3">
      <c r="LG418" s="386"/>
      <c r="LH418" s="386"/>
      <c r="LI418" s="386"/>
      <c r="LJ418" s="386"/>
      <c r="LK418" s="386"/>
      <c r="LL418" s="386"/>
      <c r="LM418" s="386"/>
      <c r="LN418" s="386"/>
      <c r="LO418" s="386"/>
      <c r="LP418" s="386"/>
      <c r="LQ418" s="386"/>
      <c r="LU418" s="461" t="s">
        <v>353</v>
      </c>
      <c r="LV418" s="596">
        <v>1.6353661947780269E-2</v>
      </c>
      <c r="LW418" s="596">
        <v>1.3761538461538464E-2</v>
      </c>
      <c r="LX418" s="596">
        <v>1.7033781078126923E-2</v>
      </c>
      <c r="LY418" s="596">
        <v>1.8425E-2</v>
      </c>
      <c r="LZ418" s="461"/>
      <c r="MA418" s="461"/>
    </row>
    <row r="419" spans="319:339" ht="18.75" x14ac:dyDescent="0.3">
      <c r="LG419" s="386"/>
      <c r="LH419" s="386"/>
      <c r="LI419" s="386"/>
      <c r="LJ419" s="386"/>
      <c r="LK419" s="386"/>
      <c r="LL419" s="386"/>
      <c r="LM419" s="386"/>
      <c r="LN419" s="386"/>
      <c r="LO419" s="386"/>
      <c r="LP419" s="386"/>
      <c r="LQ419" s="386"/>
      <c r="LU419" s="461" t="s">
        <v>295</v>
      </c>
      <c r="LV419" s="461">
        <v>5.810437187675278E-3</v>
      </c>
      <c r="LW419" s="461">
        <v>2.2195197242349095E-3</v>
      </c>
      <c r="LX419" s="461">
        <v>7.9898118066384395E-3</v>
      </c>
      <c r="LY419" s="461">
        <v>5.0376436491035709E-3</v>
      </c>
      <c r="LZ419" s="461"/>
      <c r="MA419" s="461"/>
    </row>
    <row r="420" spans="319:339" x14ac:dyDescent="0.25">
      <c r="LG420" s="386"/>
      <c r="LH420" s="386"/>
      <c r="LI420" s="386"/>
      <c r="LJ420" s="386"/>
      <c r="LK420" s="386"/>
      <c r="LL420" s="386"/>
      <c r="LM420" s="386"/>
      <c r="LN420" s="386"/>
      <c r="LO420" s="386"/>
      <c r="LP420" s="386"/>
      <c r="LQ420" s="386"/>
    </row>
    <row r="421" spans="319:339" x14ac:dyDescent="0.25">
      <c r="LG421" s="386"/>
      <c r="LH421" s="386"/>
      <c r="LI421" s="386"/>
      <c r="LJ421" s="386"/>
      <c r="LK421" s="386"/>
      <c r="LL421" s="386"/>
      <c r="LM421" s="386"/>
      <c r="LN421" s="386"/>
      <c r="LO421" s="386"/>
      <c r="LP421" s="386"/>
      <c r="LQ421" s="386"/>
    </row>
    <row r="422" spans="319:339" x14ac:dyDescent="0.25">
      <c r="LG422" s="386"/>
      <c r="LH422" s="386"/>
      <c r="LI422" s="386"/>
      <c r="LJ422" s="386"/>
      <c r="LK422" s="386"/>
      <c r="LL422" s="386"/>
      <c r="LM422" s="386"/>
      <c r="LN422" s="386"/>
      <c r="LO422" s="386"/>
      <c r="LP422" s="386"/>
      <c r="LQ422" s="386"/>
    </row>
    <row r="423" spans="319:339" x14ac:dyDescent="0.25">
      <c r="LG423" s="386"/>
      <c r="LH423" s="386"/>
      <c r="LI423" s="386"/>
      <c r="LJ423" s="386"/>
      <c r="LK423" s="386"/>
      <c r="LL423" s="386"/>
      <c r="LM423" s="386"/>
      <c r="LN423" s="386"/>
      <c r="LO423" s="386"/>
      <c r="LP423" s="386"/>
      <c r="LQ423" s="386"/>
    </row>
    <row r="424" spans="319:339" x14ac:dyDescent="0.25">
      <c r="LG424" s="386"/>
      <c r="LH424" s="386"/>
      <c r="LI424" s="386"/>
      <c r="LJ424" s="386"/>
      <c r="LK424" s="386"/>
      <c r="LL424" s="386"/>
      <c r="LM424" s="386"/>
      <c r="LN424" s="386"/>
      <c r="LO424" s="386"/>
      <c r="LP424" s="386"/>
      <c r="LQ424" s="386"/>
    </row>
    <row r="425" spans="319:339" x14ac:dyDescent="0.25">
      <c r="LG425" s="386"/>
      <c r="LH425" s="386"/>
      <c r="LI425" s="386"/>
      <c r="LJ425" s="386"/>
      <c r="LK425" s="386"/>
      <c r="LL425" s="386"/>
      <c r="LM425" s="386"/>
      <c r="LN425" s="386"/>
      <c r="LO425" s="386"/>
      <c r="LP425" s="386"/>
      <c r="LQ425" s="386"/>
    </row>
    <row r="426" spans="319:339" x14ac:dyDescent="0.25">
      <c r="LG426" s="386"/>
      <c r="LH426" s="386"/>
      <c r="LI426" s="386"/>
      <c r="LJ426" s="386"/>
      <c r="LK426" s="386"/>
      <c r="LL426" s="386"/>
      <c r="LM426" s="386"/>
      <c r="LN426" s="386"/>
      <c r="LO426" s="386"/>
      <c r="LP426" s="386"/>
      <c r="LQ426" s="386"/>
    </row>
    <row r="427" spans="319:339" x14ac:dyDescent="0.25">
      <c r="LG427" s="386"/>
      <c r="LH427" s="386"/>
      <c r="LI427" s="386"/>
      <c r="LJ427" s="386"/>
      <c r="LK427" s="386"/>
      <c r="LL427" s="386"/>
      <c r="LM427" s="386"/>
      <c r="LN427" s="386"/>
      <c r="LO427" s="386"/>
      <c r="LP427" s="386"/>
      <c r="LQ427" s="386"/>
    </row>
    <row r="428" spans="319:339" x14ac:dyDescent="0.25">
      <c r="LG428" s="386"/>
      <c r="LH428" s="386"/>
      <c r="LI428" s="386"/>
      <c r="LJ428" s="386"/>
      <c r="LK428" s="386"/>
      <c r="LL428" s="386"/>
      <c r="LM428" s="386"/>
      <c r="LN428" s="386"/>
      <c r="LO428" s="386"/>
      <c r="LP428" s="386"/>
      <c r="LQ428" s="386"/>
    </row>
    <row r="429" spans="319:339" x14ac:dyDescent="0.25">
      <c r="LG429" s="386"/>
      <c r="LH429" s="386"/>
      <c r="LI429" s="386"/>
      <c r="LJ429" s="386"/>
      <c r="LK429" s="386"/>
      <c r="LL429" s="386"/>
      <c r="LM429" s="386"/>
      <c r="LN429" s="386"/>
      <c r="LO429" s="386"/>
      <c r="LP429" s="386"/>
      <c r="LQ429" s="386"/>
    </row>
    <row r="430" spans="319:339" x14ac:dyDescent="0.25">
      <c r="LG430" s="386"/>
      <c r="LH430" s="386"/>
      <c r="LI430" s="386"/>
      <c r="LJ430" s="386"/>
      <c r="LK430" s="386"/>
      <c r="LL430" s="386"/>
      <c r="LM430" s="386"/>
      <c r="LN430" s="386"/>
      <c r="LO430" s="386"/>
      <c r="LP430" s="386"/>
      <c r="LQ430" s="386"/>
    </row>
    <row r="431" spans="319:339" x14ac:dyDescent="0.25">
      <c r="LG431" s="386"/>
      <c r="LH431" s="386"/>
      <c r="LI431" s="386"/>
      <c r="LJ431" s="386"/>
      <c r="LK431" s="386"/>
      <c r="LL431" s="386"/>
      <c r="LM431" s="386"/>
      <c r="LN431" s="386"/>
      <c r="LO431" s="386"/>
      <c r="LP431" s="386"/>
      <c r="LQ431" s="386"/>
    </row>
    <row r="432" spans="319:339" x14ac:dyDescent="0.25">
      <c r="LG432" s="386"/>
      <c r="LH432" s="386"/>
      <c r="LI432" s="386"/>
      <c r="LJ432" s="386"/>
      <c r="LK432" s="386"/>
      <c r="LL432" s="386"/>
      <c r="LM432" s="386"/>
      <c r="LN432" s="386"/>
      <c r="LO432" s="386"/>
      <c r="LP432" s="386"/>
      <c r="LQ432" s="386"/>
    </row>
    <row r="433" spans="319:329" x14ac:dyDescent="0.25">
      <c r="LG433" s="386"/>
      <c r="LH433" s="386"/>
      <c r="LI433" s="386"/>
      <c r="LJ433" s="386"/>
      <c r="LK433" s="386"/>
      <c r="LL433" s="386"/>
      <c r="LM433" s="386"/>
      <c r="LN433" s="386"/>
      <c r="LO433" s="386"/>
      <c r="LP433" s="386"/>
      <c r="LQ433" s="386"/>
    </row>
    <row r="434" spans="319:329" x14ac:dyDescent="0.25">
      <c r="LG434" s="386"/>
      <c r="LH434" s="386"/>
      <c r="LI434" s="386"/>
      <c r="LJ434" s="386"/>
      <c r="LK434" s="386"/>
      <c r="LL434" s="386"/>
      <c r="LM434" s="386"/>
      <c r="LN434" s="386"/>
      <c r="LO434" s="386"/>
      <c r="LP434" s="386"/>
      <c r="LQ434" s="386"/>
    </row>
    <row r="435" spans="319:329" x14ac:dyDescent="0.25">
      <c r="LG435" s="386"/>
      <c r="LH435" s="386"/>
      <c r="LI435" s="386"/>
      <c r="LJ435" s="386"/>
      <c r="LK435" s="386"/>
      <c r="LL435" s="386"/>
      <c r="LM435" s="386"/>
      <c r="LN435" s="386"/>
      <c r="LO435" s="386"/>
      <c r="LP435" s="386"/>
      <c r="LQ435" s="386"/>
    </row>
    <row r="436" spans="319:329" x14ac:dyDescent="0.25">
      <c r="LG436" s="386"/>
      <c r="LH436" s="386"/>
      <c r="LI436" s="386"/>
      <c r="LJ436" s="386"/>
      <c r="LK436" s="386"/>
      <c r="LL436" s="386"/>
      <c r="LM436" s="386"/>
      <c r="LN436" s="386"/>
      <c r="LO436" s="386"/>
      <c r="LP436" s="386"/>
      <c r="LQ436" s="386"/>
    </row>
    <row r="437" spans="319:329" x14ac:dyDescent="0.25">
      <c r="LG437" s="386"/>
      <c r="LH437" s="386"/>
      <c r="LI437" s="386"/>
      <c r="LJ437" s="386"/>
      <c r="LK437" s="386"/>
      <c r="LL437" s="386"/>
      <c r="LM437" s="386"/>
      <c r="LN437" s="386"/>
      <c r="LO437" s="386"/>
      <c r="LP437" s="386"/>
      <c r="LQ437" s="386"/>
    </row>
  </sheetData>
  <pageMargins left="0.25" right="0.25" top="0.75" bottom="0.75" header="0.3" footer="0.3"/>
  <pageSetup scale="1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T223"/>
  <sheetViews>
    <sheetView topLeftCell="A121" workbookViewId="0">
      <selection activeCell="AQ110" sqref="AQ110:AQ111"/>
    </sheetView>
  </sheetViews>
  <sheetFormatPr defaultColWidth="11.42578125" defaultRowHeight="14.25" x14ac:dyDescent="0.2"/>
  <cols>
    <col min="1" max="1" width="11.42578125" style="1"/>
    <col min="2" max="2" width="39" style="1" customWidth="1"/>
    <col min="3" max="14" width="11.42578125" style="1" customWidth="1"/>
    <col min="15" max="27" width="11.42578125" style="1"/>
    <col min="28" max="32" width="11.42578125" style="1" customWidth="1"/>
    <col min="33" max="33" width="11.42578125" style="1"/>
    <col min="34" max="34" width="11.42578125" style="1" customWidth="1"/>
    <col min="35" max="35" width="11.28515625" style="1" customWidth="1"/>
    <col min="36" max="36" width="12.28515625" style="1" customWidth="1"/>
    <col min="37" max="37" width="13.42578125" style="1" customWidth="1"/>
    <col min="38" max="38" width="11.42578125" style="1" customWidth="1"/>
    <col min="39" max="16384" width="11.42578125" style="1"/>
  </cols>
  <sheetData>
    <row r="1" spans="1:46" x14ac:dyDescent="0.2">
      <c r="A1" s="2" t="s">
        <v>86</v>
      </c>
      <c r="B1" s="2"/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5"/>
      <c r="AD1" s="5"/>
      <c r="AE1" s="5"/>
      <c r="AF1" s="5"/>
    </row>
    <row r="2" spans="1:46" x14ac:dyDescent="0.2">
      <c r="A2" s="5"/>
      <c r="B2" s="5"/>
      <c r="C2" s="5" t="s">
        <v>82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 t="s">
        <v>81</v>
      </c>
      <c r="R2" s="5"/>
      <c r="S2" s="5"/>
      <c r="T2" s="5"/>
      <c r="U2" s="5"/>
      <c r="V2" s="5"/>
      <c r="W2" s="5" t="s">
        <v>84</v>
      </c>
      <c r="X2" s="5"/>
      <c r="Y2" s="5"/>
      <c r="Z2" s="5"/>
      <c r="AA2" s="5"/>
      <c r="AB2" s="5"/>
      <c r="AC2" s="5"/>
      <c r="AD2" s="5"/>
      <c r="AE2" s="5"/>
      <c r="AF2" s="5"/>
    </row>
    <row r="3" spans="1:46" x14ac:dyDescent="0.2">
      <c r="A3" s="5"/>
      <c r="B3" s="5"/>
      <c r="C3" s="1" t="s">
        <v>83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0"/>
      <c r="R3" s="5"/>
      <c r="S3" s="5"/>
      <c r="T3" s="5"/>
      <c r="U3" s="90"/>
      <c r="V3" s="5"/>
      <c r="X3" s="5"/>
      <c r="Y3" s="5"/>
      <c r="Z3" s="5"/>
      <c r="AA3" s="5"/>
      <c r="AB3" s="17"/>
      <c r="AC3" s="5"/>
      <c r="AD3" s="5"/>
      <c r="AE3" s="5"/>
      <c r="AF3" s="5"/>
    </row>
    <row r="4" spans="1:46" x14ac:dyDescent="0.2">
      <c r="A4" s="2"/>
      <c r="B4" s="13"/>
      <c r="C4" s="92">
        <v>20</v>
      </c>
      <c r="D4" s="91">
        <v>19</v>
      </c>
      <c r="E4" s="92">
        <v>18</v>
      </c>
      <c r="F4" s="92">
        <v>17</v>
      </c>
      <c r="G4" s="92">
        <v>16</v>
      </c>
      <c r="H4" s="92">
        <v>15</v>
      </c>
      <c r="I4" s="92">
        <v>14</v>
      </c>
      <c r="J4" s="92">
        <v>13</v>
      </c>
      <c r="K4" s="92">
        <v>12</v>
      </c>
      <c r="L4" s="92">
        <v>11</v>
      </c>
      <c r="M4" s="92">
        <v>10</v>
      </c>
      <c r="N4" s="92">
        <v>9</v>
      </c>
      <c r="O4" s="92">
        <v>8</v>
      </c>
      <c r="P4" s="93">
        <v>7</v>
      </c>
      <c r="Q4" s="92">
        <v>6</v>
      </c>
      <c r="R4" s="92">
        <v>5</v>
      </c>
      <c r="S4" s="92">
        <v>4</v>
      </c>
      <c r="T4" s="92">
        <v>3</v>
      </c>
      <c r="U4" s="91">
        <v>2</v>
      </c>
      <c r="V4" s="94">
        <v>1</v>
      </c>
      <c r="W4" s="95">
        <v>1</v>
      </c>
      <c r="X4" s="96">
        <v>2</v>
      </c>
      <c r="Y4" s="96">
        <v>3</v>
      </c>
      <c r="Z4" s="96">
        <v>4</v>
      </c>
      <c r="AA4" s="96">
        <v>5</v>
      </c>
      <c r="AB4" s="96">
        <v>6</v>
      </c>
      <c r="AC4" s="96">
        <v>7</v>
      </c>
      <c r="AD4" s="96">
        <v>8</v>
      </c>
      <c r="AE4" s="96">
        <v>9</v>
      </c>
      <c r="AF4" s="96">
        <v>10</v>
      </c>
      <c r="AG4" s="96">
        <v>11</v>
      </c>
      <c r="AH4" s="96">
        <v>12</v>
      </c>
      <c r="AI4" s="96">
        <v>13</v>
      </c>
      <c r="AJ4" s="96">
        <v>14</v>
      </c>
      <c r="AK4" s="96">
        <v>15</v>
      </c>
      <c r="AL4" s="96">
        <v>16</v>
      </c>
      <c r="AM4" s="96">
        <v>17</v>
      </c>
      <c r="AN4" s="96">
        <v>18</v>
      </c>
      <c r="AO4" s="96">
        <v>19</v>
      </c>
      <c r="AP4" s="96">
        <v>20</v>
      </c>
      <c r="AQ4" s="5"/>
    </row>
    <row r="5" spans="1:46" x14ac:dyDescent="0.2">
      <c r="A5" s="2" t="s">
        <v>1</v>
      </c>
      <c r="B5" s="13"/>
      <c r="C5" s="12"/>
      <c r="D5" s="19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9"/>
      <c r="Q5" s="12"/>
      <c r="R5" s="12"/>
      <c r="S5" s="12"/>
      <c r="T5" s="12"/>
      <c r="U5" s="16"/>
      <c r="V5" s="18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5"/>
    </row>
    <row r="6" spans="1:46" x14ac:dyDescent="0.2">
      <c r="A6" s="3" t="s">
        <v>151</v>
      </c>
      <c r="B6" s="11" t="s">
        <v>80</v>
      </c>
      <c r="C6" s="15"/>
      <c r="D6" s="19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8"/>
      <c r="Q6" s="15"/>
      <c r="R6" s="15"/>
      <c r="S6" s="15"/>
      <c r="T6" s="15"/>
      <c r="U6" s="36"/>
      <c r="V6" s="37"/>
      <c r="W6" s="39">
        <f>'Tooth measurements raw data'!G3</f>
        <v>5.7075000000000005</v>
      </c>
      <c r="X6" s="14">
        <f>'Tooth measurements raw data'!G5</f>
        <v>5.1275000000000004</v>
      </c>
      <c r="Y6" s="14">
        <f>'Tooth measurements raw data'!G7</f>
        <v>9.0274999999999999</v>
      </c>
      <c r="Z6" s="14">
        <f>'Tooth measurements raw data'!G9</f>
        <v>11.4175</v>
      </c>
      <c r="AA6" s="14">
        <f>'Tooth measurements raw data'!G11</f>
        <v>7.8175000000000008</v>
      </c>
      <c r="AB6" s="14">
        <f>'Tooth measurements raw data'!G14</f>
        <v>8.0075000000000003</v>
      </c>
      <c r="AC6" s="14">
        <f>'Tooth measurements raw data'!G16</f>
        <v>7.2875000000000005</v>
      </c>
      <c r="AD6" s="14">
        <f>'Tooth measurements raw data'!G19</f>
        <v>12.297500000000001</v>
      </c>
      <c r="AE6" s="14">
        <f>'Tooth measurements raw data'!G21</f>
        <v>9.9875000000000007</v>
      </c>
      <c r="AF6" s="14">
        <f>'Tooth measurements raw data'!G23</f>
        <v>11.1875</v>
      </c>
      <c r="AG6" s="14">
        <f>'Tooth measurements raw data'!G25</f>
        <v>9.6375000000000011</v>
      </c>
      <c r="AH6" s="14">
        <f>'Tooth measurements raw data'!G28</f>
        <v>8.2475000000000005</v>
      </c>
      <c r="AI6" s="14">
        <f>'Tooth measurements raw data'!G30</f>
        <v>9.0675000000000008</v>
      </c>
      <c r="AJ6" s="14">
        <f>'Tooth measurements raw data'!G32</f>
        <v>8.8674999999999997</v>
      </c>
      <c r="AK6" s="14">
        <f>'Tooth measurements raw data'!G34</f>
        <v>10.307500000000001</v>
      </c>
      <c r="AL6" s="14">
        <f>'Tooth measurements raw data'!G36</f>
        <v>6.9075000000000006</v>
      </c>
      <c r="AM6" s="14">
        <f>'Tooth measurements raw data'!G38</f>
        <v>8.6974999999999998</v>
      </c>
      <c r="AN6" s="14">
        <f>'Tooth measurements raw data'!G40</f>
        <v>7.4375</v>
      </c>
      <c r="AO6" s="14">
        <f>'Tooth measurements raw data'!G42</f>
        <v>6.1675000000000004</v>
      </c>
      <c r="AP6" s="14">
        <f>'Tooth measurements raw data'!G44</f>
        <v>5.7775000000000007</v>
      </c>
      <c r="AQ6" s="11" t="s">
        <v>80</v>
      </c>
      <c r="AT6" s="1">
        <v>1</v>
      </c>
    </row>
    <row r="7" spans="1:46" x14ac:dyDescent="0.2">
      <c r="A7" s="3"/>
      <c r="B7" s="671" t="s">
        <v>85</v>
      </c>
      <c r="C7" s="92"/>
      <c r="D7" s="67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3"/>
      <c r="Q7" s="92"/>
      <c r="R7" s="92"/>
      <c r="S7" s="92"/>
      <c r="T7" s="92"/>
      <c r="U7" s="91"/>
      <c r="V7" s="94"/>
      <c r="W7" s="95">
        <f>'Tooth measurements raw data'!G46</f>
        <v>9.3875000000000011</v>
      </c>
      <c r="X7" s="673">
        <f>'Tooth measurements raw data'!G48</f>
        <v>8.1275000000000013</v>
      </c>
      <c r="Y7" s="673">
        <f>'Tooth measurements raw data'!G50</f>
        <v>8.5175000000000001</v>
      </c>
      <c r="Z7" s="673">
        <f>'Tooth measurements raw data'!G53</f>
        <v>11.127500000000001</v>
      </c>
      <c r="AA7" s="673">
        <f>'Tooth measurements raw data'!G55</f>
        <v>7.5675000000000008</v>
      </c>
      <c r="AB7" s="673">
        <f>'Tooth measurements raw data'!G57</f>
        <v>6.7075000000000005</v>
      </c>
      <c r="AC7" s="673">
        <f>'Tooth measurements raw data'!G59</f>
        <v>5.2275</v>
      </c>
      <c r="AD7" s="673">
        <f>'Tooth measurements raw data'!G61</f>
        <v>6.0175000000000001</v>
      </c>
      <c r="AE7" s="673">
        <f>'Tooth measurements raw data'!G65</f>
        <v>5.8175000000000008</v>
      </c>
      <c r="AF7" s="673">
        <f>'Tooth measurements raw data'!G65</f>
        <v>5.8175000000000008</v>
      </c>
      <c r="AG7" s="673">
        <f>'Tooth measurements raw data'!G67</f>
        <v>5.5675000000000008</v>
      </c>
      <c r="AH7" s="673">
        <f>'Tooth measurements raw data'!G69</f>
        <v>8.557500000000001</v>
      </c>
      <c r="AI7" s="673">
        <f>'Tooth measurements raw data'!G71</f>
        <v>7.5575000000000001</v>
      </c>
      <c r="AJ7" s="673">
        <f>'Tooth measurements raw data'!G73</f>
        <v>8.6475000000000009</v>
      </c>
      <c r="AK7" s="673">
        <f>'Tooth measurements raw data'!G75</f>
        <v>7.2475000000000005</v>
      </c>
      <c r="AL7" s="673">
        <f>'Tooth measurements raw data'!G77</f>
        <v>5.9175000000000004</v>
      </c>
      <c r="AM7" s="673">
        <f>'Tooth measurements raw data'!G79</f>
        <v>6.4675000000000002</v>
      </c>
      <c r="AN7" s="673">
        <f>'Tooth measurements raw data'!G81</f>
        <v>6.1175000000000006</v>
      </c>
      <c r="AO7" s="673">
        <f>'Tooth measurements raw data'!G83</f>
        <v>6.0475000000000003</v>
      </c>
      <c r="AP7" s="673">
        <f>'Tooth measurements raw data'!G85</f>
        <v>5.4375</v>
      </c>
      <c r="AQ7" s="671" t="s">
        <v>85</v>
      </c>
      <c r="AR7" s="20"/>
      <c r="AS7" s="20"/>
      <c r="AT7" s="20"/>
    </row>
    <row r="8" spans="1:46" x14ac:dyDescent="0.2">
      <c r="A8" s="3">
        <v>1</v>
      </c>
      <c r="B8" s="11" t="s">
        <v>80</v>
      </c>
      <c r="C8" s="15"/>
      <c r="D8" s="19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8"/>
      <c r="Q8" s="15"/>
      <c r="R8" s="15"/>
      <c r="S8" s="15"/>
      <c r="T8" s="15"/>
      <c r="U8" s="36"/>
      <c r="V8" s="37"/>
      <c r="W8" s="8">
        <f>'Tooth measurements raw data'!G4</f>
        <v>1.2775000000000001</v>
      </c>
      <c r="X8" s="14">
        <f>'Tooth measurements raw data'!G6</f>
        <v>2.1875</v>
      </c>
      <c r="Y8" s="14">
        <f>'Tooth measurements raw data'!G8</f>
        <v>3.0175000000000001</v>
      </c>
      <c r="Z8" s="14">
        <f>'Tooth measurements raw data'!G10</f>
        <v>2.2675000000000001</v>
      </c>
      <c r="AA8" s="14">
        <f>'Tooth measurements raw data'!G12</f>
        <v>2.8275000000000001</v>
      </c>
      <c r="AB8" s="14">
        <f>'Tooth measurements raw data'!G15</f>
        <v>2.0074999999999998</v>
      </c>
      <c r="AC8" s="14">
        <f>'Tooth measurements raw data'!G17</f>
        <v>5.7975000000000003</v>
      </c>
      <c r="AD8" s="14">
        <f>'Tooth measurements raw data'!G20</f>
        <v>3.3075000000000001</v>
      </c>
      <c r="AE8" s="14">
        <f>'Tooth measurements raw data'!G22</f>
        <v>1.6375</v>
      </c>
      <c r="AF8" s="14">
        <f>'Tooth measurements raw data'!G24</f>
        <v>2.4175</v>
      </c>
      <c r="AG8" s="14">
        <f>'Tooth measurements raw data'!G26</f>
        <v>3.1274999999999999</v>
      </c>
      <c r="AH8" s="14">
        <f>'Tooth measurements raw data'!G29</f>
        <v>1.2375</v>
      </c>
      <c r="AI8" s="14">
        <f>'Tooth measurements raw data'!G31</f>
        <v>2.7675000000000001</v>
      </c>
      <c r="AJ8" s="14">
        <f>'Tooth measurements raw data'!G33</f>
        <v>1.2775000000000001</v>
      </c>
      <c r="AK8" s="14">
        <f>'Tooth measurements raw data'!G35</f>
        <v>2.8875000000000002</v>
      </c>
      <c r="AL8" s="14">
        <f>'Tooth measurements raw data'!G37</f>
        <v>0.77749999999999997</v>
      </c>
      <c r="AM8" s="14">
        <f>'Tooth measurements raw data'!G39</f>
        <v>1.6675</v>
      </c>
      <c r="AN8" s="14">
        <f>'Tooth measurements raw data'!G41</f>
        <v>2.0674999999999999</v>
      </c>
      <c r="AO8" s="14">
        <f>'Tooth measurements raw data'!G43</f>
        <v>0.77749999999999997</v>
      </c>
      <c r="AP8" s="14">
        <f>'Tooth measurements raw data'!G45</f>
        <v>1.6074999999999999</v>
      </c>
      <c r="AQ8" s="11" t="s">
        <v>80</v>
      </c>
      <c r="AT8" s="1">
        <v>2</v>
      </c>
    </row>
    <row r="9" spans="1:46" x14ac:dyDescent="0.2">
      <c r="A9" s="3"/>
      <c r="B9" s="671" t="s">
        <v>85</v>
      </c>
      <c r="C9" s="92"/>
      <c r="D9" s="67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3"/>
      <c r="Q9" s="92"/>
      <c r="R9" s="92"/>
      <c r="S9" s="92"/>
      <c r="T9" s="92"/>
      <c r="U9" s="91"/>
      <c r="V9" s="94"/>
      <c r="W9" s="95">
        <f>'Tooth measurements raw data'!G47</f>
        <v>3.1675</v>
      </c>
      <c r="X9" s="673">
        <f>'Tooth measurements raw data'!G49</f>
        <v>1.7175</v>
      </c>
      <c r="Y9" s="673">
        <f>'Tooth measurements raw data'!G51</f>
        <v>4.5175000000000001</v>
      </c>
      <c r="Z9" s="673">
        <f>'Tooth measurements raw data'!G54</f>
        <v>2.2675000000000001</v>
      </c>
      <c r="AA9" s="673">
        <f>'Tooth measurements raw data'!G56</f>
        <v>2.0674999999999999</v>
      </c>
      <c r="AB9" s="673">
        <f>'Tooth measurements raw data'!G58</f>
        <v>0.87749999999999995</v>
      </c>
      <c r="AC9" s="673">
        <f>'Tooth measurements raw data'!G60</f>
        <v>2.2075</v>
      </c>
      <c r="AD9" s="673">
        <f>'Tooth measurements raw data'!G62</f>
        <v>1.1475</v>
      </c>
      <c r="AE9" s="673">
        <f>'Tooth measurements raw data'!G64</f>
        <v>0.28749999999999998</v>
      </c>
      <c r="AF9" s="673">
        <f>'Tooth measurements raw data'!G66</f>
        <v>1.3975</v>
      </c>
      <c r="AG9" s="673">
        <f>'Tooth measurements raw data'!G68</f>
        <v>0.75749999999999995</v>
      </c>
      <c r="AH9" s="673">
        <f>'Tooth measurements raw data'!G70</f>
        <v>2.5874999999999999</v>
      </c>
      <c r="AI9" s="673">
        <f>'Tooth measurements raw data'!G72</f>
        <v>0.5675</v>
      </c>
      <c r="AJ9" s="673">
        <f>'Tooth measurements raw data'!G74</f>
        <v>1.6174999999999999</v>
      </c>
      <c r="AK9" s="673">
        <f>'Tooth measurements raw data'!G76</f>
        <v>2.6274999999999999</v>
      </c>
      <c r="AL9" s="673">
        <f>'Tooth measurements raw data'!G78</f>
        <v>0.61749999999999994</v>
      </c>
      <c r="AM9" s="673">
        <f>'Tooth measurements raw data'!G80</f>
        <v>1.1875</v>
      </c>
      <c r="AN9" s="673">
        <f>'Tooth measurements raw data'!G82</f>
        <v>2.7075</v>
      </c>
      <c r="AO9" s="673">
        <f>'Tooth measurements raw data'!G84</f>
        <v>0.90749999999999997</v>
      </c>
      <c r="AP9" s="673">
        <f>'Tooth measurements raw data'!G86</f>
        <v>1.6274999999999999</v>
      </c>
      <c r="AQ9" s="671" t="s">
        <v>85</v>
      </c>
      <c r="AR9" s="20"/>
      <c r="AS9" s="20"/>
    </row>
    <row r="10" spans="1:46" x14ac:dyDescent="0.2">
      <c r="A10" s="3">
        <v>2</v>
      </c>
      <c r="B10" s="11" t="s">
        <v>80</v>
      </c>
      <c r="C10" s="14"/>
      <c r="D10" s="19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7"/>
      <c r="R10" s="14"/>
      <c r="S10" s="14"/>
      <c r="T10" s="14"/>
      <c r="U10" s="14"/>
      <c r="V10" s="37"/>
      <c r="W10" s="7"/>
      <c r="X10" s="14"/>
      <c r="Y10" s="14"/>
      <c r="Z10" s="14"/>
      <c r="AA10" s="14">
        <f>'Tooth measurements raw data'!G13</f>
        <v>0.3775</v>
      </c>
      <c r="AB10" s="14"/>
      <c r="AC10" s="14">
        <f>'Tooth measurements raw data'!G18</f>
        <v>1.0075000000000001</v>
      </c>
      <c r="AD10" s="14"/>
      <c r="AE10" s="14"/>
      <c r="AF10" s="14"/>
      <c r="AG10" s="14">
        <f>'Tooth measurements raw data'!G27</f>
        <v>0.3075</v>
      </c>
      <c r="AH10" s="14"/>
      <c r="AI10" s="14"/>
      <c r="AJ10" s="14"/>
      <c r="AK10" s="14"/>
      <c r="AL10" s="14"/>
      <c r="AM10" s="14"/>
      <c r="AN10" s="14"/>
      <c r="AO10" s="14"/>
      <c r="AP10" s="14"/>
      <c r="AQ10" s="11" t="s">
        <v>80</v>
      </c>
      <c r="AT10" s="1">
        <v>3</v>
      </c>
    </row>
    <row r="11" spans="1:46" x14ac:dyDescent="0.2">
      <c r="A11" s="3"/>
      <c r="B11" s="13" t="s">
        <v>85</v>
      </c>
      <c r="C11" s="14"/>
      <c r="D11" s="19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7"/>
      <c r="R11" s="14"/>
      <c r="S11" s="14"/>
      <c r="T11" s="14"/>
      <c r="U11" s="14"/>
      <c r="V11" s="18"/>
      <c r="W11" s="7"/>
      <c r="X11" s="14"/>
      <c r="Y11" s="14">
        <f>'Tooth measurements raw data'!G52</f>
        <v>0.51749999999999996</v>
      </c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3" t="s">
        <v>85</v>
      </c>
    </row>
    <row r="12" spans="1:46" x14ac:dyDescent="0.2">
      <c r="A12" s="3"/>
      <c r="B12" s="3"/>
      <c r="C12" s="90"/>
      <c r="D12" s="3"/>
      <c r="E12" s="3"/>
      <c r="F12" s="3"/>
      <c r="G12" s="90"/>
      <c r="H12" s="90"/>
      <c r="I12" s="90"/>
      <c r="J12" s="90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M12" s="4"/>
    </row>
    <row r="13" spans="1:46" x14ac:dyDescent="0.2">
      <c r="A13" s="4"/>
      <c r="B13" s="2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D13" s="3"/>
      <c r="AE13" s="3"/>
      <c r="AF13" s="3"/>
      <c r="AG13" s="3"/>
      <c r="AH13" s="3"/>
      <c r="AI13" s="3"/>
      <c r="AQ13" s="6" t="s">
        <v>2</v>
      </c>
      <c r="AR13" s="3"/>
    </row>
    <row r="14" spans="1:46" x14ac:dyDescent="0.2">
      <c r="A14" s="2" t="s">
        <v>35</v>
      </c>
      <c r="B14" s="2"/>
      <c r="W14" s="1">
        <f t="shared" ref="W14:AP14" si="0">W6/W7</f>
        <v>0.60798934753661782</v>
      </c>
      <c r="X14" s="1">
        <f t="shared" si="0"/>
        <v>0.63088280529067975</v>
      </c>
      <c r="Y14" s="1">
        <f t="shared" si="0"/>
        <v>1.0598767243909597</v>
      </c>
      <c r="Z14" s="1">
        <f t="shared" si="0"/>
        <v>1.0260615592001796</v>
      </c>
      <c r="AA14" s="1">
        <f t="shared" si="0"/>
        <v>1.0330360092500825</v>
      </c>
      <c r="AB14" s="1">
        <f t="shared" si="0"/>
        <v>1.193812896011927</v>
      </c>
      <c r="AC14" s="1">
        <f>AC6/AC7</f>
        <v>1.3940698230511719</v>
      </c>
      <c r="AD14" s="1">
        <f t="shared" si="0"/>
        <v>2.0436227669297882</v>
      </c>
      <c r="AE14" s="1">
        <f t="shared" si="0"/>
        <v>1.7168027503223033</v>
      </c>
      <c r="AF14" s="1">
        <f t="shared" si="0"/>
        <v>1.9230769230769229</v>
      </c>
      <c r="AG14" s="1">
        <f t="shared" si="0"/>
        <v>1.7310282891782667</v>
      </c>
      <c r="AH14" s="1">
        <f t="shared" si="0"/>
        <v>0.96377446684195145</v>
      </c>
      <c r="AI14" s="1">
        <f t="shared" si="0"/>
        <v>1.199801521667218</v>
      </c>
      <c r="AJ14" s="1">
        <f t="shared" si="0"/>
        <v>1.0254408788667244</v>
      </c>
      <c r="AK14" s="1">
        <f t="shared" si="0"/>
        <v>1.4222145567437048</v>
      </c>
      <c r="AL14" s="1">
        <f t="shared" si="0"/>
        <v>1.167300380228137</v>
      </c>
      <c r="AM14" s="1">
        <f t="shared" si="0"/>
        <v>1.3448009277155004</v>
      </c>
      <c r="AN14" s="1">
        <f t="shared" si="0"/>
        <v>1.2157744176542704</v>
      </c>
      <c r="AO14" s="1">
        <f t="shared" si="0"/>
        <v>1.0198429102935098</v>
      </c>
      <c r="AP14" s="1">
        <f t="shared" si="0"/>
        <v>1.062528735632184</v>
      </c>
      <c r="AQ14" s="3">
        <f>(SUM(W14:AP14))/20</f>
        <v>1.2390869344941051</v>
      </c>
      <c r="AR14" s="3"/>
    </row>
    <row r="15" spans="1:46" x14ac:dyDescent="0.2">
      <c r="A15" s="2"/>
      <c r="B15" s="2"/>
      <c r="W15" s="1">
        <f t="shared" ref="W15:AP15" si="1">W8/W9</f>
        <v>0.40331491712707185</v>
      </c>
      <c r="X15" s="1">
        <f t="shared" si="1"/>
        <v>1.2736535662299855</v>
      </c>
      <c r="Y15" s="1">
        <f t="shared" si="1"/>
        <v>0.66795794133923636</v>
      </c>
      <c r="Z15" s="1">
        <f t="shared" si="1"/>
        <v>1</v>
      </c>
      <c r="AA15" s="1">
        <f t="shared" si="1"/>
        <v>1.3675937122128174</v>
      </c>
      <c r="AB15" s="1">
        <f t="shared" si="1"/>
        <v>2.2877492877492878</v>
      </c>
      <c r="AC15" s="1">
        <f t="shared" si="1"/>
        <v>2.6262740656851644</v>
      </c>
      <c r="AD15" s="1">
        <f t="shared" si="1"/>
        <v>2.8823529411764706</v>
      </c>
      <c r="AE15" s="1">
        <f t="shared" si="1"/>
        <v>5.6956521739130439</v>
      </c>
      <c r="AF15" s="1">
        <f t="shared" si="1"/>
        <v>1.7298747763864044</v>
      </c>
      <c r="AG15" s="1">
        <f t="shared" si="1"/>
        <v>4.1287128712871288</v>
      </c>
      <c r="AH15" s="1">
        <f t="shared" si="1"/>
        <v>0.47826086956521741</v>
      </c>
      <c r="AI15" s="1">
        <f t="shared" si="1"/>
        <v>4.8766519823788546</v>
      </c>
      <c r="AJ15" s="1">
        <f t="shared" si="1"/>
        <v>0.78979907264296767</v>
      </c>
      <c r="AK15" s="1">
        <f t="shared" si="1"/>
        <v>1.0989533777354901</v>
      </c>
      <c r="AL15" s="1">
        <f t="shared" si="1"/>
        <v>1.2591093117408907</v>
      </c>
      <c r="AM15" s="1">
        <f t="shared" si="1"/>
        <v>1.4042105263157894</v>
      </c>
      <c r="AN15" s="1">
        <f t="shared" si="1"/>
        <v>0.76361957525392421</v>
      </c>
      <c r="AO15" s="1">
        <f t="shared" si="1"/>
        <v>0.85674931129476584</v>
      </c>
      <c r="AP15" s="1">
        <f t="shared" si="1"/>
        <v>0.98771121351766511</v>
      </c>
      <c r="AQ15" s="3">
        <f>(SUM(W15:AP15))/20</f>
        <v>1.8289100746776086</v>
      </c>
    </row>
    <row r="16" spans="1:46" x14ac:dyDescent="0.2">
      <c r="A16" s="2"/>
      <c r="B16" s="2"/>
      <c r="Y16" s="1">
        <f t="shared" ref="Y16" si="2">Y10/Y11</f>
        <v>0</v>
      </c>
      <c r="AQ16" s="3"/>
    </row>
    <row r="17" spans="1:36" x14ac:dyDescent="0.2">
      <c r="A17" s="2"/>
      <c r="B17" s="2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2"/>
      <c r="AB17" s="2"/>
      <c r="AC17" s="3"/>
      <c r="AD17" s="3"/>
      <c r="AE17" s="3"/>
      <c r="AF17" s="3"/>
      <c r="AG17" s="3"/>
      <c r="AH17" s="3"/>
      <c r="AI17" s="3"/>
      <c r="AJ17" s="3"/>
    </row>
    <row r="18" spans="1:36" x14ac:dyDescent="0.2">
      <c r="A18" s="2"/>
      <c r="B18" s="2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2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">
      <c r="A19" s="2"/>
      <c r="B19" s="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2"/>
      <c r="AB19" s="2"/>
      <c r="AC19" s="3"/>
      <c r="AD19" s="3"/>
      <c r="AE19" s="3"/>
      <c r="AF19" s="3"/>
      <c r="AG19" s="3"/>
      <c r="AH19" s="3"/>
      <c r="AI19" s="3"/>
      <c r="AJ19" s="3"/>
    </row>
    <row r="20" spans="1:36" x14ac:dyDescent="0.2">
      <c r="A20" s="2"/>
      <c r="B20" s="2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2"/>
      <c r="AB20" s="2"/>
      <c r="AC20" s="3"/>
      <c r="AD20" s="3"/>
      <c r="AE20" s="3"/>
      <c r="AF20" s="3"/>
      <c r="AG20" s="3"/>
      <c r="AH20" s="3"/>
      <c r="AI20" s="3"/>
      <c r="AJ20" s="3"/>
    </row>
    <row r="21" spans="1:36" x14ac:dyDescent="0.2">
      <c r="A21" s="2"/>
      <c r="B21" s="2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2"/>
      <c r="AB21" s="2"/>
      <c r="AC21" s="3"/>
      <c r="AD21" s="3"/>
      <c r="AE21" s="3"/>
      <c r="AF21" s="3"/>
      <c r="AG21" s="3"/>
      <c r="AH21" s="3"/>
      <c r="AI21" s="3"/>
      <c r="AJ21" s="3"/>
    </row>
    <row r="22" spans="1:36" x14ac:dyDescent="0.2">
      <c r="A22" s="2"/>
      <c r="B22" s="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2"/>
      <c r="AB22" s="2"/>
      <c r="AC22" s="3"/>
      <c r="AD22" s="3"/>
      <c r="AE22" s="3"/>
      <c r="AF22" s="3"/>
      <c r="AG22" s="3"/>
      <c r="AH22" s="3"/>
      <c r="AI22" s="3"/>
      <c r="AJ22" s="3"/>
    </row>
    <row r="23" spans="1:36" x14ac:dyDescent="0.2">
      <c r="A23" s="5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">
      <c r="A24" s="5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">
      <c r="A25" s="5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">
      <c r="A26" s="5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">
      <c r="A27" s="5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">
      <c r="A28" s="5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">
      <c r="A29" s="5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6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1:36" x14ac:dyDescent="0.2">
      <c r="AC32" s="5"/>
      <c r="AD32" s="5"/>
      <c r="AE32" s="5"/>
      <c r="AF32" s="5"/>
    </row>
    <row r="33" spans="1:32" x14ac:dyDescent="0.2">
      <c r="AC33" s="5"/>
      <c r="AD33" s="5"/>
      <c r="AE33" s="5"/>
      <c r="AF33" s="5"/>
    </row>
    <row r="34" spans="1:32" x14ac:dyDescent="0.2">
      <c r="AC34" s="5"/>
      <c r="AD34" s="5"/>
      <c r="AE34" s="5"/>
      <c r="AF34" s="5"/>
    </row>
    <row r="35" spans="1:32" x14ac:dyDescent="0.2">
      <c r="AC35" s="5"/>
      <c r="AD35" s="5"/>
      <c r="AE35" s="5"/>
      <c r="AF35" s="5"/>
    </row>
    <row r="36" spans="1:32" x14ac:dyDescent="0.2">
      <c r="AC36" s="5"/>
      <c r="AD36" s="5"/>
      <c r="AE36" s="5"/>
      <c r="AF36" s="5"/>
    </row>
    <row r="37" spans="1:32" x14ac:dyDescent="0.2">
      <c r="AC37" s="5"/>
      <c r="AD37" s="5"/>
      <c r="AE37" s="5"/>
      <c r="AF37" s="5"/>
    </row>
    <row r="38" spans="1:32" x14ac:dyDescent="0.2">
      <c r="AC38" s="5"/>
      <c r="AD38" s="5"/>
      <c r="AE38" s="5"/>
      <c r="AF38" s="5"/>
    </row>
    <row r="39" spans="1:32" x14ac:dyDescent="0.2">
      <c r="AC39" s="5"/>
      <c r="AD39" s="5"/>
      <c r="AE39" s="5"/>
      <c r="AF39" s="5"/>
    </row>
    <row r="40" spans="1:32" x14ac:dyDescent="0.2">
      <c r="AC40" s="5"/>
      <c r="AD40" s="5"/>
      <c r="AE40" s="5"/>
      <c r="AF40" s="5"/>
    </row>
    <row r="41" spans="1:32" x14ac:dyDescent="0.2">
      <c r="AC41" s="5"/>
      <c r="AD41" s="5"/>
      <c r="AE41" s="5"/>
      <c r="AF41" s="5"/>
    </row>
    <row r="42" spans="1:32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5"/>
      <c r="AD42" s="5"/>
      <c r="AE42" s="5"/>
      <c r="AF42" s="5"/>
    </row>
    <row r="43" spans="1:32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spans="1:32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spans="1:32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spans="1:32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60" spans="1:46" x14ac:dyDescent="0.2">
      <c r="V60" s="5"/>
      <c r="W60" s="5"/>
      <c r="X60" s="5"/>
      <c r="Y60" s="5"/>
      <c r="Z60" s="5"/>
      <c r="AA60" s="5"/>
      <c r="AB60" s="5"/>
      <c r="AC60" s="5"/>
    </row>
    <row r="61" spans="1:46" x14ac:dyDescent="0.2">
      <c r="A61" s="5"/>
      <c r="B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 t="s">
        <v>81</v>
      </c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spans="1:46" x14ac:dyDescent="0.2">
      <c r="A62" s="5"/>
      <c r="B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10"/>
      <c r="R62" s="5"/>
      <c r="S62" s="5"/>
      <c r="T62" s="5"/>
      <c r="U62" s="90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46" x14ac:dyDescent="0.2">
      <c r="A63" s="2"/>
      <c r="B63" s="2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3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5"/>
      <c r="AR63" s="5"/>
      <c r="AS63" s="5"/>
      <c r="AT63" s="5"/>
    </row>
    <row r="64" spans="1:46" x14ac:dyDescent="0.2">
      <c r="A64" s="2"/>
      <c r="B64" s="2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</row>
    <row r="65" spans="1:46" x14ac:dyDescent="0.2">
      <c r="A65" s="3"/>
      <c r="B65" s="170"/>
      <c r="C65" s="171"/>
      <c r="D65" s="9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4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170"/>
      <c r="AR65" s="5"/>
      <c r="AS65" s="5"/>
      <c r="AT65" s="5"/>
    </row>
    <row r="66" spans="1:46" x14ac:dyDescent="0.2">
      <c r="A66" s="3"/>
      <c r="B66" s="2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2"/>
      <c r="AR66" s="5"/>
      <c r="AS66" s="5"/>
      <c r="AT66" s="5"/>
    </row>
    <row r="67" spans="1:46" x14ac:dyDescent="0.2">
      <c r="A67" s="3"/>
      <c r="B67" s="170"/>
      <c r="C67" s="171"/>
      <c r="D67" s="90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170"/>
      <c r="AR67" s="5"/>
      <c r="AS67" s="5"/>
      <c r="AT67" s="5"/>
    </row>
    <row r="68" spans="1:46" x14ac:dyDescent="0.2">
      <c r="A68" s="3"/>
      <c r="B68" s="2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2"/>
      <c r="AR68" s="5"/>
      <c r="AS68" s="5"/>
      <c r="AT68" s="5"/>
    </row>
    <row r="69" spans="1:46" x14ac:dyDescent="0.2">
      <c r="A69" s="3"/>
      <c r="B69" s="170"/>
      <c r="C69" s="3"/>
      <c r="D69" s="90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171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170"/>
      <c r="AR69" s="5"/>
      <c r="AS69" s="5"/>
      <c r="AT69" s="5"/>
    </row>
    <row r="70" spans="1:46" x14ac:dyDescent="0.2">
      <c r="A70" s="3"/>
      <c r="B70" s="2"/>
      <c r="C70" s="3"/>
      <c r="D70" s="90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90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2"/>
      <c r="AR70" s="5"/>
      <c r="AS70" s="5"/>
      <c r="AT70" s="5"/>
    </row>
    <row r="71" spans="1:46" x14ac:dyDescent="0.2">
      <c r="A71" s="3"/>
      <c r="B71" s="3"/>
      <c r="C71" s="90"/>
      <c r="D71" s="3"/>
      <c r="E71" s="3"/>
      <c r="F71" s="3"/>
      <c r="G71" s="90"/>
      <c r="H71" s="90"/>
      <c r="I71" s="90"/>
      <c r="J71" s="9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5"/>
      <c r="AM71" s="4"/>
      <c r="AN71" s="5"/>
      <c r="AO71" s="5"/>
      <c r="AP71" s="5"/>
      <c r="AQ71" s="5"/>
      <c r="AR71" s="5"/>
      <c r="AS71" s="5"/>
      <c r="AT71" s="5"/>
    </row>
    <row r="72" spans="1:46" x14ac:dyDescent="0.2">
      <c r="A72" s="4"/>
      <c r="B72" s="2"/>
      <c r="C72" s="5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"/>
      <c r="AD72" s="3"/>
      <c r="AE72" s="3"/>
      <c r="AF72" s="3"/>
      <c r="AG72" s="3"/>
      <c r="AH72" s="3"/>
      <c r="AI72" s="3"/>
      <c r="AJ72" s="5"/>
      <c r="AK72" s="5"/>
      <c r="AL72" s="5"/>
      <c r="AM72" s="5"/>
      <c r="AN72" s="5"/>
      <c r="AO72" s="5"/>
      <c r="AP72" s="5"/>
      <c r="AQ72" s="6"/>
      <c r="AR72" s="3"/>
      <c r="AS72" s="5"/>
      <c r="AT72" s="5"/>
    </row>
    <row r="73" spans="1:46" x14ac:dyDescent="0.2">
      <c r="A73" s="2"/>
      <c r="B73" s="2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3"/>
      <c r="AR73" s="3"/>
      <c r="AS73" s="5"/>
      <c r="AT73" s="5"/>
    </row>
    <row r="74" spans="1:46" x14ac:dyDescent="0.2">
      <c r="A74" s="2"/>
      <c r="B74" s="2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3"/>
      <c r="AR74" s="5"/>
      <c r="AS74" s="5"/>
      <c r="AT74" s="5"/>
    </row>
    <row r="75" spans="1:46" x14ac:dyDescent="0.2">
      <c r="A75" s="2"/>
      <c r="B75" s="2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3"/>
      <c r="AR75" s="5"/>
      <c r="AS75" s="5"/>
      <c r="AT75" s="5"/>
    </row>
    <row r="76" spans="1:46" x14ac:dyDescent="0.2">
      <c r="A76" s="2"/>
      <c r="B76" s="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2"/>
      <c r="AB76" s="2"/>
      <c r="AC76" s="3"/>
      <c r="AD76" s="3"/>
      <c r="AE76" s="3"/>
      <c r="AF76" s="3"/>
      <c r="AG76" s="3"/>
      <c r="AH76" s="3"/>
      <c r="AI76" s="3"/>
      <c r="AJ76" s="3"/>
      <c r="AK76" s="5"/>
      <c r="AL76" s="5"/>
      <c r="AM76" s="5"/>
      <c r="AN76" s="5"/>
      <c r="AO76" s="5"/>
      <c r="AP76" s="5"/>
      <c r="AQ76" s="5"/>
      <c r="AR76" s="5"/>
      <c r="AS76" s="5"/>
      <c r="AT76" s="5"/>
    </row>
    <row r="77" spans="1:46" x14ac:dyDescent="0.2">
      <c r="A77" s="2"/>
      <c r="B77" s="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2"/>
      <c r="AB77" s="3"/>
      <c r="AC77" s="3"/>
      <c r="AD77" s="3"/>
      <c r="AE77" s="3"/>
      <c r="AF77" s="3"/>
      <c r="AG77" s="3"/>
      <c r="AH77" s="3"/>
      <c r="AI77" s="3"/>
      <c r="AJ77" s="3"/>
      <c r="AK77" s="5"/>
      <c r="AL77" s="5"/>
      <c r="AM77" s="5"/>
      <c r="AN77" s="5"/>
      <c r="AO77" s="5"/>
      <c r="AP77" s="5"/>
      <c r="AQ77" s="5"/>
      <c r="AR77" s="5"/>
      <c r="AS77" s="5"/>
      <c r="AT77" s="5"/>
    </row>
    <row r="78" spans="1:46" x14ac:dyDescent="0.2">
      <c r="A78" s="2"/>
      <c r="B78" s="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2"/>
      <c r="AB78" s="2"/>
      <c r="AC78" s="3"/>
      <c r="AD78" s="3"/>
      <c r="AE78" s="3"/>
      <c r="AF78" s="3"/>
      <c r="AG78" s="3"/>
      <c r="AH78" s="3"/>
      <c r="AI78" s="3"/>
      <c r="AJ78" s="3"/>
    </row>
    <row r="79" spans="1:46" x14ac:dyDescent="0.2">
      <c r="A79" s="2"/>
      <c r="B79" s="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2"/>
      <c r="AB79" s="2"/>
      <c r="AC79" s="3"/>
      <c r="AD79" s="3"/>
      <c r="AE79" s="3"/>
      <c r="AF79" s="3"/>
      <c r="AG79" s="3"/>
      <c r="AH79" s="3"/>
      <c r="AI79" s="3"/>
      <c r="AJ79" s="3"/>
    </row>
    <row r="80" spans="1:46" x14ac:dyDescent="0.2">
      <c r="A80" s="2"/>
      <c r="B80" s="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2"/>
      <c r="AB80" s="2"/>
      <c r="AC80" s="3"/>
      <c r="AD80" s="3"/>
      <c r="AE80" s="3"/>
      <c r="AF80" s="3"/>
      <c r="AG80" s="3"/>
      <c r="AH80" s="3"/>
      <c r="AI80" s="3"/>
      <c r="AJ80" s="3"/>
    </row>
    <row r="81" spans="1:36" x14ac:dyDescent="0.2">
      <c r="A81" s="2"/>
      <c r="B81" s="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2"/>
      <c r="AB81" s="2"/>
      <c r="AC81" s="3"/>
      <c r="AD81" s="3"/>
      <c r="AE81" s="3"/>
      <c r="AF81" s="3"/>
      <c r="AG81" s="3"/>
      <c r="AH81" s="3"/>
      <c r="AI81" s="3"/>
      <c r="AJ81" s="3"/>
    </row>
    <row r="82" spans="1:36" x14ac:dyDescent="0.2">
      <c r="A82" s="5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">
      <c r="A83" s="5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">
      <c r="A84" s="5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">
      <c r="A85" s="5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">
      <c r="A86" s="5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">
      <c r="A87" s="5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">
      <c r="A88" s="5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spans="1:36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spans="1:36" x14ac:dyDescent="0.2">
      <c r="AC91" s="5"/>
      <c r="AD91" s="5"/>
      <c r="AE91" s="5"/>
      <c r="AF91" s="5"/>
    </row>
    <row r="92" spans="1:36" x14ac:dyDescent="0.2">
      <c r="AC92" s="5"/>
      <c r="AD92" s="5"/>
      <c r="AE92" s="5"/>
      <c r="AF92" s="5"/>
    </row>
    <row r="93" spans="1:36" x14ac:dyDescent="0.2">
      <c r="AC93" s="5"/>
      <c r="AD93" s="5"/>
      <c r="AE93" s="5"/>
      <c r="AF93" s="5"/>
    </row>
    <row r="94" spans="1:36" x14ac:dyDescent="0.2">
      <c r="AC94" s="5"/>
      <c r="AD94" s="5"/>
      <c r="AE94" s="5"/>
      <c r="AF94" s="5"/>
    </row>
    <row r="95" spans="1:36" x14ac:dyDescent="0.2">
      <c r="AC95" s="5"/>
      <c r="AD95" s="5"/>
      <c r="AE95" s="5"/>
      <c r="AF95" s="5"/>
    </row>
    <row r="96" spans="1:36" x14ac:dyDescent="0.2">
      <c r="AC96" s="5"/>
      <c r="AD96" s="5"/>
      <c r="AE96" s="5"/>
      <c r="AF96" s="5"/>
    </row>
    <row r="97" spans="1:46" x14ac:dyDescent="0.2">
      <c r="AC97" s="5"/>
      <c r="AD97" s="5"/>
      <c r="AE97" s="5"/>
      <c r="AF97" s="5"/>
    </row>
    <row r="98" spans="1:46" x14ac:dyDescent="0.2">
      <c r="C98" s="5" t="s">
        <v>82</v>
      </c>
      <c r="W98" s="5" t="s">
        <v>84</v>
      </c>
      <c r="X98" s="5"/>
      <c r="Y98" s="5"/>
      <c r="Z98" s="5"/>
      <c r="AA98" s="5"/>
      <c r="AB98" s="5"/>
      <c r="AC98" s="5"/>
      <c r="AD98" s="5"/>
      <c r="AE98" s="5"/>
      <c r="AF98" s="5"/>
    </row>
    <row r="99" spans="1:46" x14ac:dyDescent="0.2">
      <c r="C99" s="1" t="s">
        <v>83</v>
      </c>
      <c r="X99" s="5"/>
      <c r="Y99" s="5"/>
      <c r="Z99" s="5"/>
      <c r="AA99" s="5"/>
      <c r="AB99" s="17"/>
      <c r="AC99" s="5"/>
      <c r="AD99" s="5"/>
      <c r="AE99" s="5"/>
      <c r="AF99" s="5"/>
    </row>
    <row r="100" spans="1:46" x14ac:dyDescent="0.2">
      <c r="A100" s="2"/>
      <c r="B100" s="13"/>
      <c r="C100" s="92">
        <v>20</v>
      </c>
      <c r="D100" s="91">
        <v>19</v>
      </c>
      <c r="E100" s="92">
        <v>18</v>
      </c>
      <c r="F100" s="92">
        <v>17</v>
      </c>
      <c r="G100" s="92">
        <v>16</v>
      </c>
      <c r="H100" s="92">
        <v>15</v>
      </c>
      <c r="I100" s="92">
        <v>14</v>
      </c>
      <c r="J100" s="92">
        <v>13</v>
      </c>
      <c r="K100" s="92">
        <v>12</v>
      </c>
      <c r="L100" s="92">
        <v>11</v>
      </c>
      <c r="M100" s="92">
        <v>10</v>
      </c>
      <c r="N100" s="92">
        <v>9</v>
      </c>
      <c r="O100" s="92">
        <v>8</v>
      </c>
      <c r="P100" s="93">
        <v>7</v>
      </c>
      <c r="Q100" s="92">
        <v>6</v>
      </c>
      <c r="R100" s="92">
        <v>5</v>
      </c>
      <c r="S100" s="92">
        <v>4</v>
      </c>
      <c r="T100" s="92">
        <v>3</v>
      </c>
      <c r="U100" s="91">
        <v>2</v>
      </c>
      <c r="V100" s="94">
        <v>1</v>
      </c>
      <c r="W100" s="95">
        <v>1</v>
      </c>
      <c r="X100" s="96">
        <v>2</v>
      </c>
      <c r="Y100" s="96">
        <v>3</v>
      </c>
      <c r="Z100" s="96">
        <v>4</v>
      </c>
      <c r="AA100" s="96">
        <v>5</v>
      </c>
      <c r="AB100" s="96">
        <v>6</v>
      </c>
      <c r="AC100" s="96">
        <v>7</v>
      </c>
      <c r="AD100" s="96">
        <v>8</v>
      </c>
      <c r="AE100" s="96">
        <v>9</v>
      </c>
      <c r="AF100" s="96">
        <v>10</v>
      </c>
      <c r="AG100" s="96">
        <v>11</v>
      </c>
      <c r="AH100" s="96">
        <v>12</v>
      </c>
      <c r="AI100" s="96">
        <v>13</v>
      </c>
      <c r="AJ100" s="96">
        <v>14</v>
      </c>
      <c r="AK100" s="96">
        <v>15</v>
      </c>
      <c r="AL100" s="96">
        <v>16</v>
      </c>
      <c r="AM100" s="96">
        <v>17</v>
      </c>
      <c r="AN100" s="96">
        <v>18</v>
      </c>
      <c r="AO100" s="96">
        <v>19</v>
      </c>
      <c r="AP100" s="96">
        <v>20</v>
      </c>
      <c r="AQ100" s="97">
        <v>21</v>
      </c>
      <c r="AR100" s="5"/>
    </row>
    <row r="101" spans="1:46" x14ac:dyDescent="0.2">
      <c r="A101" s="2" t="s">
        <v>1</v>
      </c>
      <c r="B101" s="13"/>
      <c r="C101" s="12"/>
      <c r="D101" s="19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9"/>
      <c r="Q101" s="12"/>
      <c r="R101" s="12"/>
      <c r="S101" s="12"/>
      <c r="T101" s="12"/>
      <c r="U101" s="16"/>
      <c r="V101" s="18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172"/>
      <c r="AR101" s="5"/>
    </row>
    <row r="102" spans="1:46" x14ac:dyDescent="0.2">
      <c r="A102" s="3" t="s">
        <v>151</v>
      </c>
      <c r="B102" s="11" t="s">
        <v>80</v>
      </c>
      <c r="C102" s="15"/>
      <c r="D102" s="19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8"/>
      <c r="Q102" s="15"/>
      <c r="R102" s="15"/>
      <c r="S102" s="15"/>
      <c r="T102" s="15"/>
      <c r="U102" s="36"/>
      <c r="V102" s="37"/>
      <c r="W102" s="39">
        <f>'Tooth measurements raw data'!G87</f>
        <v>3.2027999999999999</v>
      </c>
      <c r="X102" s="14">
        <f>'Tooth measurements raw data'!G89</f>
        <v>2.5327999999999999</v>
      </c>
      <c r="Y102" s="14">
        <f>'Tooth measurements raw data'!G91</f>
        <v>4.9228000000000005</v>
      </c>
      <c r="Z102" s="14">
        <f>'Tooth measurements raw data'!G93</f>
        <v>4.1328000000000005</v>
      </c>
      <c r="AA102" s="14">
        <f>'Tooth measurements raw data'!G95</f>
        <v>4.5928000000000004</v>
      </c>
      <c r="AB102" s="14">
        <f>'Tooth measurements raw data'!G97</f>
        <v>4.5528000000000004</v>
      </c>
      <c r="AC102" s="14">
        <f>'Tooth measurements raw data'!G99</f>
        <v>4.2228000000000003</v>
      </c>
      <c r="AD102" s="14">
        <f>'Tooth measurements raw data'!G101</f>
        <v>6.3228</v>
      </c>
      <c r="AE102" s="14">
        <f>'Tooth measurements raw data'!G103</f>
        <v>4.9028</v>
      </c>
      <c r="AF102" s="14">
        <f>'Tooth measurements raw data'!G105</f>
        <v>5.8728000000000007</v>
      </c>
      <c r="AG102" s="14">
        <f>'Tooth measurements raw data'!G107</f>
        <v>4.0428000000000006</v>
      </c>
      <c r="AH102" s="14">
        <f>'Tooth measurements raw data'!G109</f>
        <v>4.0528000000000004</v>
      </c>
      <c r="AI102" s="14">
        <f>'Tooth measurements raw data'!G111</f>
        <v>3.1027999999999998</v>
      </c>
      <c r="AJ102" s="14">
        <f>'Tooth measurements raw data'!G114</f>
        <v>4.7628000000000004</v>
      </c>
      <c r="AK102" s="14">
        <f>'Tooth measurements raw data'!G116</f>
        <v>3.9327999999999999</v>
      </c>
      <c r="AL102" s="14">
        <f>'Tooth measurements raw data'!G118</f>
        <v>4.7328000000000001</v>
      </c>
      <c r="AM102" s="14">
        <f>'Tooth measurements raw data'!G120</f>
        <v>4.5628000000000002</v>
      </c>
      <c r="AN102" s="14">
        <f>'Tooth measurements raw data'!G122</f>
        <v>3.8828</v>
      </c>
      <c r="AO102" s="14">
        <f>'Tooth measurements raw data'!G124</f>
        <v>3.2227999999999999</v>
      </c>
      <c r="AP102" s="14">
        <f>'Tooth measurements raw data'!G125</f>
        <v>2.8727999999999998</v>
      </c>
      <c r="AQ102" s="97">
        <f>'Tooth measurements raw data'!G127</f>
        <v>1.1528</v>
      </c>
      <c r="AR102" s="11" t="s">
        <v>80</v>
      </c>
      <c r="AT102" s="1" t="s">
        <v>151</v>
      </c>
    </row>
    <row r="103" spans="1:46" x14ac:dyDescent="0.2">
      <c r="A103" s="674"/>
      <c r="B103" s="671" t="s">
        <v>85</v>
      </c>
      <c r="C103" s="92"/>
      <c r="D103" s="67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3"/>
      <c r="Q103" s="92"/>
      <c r="R103" s="92"/>
      <c r="S103" s="92"/>
      <c r="T103" s="92"/>
      <c r="U103" s="91"/>
      <c r="V103" s="94"/>
      <c r="W103" s="672">
        <f>'Tooth measurements raw data'!G128</f>
        <v>5.1628000000000007</v>
      </c>
      <c r="X103" s="673">
        <f>'Tooth measurements raw data'!G130</f>
        <v>2.1728000000000001</v>
      </c>
      <c r="Y103" s="673">
        <f>'Tooth measurements raw data'!G132</f>
        <v>4.4428000000000001</v>
      </c>
      <c r="Z103" s="673">
        <f>'Tooth measurements raw data'!G134</f>
        <v>3.7527999999999997</v>
      </c>
      <c r="AA103" s="673">
        <f>'Tooth measurements raw data'!G136</f>
        <v>4.1828000000000003</v>
      </c>
      <c r="AB103" s="673">
        <f>'Tooth measurements raw data'!G138</f>
        <v>3.2427999999999999</v>
      </c>
      <c r="AC103" s="673">
        <f>'Tooth measurements raw data'!G140</f>
        <v>3.1928000000000001</v>
      </c>
      <c r="AD103" s="673">
        <f>'Tooth measurements raw data'!G142</f>
        <v>3.0427999999999997</v>
      </c>
      <c r="AE103" s="673">
        <f>'Tooth measurements raw data'!G144</f>
        <v>3.1027999999999998</v>
      </c>
      <c r="AF103" s="673">
        <f>'Tooth measurements raw data'!G146</f>
        <v>3.1827999999999999</v>
      </c>
      <c r="AG103" s="673">
        <f>'Tooth measurements raw data'!G148</f>
        <v>3.8828</v>
      </c>
      <c r="AH103" s="673">
        <f>'Tooth measurements raw data'!G150</f>
        <v>3.5627999999999997</v>
      </c>
      <c r="AI103" s="673">
        <f>'Tooth measurements raw data'!G152</f>
        <v>5.3928000000000003</v>
      </c>
      <c r="AJ103" s="673">
        <f>'Tooth measurements raw data'!G154</f>
        <v>4.1228000000000007</v>
      </c>
      <c r="AK103" s="673">
        <f>'Tooth measurements raw data'!G156</f>
        <v>4.2528000000000006</v>
      </c>
      <c r="AL103" s="673">
        <f>'Tooth measurements raw data'!G158</f>
        <v>3.7128000000000001</v>
      </c>
      <c r="AM103" s="673">
        <f>'Tooth measurements raw data'!G160</f>
        <v>3.3428</v>
      </c>
      <c r="AN103" s="673">
        <f>'Tooth measurements raw data'!G162</f>
        <v>3.3828</v>
      </c>
      <c r="AO103" s="673">
        <f>'Tooth measurements raw data'!G164</f>
        <v>3.4827999999999997</v>
      </c>
      <c r="AP103" s="673">
        <f>'Tooth measurements raw data'!G166</f>
        <v>2.8327999999999998</v>
      </c>
      <c r="AQ103" s="673"/>
      <c r="AR103" s="671" t="s">
        <v>85</v>
      </c>
      <c r="AS103" s="20"/>
      <c r="AT103" s="20"/>
    </row>
    <row r="104" spans="1:46" x14ac:dyDescent="0.2">
      <c r="A104" s="3">
        <v>1</v>
      </c>
      <c r="B104" s="11" t="s">
        <v>80</v>
      </c>
      <c r="C104" s="15"/>
      <c r="D104" s="19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8"/>
      <c r="Q104" s="15"/>
      <c r="R104" s="15"/>
      <c r="S104" s="15"/>
      <c r="T104" s="15"/>
      <c r="U104" s="36"/>
      <c r="V104" s="37"/>
      <c r="W104" s="8">
        <f>'Tooth measurements raw data'!G88</f>
        <v>0.25280000000000002</v>
      </c>
      <c r="X104" s="14">
        <f>'Tooth measurements raw data'!G90</f>
        <v>1.1528</v>
      </c>
      <c r="Y104" s="14">
        <f>'Tooth measurements raw data'!G92</f>
        <v>1.0528000000000002</v>
      </c>
      <c r="Z104" s="14">
        <f>'Tooth measurements raw data'!G94</f>
        <v>0.53280000000000005</v>
      </c>
      <c r="AA104" s="14">
        <f>'Tooth measurements raw data'!G96</f>
        <v>0.99280000000000002</v>
      </c>
      <c r="AB104" s="14">
        <f>'Tooth measurements raw data'!G98</f>
        <v>0.69279999999999997</v>
      </c>
      <c r="AC104" s="14">
        <f>'Tooth measurements raw data'!G100</f>
        <v>1.8028000000000002</v>
      </c>
      <c r="AD104" s="19">
        <f>'Tooth measurements raw data'!G102</f>
        <v>1.1028</v>
      </c>
      <c r="AE104" s="14">
        <f>'Tooth measurements raw data'!G104</f>
        <v>2.8028</v>
      </c>
      <c r="AF104" s="14">
        <f>'Tooth measurements raw data'!G106</f>
        <v>0.89280000000000004</v>
      </c>
      <c r="AG104" s="14">
        <f>'Tooth measurements raw data'!G108</f>
        <v>1.8428000000000002</v>
      </c>
      <c r="AH104" s="14">
        <f>'Tooth measurements raw data'!G110</f>
        <v>0.71279999999999999</v>
      </c>
      <c r="AI104" s="14">
        <f>'Tooth measurements raw data'!G112</f>
        <v>2.1128</v>
      </c>
      <c r="AJ104" s="14">
        <f>'Tooth measurements raw data'!G115</f>
        <v>1.0028000000000001</v>
      </c>
      <c r="AK104" s="14">
        <f>'Tooth measurements raw data'!G117</f>
        <v>0.46279999999999999</v>
      </c>
      <c r="AL104" s="14">
        <f>'Tooth measurements raw data'!G119</f>
        <v>1.3928</v>
      </c>
      <c r="AM104" s="14">
        <f>'Tooth measurements raw data'!G121</f>
        <v>0.36280000000000001</v>
      </c>
      <c r="AN104" s="14">
        <f>'Tooth measurements raw data'!G123</f>
        <v>0.7228</v>
      </c>
      <c r="AO104" s="14"/>
      <c r="AP104" s="14">
        <f>'Tooth measurements raw data'!G126</f>
        <v>0.33279999999999998</v>
      </c>
      <c r="AQ104" s="14"/>
      <c r="AR104" s="11" t="s">
        <v>80</v>
      </c>
      <c r="AT104" s="1">
        <v>1</v>
      </c>
    </row>
    <row r="105" spans="1:46" x14ac:dyDescent="0.2">
      <c r="A105" s="674"/>
      <c r="B105" s="671" t="s">
        <v>85</v>
      </c>
      <c r="C105" s="92"/>
      <c r="D105" s="67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3"/>
      <c r="Q105" s="92"/>
      <c r="R105" s="92"/>
      <c r="S105" s="92"/>
      <c r="T105" s="92"/>
      <c r="U105" s="91"/>
      <c r="V105" s="94"/>
      <c r="W105" s="672">
        <f>'Tooth measurements raw data'!G129</f>
        <v>1.4828000000000001</v>
      </c>
      <c r="X105" s="673">
        <f>'Tooth measurements raw data'!G131</f>
        <v>2.0728</v>
      </c>
      <c r="Y105" s="673">
        <f>'Tooth measurements raw data'!G133</f>
        <v>1.0928000000000002</v>
      </c>
      <c r="Z105" s="673">
        <f>'Tooth measurements raw data'!G135</f>
        <v>0.36280000000000001</v>
      </c>
      <c r="AA105" s="673">
        <f>'Tooth measurements raw data'!G137</f>
        <v>0.63280000000000003</v>
      </c>
      <c r="AB105" s="673">
        <f>'Tooth measurements raw data'!G139</f>
        <v>0.95279999999999998</v>
      </c>
      <c r="AC105" s="673">
        <f>'Tooth measurements raw data'!G141</f>
        <v>0.17280000000000001</v>
      </c>
      <c r="AD105" s="673">
        <f>'Tooth measurements raw data'!G143</f>
        <v>0.95279999999999998</v>
      </c>
      <c r="AE105" s="673">
        <f>'Tooth measurements raw data'!G145</f>
        <v>0.1628</v>
      </c>
      <c r="AF105" s="673">
        <f>'Tooth measurements raw data'!G147</f>
        <v>0.7228</v>
      </c>
      <c r="AG105" s="673">
        <f>'Tooth measurements raw data'!G149</f>
        <v>0.45279999999999998</v>
      </c>
      <c r="AH105" s="673">
        <f>'Tooth measurements raw data'!G151</f>
        <v>1.6128</v>
      </c>
      <c r="AI105" s="673">
        <f>'Tooth measurements raw data'!G153</f>
        <v>0.80279999999999996</v>
      </c>
      <c r="AJ105" s="673">
        <f>'Tooth measurements raw data'!G155</f>
        <v>1.6928000000000001</v>
      </c>
      <c r="AK105" s="673">
        <f>'Tooth measurements raw data'!G157</f>
        <v>0.30280000000000001</v>
      </c>
      <c r="AL105" s="673">
        <f>'Tooth measurements raw data'!G159</f>
        <v>0.84279999999999999</v>
      </c>
      <c r="AM105" s="673">
        <f>'Tooth measurements raw data'!G161</f>
        <v>0.15279999999999999</v>
      </c>
      <c r="AN105" s="673">
        <f>'Tooth measurements raw data'!G163</f>
        <v>0.68279999999999996</v>
      </c>
      <c r="AO105" s="673">
        <f>'Tooth measurements raw data'!G165</f>
        <v>0.11280000000000001</v>
      </c>
      <c r="AP105" s="673">
        <f>'Tooth measurements raw data'!G167</f>
        <v>0.42280000000000001</v>
      </c>
      <c r="AQ105" s="673"/>
      <c r="AR105" s="671" t="s">
        <v>85</v>
      </c>
      <c r="AS105" s="20"/>
      <c r="AT105" s="20"/>
    </row>
    <row r="106" spans="1:46" x14ac:dyDescent="0.2">
      <c r="A106" s="3">
        <v>2</v>
      </c>
      <c r="B106" s="11" t="s">
        <v>80</v>
      </c>
      <c r="C106" s="14"/>
      <c r="D106" s="19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7"/>
      <c r="R106" s="14"/>
      <c r="S106" s="14"/>
      <c r="T106" s="14"/>
      <c r="U106" s="14"/>
      <c r="V106" s="37"/>
      <c r="W106" s="7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>
        <f>'Tooth measurements raw data'!G113</f>
        <v>0.1628</v>
      </c>
      <c r="AJ106" s="14"/>
      <c r="AK106" s="14"/>
      <c r="AL106" s="14"/>
      <c r="AM106" s="14"/>
      <c r="AN106" s="14"/>
      <c r="AO106" s="14"/>
      <c r="AP106" s="14"/>
      <c r="AQ106" s="97"/>
      <c r="AR106" s="11" t="s">
        <v>80</v>
      </c>
      <c r="AT106" s="1">
        <v>2</v>
      </c>
    </row>
    <row r="107" spans="1:46" x14ac:dyDescent="0.2">
      <c r="A107" s="3"/>
      <c r="B107" s="13" t="s">
        <v>85</v>
      </c>
      <c r="C107" s="14"/>
      <c r="D107" s="19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7"/>
      <c r="R107" s="14"/>
      <c r="S107" s="14"/>
      <c r="T107" s="14"/>
      <c r="U107" s="14"/>
      <c r="V107" s="18"/>
      <c r="W107" s="7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97"/>
      <c r="AR107" s="13" t="s">
        <v>85</v>
      </c>
    </row>
    <row r="108" spans="1:46" x14ac:dyDescent="0.2">
      <c r="A108" s="3"/>
      <c r="B108" s="3"/>
      <c r="C108" s="90"/>
      <c r="D108" s="3"/>
      <c r="E108" s="3"/>
      <c r="F108" s="3"/>
      <c r="G108" s="90"/>
      <c r="H108" s="90"/>
      <c r="I108" s="90"/>
      <c r="J108" s="90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M108" s="4"/>
    </row>
    <row r="109" spans="1:46" x14ac:dyDescent="0.2">
      <c r="A109" s="4"/>
      <c r="B109" s="2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D109" s="3"/>
      <c r="AE109" s="3"/>
      <c r="AF109" s="3"/>
      <c r="AG109" s="3"/>
      <c r="AH109" s="3"/>
      <c r="AI109" s="3"/>
      <c r="AR109" s="6" t="s">
        <v>2</v>
      </c>
    </row>
    <row r="110" spans="1:46" x14ac:dyDescent="0.2">
      <c r="A110" s="2" t="s">
        <v>35</v>
      </c>
      <c r="B110" s="2"/>
      <c r="W110" s="1">
        <f>W102/W103</f>
        <v>0.62036104439451445</v>
      </c>
      <c r="X110" s="1">
        <f t="shared" ref="X110:AP110" si="3">X102/X103</f>
        <v>1.1656848306332841</v>
      </c>
      <c r="Y110" s="1">
        <f t="shared" si="3"/>
        <v>1.1080399747906726</v>
      </c>
      <c r="Z110" s="1">
        <f t="shared" si="3"/>
        <v>1.1012577275634194</v>
      </c>
      <c r="AA110" s="1">
        <f t="shared" si="3"/>
        <v>1.0980204647604477</v>
      </c>
      <c r="AB110" s="1">
        <f t="shared" si="3"/>
        <v>1.4039718761564082</v>
      </c>
      <c r="AC110" s="1">
        <f t="shared" si="3"/>
        <v>1.3226008519168129</v>
      </c>
      <c r="AD110" s="1">
        <f t="shared" si="3"/>
        <v>2.0779545155777575</v>
      </c>
      <c r="AE110" s="1">
        <f t="shared" si="3"/>
        <v>1.5801211808688926</v>
      </c>
      <c r="AF110" s="1">
        <f t="shared" si="3"/>
        <v>1.8451677768003019</v>
      </c>
      <c r="AG110" s="1">
        <f t="shared" si="3"/>
        <v>1.0412073761203258</v>
      </c>
      <c r="AH110" s="1">
        <f t="shared" si="3"/>
        <v>1.1375322779836086</v>
      </c>
      <c r="AI110" s="1">
        <f t="shared" si="3"/>
        <v>0.57535973891114067</v>
      </c>
      <c r="AJ110" s="1">
        <f t="shared" si="3"/>
        <v>1.1552343067817987</v>
      </c>
      <c r="AK110" s="1">
        <f t="shared" si="3"/>
        <v>0.92475545522949565</v>
      </c>
      <c r="AL110" s="1">
        <f t="shared" si="3"/>
        <v>1.2747252747252746</v>
      </c>
      <c r="AM110" s="1">
        <f t="shared" si="3"/>
        <v>1.364963503649635</v>
      </c>
      <c r="AN110" s="1">
        <f t="shared" si="3"/>
        <v>1.1478065507863309</v>
      </c>
      <c r="AO110" s="1">
        <f t="shared" si="3"/>
        <v>0.92534742161479278</v>
      </c>
      <c r="AP110" s="1">
        <f t="shared" si="3"/>
        <v>1.0141203049985881</v>
      </c>
      <c r="AR110" s="3">
        <f>(SUM(W110:AP110))/20</f>
        <v>1.1942116227131749</v>
      </c>
    </row>
    <row r="111" spans="1:46" x14ac:dyDescent="0.2">
      <c r="A111" s="2"/>
      <c r="B111" s="2"/>
      <c r="W111" s="1">
        <f>W104/W105</f>
        <v>0.17048826544375506</v>
      </c>
      <c r="X111" s="1">
        <f t="shared" ref="X111:AP111" si="4">X104/X105</f>
        <v>0.55615592435353145</v>
      </c>
      <c r="Y111" s="1">
        <f t="shared" si="4"/>
        <v>0.96339677891654463</v>
      </c>
      <c r="Z111" s="1">
        <f t="shared" si="4"/>
        <v>1.4685777287761854</v>
      </c>
      <c r="AA111" s="1">
        <f t="shared" si="4"/>
        <v>1.5689001264222502</v>
      </c>
      <c r="AB111" s="1">
        <f t="shared" si="4"/>
        <v>0.72712006717044497</v>
      </c>
      <c r="AC111" s="1">
        <f t="shared" si="4"/>
        <v>10.43287037037037</v>
      </c>
      <c r="AD111" s="1">
        <f t="shared" si="4"/>
        <v>1.1574307304785894</v>
      </c>
      <c r="AE111" s="1">
        <f t="shared" si="4"/>
        <v>17.216216216216218</v>
      </c>
      <c r="AF111" s="1">
        <f t="shared" si="4"/>
        <v>1.235196458218041</v>
      </c>
      <c r="AG111" s="1">
        <f t="shared" si="4"/>
        <v>4.0697879858657249</v>
      </c>
      <c r="AH111" s="1">
        <f t="shared" si="4"/>
        <v>0.4419642857142857</v>
      </c>
      <c r="AI111" s="1">
        <f t="shared" si="4"/>
        <v>2.631788739412058</v>
      </c>
      <c r="AJ111" s="1">
        <f t="shared" si="4"/>
        <v>0.59239130434782616</v>
      </c>
      <c r="AK111" s="1">
        <f t="shared" si="4"/>
        <v>1.5284015852047554</v>
      </c>
      <c r="AL111" s="1">
        <f t="shared" si="4"/>
        <v>1.6525866160417657</v>
      </c>
      <c r="AM111" s="1">
        <f t="shared" si="4"/>
        <v>2.3743455497382202</v>
      </c>
      <c r="AN111" s="1">
        <f t="shared" si="4"/>
        <v>1.0585823081429409</v>
      </c>
      <c r="AO111" s="1">
        <f t="shared" si="4"/>
        <v>0</v>
      </c>
      <c r="AP111" s="1">
        <f t="shared" si="4"/>
        <v>0.78713339640491953</v>
      </c>
      <c r="AR111" s="3">
        <f>(SUM(W111:AP111))/20</f>
        <v>2.5316667218619213</v>
      </c>
    </row>
    <row r="112" spans="1:46" x14ac:dyDescent="0.2">
      <c r="A112" s="2"/>
      <c r="B112" s="2"/>
      <c r="AR112" s="3"/>
    </row>
    <row r="113" spans="1:36" x14ac:dyDescent="0.2">
      <c r="A113" s="2"/>
      <c r="B113" s="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2"/>
      <c r="AB113" s="2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">
      <c r="A114" s="2"/>
      <c r="B114" s="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2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">
      <c r="A115" s="2"/>
      <c r="B115" s="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2"/>
      <c r="AB115" s="2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">
      <c r="A116" s="2"/>
      <c r="B116" s="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2"/>
      <c r="AB116" s="2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">
      <c r="A117" s="2"/>
      <c r="B117" s="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2"/>
      <c r="AB117" s="2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">
      <c r="A118" s="2"/>
      <c r="B118" s="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2"/>
      <c r="AB118" s="2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">
      <c r="A119" s="5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">
      <c r="A120" s="5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">
      <c r="A121" s="5"/>
      <c r="B121" s="5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">
      <c r="A122" s="5"/>
      <c r="B122" s="5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">
      <c r="A123" s="5"/>
      <c r="B123" s="5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">
      <c r="A124" s="5"/>
      <c r="B124" s="5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">
      <c r="A125" s="5"/>
      <c r="B125" s="5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</row>
    <row r="127" spans="1:36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spans="1:36" x14ac:dyDescent="0.2">
      <c r="AC128" s="5"/>
      <c r="AD128" s="5"/>
      <c r="AE128" s="5"/>
      <c r="AF128" s="5"/>
    </row>
    <row r="129" spans="1:32" x14ac:dyDescent="0.2">
      <c r="AC129" s="5"/>
      <c r="AD129" s="5"/>
      <c r="AE129" s="5"/>
      <c r="AF129" s="5"/>
    </row>
    <row r="130" spans="1:32" x14ac:dyDescent="0.2">
      <c r="AC130" s="5"/>
      <c r="AD130" s="5"/>
      <c r="AE130" s="5"/>
      <c r="AF130" s="5"/>
    </row>
    <row r="131" spans="1:32" x14ac:dyDescent="0.2">
      <c r="AC131" s="5"/>
      <c r="AD131" s="5"/>
      <c r="AE131" s="5"/>
      <c r="AF131" s="5"/>
    </row>
    <row r="132" spans="1:32" x14ac:dyDescent="0.2">
      <c r="AC132" s="5"/>
      <c r="AD132" s="5"/>
      <c r="AE132" s="5"/>
      <c r="AF132" s="5"/>
    </row>
    <row r="133" spans="1:32" x14ac:dyDescent="0.2">
      <c r="AC133" s="5"/>
      <c r="AD133" s="5"/>
      <c r="AE133" s="5"/>
      <c r="AF133" s="5"/>
    </row>
    <row r="134" spans="1:32" x14ac:dyDescent="0.2">
      <c r="AC134" s="5"/>
      <c r="AD134" s="5"/>
      <c r="AE134" s="5"/>
      <c r="AF134" s="5"/>
    </row>
    <row r="135" spans="1:32" x14ac:dyDescent="0.2">
      <c r="AC135" s="5"/>
      <c r="AD135" s="5"/>
      <c r="AE135" s="5"/>
      <c r="AF135" s="5"/>
    </row>
    <row r="136" spans="1:32" x14ac:dyDescent="0.2">
      <c r="AC136" s="5"/>
      <c r="AD136" s="5"/>
      <c r="AE136" s="5"/>
      <c r="AF136" s="5"/>
    </row>
    <row r="137" spans="1:32" x14ac:dyDescent="0.2">
      <c r="AC137" s="5"/>
      <c r="AD137" s="5"/>
      <c r="AE137" s="5"/>
      <c r="AF137" s="5"/>
    </row>
    <row r="138" spans="1:32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5"/>
      <c r="AD138" s="5"/>
      <c r="AE138" s="5"/>
      <c r="AF138" s="5"/>
    </row>
    <row r="139" spans="1:32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</row>
    <row r="140" spans="1:32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spans="1:32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79" spans="1:46" x14ac:dyDescent="0.2">
      <c r="C179" s="5" t="s">
        <v>82</v>
      </c>
      <c r="W179" s="5" t="s">
        <v>84</v>
      </c>
      <c r="X179" s="5"/>
      <c r="Y179" s="5"/>
      <c r="Z179" s="5"/>
      <c r="AA179" s="5"/>
      <c r="AB179" s="5"/>
      <c r="AC179" s="5"/>
      <c r="AD179" s="5"/>
      <c r="AE179" s="5"/>
      <c r="AF179" s="5"/>
    </row>
    <row r="180" spans="1:46" x14ac:dyDescent="0.2">
      <c r="C180" s="1" t="s">
        <v>83</v>
      </c>
      <c r="X180" s="5"/>
      <c r="Y180" s="5"/>
      <c r="Z180" s="5"/>
      <c r="AA180" s="5"/>
      <c r="AB180" s="17"/>
      <c r="AC180" s="5"/>
      <c r="AD180" s="5"/>
      <c r="AE180" s="5"/>
      <c r="AF180" s="5"/>
    </row>
    <row r="181" spans="1:46" x14ac:dyDescent="0.2">
      <c r="A181" s="2"/>
      <c r="B181" s="13"/>
      <c r="C181" s="92">
        <v>20</v>
      </c>
      <c r="D181" s="91">
        <v>19</v>
      </c>
      <c r="E181" s="92">
        <v>18</v>
      </c>
      <c r="F181" s="92">
        <v>17</v>
      </c>
      <c r="G181" s="92">
        <v>16</v>
      </c>
      <c r="H181" s="92">
        <v>15</v>
      </c>
      <c r="I181" s="92">
        <v>14</v>
      </c>
      <c r="J181" s="92">
        <v>13</v>
      </c>
      <c r="K181" s="92">
        <v>12</v>
      </c>
      <c r="L181" s="92">
        <v>11</v>
      </c>
      <c r="M181" s="92">
        <v>10</v>
      </c>
      <c r="N181" s="92">
        <v>9</v>
      </c>
      <c r="O181" s="92">
        <v>8</v>
      </c>
      <c r="P181" s="93">
        <v>7</v>
      </c>
      <c r="Q181" s="92">
        <v>6</v>
      </c>
      <c r="R181" s="92">
        <v>5</v>
      </c>
      <c r="S181" s="92">
        <v>4</v>
      </c>
      <c r="T181" s="92">
        <v>3</v>
      </c>
      <c r="U181" s="91">
        <v>2</v>
      </c>
      <c r="V181" s="94">
        <v>1</v>
      </c>
      <c r="W181" s="95">
        <v>1</v>
      </c>
      <c r="X181" s="96">
        <v>2</v>
      </c>
      <c r="Y181" s="96">
        <v>3</v>
      </c>
      <c r="Z181" s="96">
        <v>4</v>
      </c>
      <c r="AA181" s="96">
        <v>5</v>
      </c>
      <c r="AB181" s="96">
        <v>6</v>
      </c>
      <c r="AC181" s="96">
        <v>7</v>
      </c>
      <c r="AD181" s="96">
        <v>8</v>
      </c>
      <c r="AE181" s="96">
        <v>9</v>
      </c>
      <c r="AF181" s="96">
        <v>10</v>
      </c>
      <c r="AG181" s="96">
        <v>11</v>
      </c>
      <c r="AH181" s="96">
        <v>12</v>
      </c>
      <c r="AI181" s="96">
        <v>13</v>
      </c>
      <c r="AJ181" s="96">
        <v>14</v>
      </c>
      <c r="AK181" s="96">
        <v>15</v>
      </c>
      <c r="AL181" s="96">
        <v>16</v>
      </c>
      <c r="AM181" s="96">
        <v>17</v>
      </c>
      <c r="AN181" s="96">
        <v>18</v>
      </c>
      <c r="AO181" s="96">
        <v>19</v>
      </c>
      <c r="AP181" s="96">
        <v>20</v>
      </c>
      <c r="AQ181" s="97">
        <v>21</v>
      </c>
      <c r="AR181" s="5"/>
    </row>
    <row r="182" spans="1:46" x14ac:dyDescent="0.2">
      <c r="A182" s="2" t="s">
        <v>1</v>
      </c>
      <c r="B182" s="13"/>
      <c r="C182" s="12"/>
      <c r="D182" s="19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9"/>
      <c r="Q182" s="12"/>
      <c r="R182" s="12"/>
      <c r="S182" s="12"/>
      <c r="T182" s="12"/>
      <c r="U182" s="16"/>
      <c r="V182" s="18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172"/>
      <c r="AR182" s="5"/>
    </row>
    <row r="183" spans="1:46" x14ac:dyDescent="0.2">
      <c r="A183" s="3" t="s">
        <v>151</v>
      </c>
      <c r="B183" s="11" t="s">
        <v>80</v>
      </c>
      <c r="C183" s="15"/>
      <c r="D183" s="19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8"/>
      <c r="Q183" s="15"/>
      <c r="R183" s="15"/>
      <c r="S183" s="15"/>
      <c r="T183" s="15"/>
      <c r="U183" s="36"/>
      <c r="V183" s="37"/>
      <c r="W183" s="39">
        <f>'Tooth measurements raw data'!G168</f>
        <v>27.254999999999999</v>
      </c>
      <c r="X183" s="14">
        <f>'Tooth measurements raw data'!G169</f>
        <v>23.265000000000001</v>
      </c>
      <c r="Y183" s="14">
        <f>'Tooth measurements raw data'!G171</f>
        <v>39.015000000000001</v>
      </c>
      <c r="Z183" s="14"/>
      <c r="AA183" s="1">
        <f>'Tooth measurements raw data'!G174</f>
        <v>37.615000000000002</v>
      </c>
      <c r="AB183" s="14">
        <f>'Tooth measurements raw data'!G176</f>
        <v>27.004999999999999</v>
      </c>
      <c r="AC183" s="14">
        <f>'Tooth measurements raw data'!G179</f>
        <v>20.824999999999999</v>
      </c>
      <c r="AD183" s="14">
        <f>'Tooth measurements raw data'!G180</f>
        <v>42.415000000000006</v>
      </c>
      <c r="AE183" s="1">
        <f>'Tooth measurements raw data'!G181</f>
        <v>62.495000000000005</v>
      </c>
      <c r="AF183" s="14">
        <f>'Tooth measurements raw data'!G182</f>
        <v>35.205000000000005</v>
      </c>
      <c r="AG183" s="1">
        <f>'Tooth measurements raw data'!G183</f>
        <v>31.684999999999999</v>
      </c>
      <c r="AH183" s="14">
        <f>'Tooth measurements raw data'!G185</f>
        <v>28.484999999999999</v>
      </c>
      <c r="AI183" s="14">
        <f>'Tooth measurements raw data'!G187</f>
        <v>31.395</v>
      </c>
      <c r="AJ183" s="14"/>
      <c r="AK183" s="14">
        <f>'Tooth measurements raw data'!G190</f>
        <v>42.205000000000005</v>
      </c>
      <c r="AL183" s="14">
        <f>'Tooth measurements raw data'!G192</f>
        <v>42.234999999999999</v>
      </c>
      <c r="AM183" s="14">
        <f>'Tooth measurements raw data'!G194</f>
        <v>31.695</v>
      </c>
      <c r="AN183" s="14">
        <f>'Tooth measurements raw data'!G196</f>
        <v>26.395</v>
      </c>
      <c r="AO183" s="14">
        <f>'Tooth measurements raw data'!G198</f>
        <v>21.164999999999999</v>
      </c>
      <c r="AP183" s="14">
        <f>'Tooth measurements raw data'!G199</f>
        <v>16.945</v>
      </c>
      <c r="AQ183" s="14"/>
      <c r="AR183" s="11" t="s">
        <v>80</v>
      </c>
      <c r="AT183" s="1" t="s">
        <v>151</v>
      </c>
    </row>
    <row r="184" spans="1:46" x14ac:dyDescent="0.2">
      <c r="A184" s="674"/>
      <c r="B184" s="671" t="s">
        <v>85</v>
      </c>
      <c r="C184" s="92"/>
      <c r="D184" s="67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3"/>
      <c r="Q184" s="92"/>
      <c r="R184" s="92"/>
      <c r="S184" s="92"/>
      <c r="T184" s="92"/>
      <c r="U184" s="91"/>
      <c r="V184" s="94"/>
      <c r="W184" s="672">
        <f>'Tooth measurements raw data'!G201</f>
        <v>32.575000000000003</v>
      </c>
      <c r="X184" s="673"/>
      <c r="Y184" s="673">
        <f>'Tooth measurements raw data'!G204</f>
        <v>43.715000000000003</v>
      </c>
      <c r="Z184" s="673">
        <f>'Tooth measurements raw data'!G208</f>
        <v>30.015000000000001</v>
      </c>
      <c r="AA184" s="20">
        <f>'Tooth measurements raw data'!G211</f>
        <v>24.314999999999998</v>
      </c>
      <c r="AB184" s="673">
        <f>'Tooth measurements raw data'!G213</f>
        <v>21.195</v>
      </c>
      <c r="AC184" s="673">
        <f>'Tooth measurements raw data'!G215</f>
        <v>20.044999999999998</v>
      </c>
      <c r="AD184" s="673">
        <f>'Tooth measurements raw data'!G217</f>
        <v>18.265000000000001</v>
      </c>
      <c r="AE184" s="673">
        <f>'Tooth measurements raw data'!G220</f>
        <v>21.314999999999998</v>
      </c>
      <c r="AF184" s="673">
        <f>'Tooth measurements raw data'!G222</f>
        <v>25.984999999999999</v>
      </c>
      <c r="AG184" s="673">
        <f>'Tooth measurements raw data'!G223</f>
        <v>36.585000000000001</v>
      </c>
      <c r="AH184" s="673">
        <f>'Tooth measurements raw data'!G225</f>
        <v>45.025000000000006</v>
      </c>
      <c r="AI184" s="673">
        <f>'Tooth measurements raw data'!G227</f>
        <v>38.215000000000003</v>
      </c>
      <c r="AJ184" s="673">
        <f>'Tooth measurements raw data'!G228</f>
        <v>28.035</v>
      </c>
      <c r="AK184" s="673">
        <f>'Tooth measurements raw data'!G230</f>
        <v>26.125</v>
      </c>
      <c r="AL184" s="673"/>
      <c r="AM184" s="673"/>
      <c r="AN184" s="673"/>
      <c r="AO184" s="673"/>
      <c r="AP184" s="673"/>
      <c r="AQ184" s="673"/>
      <c r="AR184" s="671" t="s">
        <v>85</v>
      </c>
      <c r="AS184" s="20"/>
      <c r="AT184" s="20"/>
    </row>
    <row r="185" spans="1:46" x14ac:dyDescent="0.2">
      <c r="A185" s="3">
        <v>1</v>
      </c>
      <c r="B185" s="11" t="s">
        <v>80</v>
      </c>
      <c r="C185" s="15"/>
      <c r="D185" s="19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8"/>
      <c r="Q185" s="15"/>
      <c r="R185" s="15"/>
      <c r="S185" s="15"/>
      <c r="T185" s="15"/>
      <c r="U185" s="36"/>
      <c r="V185" s="37"/>
      <c r="W185" s="8"/>
      <c r="X185" s="14">
        <f>'Tooth measurements raw data'!G170</f>
        <v>7.955000000000001</v>
      </c>
      <c r="Y185" s="14">
        <f>'Tooth measurements raw data'!G172</f>
        <v>13.364999999999998</v>
      </c>
      <c r="Z185" s="14"/>
      <c r="AA185" s="1">
        <f>'Tooth measurements raw data'!G175</f>
        <v>6.5049999999999999</v>
      </c>
      <c r="AB185" s="14">
        <f>'Tooth measurements raw data'!G177</f>
        <v>8.9849999999999994</v>
      </c>
      <c r="AC185" s="14"/>
      <c r="AD185" s="14"/>
      <c r="AE185" s="19"/>
      <c r="AF185" s="14"/>
      <c r="AG185" s="14">
        <f>'Tooth measurements raw data'!G184</f>
        <v>7.4649999999999999</v>
      </c>
      <c r="AH185" s="14">
        <f>'Tooth measurements raw data'!G186</f>
        <v>3.0050000000000003</v>
      </c>
      <c r="AI185" s="14">
        <f>'Tooth measurements raw data'!G188</f>
        <v>1.2349999999999999</v>
      </c>
      <c r="AJ185" s="14"/>
      <c r="AK185" s="14">
        <f>'Tooth measurements raw data'!G191</f>
        <v>11.604999999999999</v>
      </c>
      <c r="AL185" s="14">
        <f>'Tooth measurements raw data'!G193</f>
        <v>2.1750000000000003</v>
      </c>
      <c r="AM185" s="14">
        <f>'Tooth measurements raw data'!G195</f>
        <v>5.3250000000000002</v>
      </c>
      <c r="AN185" s="14">
        <f>'Tooth measurements raw data'!G197</f>
        <v>2.2050000000000001</v>
      </c>
      <c r="AO185" s="14"/>
      <c r="AP185" s="14"/>
      <c r="AQ185" s="14"/>
      <c r="AR185" s="11" t="s">
        <v>80</v>
      </c>
      <c r="AT185" s="1">
        <v>1</v>
      </c>
    </row>
    <row r="186" spans="1:46" x14ac:dyDescent="0.2">
      <c r="A186" s="674"/>
      <c r="B186" s="671" t="s">
        <v>85</v>
      </c>
      <c r="C186" s="92"/>
      <c r="D186" s="67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3"/>
      <c r="Q186" s="92"/>
      <c r="R186" s="92"/>
      <c r="S186" s="92"/>
      <c r="T186" s="92"/>
      <c r="U186" s="91"/>
      <c r="V186" s="94"/>
      <c r="W186" s="672">
        <f>'Tooth measurements raw data'!G202</f>
        <v>1.9349999999999998</v>
      </c>
      <c r="X186" s="673"/>
      <c r="Y186" s="673">
        <f>'Tooth measurements raw data'!G205</f>
        <v>28.654999999999998</v>
      </c>
      <c r="Z186" s="673">
        <f>'Tooth measurements raw data'!G209</f>
        <v>5.8050000000000006</v>
      </c>
      <c r="AA186" s="20">
        <f>'Tooth measurements raw data'!G212</f>
        <v>6.2250000000000005</v>
      </c>
      <c r="AB186" s="673">
        <f>'Tooth measurements raw data'!G214</f>
        <v>2.0150000000000001</v>
      </c>
      <c r="AC186" s="673">
        <f>'Tooth measurements raw data'!G216</f>
        <v>3.5450000000000004</v>
      </c>
      <c r="AD186" s="673">
        <f>'Tooth measurements raw data'!G218</f>
        <v>7.3849999999999998</v>
      </c>
      <c r="AE186" s="673">
        <f>'Tooth measurements raw data'!G221</f>
        <v>2.5050000000000003</v>
      </c>
      <c r="AF186" s="673"/>
      <c r="AG186" s="673">
        <f>'Tooth measurements raw data'!G224</f>
        <v>5.3550000000000004</v>
      </c>
      <c r="AH186" s="673">
        <f>'Tooth measurements raw data'!G226</f>
        <v>13.045</v>
      </c>
      <c r="AI186" s="673"/>
      <c r="AJ186" s="673">
        <f>'Tooth measurements raw data'!G229</f>
        <v>8.8649999999999984</v>
      </c>
      <c r="AK186" s="673">
        <f>'Tooth measurements raw data'!G231</f>
        <v>1.4849999999999999</v>
      </c>
      <c r="AL186" s="673"/>
      <c r="AM186" s="673"/>
      <c r="AN186" s="673"/>
      <c r="AO186" s="673"/>
      <c r="AP186" s="673"/>
      <c r="AQ186" s="673"/>
      <c r="AR186" s="671" t="s">
        <v>85</v>
      </c>
      <c r="AS186" s="20"/>
      <c r="AT186" s="20"/>
    </row>
    <row r="187" spans="1:46" x14ac:dyDescent="0.2">
      <c r="A187" s="3">
        <v>2</v>
      </c>
      <c r="B187" s="11" t="s">
        <v>80</v>
      </c>
      <c r="C187" s="14"/>
      <c r="D187" s="19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7"/>
      <c r="R187" s="14"/>
      <c r="S187" s="14"/>
      <c r="T187" s="14"/>
      <c r="U187" s="14"/>
      <c r="V187" s="37"/>
      <c r="W187" s="7"/>
      <c r="X187" s="14"/>
      <c r="Y187" s="14"/>
      <c r="Z187" s="14"/>
      <c r="AB187" s="14">
        <f>'Tooth measurements raw data'!G178</f>
        <v>0.89500000000000002</v>
      </c>
      <c r="AC187" s="14"/>
      <c r="AD187" s="14"/>
      <c r="AE187" s="14"/>
      <c r="AF187" s="14"/>
      <c r="AG187" s="14"/>
      <c r="AH187" s="14"/>
      <c r="AI187" s="14"/>
      <c r="AJ187" s="14">
        <f>'Tooth measurements raw data'!G194</f>
        <v>31.695</v>
      </c>
      <c r="AK187" s="14"/>
      <c r="AL187" s="14"/>
      <c r="AM187" s="14"/>
      <c r="AN187" s="14"/>
      <c r="AO187" s="14"/>
      <c r="AP187" s="14"/>
      <c r="AQ187" s="14"/>
      <c r="AR187" s="11" t="s">
        <v>80</v>
      </c>
      <c r="AT187" s="1">
        <v>2</v>
      </c>
    </row>
    <row r="188" spans="1:46" x14ac:dyDescent="0.2">
      <c r="A188" s="3"/>
      <c r="B188" s="13" t="s">
        <v>85</v>
      </c>
      <c r="C188" s="14"/>
      <c r="D188" s="19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7"/>
      <c r="R188" s="14"/>
      <c r="S188" s="14"/>
      <c r="T188" s="14"/>
      <c r="U188" s="14"/>
      <c r="V188" s="18"/>
      <c r="W188" s="7"/>
      <c r="X188" s="14"/>
      <c r="Y188" s="184">
        <f>'Tooth measurements raw data'!G206</f>
        <v>3.1150000000000002</v>
      </c>
      <c r="Z188" s="184">
        <f>'Tooth measurements raw data'!G210</f>
        <v>5.625</v>
      </c>
      <c r="AB188" s="14"/>
      <c r="AC188" s="14"/>
      <c r="AD188" s="14">
        <f>'Tooth measurements raw data'!G219</f>
        <v>0.58499999999999996</v>
      </c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3" t="s">
        <v>85</v>
      </c>
    </row>
    <row r="189" spans="1:46" x14ac:dyDescent="0.2">
      <c r="A189" s="3"/>
      <c r="B189" s="3"/>
      <c r="C189" s="90"/>
      <c r="D189" s="3"/>
      <c r="E189" s="3"/>
      <c r="F189" s="3"/>
      <c r="G189" s="90"/>
      <c r="H189" s="90"/>
      <c r="I189" s="90"/>
      <c r="J189" s="90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M189" s="4"/>
    </row>
    <row r="190" spans="1:46" x14ac:dyDescent="0.2">
      <c r="A190" s="4"/>
      <c r="B190" s="2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185">
        <f>'Tooth measurements raw data'!G207</f>
        <v>3.5450000000000004</v>
      </c>
      <c r="Z190" s="4"/>
      <c r="AA190" s="4"/>
      <c r="AB190" s="4"/>
      <c r="AD190" s="3"/>
      <c r="AE190" s="3"/>
      <c r="AF190" s="3"/>
      <c r="AG190" s="3"/>
      <c r="AH190" s="3"/>
      <c r="AI190" s="3"/>
      <c r="AR190" s="6" t="s">
        <v>2</v>
      </c>
    </row>
    <row r="191" spans="1:46" x14ac:dyDescent="0.2">
      <c r="A191" s="2" t="s">
        <v>35</v>
      </c>
      <c r="B191" s="2"/>
      <c r="W191" s="1">
        <f>W183/W184</f>
        <v>0.83668457405986174</v>
      </c>
      <c r="Y191" s="1">
        <f>Y183/Y184</f>
        <v>0.89248541690495242</v>
      </c>
      <c r="Z191" s="1">
        <f>Z183/Z184</f>
        <v>0</v>
      </c>
      <c r="AA191" s="1">
        <f>AB183/AB184</f>
        <v>1.2741212550129748</v>
      </c>
      <c r="AB191" s="1">
        <f>AC183/AC184</f>
        <v>1.038912446994263</v>
      </c>
      <c r="AC191" s="1">
        <f>AD183/AD184</f>
        <v>2.3222009307418561</v>
      </c>
      <c r="AD191" s="1">
        <f>AF183/AE184</f>
        <v>1.651653764954258</v>
      </c>
      <c r="AE191" s="1">
        <f t="shared" ref="AE191:AJ191" si="5">AH183/AF184</f>
        <v>1.0962093515489706</v>
      </c>
      <c r="AF191" s="1">
        <f t="shared" si="5"/>
        <v>0.85813858138581378</v>
      </c>
      <c r="AG191" s="1">
        <f t="shared" si="5"/>
        <v>0</v>
      </c>
      <c r="AH191" s="1">
        <f t="shared" si="5"/>
        <v>1.1044092633782547</v>
      </c>
      <c r="AI191" s="1">
        <f t="shared" si="5"/>
        <v>1.5065097199928661</v>
      </c>
      <c r="AJ191" s="1">
        <f t="shared" si="5"/>
        <v>1.2132057416267943</v>
      </c>
      <c r="AR191" s="3"/>
    </row>
    <row r="192" spans="1:46" x14ac:dyDescent="0.2">
      <c r="A192" s="2"/>
      <c r="B192" s="2"/>
      <c r="W192" s="1">
        <f>W185/W186</f>
        <v>0</v>
      </c>
      <c r="Y192" s="1">
        <f>Y185/Y186</f>
        <v>0.46641074856046066</v>
      </c>
      <c r="Z192" s="1">
        <f>Z185/Z186</f>
        <v>0</v>
      </c>
      <c r="AA192" s="1">
        <f t="shared" ref="AA192:AJ192" si="6">AB185/AB186</f>
        <v>4.4590570719602969</v>
      </c>
      <c r="AB192" s="1">
        <f t="shared" si="6"/>
        <v>0</v>
      </c>
      <c r="AC192" s="1">
        <f t="shared" si="6"/>
        <v>0</v>
      </c>
      <c r="AD192" s="1">
        <f t="shared" si="6"/>
        <v>0</v>
      </c>
      <c r="AF192" s="1">
        <f t="shared" si="6"/>
        <v>1.3940242763772175</v>
      </c>
      <c r="AG192" s="1">
        <f t="shared" si="6"/>
        <v>0.23035645841318517</v>
      </c>
      <c r="AI192" s="1">
        <f t="shared" si="6"/>
        <v>0</v>
      </c>
      <c r="AJ192" s="1">
        <f t="shared" si="6"/>
        <v>7.8148148148148149</v>
      </c>
      <c r="AR192" s="3"/>
    </row>
    <row r="193" spans="1:44" x14ac:dyDescent="0.2">
      <c r="A193" s="2"/>
      <c r="B193" s="2"/>
      <c r="Y193" s="1">
        <f t="shared" ref="Y193:Z193" si="7">Y187/Y188</f>
        <v>0</v>
      </c>
      <c r="Z193" s="1">
        <f t="shared" si="7"/>
        <v>0</v>
      </c>
      <c r="AC193" s="1">
        <f t="shared" ref="AC193" si="8">AD187/AD188</f>
        <v>0</v>
      </c>
      <c r="AR193" s="3"/>
    </row>
    <row r="194" spans="1:44" x14ac:dyDescent="0.2">
      <c r="A194" s="2"/>
      <c r="B194" s="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2"/>
      <c r="AB194" s="2"/>
      <c r="AC194" s="3"/>
      <c r="AD194" s="3"/>
      <c r="AE194" s="3"/>
      <c r="AF194" s="3"/>
      <c r="AG194" s="3"/>
      <c r="AH194" s="3"/>
      <c r="AI194" s="3"/>
      <c r="AJ194" s="3"/>
    </row>
    <row r="195" spans="1:44" x14ac:dyDescent="0.2">
      <c r="A195" s="2"/>
      <c r="B195" s="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2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44" x14ac:dyDescent="0.2">
      <c r="A196" s="2"/>
      <c r="B196" s="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2"/>
      <c r="AB196" s="2"/>
      <c r="AC196" s="3"/>
      <c r="AD196" s="3"/>
      <c r="AE196" s="3"/>
      <c r="AF196" s="3"/>
      <c r="AG196" s="3"/>
      <c r="AH196" s="3"/>
      <c r="AI196" s="3"/>
      <c r="AJ196" s="3"/>
    </row>
    <row r="197" spans="1:44" x14ac:dyDescent="0.2">
      <c r="A197" s="2"/>
      <c r="B197" s="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2"/>
      <c r="AB197" s="2"/>
      <c r="AC197" s="3"/>
      <c r="AD197" s="3"/>
      <c r="AE197" s="3"/>
      <c r="AF197" s="3"/>
      <c r="AG197" s="3"/>
      <c r="AH197" s="3"/>
      <c r="AI197" s="3"/>
      <c r="AJ197" s="3"/>
    </row>
    <row r="198" spans="1:44" x14ac:dyDescent="0.2">
      <c r="A198" s="2"/>
      <c r="B198" s="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2"/>
      <c r="AB198" s="2"/>
      <c r="AC198" s="3"/>
      <c r="AD198" s="3"/>
      <c r="AE198" s="3"/>
      <c r="AF198" s="3"/>
      <c r="AG198" s="3"/>
      <c r="AH198" s="3"/>
      <c r="AI198" s="3"/>
      <c r="AJ198" s="3"/>
    </row>
    <row r="199" spans="1:44" x14ac:dyDescent="0.2">
      <c r="A199" s="2"/>
      <c r="B199" s="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2"/>
      <c r="AB199" s="2"/>
      <c r="AC199" s="3"/>
      <c r="AD199" s="3"/>
      <c r="AE199" s="3"/>
      <c r="AF199" s="3"/>
      <c r="AG199" s="3"/>
      <c r="AH199" s="3"/>
      <c r="AI199" s="3"/>
      <c r="AJ199" s="3"/>
    </row>
    <row r="200" spans="1:44" x14ac:dyDescent="0.2">
      <c r="A200" s="5"/>
      <c r="B200" s="5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44" x14ac:dyDescent="0.2">
      <c r="A201" s="5"/>
      <c r="B201" s="5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44" x14ac:dyDescent="0.2">
      <c r="A202" s="5"/>
      <c r="B202" s="5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44" x14ac:dyDescent="0.2">
      <c r="A203" s="5"/>
      <c r="B203" s="5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44" x14ac:dyDescent="0.2">
      <c r="A204" s="5"/>
      <c r="B204" s="5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44" x14ac:dyDescent="0.2">
      <c r="A205" s="5"/>
      <c r="B205" s="5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44" x14ac:dyDescent="0.2">
      <c r="A206" s="5"/>
      <c r="B206" s="5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44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</row>
    <row r="208" spans="1:44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</row>
    <row r="209" spans="1:32" x14ac:dyDescent="0.2">
      <c r="AC209" s="5"/>
      <c r="AD209" s="5"/>
      <c r="AE209" s="5"/>
      <c r="AF209" s="5"/>
    </row>
    <row r="210" spans="1:32" x14ac:dyDescent="0.2">
      <c r="AC210" s="5"/>
      <c r="AD210" s="5"/>
      <c r="AE210" s="5"/>
      <c r="AF210" s="5"/>
    </row>
    <row r="211" spans="1:32" x14ac:dyDescent="0.2">
      <c r="AC211" s="5"/>
      <c r="AD211" s="5"/>
      <c r="AE211" s="5"/>
      <c r="AF211" s="5"/>
    </row>
    <row r="212" spans="1:32" x14ac:dyDescent="0.2">
      <c r="AC212" s="5"/>
      <c r="AD212" s="5"/>
      <c r="AE212" s="5"/>
      <c r="AF212" s="5"/>
    </row>
    <row r="213" spans="1:32" x14ac:dyDescent="0.2">
      <c r="AC213" s="5"/>
      <c r="AD213" s="5"/>
      <c r="AE213" s="5"/>
      <c r="AF213" s="5"/>
    </row>
    <row r="214" spans="1:32" x14ac:dyDescent="0.2">
      <c r="AC214" s="5"/>
      <c r="AD214" s="5"/>
      <c r="AE214" s="5"/>
      <c r="AF214" s="5"/>
    </row>
    <row r="215" spans="1:32" x14ac:dyDescent="0.2">
      <c r="AC215" s="5"/>
      <c r="AD215" s="5"/>
      <c r="AE215" s="5"/>
      <c r="AF215" s="5"/>
    </row>
    <row r="216" spans="1:32" x14ac:dyDescent="0.2">
      <c r="AC216" s="5"/>
      <c r="AD216" s="5"/>
      <c r="AE216" s="5"/>
      <c r="AF216" s="5"/>
    </row>
    <row r="217" spans="1:32" x14ac:dyDescent="0.2">
      <c r="AC217" s="5"/>
      <c r="AD217" s="5"/>
      <c r="AE217" s="5"/>
      <c r="AF217" s="5"/>
    </row>
    <row r="218" spans="1:32" x14ac:dyDescent="0.2">
      <c r="AC218" s="5"/>
      <c r="AD218" s="5"/>
      <c r="AE218" s="5"/>
      <c r="AF218" s="5"/>
    </row>
    <row r="219" spans="1:32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5"/>
      <c r="AD219" s="5"/>
      <c r="AE219" s="5"/>
      <c r="AF219" s="5"/>
    </row>
    <row r="220" spans="1:32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</row>
    <row r="221" spans="1:32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</row>
    <row r="222" spans="1:32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</row>
    <row r="223" spans="1:32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5A95F-2AB7-4AE6-AA65-9102AB25D3AB}">
  <sheetPr codeName="Sheet6">
    <pageSetUpPr fitToPage="1"/>
  </sheetPr>
  <dimension ref="A1:NQ459"/>
  <sheetViews>
    <sheetView zoomScale="70" zoomScaleNormal="70" zoomScalePageLayoutView="10" workbookViewId="0">
      <selection activeCell="AB73" sqref="AB73"/>
    </sheetView>
  </sheetViews>
  <sheetFormatPr defaultColWidth="11.42578125" defaultRowHeight="15" x14ac:dyDescent="0.25"/>
  <cols>
    <col min="3" max="3" width="16.28515625" customWidth="1"/>
    <col min="4" max="4" width="16.28515625" style="80" customWidth="1"/>
    <col min="5" max="5" width="17.42578125" customWidth="1"/>
    <col min="6" max="6" width="17.28515625" customWidth="1"/>
    <col min="7" max="7" width="17.140625" customWidth="1"/>
    <col min="8" max="8" width="17.140625" style="80" customWidth="1"/>
    <col min="9" max="9" width="15.7109375" customWidth="1"/>
    <col min="10" max="10" width="16.7109375" customWidth="1"/>
    <col min="11" max="11" width="16.140625" customWidth="1"/>
    <col min="12" max="12" width="16.85546875" style="80" customWidth="1"/>
    <col min="13" max="13" width="18.5703125" customWidth="1"/>
    <col min="14" max="14" width="17.28515625" customWidth="1"/>
    <col min="15" max="15" width="17.5703125" customWidth="1"/>
    <col min="16" max="16" width="17.42578125" customWidth="1"/>
    <col min="17" max="17" width="16.28515625" customWidth="1"/>
    <col min="18" max="18" width="16.28515625" style="80" customWidth="1"/>
    <col min="19" max="19" width="17.42578125" customWidth="1"/>
    <col min="20" max="20" width="17.28515625" customWidth="1"/>
    <col min="21" max="98" width="17.140625" customWidth="1"/>
    <col min="99" max="99" width="18.7109375" customWidth="1"/>
    <col min="100" max="100" width="18.28515625" customWidth="1"/>
    <col min="101" max="101" width="16.42578125" customWidth="1"/>
    <col min="102" max="104" width="17" customWidth="1"/>
    <col min="105" max="105" width="17.28515625" customWidth="1"/>
    <col min="106" max="107" width="16.85546875" customWidth="1"/>
    <col min="108" max="108" width="16.5703125" customWidth="1"/>
    <col min="109" max="109" width="18.5703125" customWidth="1"/>
    <col min="110" max="110" width="17.140625" customWidth="1"/>
    <col min="111" max="111" width="18.28515625" customWidth="1"/>
    <col min="112" max="112" width="18" customWidth="1"/>
    <col min="113" max="113" width="18.7109375" customWidth="1"/>
    <col min="114" max="114" width="19" customWidth="1"/>
    <col min="115" max="115" width="18.42578125" customWidth="1"/>
    <col min="116" max="116" width="19.28515625" customWidth="1"/>
    <col min="117" max="117" width="18.42578125" customWidth="1"/>
    <col min="118" max="118" width="17.5703125" customWidth="1"/>
    <col min="119" max="119" width="18.42578125" customWidth="1"/>
    <col min="120" max="120" width="18.5703125" customWidth="1"/>
    <col min="121" max="121" width="17.7109375" customWidth="1"/>
    <col min="122" max="123" width="17.5703125" customWidth="1"/>
    <col min="124" max="124" width="17.140625" customWidth="1"/>
    <col min="125" max="125" width="19.28515625" customWidth="1"/>
    <col min="126" max="126" width="17.140625" customWidth="1"/>
    <col min="127" max="127" width="17.28515625" customWidth="1"/>
    <col min="130" max="130" width="14.7109375" bestFit="1" customWidth="1"/>
    <col min="135" max="135" width="14.7109375" bestFit="1" customWidth="1"/>
    <col min="137" max="137" width="14.7109375" bestFit="1" customWidth="1"/>
    <col min="195" max="195" width="13" bestFit="1" customWidth="1"/>
    <col min="204" max="205" width="14.85546875" bestFit="1" customWidth="1"/>
    <col min="208" max="208" width="12" bestFit="1" customWidth="1"/>
    <col min="218" max="218" width="13.5703125" customWidth="1"/>
    <col min="224" max="224" width="21.85546875" customWidth="1"/>
    <col min="226" max="226" width="13.5703125" bestFit="1" customWidth="1"/>
    <col min="228" max="234" width="13.5703125" bestFit="1" customWidth="1"/>
    <col min="236" max="237" width="13.5703125" bestFit="1" customWidth="1"/>
    <col min="239" max="239" width="13.5703125" bestFit="1" customWidth="1"/>
    <col min="240" max="240" width="12.42578125" bestFit="1" customWidth="1"/>
    <col min="271" max="271" width="13" bestFit="1" customWidth="1"/>
    <col min="348" max="348" width="12.85546875" customWidth="1"/>
    <col min="352" max="352" width="12.85546875" customWidth="1"/>
    <col min="359" max="359" width="27.5703125" customWidth="1"/>
    <col min="360" max="360" width="18.140625" bestFit="1" customWidth="1"/>
    <col min="361" max="366" width="16.7109375" bestFit="1" customWidth="1"/>
    <col min="386" max="386" width="18" customWidth="1"/>
    <col min="391" max="391" width="11.42578125" customWidth="1"/>
    <col min="395" max="395" width="16.42578125" customWidth="1"/>
    <col min="404" max="404" width="16.42578125" customWidth="1"/>
    <col min="418" max="418" width="30.42578125" customWidth="1"/>
  </cols>
  <sheetData>
    <row r="1" spans="2:59" x14ac:dyDescent="0.25">
      <c r="I1" s="43"/>
      <c r="J1" s="43"/>
      <c r="W1" s="43"/>
    </row>
    <row r="2" spans="2:59" x14ac:dyDescent="0.25">
      <c r="B2" s="40" t="s">
        <v>11</v>
      </c>
      <c r="E2" s="80"/>
      <c r="F2" s="43"/>
      <c r="H2" s="43"/>
      <c r="I2" s="61"/>
      <c r="K2" s="5"/>
      <c r="L2" s="5"/>
      <c r="M2" s="1"/>
      <c r="N2" s="63"/>
      <c r="O2" s="1"/>
      <c r="Q2" s="1"/>
      <c r="R2" s="1"/>
      <c r="T2" s="1"/>
      <c r="U2" s="63"/>
      <c r="V2" s="1"/>
      <c r="W2" s="1"/>
    </row>
    <row r="3" spans="2:59" x14ac:dyDescent="0.25">
      <c r="B3" s="40" t="s">
        <v>12</v>
      </c>
      <c r="E3" s="80"/>
      <c r="F3" s="43" t="s">
        <v>33</v>
      </c>
      <c r="H3" s="43"/>
      <c r="I3" s="61"/>
      <c r="K3" s="5"/>
      <c r="L3" s="43"/>
      <c r="N3" s="80"/>
      <c r="R3"/>
      <c r="U3" s="80"/>
      <c r="V3" s="40" t="s">
        <v>12</v>
      </c>
      <c r="Y3" s="80"/>
      <c r="Z3" s="43" t="s">
        <v>33</v>
      </c>
      <c r="AC3" s="43"/>
      <c r="AE3" s="61"/>
      <c r="AF3" s="5"/>
      <c r="AG3" s="43"/>
      <c r="AK3" s="80"/>
      <c r="AP3" s="40" t="s">
        <v>12</v>
      </c>
      <c r="AS3" s="80"/>
      <c r="AT3" s="43" t="s">
        <v>33</v>
      </c>
    </row>
    <row r="4" spans="2:59" x14ac:dyDescent="0.25">
      <c r="B4" t="s">
        <v>41</v>
      </c>
      <c r="C4" t="s">
        <v>34</v>
      </c>
      <c r="E4" s="80"/>
      <c r="H4"/>
      <c r="I4" s="43" t="s">
        <v>13</v>
      </c>
      <c r="K4" s="61"/>
      <c r="L4" s="43"/>
      <c r="N4" s="80"/>
      <c r="O4" t="s">
        <v>14</v>
      </c>
      <c r="Q4" s="80"/>
      <c r="R4" s="43"/>
      <c r="S4" s="5"/>
      <c r="U4" s="80"/>
      <c r="V4" t="s">
        <v>78</v>
      </c>
      <c r="W4" t="s">
        <v>34</v>
      </c>
      <c r="Y4" s="80"/>
      <c r="AC4" s="43" t="s">
        <v>13</v>
      </c>
      <c r="AE4" s="61"/>
      <c r="AF4" s="43"/>
      <c r="AI4" t="s">
        <v>14</v>
      </c>
      <c r="AK4" s="80"/>
      <c r="AL4" s="43"/>
      <c r="AM4" s="5"/>
      <c r="AP4" t="s">
        <v>79</v>
      </c>
      <c r="AQ4" t="s">
        <v>34</v>
      </c>
      <c r="AS4" s="80"/>
      <c r="AW4" s="43" t="s">
        <v>13</v>
      </c>
      <c r="AY4" s="61"/>
      <c r="AZ4" s="43"/>
      <c r="BC4" t="s">
        <v>14</v>
      </c>
      <c r="BE4" s="80"/>
      <c r="BF4" s="43"/>
      <c r="BG4" s="5"/>
    </row>
    <row r="5" spans="2:59" x14ac:dyDescent="0.25">
      <c r="C5" t="s">
        <v>274</v>
      </c>
      <c r="D5" s="104" t="s">
        <v>93</v>
      </c>
      <c r="E5" s="80" t="s">
        <v>77</v>
      </c>
      <c r="F5" s="42" t="s">
        <v>37</v>
      </c>
      <c r="G5" t="s">
        <v>36</v>
      </c>
      <c r="H5" t="s">
        <v>87</v>
      </c>
      <c r="I5" s="62" t="s">
        <v>274</v>
      </c>
      <c r="J5" s="104" t="s">
        <v>93</v>
      </c>
      <c r="K5" s="107" t="s">
        <v>77</v>
      </c>
      <c r="L5" s="41" t="s">
        <v>37</v>
      </c>
      <c r="M5" s="10" t="s">
        <v>76</v>
      </c>
      <c r="N5" t="s">
        <v>87</v>
      </c>
      <c r="O5" s="42" t="s">
        <v>274</v>
      </c>
      <c r="P5" s="104" t="s">
        <v>93</v>
      </c>
      <c r="Q5" s="61"/>
      <c r="R5" s="41" t="s">
        <v>37</v>
      </c>
      <c r="S5" s="5" t="s">
        <v>36</v>
      </c>
      <c r="T5" t="s">
        <v>87</v>
      </c>
      <c r="U5" s="80"/>
      <c r="W5" t="s">
        <v>274</v>
      </c>
      <c r="X5" s="104" t="s">
        <v>93</v>
      </c>
      <c r="Y5" s="80" t="s">
        <v>77</v>
      </c>
      <c r="Z5" s="42" t="s">
        <v>37</v>
      </c>
      <c r="AA5" t="s">
        <v>36</v>
      </c>
      <c r="AC5" s="62" t="s">
        <v>274</v>
      </c>
      <c r="AD5" s="104" t="s">
        <v>93</v>
      </c>
      <c r="AE5" s="61" t="s">
        <v>77</v>
      </c>
      <c r="AF5" s="41" t="s">
        <v>37</v>
      </c>
      <c r="AG5" s="10" t="s">
        <v>36</v>
      </c>
      <c r="AI5" s="42" t="s">
        <v>274</v>
      </c>
      <c r="AJ5" s="104" t="s">
        <v>93</v>
      </c>
      <c r="AK5" s="61" t="s">
        <v>77</v>
      </c>
      <c r="AL5" s="41" t="s">
        <v>37</v>
      </c>
      <c r="AM5" s="5" t="s">
        <v>76</v>
      </c>
      <c r="AO5" s="379"/>
      <c r="AQ5" t="s">
        <v>274</v>
      </c>
      <c r="AR5" s="104" t="s">
        <v>93</v>
      </c>
      <c r="AS5" s="80" t="s">
        <v>77</v>
      </c>
      <c r="AT5" s="42" t="s">
        <v>37</v>
      </c>
      <c r="AU5" t="s">
        <v>36</v>
      </c>
      <c r="AV5" t="s">
        <v>270</v>
      </c>
      <c r="AW5" s="62" t="s">
        <v>274</v>
      </c>
      <c r="AX5" s="104" t="s">
        <v>93</v>
      </c>
      <c r="AY5" s="61" t="s">
        <v>77</v>
      </c>
      <c r="AZ5" s="41" t="s">
        <v>37</v>
      </c>
      <c r="BA5" s="5" t="s">
        <v>36</v>
      </c>
      <c r="BB5" t="s">
        <v>87</v>
      </c>
      <c r="BC5" s="42" t="s">
        <v>274</v>
      </c>
      <c r="BD5" s="104" t="s">
        <v>93</v>
      </c>
      <c r="BE5" s="61" t="s">
        <v>77</v>
      </c>
      <c r="BF5" s="41" t="s">
        <v>37</v>
      </c>
      <c r="BG5" s="5" t="s">
        <v>76</v>
      </c>
    </row>
    <row r="6" spans="2:59" x14ac:dyDescent="0.25">
      <c r="B6" s="55" t="s">
        <v>15</v>
      </c>
      <c r="C6" s="321">
        <f>'Tooth measurements raw data'!G3</f>
        <v>5.7075000000000005</v>
      </c>
      <c r="D6" s="153">
        <f>'Tooth measurements raw data'!K3</f>
        <v>2.4474999999999998</v>
      </c>
      <c r="E6" s="32">
        <v>2.28173</v>
      </c>
      <c r="F6" s="55">
        <v>4</v>
      </c>
      <c r="G6" s="98"/>
      <c r="H6" s="99">
        <v>30.558333333333337</v>
      </c>
      <c r="I6" s="328">
        <f>'Tooth measurements raw data'!G4</f>
        <v>1.2775000000000001</v>
      </c>
      <c r="J6" s="150">
        <f>'Tooth measurements raw data'!K4</f>
        <v>0.62749999999999995</v>
      </c>
      <c r="K6" s="21">
        <v>0.21732000000000001</v>
      </c>
      <c r="L6" s="56">
        <v>2</v>
      </c>
      <c r="M6" s="46">
        <f>I6/C6</f>
        <v>0.22382829610162067</v>
      </c>
      <c r="N6" s="55"/>
      <c r="O6" s="85"/>
      <c r="Q6" s="56"/>
      <c r="R6" s="56"/>
      <c r="S6" s="46">
        <f>O6/I6</f>
        <v>0</v>
      </c>
      <c r="T6" s="46"/>
      <c r="V6" s="55" t="s">
        <v>15</v>
      </c>
      <c r="W6" s="85">
        <f>'Tooth measurements raw data'!G168</f>
        <v>27.254999999999999</v>
      </c>
      <c r="X6" s="100">
        <f>'Tooth measurements raw data'!K168</f>
        <v>5.6550000000000002</v>
      </c>
      <c r="Y6" s="56">
        <f>'Tooth measurements raw data'!$H$168</f>
        <v>290.13949727999994</v>
      </c>
      <c r="Z6" s="296">
        <v>2</v>
      </c>
      <c r="AA6" s="78"/>
      <c r="AC6" s="85"/>
      <c r="AE6" s="56"/>
      <c r="AF6" s="56"/>
      <c r="AG6" s="84"/>
      <c r="AI6" s="44"/>
      <c r="AK6" s="56"/>
      <c r="AL6" s="56"/>
      <c r="AM6" s="46"/>
      <c r="AO6" s="379"/>
      <c r="AP6" s="55" t="s">
        <v>15</v>
      </c>
      <c r="AQ6" s="335">
        <f>'Tooth measurements raw data'!$G$87</f>
        <v>3.2027999999999999</v>
      </c>
      <c r="AR6">
        <f>'Tooth measurements raw data'!K87</f>
        <v>1.4328000000000001</v>
      </c>
      <c r="AS6" s="56">
        <f>'Tooth measurements raw data'!$H$87</f>
        <v>0.62902447000000006</v>
      </c>
      <c r="AT6" s="56">
        <v>6</v>
      </c>
      <c r="AU6" s="55"/>
      <c r="AV6" s="55"/>
      <c r="AW6" s="324">
        <f>'Tooth measurements raw data'!$G$88</f>
        <v>0.25280000000000002</v>
      </c>
      <c r="AX6">
        <f>'Tooth measurements raw data'!K88</f>
        <v>0.1628</v>
      </c>
      <c r="AY6" s="201">
        <f>'Tooth measurements raw data'!$H$88</f>
        <v>3.4545965000000001E-3</v>
      </c>
      <c r="AZ6" s="56">
        <v>3</v>
      </c>
      <c r="BA6" s="46">
        <f>AW6/AQ6</f>
        <v>7.8930935431497457E-2</v>
      </c>
      <c r="BB6" s="99"/>
      <c r="BC6" s="85"/>
      <c r="BE6" s="56"/>
      <c r="BF6" s="56"/>
      <c r="BG6" s="46"/>
    </row>
    <row r="7" spans="2:59" x14ac:dyDescent="0.25">
      <c r="B7" t="s">
        <v>16</v>
      </c>
      <c r="C7" s="322">
        <f>'Tooth measurements raw data'!G5</f>
        <v>5.1275000000000004</v>
      </c>
      <c r="D7" s="153">
        <f>'Tooth measurements raw data'!K5</f>
        <v>2.1575000000000002</v>
      </c>
      <c r="E7" s="63">
        <v>3.0836000000000001</v>
      </c>
      <c r="F7">
        <v>5</v>
      </c>
      <c r="H7"/>
      <c r="I7" s="328">
        <f>'Tooth measurements raw data'!G6</f>
        <v>2.1875</v>
      </c>
      <c r="J7" s="150">
        <f>'Tooth measurements raw data'!K6</f>
        <v>0.91749999999999998</v>
      </c>
      <c r="K7" s="21">
        <v>0.68742499999999995</v>
      </c>
      <c r="L7" s="47">
        <v>3</v>
      </c>
      <c r="M7" s="61">
        <f>I7/C7</f>
        <v>0.42662116040955628</v>
      </c>
      <c r="N7" s="80"/>
      <c r="O7" s="85"/>
      <c r="Q7" s="47"/>
      <c r="R7" s="47"/>
      <c r="S7" s="61">
        <f>O7/I7</f>
        <v>0</v>
      </c>
      <c r="V7" t="s">
        <v>16</v>
      </c>
      <c r="W7" s="85">
        <f>'Tooth measurements raw data'!G169</f>
        <v>23.265000000000001</v>
      </c>
      <c r="X7">
        <f>'Tooth measurements raw data'!K169</f>
        <v>8.0549999999999997</v>
      </c>
      <c r="Y7" s="47">
        <f>'Tooth measurements raw data'!$H$169</f>
        <v>249.08602859547</v>
      </c>
      <c r="Z7" s="199">
        <v>3</v>
      </c>
      <c r="AC7" s="85">
        <f>'Tooth measurements raw data'!G170</f>
        <v>7.955000000000001</v>
      </c>
      <c r="AD7">
        <f>'Tooth measurements raw data'!K170</f>
        <v>3.145</v>
      </c>
      <c r="AE7" s="47">
        <f>'Tooth measurements raw data'!$H$170</f>
        <v>28.077570999999999</v>
      </c>
      <c r="AF7" s="286">
        <v>2</v>
      </c>
      <c r="AG7" s="59">
        <f>AC7/W7</f>
        <v>0.34192993767461854</v>
      </c>
      <c r="AI7" s="44"/>
      <c r="AK7" s="47"/>
      <c r="AL7" s="47"/>
      <c r="AM7" s="61"/>
      <c r="AO7" s="379"/>
      <c r="AP7" t="s">
        <v>16</v>
      </c>
      <c r="AQ7" s="336">
        <f>'Tooth measurements raw data'!$G$89</f>
        <v>2.5327999999999999</v>
      </c>
      <c r="AR7">
        <f>'Tooth measurements raw data'!K89</f>
        <v>1.7728000000000002</v>
      </c>
      <c r="AS7" s="196">
        <f>'Tooth measurements raw data'!$H$89</f>
        <v>0.37178497799999999</v>
      </c>
      <c r="AT7" s="47">
        <v>7</v>
      </c>
      <c r="AW7" s="324">
        <f>'Tooth measurements raw data'!$G$90</f>
        <v>1.1528</v>
      </c>
      <c r="AX7">
        <f>'Tooth measurements raw data'!K90</f>
        <v>0.77280000000000004</v>
      </c>
      <c r="AY7" s="197">
        <f>'Tooth measurements raw data'!$H$90</f>
        <v>0.13914347500000002</v>
      </c>
      <c r="AZ7" s="47">
        <v>4</v>
      </c>
      <c r="BA7" s="61">
        <f>AW7/AQ7</f>
        <v>0.45514845230574863</v>
      </c>
      <c r="BC7" s="85"/>
      <c r="BE7" s="47"/>
      <c r="BF7" s="47"/>
      <c r="BG7" s="61"/>
    </row>
    <row r="8" spans="2:59" x14ac:dyDescent="0.25">
      <c r="B8" t="s">
        <v>17</v>
      </c>
      <c r="C8" s="321">
        <f>'Tooth measurements raw data'!G7</f>
        <v>9.0274999999999999</v>
      </c>
      <c r="D8" s="153">
        <f>'Tooth measurements raw data'!K7</f>
        <v>2.9474999999999998</v>
      </c>
      <c r="E8" s="21">
        <v>12.209099999999999</v>
      </c>
      <c r="F8">
        <v>7</v>
      </c>
      <c r="H8">
        <v>33.821989530000003</v>
      </c>
      <c r="I8" s="328">
        <f>'Tooth measurements raw data'!G8</f>
        <v>3.0175000000000001</v>
      </c>
      <c r="J8" s="150">
        <f>'Tooth measurements raw data'!K8</f>
        <v>1.0375000000000001</v>
      </c>
      <c r="K8" s="21">
        <v>1.603</v>
      </c>
      <c r="L8" s="47">
        <v>2</v>
      </c>
      <c r="M8" s="61">
        <f>I8/C8</f>
        <v>0.3342564386596511</v>
      </c>
      <c r="N8" s="100">
        <v>43.107385890000003</v>
      </c>
      <c r="O8" s="85"/>
      <c r="Q8" s="47"/>
      <c r="R8" s="47"/>
      <c r="S8" s="61">
        <f>O8/I8</f>
        <v>0</v>
      </c>
      <c r="V8" t="s">
        <v>17</v>
      </c>
      <c r="W8" s="203">
        <f>'Tooth measurements raw data'!G171</f>
        <v>39.015000000000001</v>
      </c>
      <c r="X8">
        <f>'Tooth measurements raw data'!K171</f>
        <v>11.455</v>
      </c>
      <c r="Y8" s="196">
        <f>'Tooth measurements raw data'!$H$171</f>
        <v>1013.040609887</v>
      </c>
      <c r="Z8" s="199">
        <v>6</v>
      </c>
      <c r="AC8" s="85">
        <f>'Tooth measurements raw data'!G172</f>
        <v>13.364999999999998</v>
      </c>
      <c r="AD8">
        <f>'Tooth measurements raw data'!K172</f>
        <v>4.7949999999999999</v>
      </c>
      <c r="AE8" s="47">
        <f>'Tooth measurements raw data'!$H$172</f>
        <v>94.174841000000001</v>
      </c>
      <c r="AF8" s="286">
        <v>3</v>
      </c>
      <c r="AG8" s="59">
        <f>AC8/W8</f>
        <v>0.34256055363321797</v>
      </c>
      <c r="AI8" s="44"/>
      <c r="AK8" s="47"/>
      <c r="AL8" s="47"/>
      <c r="AM8" s="61"/>
      <c r="AO8" s="379"/>
      <c r="AP8" t="s">
        <v>17</v>
      </c>
      <c r="AQ8" s="336">
        <f>'Tooth measurements raw data'!$G$91</f>
        <v>4.9228000000000005</v>
      </c>
      <c r="AR8">
        <f>'Tooth measurements raw data'!K91</f>
        <v>1.7928000000000002</v>
      </c>
      <c r="AS8" s="196">
        <f>'Tooth measurements raw data'!$H$91</f>
        <v>1.49836725</v>
      </c>
      <c r="AT8" s="379">
        <v>7</v>
      </c>
      <c r="AV8" s="225">
        <v>1.6666666666666666E-2</v>
      </c>
      <c r="AW8" s="324">
        <f>'Tooth measurements raw data'!$G$92</f>
        <v>1.0528000000000002</v>
      </c>
      <c r="AX8">
        <f>'Tooth measurements raw data'!K92</f>
        <v>0.53280000000000005</v>
      </c>
      <c r="AY8" s="197">
        <f>'Tooth measurements raw data'!$H$92</f>
        <v>0.10059913300000001</v>
      </c>
      <c r="AZ8" s="379">
        <v>4</v>
      </c>
      <c r="BA8" s="61">
        <f>AW8/AQ8</f>
        <v>0.21386202973917284</v>
      </c>
      <c r="BC8" s="85"/>
      <c r="BE8" s="47"/>
      <c r="BF8" s="47"/>
      <c r="BG8" s="61"/>
    </row>
    <row r="9" spans="2:59" x14ac:dyDescent="0.25">
      <c r="B9" t="s">
        <v>18</v>
      </c>
      <c r="C9" s="321">
        <f>'Tooth measurements raw data'!G9</f>
        <v>11.4175</v>
      </c>
      <c r="D9" s="130">
        <f>'Tooth measurements raw data'!K9</f>
        <v>2.5375000000000001</v>
      </c>
      <c r="E9" s="21">
        <v>21.372699999999998</v>
      </c>
      <c r="F9">
        <v>6</v>
      </c>
      <c r="H9"/>
      <c r="I9" s="328">
        <f>'Tooth measurements raw data'!G10</f>
        <v>2.2675000000000001</v>
      </c>
      <c r="J9" s="150">
        <f>'Tooth measurements raw data'!K10</f>
        <v>0.91749999999999998</v>
      </c>
      <c r="K9" s="21">
        <v>0.86492999999999998</v>
      </c>
      <c r="L9" s="47">
        <v>3</v>
      </c>
      <c r="M9" s="61">
        <f>I9/C9</f>
        <v>0.19859864243485878</v>
      </c>
      <c r="N9" s="80"/>
      <c r="O9" s="85"/>
      <c r="Q9" s="47"/>
      <c r="R9" s="47"/>
      <c r="S9" s="61">
        <f>O9/I9</f>
        <v>0</v>
      </c>
      <c r="V9" t="s">
        <v>18</v>
      </c>
      <c r="W9" s="85"/>
      <c r="Y9" s="47"/>
      <c r="AC9" s="85"/>
      <c r="AE9" s="47"/>
      <c r="AF9" s="286"/>
      <c r="AG9" s="59"/>
      <c r="AI9" s="44"/>
      <c r="AK9" s="47"/>
      <c r="AL9" s="47"/>
      <c r="AM9" s="61"/>
      <c r="AO9" s="379"/>
      <c r="AP9" t="s">
        <v>18</v>
      </c>
      <c r="AQ9" s="336">
        <f>'Tooth measurements raw data'!$G$93</f>
        <v>4.1328000000000005</v>
      </c>
      <c r="AR9">
        <f>'Tooth measurements raw data'!K93</f>
        <v>1.4328000000000001</v>
      </c>
      <c r="AS9" s="196">
        <f>'Tooth measurements raw data'!$H$93</f>
        <v>1.32007173</v>
      </c>
      <c r="AT9" s="379">
        <v>6</v>
      </c>
      <c r="AW9" s="324">
        <f>'Tooth measurements raw data'!$G$94</f>
        <v>0.53280000000000005</v>
      </c>
      <c r="AX9">
        <f>'Tooth measurements raw data'!K94</f>
        <v>0.31280000000000002</v>
      </c>
      <c r="AY9" s="197">
        <f>'Tooth measurements raw data'!$H$94</f>
        <v>2.3126603900000001E-2</v>
      </c>
      <c r="AZ9" s="379">
        <v>3</v>
      </c>
      <c r="BA9" s="61">
        <f>AW9/AQ9</f>
        <v>0.1289198606271777</v>
      </c>
      <c r="BC9" s="85"/>
      <c r="BE9" s="47"/>
      <c r="BF9" s="47"/>
      <c r="BG9" s="61"/>
    </row>
    <row r="10" spans="2:59" x14ac:dyDescent="0.25">
      <c r="B10" t="s">
        <v>71</v>
      </c>
      <c r="C10" s="322">
        <f>'Tooth measurements raw data'!G11</f>
        <v>7.8175000000000008</v>
      </c>
      <c r="D10" s="130">
        <f>'Tooth measurements raw data'!K11</f>
        <v>2.6074999999999999</v>
      </c>
      <c r="E10" s="63">
        <v>7.3220400000000003</v>
      </c>
      <c r="F10" s="1">
        <v>6</v>
      </c>
      <c r="H10"/>
      <c r="I10" s="328">
        <f>'Tooth measurements raw data'!G12</f>
        <v>2.8275000000000001</v>
      </c>
      <c r="J10" s="150">
        <f>'Tooth measurements raw data'!K12</f>
        <v>1.3774999999999999</v>
      </c>
      <c r="K10" s="21">
        <v>1.1979900000000001</v>
      </c>
      <c r="L10" s="47">
        <v>4</v>
      </c>
      <c r="M10" s="61">
        <f>I10/C10</f>
        <v>0.36168851934761753</v>
      </c>
      <c r="N10" s="80"/>
      <c r="O10" s="322">
        <f>'Tooth measurements raw data'!G13</f>
        <v>0.3775</v>
      </c>
      <c r="P10" s="347">
        <f>'Tooth measurements raw data'!K13</f>
        <v>0.11750000000000001</v>
      </c>
      <c r="Q10" s="21">
        <v>1.5093000000000001E-2</v>
      </c>
      <c r="R10">
        <v>1</v>
      </c>
      <c r="S10" s="59">
        <f>O10/I10</f>
        <v>0.13351016799292661</v>
      </c>
      <c r="V10" t="s">
        <v>71</v>
      </c>
      <c r="W10" s="85">
        <f>'Tooth measurements raw data'!G174</f>
        <v>37.615000000000002</v>
      </c>
      <c r="X10">
        <f>'Tooth measurements raw data'!K174</f>
        <v>8.6449999999999996</v>
      </c>
      <c r="Y10" s="47">
        <f>'Tooth measurements raw data'!$H$174</f>
        <v>855.40529635969995</v>
      </c>
      <c r="Z10" s="199">
        <v>5</v>
      </c>
      <c r="AC10" s="85">
        <f>'Tooth measurements raw data'!G175</f>
        <v>6.5049999999999999</v>
      </c>
      <c r="AD10">
        <f>'Tooth measurements raw data'!K175</f>
        <v>2.9650000000000003</v>
      </c>
      <c r="AE10" s="47">
        <f>'Tooth measurements raw data'!$H$175</f>
        <v>28.028379999999999</v>
      </c>
      <c r="AF10" s="286">
        <v>1</v>
      </c>
      <c r="AG10" s="59">
        <f>AC10/W10</f>
        <v>0.17293632859231689</v>
      </c>
      <c r="AI10" s="83"/>
      <c r="AK10" s="87"/>
      <c r="AM10" s="61"/>
      <c r="AN10" s="43"/>
      <c r="AO10" s="379"/>
      <c r="AP10" t="s">
        <v>71</v>
      </c>
      <c r="AQ10" s="335">
        <f>'Tooth measurements raw data'!$G$95</f>
        <v>4.5928000000000004</v>
      </c>
      <c r="AR10">
        <f>'Tooth measurements raw data'!K95</f>
        <v>1.7628000000000001</v>
      </c>
      <c r="AS10" s="47">
        <f>'Tooth measurements raw data'!$H$95</f>
        <v>1.21102804</v>
      </c>
      <c r="AT10" s="379">
        <v>7</v>
      </c>
      <c r="AW10" s="324">
        <f>'Tooth measurements raw data'!$G$96</f>
        <v>0.99280000000000002</v>
      </c>
      <c r="AX10">
        <f>'Tooth measurements raw data'!K96</f>
        <v>0.56279999999999997</v>
      </c>
      <c r="AY10" s="197">
        <f>'Tooth measurements raw data'!$H$96</f>
        <v>8.8092212000000003E-2</v>
      </c>
      <c r="AZ10" s="379">
        <v>4</v>
      </c>
      <c r="BA10" s="61">
        <f>AW10/AQ10</f>
        <v>0.21616443128374846</v>
      </c>
      <c r="BC10" s="83"/>
      <c r="BE10" s="87"/>
      <c r="BG10" s="61"/>
    </row>
    <row r="11" spans="2:59" x14ac:dyDescent="0.25">
      <c r="C11" s="150"/>
      <c r="E11" s="80"/>
      <c r="H11"/>
      <c r="I11" s="56"/>
      <c r="K11" s="47"/>
      <c r="L11" s="58" t="s">
        <v>39</v>
      </c>
      <c r="M11" s="60">
        <f>(M6+M7+M8+M9+M10)/5</f>
        <v>0.30899861139066087</v>
      </c>
      <c r="N11" s="80"/>
      <c r="O11" s="47"/>
      <c r="Q11" s="47"/>
      <c r="R11" s="63" t="s">
        <v>39</v>
      </c>
      <c r="S11" s="348">
        <f>S10</f>
        <v>0.13351016799292661</v>
      </c>
      <c r="U11" s="199"/>
      <c r="V11" s="1"/>
      <c r="W11" s="77"/>
      <c r="Y11" s="80"/>
      <c r="AC11" s="56"/>
      <c r="AE11" s="47"/>
      <c r="AF11" s="58" t="s">
        <v>39</v>
      </c>
      <c r="AG11" s="60">
        <f>(AG7+AG8+AG10)/3</f>
        <v>0.2858089399667178</v>
      </c>
      <c r="AI11" s="48"/>
      <c r="AK11" s="47"/>
      <c r="AL11" s="58" t="s">
        <v>39</v>
      </c>
      <c r="AM11" s="61"/>
      <c r="AN11" s="43"/>
      <c r="AO11" s="379"/>
      <c r="AW11" s="56"/>
      <c r="AY11" s="47"/>
      <c r="AZ11" s="58" t="s">
        <v>39</v>
      </c>
      <c r="BA11" s="60">
        <f>(BA6+BA7+BA8+BA9+BA10)/5</f>
        <v>0.21860514187746904</v>
      </c>
      <c r="BC11" s="57"/>
      <c r="BE11" s="47"/>
      <c r="BF11" s="63" t="s">
        <v>39</v>
      </c>
      <c r="BG11" s="61"/>
    </row>
    <row r="12" spans="2:59" x14ac:dyDescent="0.25">
      <c r="C12" s="150"/>
      <c r="E12" s="80"/>
      <c r="H12"/>
      <c r="K12" s="80"/>
      <c r="L12"/>
      <c r="N12" s="80"/>
      <c r="Q12" s="80"/>
      <c r="R12"/>
      <c r="U12" s="199"/>
      <c r="Y12" s="80"/>
      <c r="AO12" s="379"/>
    </row>
    <row r="13" spans="2:59" x14ac:dyDescent="0.25">
      <c r="C13" s="150"/>
      <c r="E13" s="80"/>
      <c r="H13"/>
      <c r="K13" s="80"/>
      <c r="L13"/>
      <c r="N13" s="80"/>
      <c r="Q13" s="80"/>
      <c r="R13"/>
      <c r="U13" s="199"/>
      <c r="Y13" s="80"/>
      <c r="AO13" s="379"/>
      <c r="AP13" s="40" t="s">
        <v>19</v>
      </c>
      <c r="AS13" s="63"/>
      <c r="AT13" s="43" t="s">
        <v>33</v>
      </c>
      <c r="AU13" s="1"/>
      <c r="AV13" s="1"/>
      <c r="AW13" s="63"/>
      <c r="AY13" s="1"/>
      <c r="BB13" s="80"/>
    </row>
    <row r="14" spans="2:59" x14ac:dyDescent="0.25">
      <c r="B14" s="40" t="s">
        <v>19</v>
      </c>
      <c r="C14" s="323"/>
      <c r="E14" s="63"/>
      <c r="F14" s="43" t="s">
        <v>33</v>
      </c>
      <c r="G14" s="1"/>
      <c r="H14"/>
      <c r="I14" s="1"/>
      <c r="K14" s="63"/>
      <c r="L14" s="1"/>
      <c r="N14" s="80"/>
      <c r="Q14" s="80"/>
      <c r="R14"/>
      <c r="U14" s="199"/>
      <c r="V14" s="40" t="s">
        <v>19</v>
      </c>
      <c r="W14" s="1"/>
      <c r="Y14" s="63"/>
      <c r="Z14" s="43" t="s">
        <v>33</v>
      </c>
      <c r="AA14" s="1"/>
      <c r="AC14" s="1"/>
      <c r="AE14" s="63"/>
      <c r="AF14" s="1"/>
      <c r="AK14" s="80"/>
      <c r="AO14" s="379"/>
      <c r="AP14" t="s">
        <v>79</v>
      </c>
      <c r="AQ14" t="s">
        <v>34</v>
      </c>
      <c r="AS14" s="80"/>
      <c r="AT14" s="1"/>
      <c r="AW14" t="s">
        <v>13</v>
      </c>
      <c r="AY14" s="80"/>
      <c r="AZ14" s="41"/>
      <c r="BC14" t="s">
        <v>14</v>
      </c>
      <c r="BE14" s="80"/>
    </row>
    <row r="15" spans="2:59" x14ac:dyDescent="0.25">
      <c r="B15" t="s">
        <v>41</v>
      </c>
      <c r="C15" t="s">
        <v>34</v>
      </c>
      <c r="E15" s="80"/>
      <c r="F15" s="1"/>
      <c r="H15"/>
      <c r="I15" t="s">
        <v>13</v>
      </c>
      <c r="K15" s="80"/>
      <c r="L15" s="41"/>
      <c r="N15" s="80"/>
      <c r="O15" t="s">
        <v>14</v>
      </c>
      <c r="Q15" s="80"/>
      <c r="R15"/>
      <c r="U15" s="199"/>
      <c r="V15" t="s">
        <v>78</v>
      </c>
      <c r="W15" t="s">
        <v>34</v>
      </c>
      <c r="Y15" s="80"/>
      <c r="Z15" s="1"/>
      <c r="AC15" t="s">
        <v>13</v>
      </c>
      <c r="AE15" s="80"/>
      <c r="AF15" s="41"/>
      <c r="AI15" t="s">
        <v>14</v>
      </c>
      <c r="AK15" s="80"/>
      <c r="AO15" s="379"/>
      <c r="AQ15" t="s">
        <v>274</v>
      </c>
      <c r="AR15" s="104" t="s">
        <v>93</v>
      </c>
      <c r="AS15" s="80" t="s">
        <v>77</v>
      </c>
      <c r="AT15" s="41" t="s">
        <v>37</v>
      </c>
      <c r="AU15" s="5" t="s">
        <v>76</v>
      </c>
      <c r="AV15" t="s">
        <v>87</v>
      </c>
      <c r="AW15" t="s">
        <v>274</v>
      </c>
      <c r="AX15" s="104" t="s">
        <v>93</v>
      </c>
      <c r="AY15" s="80" t="s">
        <v>77</v>
      </c>
      <c r="AZ15" s="41" t="s">
        <v>37</v>
      </c>
      <c r="BA15" s="5" t="s">
        <v>76</v>
      </c>
      <c r="BB15" t="s">
        <v>87</v>
      </c>
      <c r="BC15" s="42" t="s">
        <v>274</v>
      </c>
      <c r="BD15" s="104" t="s">
        <v>93</v>
      </c>
      <c r="BE15" s="61" t="s">
        <v>77</v>
      </c>
      <c r="BF15" s="41" t="s">
        <v>37</v>
      </c>
      <c r="BG15" s="10" t="s">
        <v>76</v>
      </c>
    </row>
    <row r="16" spans="2:59" x14ac:dyDescent="0.25">
      <c r="C16" t="s">
        <v>274</v>
      </c>
      <c r="D16" s="61" t="s">
        <v>93</v>
      </c>
      <c r="E16" s="107" t="s">
        <v>77</v>
      </c>
      <c r="F16" s="41" t="s">
        <v>37</v>
      </c>
      <c r="G16" s="10" t="s">
        <v>76</v>
      </c>
      <c r="H16" t="s">
        <v>87</v>
      </c>
      <c r="I16" t="s">
        <v>274</v>
      </c>
      <c r="J16" s="61" t="s">
        <v>93</v>
      </c>
      <c r="K16" s="107" t="s">
        <v>77</v>
      </c>
      <c r="L16" s="41" t="s">
        <v>37</v>
      </c>
      <c r="M16" s="10" t="s">
        <v>76</v>
      </c>
      <c r="N16" t="s">
        <v>87</v>
      </c>
      <c r="O16" s="42" t="s">
        <v>274</v>
      </c>
      <c r="P16" s="104" t="s">
        <v>93</v>
      </c>
      <c r="Q16" s="61" t="s">
        <v>77</v>
      </c>
      <c r="R16" s="41" t="s">
        <v>37</v>
      </c>
      <c r="S16" s="10" t="s">
        <v>76</v>
      </c>
      <c r="T16" t="s">
        <v>87</v>
      </c>
      <c r="U16" s="199"/>
      <c r="W16" t="s">
        <v>274</v>
      </c>
      <c r="X16" s="104" t="s">
        <v>93</v>
      </c>
      <c r="Y16" s="80" t="s">
        <v>77</v>
      </c>
      <c r="Z16" s="41" t="s">
        <v>37</v>
      </c>
      <c r="AA16" s="10" t="s">
        <v>76</v>
      </c>
      <c r="AC16" t="s">
        <v>274</v>
      </c>
      <c r="AD16" s="104" t="s">
        <v>93</v>
      </c>
      <c r="AE16" s="80" t="s">
        <v>77</v>
      </c>
      <c r="AF16" s="41" t="s">
        <v>37</v>
      </c>
      <c r="AG16" s="10" t="s">
        <v>76</v>
      </c>
      <c r="AI16" s="42" t="s">
        <v>274</v>
      </c>
      <c r="AJ16" s="104" t="s">
        <v>93</v>
      </c>
      <c r="AK16" s="61" t="s">
        <v>77</v>
      </c>
      <c r="AL16" s="41" t="s">
        <v>37</v>
      </c>
      <c r="AM16" s="10" t="s">
        <v>76</v>
      </c>
      <c r="AO16" s="379"/>
      <c r="AP16" t="s">
        <v>15</v>
      </c>
      <c r="AQ16" s="337">
        <f>'Tooth measurements raw data'!$G$97</f>
        <v>4.5528000000000004</v>
      </c>
      <c r="AR16">
        <f>'Tooth measurements raw data'!K97</f>
        <v>1.6928000000000001</v>
      </c>
      <c r="AS16" s="56">
        <f>'Tooth measurements raw data'!$H$97</f>
        <v>1.1267422499999999</v>
      </c>
      <c r="AT16" s="296">
        <v>6</v>
      </c>
      <c r="AU16" s="55"/>
      <c r="AV16" s="99"/>
      <c r="AW16" s="337">
        <f>'Tooth measurements raw data'!$G$98</f>
        <v>0.69279999999999997</v>
      </c>
      <c r="AX16">
        <f>'Tooth measurements raw data'!K98</f>
        <v>0.4728</v>
      </c>
      <c r="AY16" s="56">
        <f>'Tooth measurements raw data'!$H$98</f>
        <v>4.7948521000000001E-2</v>
      </c>
      <c r="AZ16" s="56">
        <v>3</v>
      </c>
      <c r="BA16" s="46">
        <f t="shared" ref="BA16:BA28" si="0">AW16/AQ16</f>
        <v>0.15217009312950269</v>
      </c>
      <c r="BB16" s="99"/>
      <c r="BC16" s="85"/>
      <c r="BE16" s="56"/>
    </row>
    <row r="17" spans="2:59" x14ac:dyDescent="0.25">
      <c r="B17" t="s">
        <v>15</v>
      </c>
      <c r="C17" s="346">
        <f>'Tooth measurements raw data'!G14</f>
        <v>8.0075000000000003</v>
      </c>
      <c r="D17" s="329">
        <f>'Tooth measurements raw data'!K14</f>
        <v>2.6074999999999999</v>
      </c>
      <c r="E17" s="21">
        <v>7.7496499999999999</v>
      </c>
      <c r="F17" s="56">
        <v>6</v>
      </c>
      <c r="G17" s="55"/>
      <c r="H17" s="99"/>
      <c r="I17" s="346">
        <f>'Tooth measurements raw data'!G15</f>
        <v>2.0074999999999998</v>
      </c>
      <c r="J17" s="335">
        <f>'Tooth measurements raw data'!K15</f>
        <v>0.67749999999999999</v>
      </c>
      <c r="K17" s="21">
        <v>0.54964400000000002</v>
      </c>
      <c r="L17" s="56">
        <v>2</v>
      </c>
      <c r="M17" s="46">
        <f t="shared" ref="M17:M31" si="1">I17/C17</f>
        <v>0.2507024664377146</v>
      </c>
      <c r="N17" s="99"/>
      <c r="O17" s="85"/>
      <c r="Q17" s="88"/>
      <c r="R17" s="46"/>
      <c r="S17" s="46"/>
      <c r="T17" s="46"/>
      <c r="U17" s="199"/>
      <c r="V17" t="s">
        <v>15</v>
      </c>
      <c r="W17" s="189">
        <f>'Tooth measurements raw data'!G176</f>
        <v>27.004999999999999</v>
      </c>
      <c r="X17" s="204">
        <f>'Tooth measurements raw data'!K176</f>
        <v>7.2050000000000001</v>
      </c>
      <c r="Y17" s="198">
        <f>'Tooth measurements raw data'!H176</f>
        <v>431.12912421300007</v>
      </c>
      <c r="Z17" s="296">
        <v>4</v>
      </c>
      <c r="AA17" s="55"/>
      <c r="AC17" s="187">
        <f>'Tooth measurements raw data'!$G$177</f>
        <v>8.9849999999999994</v>
      </c>
      <c r="AD17">
        <f>'Tooth measurements raw data'!K177</f>
        <v>3.915</v>
      </c>
      <c r="AE17" s="56">
        <f>'Tooth measurements raw data'!$H$177</f>
        <v>43.789313999999997</v>
      </c>
      <c r="AF17" s="46">
        <v>2</v>
      </c>
      <c r="AG17" s="46">
        <f>AC17/W17</f>
        <v>0.33271616367339379</v>
      </c>
      <c r="AI17" s="85">
        <f>'Tooth measurements raw data'!$G$178</f>
        <v>0.89500000000000002</v>
      </c>
      <c r="AJ17">
        <f>'Tooth measurements raw data'!K178</f>
        <v>0.57499999999999996</v>
      </c>
      <c r="AK17" s="201">
        <f>'Tooth measurements raw data'!$H$178</f>
        <v>0.44938639999999996</v>
      </c>
      <c r="AL17" s="296">
        <v>0</v>
      </c>
      <c r="AM17" s="55">
        <f>AI17/AC17</f>
        <v>9.9610461880912646E-2</v>
      </c>
      <c r="AO17" s="379"/>
      <c r="AP17" t="s">
        <v>16</v>
      </c>
      <c r="AQ17" s="332">
        <f>'Tooth measurements raw data'!$G$99</f>
        <v>4.2228000000000003</v>
      </c>
      <c r="AR17">
        <f>'Tooth measurements raw data'!K99</f>
        <v>2.4327999999999999</v>
      </c>
      <c r="AS17" s="196">
        <f>'Tooth measurements raw data'!$H$99</f>
        <v>1.5377433300000001</v>
      </c>
      <c r="AT17" s="379">
        <v>8</v>
      </c>
      <c r="AW17" s="337">
        <f>'Tooth measurements raw data'!$G$100</f>
        <v>1.8028000000000002</v>
      </c>
      <c r="AX17">
        <f>'Tooth measurements raw data'!K100</f>
        <v>0.95279999999999998</v>
      </c>
      <c r="AY17" s="47">
        <f>'Tooth measurements raw data'!$H$100</f>
        <v>0.29076189000000002</v>
      </c>
      <c r="AZ17" s="380">
        <v>4</v>
      </c>
      <c r="BA17" s="61">
        <f t="shared" si="0"/>
        <v>0.4269205266647722</v>
      </c>
      <c r="BC17" s="83"/>
      <c r="BE17" s="87"/>
      <c r="BG17" s="61"/>
    </row>
    <row r="18" spans="2:59" x14ac:dyDescent="0.25">
      <c r="B18" t="s">
        <v>16</v>
      </c>
      <c r="C18" s="332">
        <f>'Tooth measurements raw data'!G16</f>
        <v>7.2875000000000005</v>
      </c>
      <c r="D18" s="349">
        <f>'Tooth measurements raw data'!K16</f>
        <v>3.5274999999999999</v>
      </c>
      <c r="E18" s="63">
        <v>7.6163100000000004</v>
      </c>
      <c r="F18" s="47">
        <v>7</v>
      </c>
      <c r="H18"/>
      <c r="I18" s="346">
        <f>'Tooth measurements raw data'!G17</f>
        <v>5.7975000000000003</v>
      </c>
      <c r="J18" s="350">
        <f>'Tooth measurements raw data'!K17</f>
        <v>2.0074999999999998</v>
      </c>
      <c r="K18" s="21">
        <v>5.3387500000000001</v>
      </c>
      <c r="L18" s="47">
        <v>4</v>
      </c>
      <c r="M18" s="61">
        <f t="shared" si="1"/>
        <v>0.79554030874785586</v>
      </c>
      <c r="N18" s="80"/>
      <c r="O18" s="322">
        <f>'Tooth measurements raw data'!G18</f>
        <v>1.0075000000000001</v>
      </c>
      <c r="P18" s="347">
        <f>'Tooth measurements raw data'!K18</f>
        <v>0.32749999999999996</v>
      </c>
      <c r="Q18" s="63">
        <v>0.15944900000000001</v>
      </c>
      <c r="R18">
        <v>1</v>
      </c>
      <c r="S18" s="61">
        <f>O18/I18</f>
        <v>0.17378180250107805</v>
      </c>
      <c r="U18" s="199"/>
      <c r="V18" t="s">
        <v>16</v>
      </c>
      <c r="W18" s="83">
        <f>'Tooth measurements raw data'!G179</f>
        <v>20.824999999999999</v>
      </c>
      <c r="X18">
        <f>'Tooth measurements raw data'!K179</f>
        <v>1.1850000000000001</v>
      </c>
      <c r="Y18" s="195">
        <f>'Tooth measurements raw data'!H179</f>
        <v>2.05591401</v>
      </c>
      <c r="Z18" s="199">
        <v>1</v>
      </c>
      <c r="AC18" s="187"/>
      <c r="AE18" s="47"/>
      <c r="AF18" s="286"/>
      <c r="AG18" s="61"/>
      <c r="AI18" s="83"/>
      <c r="AK18" s="87"/>
      <c r="AM18" s="61"/>
      <c r="AO18" s="379"/>
      <c r="AP18" t="s">
        <v>17</v>
      </c>
      <c r="AQ18" s="334">
        <f>'Tooth measurements raw data'!$G$101</f>
        <v>6.3228</v>
      </c>
      <c r="AR18">
        <f>'Tooth measurements raw data'!K101</f>
        <v>1.7928000000000002</v>
      </c>
      <c r="AS18" s="47">
        <f>'Tooth measurements raw data'!$H$101</f>
        <v>2.7944807100000002</v>
      </c>
      <c r="AT18" s="379">
        <v>7</v>
      </c>
      <c r="AW18" s="337">
        <f>'Tooth measurements raw data'!$G$102</f>
        <v>1.1028</v>
      </c>
      <c r="AX18">
        <f>'Tooth measurements raw data'!K102</f>
        <v>0.6028</v>
      </c>
      <c r="AY18" s="47">
        <f>'Tooth measurements raw data'!$H$102</f>
        <v>0.13808790199999998</v>
      </c>
      <c r="AZ18" s="380">
        <v>3</v>
      </c>
      <c r="BA18" s="61">
        <f t="shared" si="0"/>
        <v>0.17441639779844373</v>
      </c>
      <c r="BC18" s="85"/>
      <c r="BE18" s="47"/>
    </row>
    <row r="19" spans="2:59" x14ac:dyDescent="0.25">
      <c r="B19" t="s">
        <v>17</v>
      </c>
      <c r="C19" s="346">
        <f>'Tooth measurements raw data'!G19</f>
        <v>12.297500000000001</v>
      </c>
      <c r="D19" s="349">
        <f>'Tooth measurements raw data'!K19</f>
        <v>2.9474999999999998</v>
      </c>
      <c r="E19" s="21">
        <v>30.171700000000001</v>
      </c>
      <c r="F19" s="47">
        <v>6</v>
      </c>
      <c r="H19"/>
      <c r="I19" s="346">
        <f>'Tooth measurements raw data'!G20</f>
        <v>3.3075000000000001</v>
      </c>
      <c r="J19" s="350">
        <f>'Tooth measurements raw data'!K20</f>
        <v>1.0375000000000001</v>
      </c>
      <c r="K19" s="21">
        <v>2.0457900000000002</v>
      </c>
      <c r="L19" s="47">
        <v>3</v>
      </c>
      <c r="M19" s="61">
        <f t="shared" si="1"/>
        <v>0.26895710510266313</v>
      </c>
      <c r="N19" s="80"/>
      <c r="O19" s="85"/>
      <c r="Q19" s="47"/>
      <c r="R19"/>
      <c r="U19" s="199"/>
      <c r="V19" t="s">
        <v>17</v>
      </c>
      <c r="W19" s="189">
        <f>'Tooth measurements raw data'!G180</f>
        <v>42.415000000000006</v>
      </c>
      <c r="X19" s="204">
        <f>'Tooth measurements raw data'!K180</f>
        <v>5.4550000000000001</v>
      </c>
      <c r="Y19" s="194">
        <f>'Tooth measurements raw data'!H180</f>
        <v>1275.9274605000001</v>
      </c>
      <c r="Z19" s="199">
        <v>3</v>
      </c>
      <c r="AC19" s="187"/>
      <c r="AE19" s="47"/>
      <c r="AF19" s="286"/>
      <c r="AG19" s="61"/>
      <c r="AI19" s="85"/>
      <c r="AK19" s="47"/>
      <c r="AO19" s="379"/>
      <c r="AP19" t="s">
        <v>18</v>
      </c>
      <c r="AQ19" s="333">
        <f>'Tooth measurements raw data'!$G$103</f>
        <v>4.9028</v>
      </c>
      <c r="AR19">
        <f>'Tooth measurements raw data'!K103</f>
        <v>2.5127999999999999</v>
      </c>
      <c r="AS19" s="196">
        <f>'Tooth measurements raw data'!$H$103</f>
        <v>2.9786619000000001</v>
      </c>
      <c r="AT19" s="379">
        <v>9</v>
      </c>
      <c r="AW19" s="337">
        <f>'Tooth measurements raw data'!$G$104</f>
        <v>2.8028</v>
      </c>
      <c r="AX19">
        <f>'Tooth measurements raw data'!K104</f>
        <v>1.2228000000000001</v>
      </c>
      <c r="AY19" s="47">
        <f>'Tooth measurements raw data'!$H$104</f>
        <v>0.88651981999999996</v>
      </c>
      <c r="AZ19" s="380">
        <v>5</v>
      </c>
      <c r="BA19" s="61">
        <f t="shared" si="0"/>
        <v>0.57167332952598515</v>
      </c>
      <c r="BC19" s="85"/>
      <c r="BE19" s="47"/>
    </row>
    <row r="20" spans="2:59" x14ac:dyDescent="0.25">
      <c r="B20" t="s">
        <v>18</v>
      </c>
      <c r="C20" s="346">
        <f>'Tooth measurements raw data'!G21</f>
        <v>9.9875000000000007</v>
      </c>
      <c r="D20" s="349">
        <f>'Tooth measurements raw data'!K21</f>
        <v>2.6375000000000002</v>
      </c>
      <c r="E20" s="21">
        <v>18.7089</v>
      </c>
      <c r="F20" s="47">
        <v>7</v>
      </c>
      <c r="H20"/>
      <c r="I20" s="332">
        <f>'Tooth measurements raw data'!G22</f>
        <v>1.6375</v>
      </c>
      <c r="J20" s="352">
        <f>'Tooth measurements raw data'!K22</f>
        <v>0.48749999999999993</v>
      </c>
      <c r="K20" s="63">
        <v>0.46843800000000002</v>
      </c>
      <c r="L20" s="47">
        <v>2</v>
      </c>
      <c r="M20" s="61">
        <f t="shared" si="1"/>
        <v>0.16395494367959948</v>
      </c>
      <c r="N20" s="80"/>
      <c r="O20" s="85"/>
      <c r="Q20" s="47"/>
      <c r="R20"/>
      <c r="U20" s="199"/>
      <c r="V20" t="s">
        <v>18</v>
      </c>
      <c r="W20" s="189">
        <f>'Tooth measurements raw data'!G181</f>
        <v>62.495000000000005</v>
      </c>
      <c r="X20" s="204">
        <f>'Tooth measurements raw data'!K181</f>
        <v>12.725</v>
      </c>
      <c r="Y20" s="194">
        <f>'Tooth measurements raw data'!H181</f>
        <v>5008.1931240000004</v>
      </c>
      <c r="Z20" s="199">
        <v>7</v>
      </c>
      <c r="AC20" s="186"/>
      <c r="AE20" s="47"/>
      <c r="AF20" s="286"/>
      <c r="AG20" s="61"/>
      <c r="AI20" s="85"/>
      <c r="AK20" s="47"/>
      <c r="AO20" s="379"/>
      <c r="AP20" t="s">
        <v>20</v>
      </c>
      <c r="AQ20" s="333">
        <f>'Tooth measurements raw data'!$G$105</f>
        <v>5.8728000000000007</v>
      </c>
      <c r="AR20">
        <f>'Tooth measurements raw data'!K105</f>
        <v>1.8328000000000002</v>
      </c>
      <c r="AS20" s="196">
        <f>'Tooth measurements raw data'!$H$105</f>
        <v>3.0390852800000001</v>
      </c>
      <c r="AT20" s="379">
        <v>7</v>
      </c>
      <c r="AW20" s="337">
        <f>'Tooth measurements raw data'!$G$106</f>
        <v>0.89280000000000004</v>
      </c>
      <c r="AX20">
        <f>'Tooth measurements raw data'!K106</f>
        <v>0.50280000000000002</v>
      </c>
      <c r="AY20" s="47">
        <f>'Tooth measurements raw data'!$H$106</f>
        <v>7.0979165999999996E-2</v>
      </c>
      <c r="AZ20" s="380">
        <v>3</v>
      </c>
      <c r="BA20" s="61">
        <f t="shared" si="0"/>
        <v>0.15202288516550877</v>
      </c>
      <c r="BC20" s="85"/>
      <c r="BE20" s="47"/>
    </row>
    <row r="21" spans="2:59" x14ac:dyDescent="0.25">
      <c r="B21" t="s">
        <v>20</v>
      </c>
      <c r="C21" s="346">
        <f>'Tooth measurements raw data'!G23</f>
        <v>11.1875</v>
      </c>
      <c r="D21" s="349">
        <f>'Tooth measurements raw data'!K23</f>
        <v>2.8174999999999999</v>
      </c>
      <c r="E21" s="21">
        <v>22.783200000000001</v>
      </c>
      <c r="F21" s="47">
        <v>8</v>
      </c>
      <c r="H21"/>
      <c r="I21" s="332">
        <f>'Tooth measurements raw data'!G24</f>
        <v>2.4175</v>
      </c>
      <c r="J21" s="352">
        <f>'Tooth measurements raw data'!K24</f>
        <v>0.92749999999999999</v>
      </c>
      <c r="K21" s="21">
        <v>0.96733999999999998</v>
      </c>
      <c r="L21" s="47">
        <v>3</v>
      </c>
      <c r="M21" s="61">
        <f t="shared" si="1"/>
        <v>0.21608938547486034</v>
      </c>
      <c r="N21" s="80"/>
      <c r="O21" s="85"/>
      <c r="Q21" s="47"/>
      <c r="R21"/>
      <c r="U21" s="199"/>
      <c r="V21" t="s">
        <v>20</v>
      </c>
      <c r="W21" s="188">
        <f>'Tooth measurements raw data'!G182</f>
        <v>35.205000000000005</v>
      </c>
      <c r="X21" s="204">
        <f>'Tooth measurements raw data'!K182</f>
        <v>6.0250000000000004</v>
      </c>
      <c r="Y21" s="196">
        <f>'Tooth measurements raw data'!H182</f>
        <v>839.57927389999986</v>
      </c>
      <c r="Z21" s="199">
        <v>4</v>
      </c>
      <c r="AC21" s="186"/>
      <c r="AE21" s="47"/>
      <c r="AF21" s="286"/>
      <c r="AG21" s="61"/>
      <c r="AI21" s="85"/>
      <c r="AK21" s="47"/>
      <c r="AO21" s="379"/>
      <c r="AP21" t="s">
        <v>21</v>
      </c>
      <c r="AQ21" s="332">
        <f>'Tooth measurements raw data'!$G$107</f>
        <v>4.0428000000000006</v>
      </c>
      <c r="AR21">
        <f>'Tooth measurements raw data'!K107</f>
        <v>2.1928000000000001</v>
      </c>
      <c r="AS21" s="196">
        <f>'Tooth measurements raw data'!$H$107</f>
        <v>1.4151051400000001</v>
      </c>
      <c r="AT21" s="379">
        <v>9</v>
      </c>
      <c r="AV21" s="227">
        <v>1.2666666666666666E-2</v>
      </c>
      <c r="AW21" s="337">
        <f>'Tooth measurements raw data'!$G$108</f>
        <v>1.8428000000000002</v>
      </c>
      <c r="AX21">
        <f>'Tooth measurements raw data'!K108</f>
        <v>0.93279999999999996</v>
      </c>
      <c r="AY21" s="47">
        <f>'Tooth measurements raw data'!$H$108</f>
        <v>0.36407609000000002</v>
      </c>
      <c r="AZ21" s="380">
        <v>5</v>
      </c>
      <c r="BA21" s="61">
        <f t="shared" si="0"/>
        <v>0.45582269714059559</v>
      </c>
      <c r="BC21" s="85"/>
      <c r="BE21" s="47"/>
      <c r="BG21" s="61"/>
    </row>
    <row r="22" spans="2:59" x14ac:dyDescent="0.25">
      <c r="B22" t="s">
        <v>21</v>
      </c>
      <c r="C22" s="332">
        <f>'Tooth measurements raw data'!G25</f>
        <v>9.6375000000000011</v>
      </c>
      <c r="D22" s="349">
        <f>'Tooth measurements raw data'!K25</f>
        <v>3.3174999999999999</v>
      </c>
      <c r="E22" s="63">
        <v>16.497499999999999</v>
      </c>
      <c r="F22" s="47">
        <v>9</v>
      </c>
      <c r="H22">
        <v>24.086956520000001</v>
      </c>
      <c r="I22" s="346">
        <f>'Tooth measurements raw data'!G26</f>
        <v>3.1274999999999999</v>
      </c>
      <c r="J22" s="350">
        <f>'Tooth measurements raw data'!K26</f>
        <v>1.3574999999999999</v>
      </c>
      <c r="K22" s="21">
        <v>2.1411699999999998</v>
      </c>
      <c r="L22" s="47">
        <v>1</v>
      </c>
      <c r="M22" s="61">
        <f t="shared" si="1"/>
        <v>0.32451361867704276</v>
      </c>
      <c r="N22" s="100">
        <v>29.333333329999999</v>
      </c>
      <c r="O22" s="324">
        <f>'Tooth measurements raw data'!G27</f>
        <v>0.3075</v>
      </c>
      <c r="P22" s="347">
        <f>'Tooth measurements raw data'!K27</f>
        <v>5.7500000000000009E-2</v>
      </c>
      <c r="Q22" s="21">
        <v>1.6759699999999999E-2</v>
      </c>
      <c r="R22">
        <v>0</v>
      </c>
      <c r="S22" s="61">
        <f>O22/I22</f>
        <v>9.8321342925659472E-2</v>
      </c>
      <c r="U22" s="199"/>
      <c r="V22" t="s">
        <v>21</v>
      </c>
      <c r="W22" s="186">
        <f>'Tooth measurements raw data'!G183</f>
        <v>31.684999999999999</v>
      </c>
      <c r="X22">
        <f>'Tooth measurements raw data'!K183</f>
        <v>8.8249999999999993</v>
      </c>
      <c r="Y22" s="87">
        <f>'Tooth measurements raw data'!H183</f>
        <v>748.65156210999999</v>
      </c>
      <c r="Z22" s="199">
        <v>5</v>
      </c>
      <c r="AC22" s="187">
        <f>'Tooth measurements raw data'!$G$184</f>
        <v>7.4649999999999999</v>
      </c>
      <c r="AD22" s="100">
        <f>'Tooth measurements raw data'!K184</f>
        <v>2.0550000000000002</v>
      </c>
      <c r="AE22" s="47">
        <f>'Tooth measurements raw data'!$H$184</f>
        <v>54.487238000000005</v>
      </c>
      <c r="AF22" s="286">
        <v>2</v>
      </c>
      <c r="AG22" s="61">
        <f>AC22/W22</f>
        <v>0.23560044184945558</v>
      </c>
      <c r="AI22" s="85"/>
      <c r="AK22" s="47"/>
      <c r="AM22" s="61"/>
      <c r="AO22" s="379"/>
      <c r="AP22" s="45" t="s">
        <v>22</v>
      </c>
      <c r="AQ22" s="334">
        <f>'Tooth measurements raw data'!$G$109</f>
        <v>4.0528000000000004</v>
      </c>
      <c r="AR22">
        <f>'Tooth measurements raw data'!K109</f>
        <v>2.0627999999999997</v>
      </c>
      <c r="AS22" s="47">
        <f>'Tooth measurements raw data'!$H$109</f>
        <v>1.3161373199999999</v>
      </c>
      <c r="AT22" s="379">
        <v>7</v>
      </c>
      <c r="AV22" s="227">
        <v>1.5333333333333332E-2</v>
      </c>
      <c r="AW22" s="337">
        <f>'Tooth measurements raw data'!$G$110</f>
        <v>0.71279999999999999</v>
      </c>
      <c r="AX22">
        <f>'Tooth measurements raw data'!K110</f>
        <v>0.42280000000000001</v>
      </c>
      <c r="AY22" s="47">
        <f>'Tooth measurements raw data'!$H$110</f>
        <v>6.8484179000000006E-2</v>
      </c>
      <c r="AZ22" s="380">
        <v>3</v>
      </c>
      <c r="BA22" s="61">
        <f t="shared" si="0"/>
        <v>0.17587840505329647</v>
      </c>
      <c r="BC22" s="85"/>
      <c r="BE22" s="47"/>
    </row>
    <row r="23" spans="2:59" x14ac:dyDescent="0.25">
      <c r="B23" s="45" t="s">
        <v>22</v>
      </c>
      <c r="C23" s="346">
        <f>'Tooth measurements raw data'!G28</f>
        <v>8.2475000000000005</v>
      </c>
      <c r="D23" s="349">
        <f>'Tooth measurements raw data'!K28</f>
        <v>2.3174999999999999</v>
      </c>
      <c r="E23" s="21">
        <v>9.2203300000000006</v>
      </c>
      <c r="F23" s="47">
        <v>7</v>
      </c>
      <c r="H23">
        <v>39.200000000000003</v>
      </c>
      <c r="I23" s="346">
        <f>'Tooth measurements raw data'!G29</f>
        <v>1.2375</v>
      </c>
      <c r="J23" s="350">
        <f>'Tooth measurements raw data'!K29</f>
        <v>0.58750000000000002</v>
      </c>
      <c r="K23" s="21">
        <v>0.31037799999999999</v>
      </c>
      <c r="L23" s="47">
        <v>1</v>
      </c>
      <c r="M23" s="61">
        <f t="shared" si="1"/>
        <v>0.15004546832373447</v>
      </c>
      <c r="N23" s="80"/>
      <c r="O23" s="85"/>
      <c r="Q23" s="47"/>
      <c r="R23"/>
      <c r="U23" s="199"/>
      <c r="V23" s="45" t="s">
        <v>22</v>
      </c>
      <c r="W23" s="187">
        <f>'Tooth measurements raw data'!G185</f>
        <v>28.484999999999999</v>
      </c>
      <c r="X23">
        <f>'Tooth measurements raw data'!K185</f>
        <v>6.2250000000000005</v>
      </c>
      <c r="Y23" s="47">
        <f>'Tooth measurements raw data'!H185</f>
        <v>517.51246000000003</v>
      </c>
      <c r="Z23" s="199">
        <v>3</v>
      </c>
      <c r="AC23" s="188">
        <f>'Tooth measurements raw data'!$G$186</f>
        <v>3.0050000000000003</v>
      </c>
      <c r="AD23">
        <f>'Tooth measurements raw data'!K186</f>
        <v>1.7849999999999999</v>
      </c>
      <c r="AE23" s="196">
        <f>'Tooth measurements raw data'!$H$186</f>
        <v>5.1995499000000001</v>
      </c>
      <c r="AF23" s="286">
        <v>1</v>
      </c>
      <c r="AG23" s="61">
        <f>AC23/W23</f>
        <v>0.1054941197121292</v>
      </c>
      <c r="AI23" s="85"/>
      <c r="AK23" s="47"/>
      <c r="AO23" s="379"/>
      <c r="AP23" t="s">
        <v>23</v>
      </c>
      <c r="AQ23" s="332">
        <f>'Tooth measurements raw data'!$G$111</f>
        <v>3.1027999999999998</v>
      </c>
      <c r="AR23">
        <f>'Tooth measurements raw data'!K111</f>
        <v>2.1027999999999998</v>
      </c>
      <c r="AS23" s="196">
        <f>'Tooth measurements raw data'!$H$111</f>
        <v>1.23284316</v>
      </c>
      <c r="AT23" s="379">
        <v>9</v>
      </c>
      <c r="AW23" s="337">
        <f>'Tooth measurements raw data'!$G$112</f>
        <v>2.1128</v>
      </c>
      <c r="AX23">
        <f>'Tooth measurements raw data'!K112</f>
        <v>1.0628000000000002</v>
      </c>
      <c r="AY23" s="47">
        <f>'Tooth measurements raw data'!$H$112</f>
        <v>0.54963271000000002</v>
      </c>
      <c r="AZ23" s="380">
        <v>5</v>
      </c>
      <c r="BA23" s="61">
        <f t="shared" si="0"/>
        <v>0.68093335052210913</v>
      </c>
      <c r="BC23" s="85">
        <f>'Tooth measurements raw data'!$G$113</f>
        <v>0.1628</v>
      </c>
      <c r="BD23" s="204">
        <f>'Tooth measurements raw data'!K113</f>
        <v>0.1628</v>
      </c>
      <c r="BE23" s="47">
        <f>'Tooth measurements raw data'!H113</f>
        <v>2.7188955E-3</v>
      </c>
      <c r="BG23" s="61">
        <f>BC23/AW23</f>
        <v>7.7054146156758804E-2</v>
      </c>
    </row>
    <row r="24" spans="2:59" x14ac:dyDescent="0.25">
      <c r="B24" t="s">
        <v>23</v>
      </c>
      <c r="C24" s="332">
        <f>'Tooth measurements raw data'!G30</f>
        <v>9.0675000000000008</v>
      </c>
      <c r="D24" s="349">
        <f>'Tooth measurements raw data'!K30</f>
        <v>2.7374999999999998</v>
      </c>
      <c r="E24" s="63">
        <v>14.8317</v>
      </c>
      <c r="F24" s="47">
        <v>6</v>
      </c>
      <c r="H24"/>
      <c r="I24" s="346">
        <f>'Tooth measurements raw data'!G31</f>
        <v>2.7675000000000001</v>
      </c>
      <c r="J24" s="350">
        <f>'Tooth measurements raw data'!K31</f>
        <v>1.2875000000000001</v>
      </c>
      <c r="K24" s="21">
        <v>1.77884</v>
      </c>
      <c r="L24" s="47">
        <v>4</v>
      </c>
      <c r="M24" s="61">
        <f t="shared" si="1"/>
        <v>0.30521091811414391</v>
      </c>
      <c r="N24" s="80"/>
      <c r="O24" s="85"/>
      <c r="Q24" s="47"/>
      <c r="R24"/>
      <c r="U24" s="47"/>
      <c r="V24" t="s">
        <v>23</v>
      </c>
      <c r="W24" s="186">
        <f>'Tooth measurements raw data'!G187</f>
        <v>31.395</v>
      </c>
      <c r="X24">
        <f>'Tooth measurements raw data'!K187</f>
        <v>6.2149999999999999</v>
      </c>
      <c r="Y24" s="87">
        <f>'Tooth measurements raw data'!H187</f>
        <v>665.70744851680001</v>
      </c>
      <c r="Z24" s="199">
        <v>3</v>
      </c>
      <c r="AC24" s="187">
        <f>'Tooth measurements raw data'!$G$188</f>
        <v>1.2349999999999999</v>
      </c>
      <c r="AD24">
        <f>'Tooth measurements raw data'!K188</f>
        <v>0.95499999999999985</v>
      </c>
      <c r="AE24" s="47">
        <f>'Tooth measurements raw data'!$H$188</f>
        <v>1.3474695999999999</v>
      </c>
      <c r="AF24" s="286">
        <v>1</v>
      </c>
      <c r="AG24" s="61">
        <f>AC24/W24</f>
        <v>3.9337474120082809E-2</v>
      </c>
      <c r="AI24" s="85"/>
      <c r="AK24" s="47"/>
      <c r="AO24" s="379"/>
      <c r="AP24" t="s">
        <v>24</v>
      </c>
      <c r="AQ24" s="334">
        <f>'Tooth measurements raw data'!$G$114</f>
        <v>4.7628000000000004</v>
      </c>
      <c r="AR24">
        <f>'Tooth measurements raw data'!K114</f>
        <v>2.2827999999999999</v>
      </c>
      <c r="AS24" s="47">
        <f>'Tooth measurements raw data'!$H$114</f>
        <v>2.02193062</v>
      </c>
      <c r="AT24" s="379">
        <v>10</v>
      </c>
      <c r="AW24" s="337">
        <f>'Tooth measurements raw data'!$G$115</f>
        <v>1.0028000000000001</v>
      </c>
      <c r="AX24">
        <f>'Tooth measurements raw data'!K115</f>
        <v>0.61280000000000001</v>
      </c>
      <c r="AY24" s="47">
        <f>'Tooth measurements raw data'!$H$115</f>
        <v>0.11800005999999999</v>
      </c>
      <c r="AZ24" s="380">
        <v>3</v>
      </c>
      <c r="BA24" s="61">
        <f t="shared" si="0"/>
        <v>0.21054841689762327</v>
      </c>
      <c r="BC24" s="85"/>
      <c r="BE24" s="47"/>
    </row>
    <row r="25" spans="2:59" x14ac:dyDescent="0.25">
      <c r="B25" t="s">
        <v>24</v>
      </c>
      <c r="C25" s="346">
        <f>'Tooth measurements raw data'!G32</f>
        <v>8.8674999999999997</v>
      </c>
      <c r="D25" s="349">
        <f>'Tooth measurements raw data'!K32</f>
        <v>2.2974999999999999</v>
      </c>
      <c r="E25" s="21">
        <v>12.057499999999999</v>
      </c>
      <c r="F25" s="47">
        <v>5</v>
      </c>
      <c r="H25"/>
      <c r="I25" s="332">
        <f>'Tooth measurements raw data'!G33</f>
        <v>1.2775000000000001</v>
      </c>
      <c r="J25" s="352">
        <f>'Tooth measurements raw data'!K33</f>
        <v>0.5575</v>
      </c>
      <c r="K25" s="21">
        <v>0.318249</v>
      </c>
      <c r="L25" s="47">
        <v>1</v>
      </c>
      <c r="M25" s="61">
        <f t="shared" si="1"/>
        <v>0.14406540738652385</v>
      </c>
      <c r="N25" s="80"/>
      <c r="O25" s="85"/>
      <c r="Q25" s="47"/>
      <c r="R25"/>
      <c r="U25" s="47"/>
      <c r="V25" t="s">
        <v>24</v>
      </c>
      <c r="W25" s="187"/>
      <c r="Y25" s="47"/>
      <c r="Z25" s="199"/>
      <c r="AC25" s="186"/>
      <c r="AE25" s="47"/>
      <c r="AF25" s="286"/>
      <c r="AG25" s="61"/>
      <c r="AI25" s="85"/>
      <c r="AK25" s="47"/>
      <c r="AO25" s="379"/>
      <c r="AP25" t="s">
        <v>25</v>
      </c>
      <c r="AQ25" s="331">
        <f>'Tooth measurements raw data'!$G$116</f>
        <v>3.9327999999999999</v>
      </c>
      <c r="AR25">
        <f>'Tooth measurements raw data'!K116</f>
        <v>1.3528</v>
      </c>
      <c r="AS25" s="47">
        <f>'Tooth measurements raw data'!$H$116</f>
        <v>1.8666017159999999</v>
      </c>
      <c r="AT25" s="379">
        <v>6</v>
      </c>
      <c r="AW25" s="337">
        <f>'Tooth measurements raw data'!$G$117</f>
        <v>0.46279999999999999</v>
      </c>
      <c r="AX25">
        <f>'Tooth measurements raw data'!K117</f>
        <v>0.2828</v>
      </c>
      <c r="AY25" s="47">
        <f>'Tooth measurements raw data'!$H$117</f>
        <v>2.4054228599999998E-2</v>
      </c>
      <c r="AZ25" s="380">
        <v>2</v>
      </c>
      <c r="BA25" s="61">
        <f t="shared" si="0"/>
        <v>0.11767697314890155</v>
      </c>
      <c r="BC25" s="85"/>
      <c r="BE25" s="47"/>
    </row>
    <row r="26" spans="2:59" x14ac:dyDescent="0.25">
      <c r="B26" t="s">
        <v>25</v>
      </c>
      <c r="C26" s="332">
        <f>'Tooth measurements raw data'!G34</f>
        <v>10.307500000000001</v>
      </c>
      <c r="D26" s="349">
        <f>'Tooth measurements raw data'!K34</f>
        <v>3.2574999999999998</v>
      </c>
      <c r="E26" s="63">
        <v>26.016999999999999</v>
      </c>
      <c r="F26" s="47">
        <v>7</v>
      </c>
      <c r="H26"/>
      <c r="I26" s="346">
        <f>'Tooth measurements raw data'!G35</f>
        <v>2.8875000000000002</v>
      </c>
      <c r="J26" s="350">
        <f>'Tooth measurements raw data'!K35</f>
        <v>1.2375</v>
      </c>
      <c r="K26" s="21">
        <v>2.0457900000000002</v>
      </c>
      <c r="L26" s="47">
        <v>3</v>
      </c>
      <c r="M26" s="61">
        <f t="shared" si="1"/>
        <v>0.28013582342954158</v>
      </c>
      <c r="N26" s="80"/>
      <c r="O26" s="85"/>
      <c r="Q26" s="47"/>
      <c r="R26"/>
      <c r="U26" s="80"/>
      <c r="V26" t="s">
        <v>25</v>
      </c>
      <c r="W26" s="186">
        <f>'Tooth measurements raw data'!G190</f>
        <v>42.205000000000005</v>
      </c>
      <c r="X26">
        <f>'Tooth measurements raw data'!K190</f>
        <v>10.434999999999999</v>
      </c>
      <c r="Y26" s="87">
        <f>'Tooth measurements raw data'!H190</f>
        <v>1986.8659755739998</v>
      </c>
      <c r="Z26" s="199">
        <v>5</v>
      </c>
      <c r="AC26" s="187">
        <f>'Tooth measurements raw data'!$G$191</f>
        <v>11.604999999999999</v>
      </c>
      <c r="AD26">
        <f>'Tooth measurements raw data'!K191</f>
        <v>4.2250000000000005</v>
      </c>
      <c r="AE26" s="47">
        <f>'Tooth measurements raw data'!$H$191</f>
        <v>131.28289100000001</v>
      </c>
      <c r="AF26" s="286">
        <v>3</v>
      </c>
      <c r="AG26" s="61">
        <f>AC26/W26</f>
        <v>0.27496742092169169</v>
      </c>
      <c r="AI26" s="85"/>
      <c r="AK26" s="47"/>
      <c r="AP26" t="s">
        <v>26</v>
      </c>
      <c r="AQ26" s="333">
        <f>'Tooth measurements raw data'!$G$118</f>
        <v>4.7328000000000001</v>
      </c>
      <c r="AR26">
        <f>'Tooth measurements raw data'!K118</f>
        <v>2.3028</v>
      </c>
      <c r="AS26" s="196">
        <f>'Tooth measurements raw data'!$H$118</f>
        <v>2.7743928000000002</v>
      </c>
      <c r="AT26" s="379">
        <v>10</v>
      </c>
      <c r="AW26" s="337">
        <f>'Tooth measurements raw data'!$G$119</f>
        <v>1.3928</v>
      </c>
      <c r="AX26">
        <f>'Tooth measurements raw data'!K119</f>
        <v>0.75280000000000002</v>
      </c>
      <c r="AY26" s="47">
        <f>'Tooth measurements raw data'!$H$119</f>
        <v>0.322461</v>
      </c>
      <c r="AZ26" s="380">
        <v>4</v>
      </c>
      <c r="BA26" s="61">
        <f t="shared" si="0"/>
        <v>0.29428668018931708</v>
      </c>
      <c r="BC26" s="85"/>
      <c r="BE26" s="47"/>
    </row>
    <row r="27" spans="2:59" x14ac:dyDescent="0.25">
      <c r="B27" t="s">
        <v>26</v>
      </c>
      <c r="C27" s="346">
        <f>'Tooth measurements raw data'!G36</f>
        <v>6.9075000000000006</v>
      </c>
      <c r="D27" s="349">
        <f>'Tooth measurements raw data'!K36</f>
        <v>2.2974999999999999</v>
      </c>
      <c r="E27" s="21">
        <v>11.651199999999999</v>
      </c>
      <c r="F27" s="47">
        <v>5</v>
      </c>
      <c r="H27"/>
      <c r="I27" s="332">
        <f>'Tooth measurements raw data'!G37</f>
        <v>0.77749999999999997</v>
      </c>
      <c r="J27" s="352">
        <f>'Tooth measurements raw data'!K37</f>
        <v>0.2475</v>
      </c>
      <c r="K27" s="63">
        <v>8.4076200000000004E-2</v>
      </c>
      <c r="L27" s="47">
        <v>0</v>
      </c>
      <c r="M27" s="61">
        <f t="shared" si="1"/>
        <v>0.11255881288454576</v>
      </c>
      <c r="N27" s="80"/>
      <c r="O27" s="85"/>
      <c r="Q27" s="47"/>
      <c r="R27"/>
      <c r="U27" s="80"/>
      <c r="V27" t="s">
        <v>26</v>
      </c>
      <c r="W27" s="187">
        <f>'Tooth measurements raw data'!G192</f>
        <v>42.234999999999999</v>
      </c>
      <c r="X27">
        <f>'Tooth measurements raw data'!K192</f>
        <v>6.8550000000000004</v>
      </c>
      <c r="Y27" s="47">
        <f>'Tooth measurements raw data'!H192</f>
        <v>1459.5132697303302</v>
      </c>
      <c r="Z27" s="199">
        <v>4</v>
      </c>
      <c r="AC27" s="186">
        <f>'Tooth measurements raw data'!$G$193</f>
        <v>2.1750000000000003</v>
      </c>
      <c r="AD27">
        <f>'Tooth measurements raw data'!K193</f>
        <v>1.4350000000000001</v>
      </c>
      <c r="AE27" s="47">
        <f>'Tooth measurements raw data'!$H$193</f>
        <v>6.4107097</v>
      </c>
      <c r="AF27" s="286">
        <v>2</v>
      </c>
      <c r="AG27" s="61">
        <f>AC27/W27</f>
        <v>5.1497573102876767E-2</v>
      </c>
      <c r="AI27" s="85"/>
      <c r="AK27" s="47"/>
      <c r="AP27" t="s">
        <v>27</v>
      </c>
      <c r="AQ27" s="334">
        <f>'Tooth measurements raw data'!$G$120</f>
        <v>4.5628000000000002</v>
      </c>
      <c r="AR27">
        <f>'Tooth measurements raw data'!K120</f>
        <v>1.5628000000000002</v>
      </c>
      <c r="AS27" s="47">
        <f>'Tooth measurements raw data'!$H$120</f>
        <v>2.35849792</v>
      </c>
      <c r="AT27" s="379">
        <v>7</v>
      </c>
      <c r="AV27" s="227">
        <v>1.2E-2</v>
      </c>
      <c r="AW27" s="337">
        <f>'Tooth measurements raw data'!$G$121</f>
        <v>0.36280000000000001</v>
      </c>
      <c r="AX27">
        <f>'Tooth measurements raw data'!K121</f>
        <v>0.20280000000000001</v>
      </c>
      <c r="AY27" s="47">
        <f>'Tooth measurements raw data'!$H$121</f>
        <v>1.52578014E-2</v>
      </c>
      <c r="AZ27" s="380">
        <v>2</v>
      </c>
      <c r="BA27" s="61">
        <f t="shared" si="0"/>
        <v>7.9512579994740068E-2</v>
      </c>
      <c r="BB27">
        <v>1.15E-2</v>
      </c>
      <c r="BC27" s="85"/>
      <c r="BE27" s="47"/>
    </row>
    <row r="28" spans="2:59" x14ac:dyDescent="0.25">
      <c r="B28" t="s">
        <v>27</v>
      </c>
      <c r="C28" s="346">
        <f>'Tooth measurements raw data'!G38</f>
        <v>8.6974999999999998</v>
      </c>
      <c r="D28" s="349">
        <f>'Tooth measurements raw data'!K38</f>
        <v>3.0175000000000001</v>
      </c>
      <c r="E28" s="21">
        <v>20.721</v>
      </c>
      <c r="F28" s="47">
        <v>8</v>
      </c>
      <c r="H28">
        <v>30.851851853333333</v>
      </c>
      <c r="I28" s="346">
        <f>'Tooth measurements raw data'!G39</f>
        <v>1.6675</v>
      </c>
      <c r="J28" s="350">
        <f>'Tooth measurements raw data'!K39</f>
        <v>0.8175</v>
      </c>
      <c r="K28" s="21">
        <v>0.89205999999999996</v>
      </c>
      <c r="L28" s="47">
        <v>1</v>
      </c>
      <c r="M28" s="61">
        <f t="shared" si="1"/>
        <v>0.19172175912618569</v>
      </c>
      <c r="N28" s="80"/>
      <c r="O28" s="85"/>
      <c r="Q28" s="47"/>
      <c r="R28"/>
      <c r="U28" s="80"/>
      <c r="V28" t="s">
        <v>27</v>
      </c>
      <c r="W28" s="187">
        <f>'Tooth measurements raw data'!G194</f>
        <v>31.695</v>
      </c>
      <c r="X28">
        <f>'Tooth measurements raw data'!K194</f>
        <v>7.7650000000000006</v>
      </c>
      <c r="Y28" s="47">
        <f>'Tooth measurements raw data'!H194</f>
        <v>1007.147763393</v>
      </c>
      <c r="Z28" s="199">
        <v>3</v>
      </c>
      <c r="AC28" s="187">
        <f>'Tooth measurements raw data'!$G$195</f>
        <v>5.3250000000000002</v>
      </c>
      <c r="AD28">
        <f>'Tooth measurements raw data'!K195</f>
        <v>2.9050000000000002</v>
      </c>
      <c r="AE28" s="47">
        <f>'Tooth measurements raw data'!$H$195</f>
        <v>46.051186999999999</v>
      </c>
      <c r="AF28" s="286">
        <v>2</v>
      </c>
      <c r="AG28" s="61">
        <f>AC28/W28</f>
        <v>0.16800757217226692</v>
      </c>
      <c r="AI28" s="85"/>
      <c r="AK28" s="47"/>
      <c r="AP28" t="s">
        <v>29</v>
      </c>
      <c r="AQ28" s="332">
        <f>'Tooth measurements raw data'!$G$122</f>
        <v>3.8828</v>
      </c>
      <c r="AR28">
        <f>'Tooth measurements raw data'!K122</f>
        <v>2.0528</v>
      </c>
      <c r="AS28" s="196">
        <f>'Tooth measurements raw data'!$H$122</f>
        <v>1.67794234</v>
      </c>
      <c r="AT28" s="379">
        <v>9</v>
      </c>
      <c r="AU28" s="1"/>
      <c r="AV28" s="227">
        <v>1.1666666666666665E-2</v>
      </c>
      <c r="AW28" s="337">
        <f>'Tooth measurements raw data'!$G$123</f>
        <v>0.7228</v>
      </c>
      <c r="AX28">
        <f>'Tooth measurements raw data'!K123</f>
        <v>0.45279999999999998</v>
      </c>
      <c r="AY28" s="47">
        <f>'Tooth measurements raw data'!$H$123</f>
        <v>0.11176259399999999</v>
      </c>
      <c r="AZ28" s="380">
        <v>2</v>
      </c>
      <c r="BA28" s="61">
        <f t="shared" si="0"/>
        <v>0.18615432162357062</v>
      </c>
      <c r="BC28" s="85"/>
      <c r="BE28" s="47"/>
    </row>
    <row r="29" spans="2:59" x14ac:dyDescent="0.25">
      <c r="B29" t="s">
        <v>29</v>
      </c>
      <c r="C29" s="332">
        <f>'Tooth measurements raw data'!G40</f>
        <v>7.4375</v>
      </c>
      <c r="D29" s="349">
        <f>'Tooth measurements raw data'!K40</f>
        <v>2.8174999999999999</v>
      </c>
      <c r="E29" s="63">
        <v>13.689</v>
      </c>
      <c r="F29" s="47">
        <v>6</v>
      </c>
      <c r="G29" s="1"/>
      <c r="H29">
        <v>22.156593405000002</v>
      </c>
      <c r="I29" s="346">
        <f>'Tooth measurements raw data'!G41</f>
        <v>2.0674999999999999</v>
      </c>
      <c r="J29" s="350">
        <f>'Tooth measurements raw data'!K41</f>
        <v>1.1074999999999999</v>
      </c>
      <c r="K29" s="21">
        <v>1.52495</v>
      </c>
      <c r="L29" s="47">
        <v>1</v>
      </c>
      <c r="M29" s="61">
        <f t="shared" si="1"/>
        <v>0.27798319327731091</v>
      </c>
      <c r="N29" s="80">
        <v>21.444871794358974</v>
      </c>
      <c r="O29" s="85"/>
      <c r="Q29" s="47"/>
      <c r="R29"/>
      <c r="U29" s="80"/>
      <c r="V29" t="s">
        <v>29</v>
      </c>
      <c r="W29" s="186">
        <f>'Tooth measurements raw data'!G196</f>
        <v>26.395</v>
      </c>
      <c r="X29">
        <f>'Tooth measurements raw data'!K196</f>
        <v>6.415</v>
      </c>
      <c r="Y29" s="87">
        <f>'Tooth measurements raw data'!H196</f>
        <v>614.65508999999997</v>
      </c>
      <c r="Z29" s="199">
        <v>4</v>
      </c>
      <c r="AA29" s="1"/>
      <c r="AC29" s="187">
        <f>'Tooth measurements raw data'!$G$197</f>
        <v>2.2050000000000001</v>
      </c>
      <c r="AD29">
        <f>'Tooth measurements raw data'!K197</f>
        <v>1.6850000000000001</v>
      </c>
      <c r="AE29" s="47">
        <f>'Tooth measurements raw data'!$H$197</f>
        <v>6.7573465000000006</v>
      </c>
      <c r="AF29" s="286">
        <v>2</v>
      </c>
      <c r="AG29" s="61">
        <f>AC29/W29</f>
        <v>8.3538548967607512E-2</v>
      </c>
      <c r="AI29" s="85"/>
      <c r="AK29" s="47"/>
      <c r="AP29" t="s">
        <v>30</v>
      </c>
      <c r="AQ29" s="333">
        <f>'Tooth measurements raw data'!$G$124</f>
        <v>3.2227999999999999</v>
      </c>
      <c r="AR29">
        <f>'Tooth measurements raw data'!K124</f>
        <v>1.3528</v>
      </c>
      <c r="AS29" s="196">
        <f>'Tooth measurements raw data'!$H$124</f>
        <v>1.0811288100000001</v>
      </c>
      <c r="AT29" s="379">
        <v>6</v>
      </c>
      <c r="AZ29" s="380"/>
      <c r="BA29" s="61"/>
      <c r="BC29" s="85"/>
      <c r="BE29" s="47"/>
    </row>
    <row r="30" spans="2:59" x14ac:dyDescent="0.25">
      <c r="B30" t="s">
        <v>30</v>
      </c>
      <c r="C30" s="346">
        <f>'Tooth measurements raw data'!G42</f>
        <v>6.1675000000000004</v>
      </c>
      <c r="D30" s="349">
        <f>'Tooth measurements raw data'!K42</f>
        <v>2.1974999999999998</v>
      </c>
      <c r="E30" s="21">
        <v>7.96021</v>
      </c>
      <c r="F30" s="47">
        <v>4</v>
      </c>
      <c r="H30"/>
      <c r="I30" s="346">
        <f>'Tooth measurements raw data'!G43</f>
        <v>0.77749999999999997</v>
      </c>
      <c r="J30" s="350">
        <f>'Tooth measurements raw data'!K43</f>
        <v>0.41749999999999998</v>
      </c>
      <c r="K30" s="21">
        <v>0.14741099999999999</v>
      </c>
      <c r="L30" s="47">
        <v>0</v>
      </c>
      <c r="M30" s="61">
        <f t="shared" si="1"/>
        <v>0.12606404539927035</v>
      </c>
      <c r="N30" s="80"/>
      <c r="O30" s="85"/>
      <c r="Q30" s="47"/>
      <c r="R30"/>
      <c r="U30" s="80"/>
      <c r="V30" t="s">
        <v>30</v>
      </c>
      <c r="W30" s="188">
        <f>'Tooth measurements raw data'!G198</f>
        <v>21.164999999999999</v>
      </c>
      <c r="X30">
        <f>'Tooth measurements raw data'!K198</f>
        <v>6.1749999999999998</v>
      </c>
      <c r="Y30" s="196">
        <f>'Tooth measurements raw data'!H198</f>
        <v>428.24178892129999</v>
      </c>
      <c r="Z30" s="47">
        <v>4</v>
      </c>
      <c r="AC30" s="187"/>
      <c r="AE30" s="47"/>
      <c r="AF30" s="286"/>
      <c r="AG30" s="61"/>
      <c r="AI30" s="85"/>
      <c r="AK30" s="47"/>
      <c r="AP30" t="s">
        <v>31</v>
      </c>
      <c r="AQ30" s="334">
        <f>'Tooth measurements raw data'!$G$125</f>
        <v>2.8727999999999998</v>
      </c>
      <c r="AR30">
        <f>'Tooth measurements raw data'!K125</f>
        <v>1.7528000000000001</v>
      </c>
      <c r="AS30" s="47">
        <f>'Tooth measurements raw data'!$H$125</f>
        <v>0.76285809999999998</v>
      </c>
      <c r="AT30" s="379">
        <v>7</v>
      </c>
      <c r="AW30" s="77">
        <f>'Tooth measurements raw data'!$G$126</f>
        <v>0.33279999999999998</v>
      </c>
      <c r="AX30">
        <f>'Tooth measurements raw data'!K126</f>
        <v>0.33279999999999998</v>
      </c>
      <c r="AY30" s="47">
        <f>'Tooth measurements raw data'!H126</f>
        <v>1.19631397E-2</v>
      </c>
      <c r="AZ30" s="380">
        <v>2</v>
      </c>
      <c r="BA30" s="61">
        <f>AW30/AQ30</f>
        <v>0.11584516847674743</v>
      </c>
      <c r="BC30" s="86"/>
      <c r="BE30" s="47"/>
    </row>
    <row r="31" spans="2:59" x14ac:dyDescent="0.25">
      <c r="B31" t="s">
        <v>31</v>
      </c>
      <c r="C31" s="346">
        <f>'Tooth measurements raw data'!G44</f>
        <v>5.7775000000000007</v>
      </c>
      <c r="D31" s="349">
        <f>'Tooth measurements raw data'!K44</f>
        <v>3.0674999999999999</v>
      </c>
      <c r="E31" s="21">
        <v>5.1615200000000003</v>
      </c>
      <c r="F31" s="47">
        <v>6</v>
      </c>
      <c r="H31"/>
      <c r="I31" s="346">
        <f>'Tooth measurements raw data'!G45</f>
        <v>1.6074999999999999</v>
      </c>
      <c r="J31" s="350">
        <f>'Tooth measurements raw data'!K45</f>
        <v>0.41749999999999998</v>
      </c>
      <c r="K31" s="21">
        <v>0.62797899999999995</v>
      </c>
      <c r="L31" s="47">
        <v>0</v>
      </c>
      <c r="M31" s="61">
        <f t="shared" si="1"/>
        <v>0.27823453050627428</v>
      </c>
      <c r="N31" s="80"/>
      <c r="O31" s="86"/>
      <c r="Q31" s="47"/>
      <c r="R31"/>
      <c r="U31" s="80"/>
      <c r="V31" t="s">
        <v>31</v>
      </c>
      <c r="W31" s="188">
        <f>'Tooth measurements raw data'!G199</f>
        <v>16.945</v>
      </c>
      <c r="X31">
        <f>'Tooth measurements raw data'!K199</f>
        <v>4.5550000000000006</v>
      </c>
      <c r="Y31" s="196">
        <f>'Tooth measurements raw data'!H199</f>
        <v>209.626691607</v>
      </c>
      <c r="Z31" s="47">
        <v>3</v>
      </c>
      <c r="AC31" s="187"/>
      <c r="AE31" s="47"/>
      <c r="AF31" s="286"/>
      <c r="AG31" s="61"/>
      <c r="AI31" s="86"/>
      <c r="AK31" s="47"/>
      <c r="AP31" t="s">
        <v>32</v>
      </c>
      <c r="AQ31" s="334">
        <f>'Tooth measurements raw data'!$G$127</f>
        <v>1.1528</v>
      </c>
      <c r="AR31">
        <f>'Tooth measurements raw data'!K127</f>
        <v>0.68279999999999996</v>
      </c>
      <c r="AS31" s="47">
        <f>'Tooth measurements raw data'!$H$127</f>
        <v>0.13437740300000001</v>
      </c>
      <c r="AT31" s="379">
        <v>3</v>
      </c>
      <c r="AY31" s="80"/>
      <c r="AZ31" s="58" t="s">
        <v>38</v>
      </c>
      <c r="BA31" s="60">
        <f>(BA16+BA17+BA18+BA19+BA20+BA21+BA22+BA23+BA24+BA25+BA26+BA27+BA28+BA29)/14</f>
        <v>0.26271547548959756</v>
      </c>
      <c r="BC31" s="55"/>
      <c r="BE31" s="61"/>
      <c r="BG31" s="60">
        <f>BG23</f>
        <v>7.7054146156758804E-2</v>
      </c>
    </row>
    <row r="32" spans="2:59" x14ac:dyDescent="0.25">
      <c r="C32" s="150"/>
      <c r="D32" s="375">
        <f>AVERAGE(D6:D31)</f>
        <v>2.7279999999999998</v>
      </c>
      <c r="E32" s="80"/>
      <c r="H32"/>
      <c r="J32" s="375">
        <f>AVERAGE(J6:J31)</f>
        <v>0.90250000000000019</v>
      </c>
      <c r="K32" s="80"/>
      <c r="L32" s="58" t="s">
        <v>39</v>
      </c>
      <c r="M32" s="60">
        <f>(M17+M18+M19+M20+M21+M22+M23+M24+M25+M26+M27+M28+M29+M30+M31)/15</f>
        <v>0.25905185243781786</v>
      </c>
      <c r="N32" s="80"/>
      <c r="O32" s="55"/>
      <c r="Q32" s="61"/>
      <c r="R32"/>
      <c r="S32" s="60">
        <f>(S18+S22)/2</f>
        <v>0.13605157271336876</v>
      </c>
      <c r="U32" s="80"/>
      <c r="X32" s="319">
        <f>AVERAGE(X6:X31)</f>
        <v>7.2149999999999999</v>
      </c>
      <c r="Y32" s="80"/>
      <c r="AD32" s="319">
        <f>AVERAGE(AD6:AD31)</f>
        <v>2.7149999999999999</v>
      </c>
      <c r="AE32" s="80"/>
      <c r="AF32" s="58" t="s">
        <v>39</v>
      </c>
      <c r="AG32" s="60">
        <f>(AG17+AG1+AG22+AG23+AG24+AG26+AG27+AG28+AG29)/9</f>
        <v>0.14346214605772267</v>
      </c>
      <c r="AI32" s="55"/>
      <c r="AK32" s="61"/>
      <c r="AM32" s="60">
        <f>AM17</f>
        <v>9.9610461880912646E-2</v>
      </c>
    </row>
    <row r="33" spans="2:59" x14ac:dyDescent="0.25">
      <c r="C33" s="150"/>
      <c r="E33" s="80"/>
      <c r="H33"/>
      <c r="J33">
        <f>D32/J32</f>
        <v>3.0227146814404424</v>
      </c>
      <c r="K33" s="80"/>
      <c r="L33"/>
      <c r="N33" s="80"/>
      <c r="Q33" s="80"/>
      <c r="R33"/>
      <c r="U33" s="80"/>
      <c r="AD33">
        <f>X32/AD32</f>
        <v>2.6574585635359118</v>
      </c>
      <c r="AP33" s="49" t="s">
        <v>28</v>
      </c>
      <c r="AS33" s="61"/>
      <c r="AT33" s="43" t="s">
        <v>33</v>
      </c>
      <c r="AU33" s="43"/>
      <c r="AV33" s="43"/>
      <c r="AW33" s="61"/>
      <c r="AZ33" s="5"/>
      <c r="BB33" s="80"/>
    </row>
    <row r="34" spans="2:59" x14ac:dyDescent="0.25">
      <c r="B34" s="49" t="s">
        <v>28</v>
      </c>
      <c r="C34" s="117"/>
      <c r="E34" s="61"/>
      <c r="F34" s="43" t="s">
        <v>33</v>
      </c>
      <c r="G34" s="43"/>
      <c r="H34"/>
      <c r="I34" s="43"/>
      <c r="K34" s="61"/>
      <c r="L34"/>
      <c r="M34" s="5"/>
      <c r="N34" s="80"/>
      <c r="Q34" s="80"/>
      <c r="R34"/>
      <c r="U34" s="80"/>
      <c r="V34" s="49" t="s">
        <v>28</v>
      </c>
      <c r="W34" s="43"/>
      <c r="Y34" s="61"/>
      <c r="Z34" s="43" t="s">
        <v>33</v>
      </c>
      <c r="AA34" s="43"/>
      <c r="AC34" s="43"/>
      <c r="AE34" s="61"/>
      <c r="AG34" s="5"/>
      <c r="AK34" s="80"/>
      <c r="AP34" t="s">
        <v>79</v>
      </c>
      <c r="AQ34" t="s">
        <v>34</v>
      </c>
      <c r="AS34" s="80"/>
      <c r="AT34" s="41"/>
      <c r="AW34" t="s">
        <v>13</v>
      </c>
      <c r="AY34" s="80"/>
      <c r="AZ34" s="43"/>
      <c r="BA34" s="5"/>
      <c r="BC34" t="s">
        <v>14</v>
      </c>
      <c r="BE34" s="80"/>
      <c r="BF34" s="43"/>
    </row>
    <row r="35" spans="2:59" x14ac:dyDescent="0.25">
      <c r="B35" t="s">
        <v>41</v>
      </c>
      <c r="C35" t="s">
        <v>34</v>
      </c>
      <c r="E35" s="80"/>
      <c r="F35" s="41"/>
      <c r="H35"/>
      <c r="I35" t="s">
        <v>13</v>
      </c>
      <c r="K35" s="80"/>
      <c r="L35" s="43"/>
      <c r="M35" s="5"/>
      <c r="N35" s="80"/>
      <c r="O35" t="s">
        <v>14</v>
      </c>
      <c r="Q35" s="80"/>
      <c r="R35" s="43"/>
      <c r="U35" s="80"/>
      <c r="V35" t="s">
        <v>78</v>
      </c>
      <c r="W35" t="s">
        <v>34</v>
      </c>
      <c r="Y35" s="80"/>
      <c r="Z35" s="41"/>
      <c r="AC35" t="s">
        <v>13</v>
      </c>
      <c r="AE35" s="80"/>
      <c r="AF35" s="43"/>
      <c r="AG35" s="5"/>
      <c r="AI35" t="s">
        <v>14</v>
      </c>
      <c r="AK35" s="80"/>
      <c r="AL35" s="43"/>
      <c r="AQ35" t="s">
        <v>274</v>
      </c>
      <c r="AR35" s="104" t="s">
        <v>93</v>
      </c>
      <c r="AS35" s="80" t="s">
        <v>77</v>
      </c>
      <c r="AT35" s="41" t="s">
        <v>37</v>
      </c>
      <c r="AU35" s="5" t="s">
        <v>36</v>
      </c>
      <c r="AV35" t="s">
        <v>87</v>
      </c>
      <c r="AW35" s="42" t="s">
        <v>274</v>
      </c>
      <c r="AX35" s="104" t="s">
        <v>93</v>
      </c>
      <c r="AY35" s="61" t="s">
        <v>77</v>
      </c>
      <c r="AZ35" s="41" t="s">
        <v>37</v>
      </c>
      <c r="BA35" s="5" t="s">
        <v>76</v>
      </c>
      <c r="BB35" t="s">
        <v>87</v>
      </c>
      <c r="BC35" s="42" t="s">
        <v>274</v>
      </c>
      <c r="BD35" s="104" t="s">
        <v>93</v>
      </c>
      <c r="BE35" s="61" t="s">
        <v>77</v>
      </c>
      <c r="BF35" s="41" t="s">
        <v>37</v>
      </c>
      <c r="BG35" s="5" t="s">
        <v>76</v>
      </c>
    </row>
    <row r="36" spans="2:59" x14ac:dyDescent="0.25">
      <c r="C36" t="s">
        <v>274</v>
      </c>
      <c r="D36" s="104" t="s">
        <v>93</v>
      </c>
      <c r="E36" s="107" t="s">
        <v>77</v>
      </c>
      <c r="F36" s="41" t="s">
        <v>37</v>
      </c>
      <c r="G36" s="10" t="s">
        <v>36</v>
      </c>
      <c r="H36" t="s">
        <v>87</v>
      </c>
      <c r="I36" s="42" t="s">
        <v>274</v>
      </c>
      <c r="J36" s="104" t="s">
        <v>93</v>
      </c>
      <c r="K36" s="107" t="s">
        <v>77</v>
      </c>
      <c r="L36" s="41" t="s">
        <v>37</v>
      </c>
      <c r="M36" s="5" t="s">
        <v>76</v>
      </c>
      <c r="N36" t="s">
        <v>87</v>
      </c>
      <c r="O36" s="42" t="s">
        <v>274</v>
      </c>
      <c r="P36" s="104" t="s">
        <v>93</v>
      </c>
      <c r="Q36" s="61" t="s">
        <v>77</v>
      </c>
      <c r="R36" s="41" t="s">
        <v>37</v>
      </c>
      <c r="S36" s="5" t="s">
        <v>76</v>
      </c>
      <c r="T36" t="s">
        <v>87</v>
      </c>
      <c r="U36" s="80"/>
      <c r="W36" t="s">
        <v>274</v>
      </c>
      <c r="X36" s="104" t="s">
        <v>93</v>
      </c>
      <c r="Y36" s="80" t="s">
        <v>77</v>
      </c>
      <c r="Z36" s="41" t="s">
        <v>37</v>
      </c>
      <c r="AA36" s="10" t="s">
        <v>36</v>
      </c>
      <c r="AC36" s="42" t="s">
        <v>274</v>
      </c>
      <c r="AD36" s="104" t="s">
        <v>93</v>
      </c>
      <c r="AE36" s="61" t="s">
        <v>77</v>
      </c>
      <c r="AF36" s="41" t="s">
        <v>37</v>
      </c>
      <c r="AG36" s="5" t="s">
        <v>76</v>
      </c>
      <c r="AI36" s="42" t="s">
        <v>274</v>
      </c>
      <c r="AJ36" s="104" t="s">
        <v>93</v>
      </c>
      <c r="AK36" s="61" t="s">
        <v>77</v>
      </c>
      <c r="AL36" s="41" t="s">
        <v>37</v>
      </c>
      <c r="AM36" s="5" t="s">
        <v>76</v>
      </c>
      <c r="AP36" t="s">
        <v>15</v>
      </c>
      <c r="AQ36" s="338">
        <f>'Tooth measurements raw data'!$G$128</f>
        <v>5.1628000000000007</v>
      </c>
      <c r="AR36">
        <f>'Tooth measurements raw data'!K128</f>
        <v>2.1427999999999998</v>
      </c>
      <c r="AS36" s="56">
        <f>'Tooth measurements raw data'!$H$128</f>
        <v>2.3972341999999998</v>
      </c>
      <c r="AT36" s="296">
        <v>8</v>
      </c>
      <c r="AU36" s="55"/>
      <c r="AV36" s="99"/>
      <c r="AW36" s="338">
        <f>'Tooth measurements raw data'!$G$129</f>
        <v>1.4828000000000001</v>
      </c>
      <c r="AX36">
        <f>'Tooth measurements raw data'!K129</f>
        <v>0.66279999999999994</v>
      </c>
      <c r="AY36" s="281">
        <f>'Tooth measurements raw data'!$H$129</f>
        <v>0.22832324900000001</v>
      </c>
      <c r="AZ36" s="296">
        <v>4</v>
      </c>
      <c r="BA36" s="46">
        <f t="shared" ref="BA36:BA55" si="2">AW36/AQ36</f>
        <v>0.28720849151623151</v>
      </c>
      <c r="BB36" s="99"/>
      <c r="BC36" s="77"/>
      <c r="BE36" s="89"/>
      <c r="BF36" s="55"/>
      <c r="BG36" s="55"/>
    </row>
    <row r="37" spans="2:59" x14ac:dyDescent="0.25">
      <c r="B37" t="s">
        <v>15</v>
      </c>
      <c r="C37" s="325">
        <f>'Tooth measurements raw data'!G46</f>
        <v>9.3875000000000011</v>
      </c>
      <c r="D37" s="336">
        <f>'Tooth measurements raw data'!K46</f>
        <v>2.1175000000000002</v>
      </c>
      <c r="E37" s="21">
        <v>14.456799999999999</v>
      </c>
      <c r="F37" s="56">
        <v>5</v>
      </c>
      <c r="G37" s="55"/>
      <c r="H37" s="99"/>
      <c r="I37" s="325">
        <f>'Tooth measurements raw data'!G47</f>
        <v>3.1675</v>
      </c>
      <c r="J37" s="100"/>
      <c r="K37" s="21">
        <v>1.4954099999999999</v>
      </c>
      <c r="L37" s="56">
        <v>1</v>
      </c>
      <c r="M37" s="46">
        <f t="shared" ref="M37:M56" si="3">I37/C37</f>
        <v>0.33741677762982686</v>
      </c>
      <c r="N37" s="99"/>
      <c r="O37" s="77"/>
      <c r="Q37" s="89"/>
      <c r="R37" s="55"/>
      <c r="S37" s="55"/>
      <c r="T37" s="55"/>
      <c r="U37" s="80"/>
      <c r="V37" t="s">
        <v>15</v>
      </c>
      <c r="W37" s="50"/>
      <c r="Y37" s="202"/>
      <c r="Z37" s="56"/>
      <c r="AA37" s="55"/>
      <c r="AC37" s="187"/>
      <c r="AE37" s="56"/>
      <c r="AF37" s="56"/>
      <c r="AG37" s="84"/>
      <c r="AI37" s="85"/>
      <c r="AK37" s="46"/>
      <c r="AL37" s="55"/>
      <c r="AM37" s="55"/>
      <c r="AN37" s="55"/>
      <c r="AP37" t="s">
        <v>16</v>
      </c>
      <c r="AQ37" s="333">
        <f>'Tooth measurements raw data'!$G$130</f>
        <v>2.1728000000000001</v>
      </c>
      <c r="AR37">
        <f>'Tooth measurements raw data'!K130</f>
        <v>1.6228</v>
      </c>
      <c r="AS37" s="196">
        <f>'Tooth measurements raw data'!$H$130</f>
        <v>0.68087538999999997</v>
      </c>
      <c r="AT37" s="379">
        <v>6</v>
      </c>
      <c r="AV37" s="227">
        <v>1.3333333333333334E-2</v>
      </c>
      <c r="AW37" s="334">
        <f>'Tooth measurements raw data'!$G$131</f>
        <v>2.0728</v>
      </c>
      <c r="AX37">
        <f>'Tooth measurements raw data'!K131</f>
        <v>0.82279999999999998</v>
      </c>
      <c r="AY37" s="222">
        <f>'Tooth measurements raw data'!$H$131</f>
        <v>0.46800185999999999</v>
      </c>
      <c r="AZ37" s="380">
        <v>4</v>
      </c>
      <c r="BA37" s="61">
        <f t="shared" si="2"/>
        <v>0.95397643593519876</v>
      </c>
      <c r="BC37" s="77"/>
      <c r="BE37" s="61"/>
    </row>
    <row r="38" spans="2:59" x14ac:dyDescent="0.25">
      <c r="B38" t="s">
        <v>16</v>
      </c>
      <c r="C38" s="326">
        <f>'Tooth measurements raw data'!G48</f>
        <v>8.1275000000000013</v>
      </c>
      <c r="D38" s="351">
        <f>'Tooth measurements raw data'!K48</f>
        <v>2.3875000000000002</v>
      </c>
      <c r="E38" s="21">
        <v>9.5214499999999997</v>
      </c>
      <c r="F38" s="47">
        <v>9</v>
      </c>
      <c r="H38">
        <v>11.25</v>
      </c>
      <c r="I38" s="325">
        <f>'Tooth measurements raw data'!G49</f>
        <v>1.7175</v>
      </c>
      <c r="J38" s="343">
        <f>'Tooth measurements raw data'!K49</f>
        <v>0.42749999999999999</v>
      </c>
      <c r="K38" s="21">
        <v>0.36436099999999999</v>
      </c>
      <c r="L38" s="47">
        <v>4</v>
      </c>
      <c r="M38" s="61">
        <f t="shared" si="3"/>
        <v>0.2113195939710858</v>
      </c>
      <c r="N38" s="80">
        <v>10.199999999999999</v>
      </c>
      <c r="O38" s="77"/>
      <c r="Q38" s="61"/>
      <c r="R38"/>
      <c r="U38" s="80"/>
      <c r="V38" t="s">
        <v>16</v>
      </c>
      <c r="W38" s="50">
        <f>'Tooth measurements raw data'!G201</f>
        <v>32.575000000000003</v>
      </c>
      <c r="X38">
        <f>'Tooth measurements raw data'!K201</f>
        <v>4.625</v>
      </c>
      <c r="Y38" s="199">
        <f>'Tooth measurements raw data'!H201</f>
        <v>417.823778812</v>
      </c>
      <c r="Z38" s="286">
        <v>3</v>
      </c>
      <c r="AC38" s="187">
        <f>'Tooth measurements raw data'!$G$202</f>
        <v>1.9349999999999998</v>
      </c>
      <c r="AD38">
        <f>'Tooth measurements raw data'!K202</f>
        <v>1.175</v>
      </c>
      <c r="AE38" s="47">
        <f>'Tooth measurements raw data'!$H$202</f>
        <v>4.6723841999999998</v>
      </c>
      <c r="AF38" s="286">
        <v>2</v>
      </c>
      <c r="AG38" s="59">
        <f>AC38/W38</f>
        <v>5.9401381427475045E-2</v>
      </c>
      <c r="AI38" s="85"/>
      <c r="AK38" s="61"/>
      <c r="AP38" t="s">
        <v>17</v>
      </c>
      <c r="AQ38" s="331">
        <f>'Tooth measurements raw data'!$G$132</f>
        <v>4.4428000000000001</v>
      </c>
      <c r="AR38">
        <f>'Tooth measurements raw data'!K132</f>
        <v>1.8428000000000002</v>
      </c>
      <c r="AS38" s="47">
        <f>'Tooth measurements raw data'!$H$132</f>
        <v>1.2881166899999998</v>
      </c>
      <c r="AT38" s="379">
        <v>6</v>
      </c>
      <c r="AW38" s="331">
        <f>'Tooth measurements raw data'!$G$133</f>
        <v>1.0928000000000002</v>
      </c>
      <c r="AX38">
        <f>'Tooth measurements raw data'!K133</f>
        <v>0.54279999999999995</v>
      </c>
      <c r="AY38" s="222">
        <f>'Tooth measurements raw data'!$H$133</f>
        <v>9.1738726999999992E-2</v>
      </c>
      <c r="AZ38" s="379">
        <v>4</v>
      </c>
      <c r="BA38" s="61">
        <f t="shared" si="2"/>
        <v>0.24597100927343121</v>
      </c>
      <c r="BC38" s="52"/>
      <c r="BE38" s="47"/>
      <c r="BG38" s="61"/>
    </row>
    <row r="39" spans="2:59" x14ac:dyDescent="0.25">
      <c r="B39" t="s">
        <v>17</v>
      </c>
      <c r="C39" s="322">
        <f>'Tooth measurements raw data'!G50</f>
        <v>8.5175000000000001</v>
      </c>
      <c r="D39" s="350">
        <f>'Tooth measurements raw data'!K50</f>
        <v>3.1575000000000002</v>
      </c>
      <c r="E39" s="63">
        <v>7.5026000000000002</v>
      </c>
      <c r="F39" s="47">
        <v>7</v>
      </c>
      <c r="H39"/>
      <c r="I39" s="353">
        <f>'Tooth measurements raw data'!G51</f>
        <v>4.5175000000000001</v>
      </c>
      <c r="J39" s="150">
        <f>'Tooth measurements raw data'!K51</f>
        <v>1.4775</v>
      </c>
      <c r="K39" s="63">
        <v>2.38015</v>
      </c>
      <c r="L39" s="47">
        <v>4</v>
      </c>
      <c r="M39" s="61">
        <f t="shared" si="3"/>
        <v>0.53037863222776638</v>
      </c>
      <c r="N39" s="80"/>
      <c r="O39" s="330">
        <f>'Tooth measurements raw data'!G52</f>
        <v>0.51749999999999996</v>
      </c>
      <c r="P39">
        <f>'Tooth measurements raw data'!K52</f>
        <v>0.1075</v>
      </c>
      <c r="Q39" s="21">
        <v>3.8334300000000002E-2</v>
      </c>
      <c r="R39" s="286">
        <v>1</v>
      </c>
      <c r="S39" s="61">
        <f>O39/I39</f>
        <v>0.11455451023796347</v>
      </c>
      <c r="U39" s="80"/>
      <c r="V39" t="s">
        <v>17</v>
      </c>
      <c r="W39" s="186"/>
      <c r="Y39" s="87"/>
      <c r="Z39" s="286"/>
      <c r="AC39" s="187"/>
      <c r="AE39" s="47"/>
      <c r="AF39" s="286"/>
      <c r="AG39" s="59"/>
      <c r="AI39" s="85"/>
      <c r="AK39" s="47"/>
      <c r="AM39" s="61"/>
      <c r="AP39" t="s">
        <v>18</v>
      </c>
      <c r="AQ39" s="334">
        <f>'Tooth measurements raw data'!$G$134</f>
        <v>3.7527999999999997</v>
      </c>
      <c r="AR39">
        <f>'Tooth measurements raw data'!K134</f>
        <v>1.2328000000000001</v>
      </c>
      <c r="AS39" s="47">
        <f>'Tooth measurements raw data'!$H$134</f>
        <v>1.1276698700000001</v>
      </c>
      <c r="AT39" s="379">
        <v>4</v>
      </c>
      <c r="AV39" s="227">
        <v>1.7500000000000002E-2</v>
      </c>
      <c r="AW39" s="333">
        <f>'Tooth measurements raw data'!$G$135</f>
        <v>0.36280000000000001</v>
      </c>
      <c r="AX39">
        <f>'Tooth measurements raw data'!K135</f>
        <v>0.1928</v>
      </c>
      <c r="AY39" s="282">
        <f>'Tooth measurements raw data'!$H$135</f>
        <v>1.10035297E-2</v>
      </c>
      <c r="AZ39" s="379">
        <v>2</v>
      </c>
      <c r="BA39" s="61">
        <f t="shared" si="2"/>
        <v>9.6674483052654026E-2</v>
      </c>
      <c r="BB39" s="226">
        <v>1.2E-2</v>
      </c>
      <c r="BC39" s="77"/>
      <c r="BE39" s="61"/>
    </row>
    <row r="40" spans="2:59" x14ac:dyDescent="0.25">
      <c r="B40" t="s">
        <v>18</v>
      </c>
      <c r="C40" s="326">
        <f>'Tooth measurements raw data'!G53</f>
        <v>11.127500000000001</v>
      </c>
      <c r="D40" s="350">
        <f>'Tooth measurements raw data'!K53</f>
        <v>2.6575000000000002</v>
      </c>
      <c r="E40" s="21">
        <v>20.134699999999999</v>
      </c>
      <c r="F40" s="47">
        <v>7</v>
      </c>
      <c r="H40">
        <v>20.428571430000002</v>
      </c>
      <c r="I40" s="325">
        <f>'Tooth measurements raw data'!G54</f>
        <v>2.2675000000000001</v>
      </c>
      <c r="J40" s="150">
        <f>'Tooth measurements raw data'!K54</f>
        <v>0.76749999999999996</v>
      </c>
      <c r="K40" s="21">
        <v>0.85094800000000004</v>
      </c>
      <c r="L40" s="47">
        <v>3</v>
      </c>
      <c r="M40" s="61">
        <f t="shared" si="3"/>
        <v>0.20377443271175016</v>
      </c>
      <c r="N40" s="80"/>
      <c r="O40" s="77"/>
      <c r="Q40" s="61"/>
      <c r="R40"/>
      <c r="U40" s="80"/>
      <c r="V40" t="s">
        <v>18</v>
      </c>
      <c r="W40" s="187">
        <f>'Tooth measurements raw data'!G204</f>
        <v>43.715000000000003</v>
      </c>
      <c r="X40" s="204">
        <f>'Tooth measurements raw data'!K204</f>
        <v>12.864999999999998</v>
      </c>
      <c r="Y40" s="47">
        <f>'Tooth measurements raw data'!H204</f>
        <v>966.11354990600012</v>
      </c>
      <c r="Z40" s="286">
        <v>11</v>
      </c>
      <c r="AC40" s="187">
        <f>'Tooth measurements raw data'!$G$205</f>
        <v>28.654999999999998</v>
      </c>
      <c r="AD40" s="204">
        <f>'Tooth measurements raw data'!K205</f>
        <v>4.5650000000000004</v>
      </c>
      <c r="AE40" s="47">
        <f>'Tooth measurements raw data'!$H$205</f>
        <v>469.99387400000001</v>
      </c>
      <c r="AF40" s="286">
        <v>4</v>
      </c>
      <c r="AG40" s="59">
        <f t="shared" ref="AG40:AG46" si="4">AC40/W40</f>
        <v>0.65549582523161376</v>
      </c>
      <c r="AI40" s="85">
        <f>'Tooth measurements raw data'!$G$207</f>
        <v>3.5450000000000004</v>
      </c>
      <c r="AJ40" s="204">
        <f>'Tooth measurements raw data'!K207</f>
        <v>1.595</v>
      </c>
      <c r="AK40" s="197">
        <f>'Tooth measurements raw data'!$H$207</f>
        <v>2.0863991899999998</v>
      </c>
      <c r="AL40" s="286">
        <v>2</v>
      </c>
      <c r="AM40" s="43">
        <f>AI40/AC40</f>
        <v>0.12371313906822547</v>
      </c>
      <c r="AP40" t="s">
        <v>20</v>
      </c>
      <c r="AQ40" s="334">
        <f>'Tooth measurements raw data'!$G$136</f>
        <v>4.1828000000000003</v>
      </c>
      <c r="AR40">
        <f>'Tooth measurements raw data'!K136</f>
        <v>1.5728000000000002</v>
      </c>
      <c r="AS40" s="47">
        <f>'Tooth measurements raw data'!$H$136</f>
        <v>1.1082217399999998</v>
      </c>
      <c r="AT40" s="379">
        <v>5</v>
      </c>
      <c r="AW40" s="334">
        <f>'Tooth measurements raw data'!$G$137</f>
        <v>0.63280000000000003</v>
      </c>
      <c r="AX40">
        <f>'Tooth measurements raw data'!K137</f>
        <v>0.32279999999999998</v>
      </c>
      <c r="AY40" s="222">
        <f>'Tooth measurements raw data'!$H$137</f>
        <v>4.5037703999999998E-2</v>
      </c>
      <c r="AZ40" s="379">
        <v>3</v>
      </c>
      <c r="BA40" s="61">
        <f t="shared" si="2"/>
        <v>0.15128621975710049</v>
      </c>
      <c r="BC40" s="77"/>
      <c r="BE40" s="61"/>
    </row>
    <row r="41" spans="2:59" x14ac:dyDescent="0.25">
      <c r="B41" t="s">
        <v>20</v>
      </c>
      <c r="C41" s="326">
        <f>'Tooth measurements raw data'!G55</f>
        <v>7.5675000000000008</v>
      </c>
      <c r="D41" s="350">
        <f>'Tooth measurements raw data'!K55</f>
        <v>2.1675</v>
      </c>
      <c r="E41" s="21">
        <v>7.5534400000000002</v>
      </c>
      <c r="F41" s="47">
        <v>6</v>
      </c>
      <c r="H41"/>
      <c r="I41" s="325">
        <f>'Tooth measurements raw data'!G56</f>
        <v>2.0674999999999999</v>
      </c>
      <c r="J41" s="150">
        <f>'Tooth measurements raw data'!K56</f>
        <v>0.94750000000000001</v>
      </c>
      <c r="K41" s="21">
        <v>0.60760800000000004</v>
      </c>
      <c r="L41" s="47">
        <v>3</v>
      </c>
      <c r="M41" s="61">
        <f t="shared" si="3"/>
        <v>0.273207796498183</v>
      </c>
      <c r="N41" s="80"/>
      <c r="O41" s="77"/>
      <c r="Q41" s="61"/>
      <c r="R41"/>
      <c r="U41" s="80"/>
      <c r="V41" t="s">
        <v>20</v>
      </c>
      <c r="W41" s="187">
        <f>'Tooth measurements raw data'!G208</f>
        <v>30.015000000000001</v>
      </c>
      <c r="X41">
        <f>'Tooth measurements raw data'!K208</f>
        <v>7.4249999999999998</v>
      </c>
      <c r="Y41" s="47">
        <f>'Tooth measurements raw data'!H208</f>
        <v>461.98531700000001</v>
      </c>
      <c r="Z41" s="286">
        <v>7</v>
      </c>
      <c r="AC41" s="187">
        <f>'Tooth measurements raw data'!$G$209</f>
        <v>5.8050000000000006</v>
      </c>
      <c r="AD41" s="204">
        <f>'Tooth measurements raw data'!K209</f>
        <v>2.5050000000000003</v>
      </c>
      <c r="AE41" s="47">
        <f>'Tooth measurements raw data'!$H$209</f>
        <v>11.448181200000001</v>
      </c>
      <c r="AF41" s="286">
        <v>2</v>
      </c>
      <c r="AG41" s="59">
        <f t="shared" si="4"/>
        <v>0.19340329835082459</v>
      </c>
      <c r="AI41" s="85"/>
      <c r="AK41" s="61"/>
      <c r="AL41" s="286"/>
      <c r="AM41" s="43"/>
      <c r="AP41" t="s">
        <v>21</v>
      </c>
      <c r="AQ41" s="334">
        <f>'Tooth measurements raw data'!$G$138</f>
        <v>3.2427999999999999</v>
      </c>
      <c r="AR41">
        <f>'Tooth measurements raw data'!K138</f>
        <v>1.9228000000000001</v>
      </c>
      <c r="AS41" s="47">
        <f>'Tooth measurements raw data'!$H$138</f>
        <v>0.77968325000000005</v>
      </c>
      <c r="AT41" s="379">
        <v>6</v>
      </c>
      <c r="AW41" s="334">
        <f>'Tooth measurements raw data'!$G$139</f>
        <v>0.95279999999999998</v>
      </c>
      <c r="AX41">
        <f>'Tooth measurements raw data'!K139</f>
        <v>0.56279999999999997</v>
      </c>
      <c r="AY41" s="222">
        <f>'Tooth measurements raw data'!$H$139</f>
        <v>0.12743622800000001</v>
      </c>
      <c r="AZ41" s="380">
        <v>3</v>
      </c>
      <c r="BA41" s="61">
        <f t="shared" si="2"/>
        <v>0.2938201554212409</v>
      </c>
      <c r="BC41" s="77"/>
      <c r="BE41" s="61"/>
    </row>
    <row r="42" spans="2:59" x14ac:dyDescent="0.25">
      <c r="B42" t="s">
        <v>21</v>
      </c>
      <c r="C42" s="326">
        <f>'Tooth measurements raw data'!G57</f>
        <v>6.7075000000000005</v>
      </c>
      <c r="D42" s="350">
        <f>'Tooth measurements raw data'!K57</f>
        <v>1.9175</v>
      </c>
      <c r="E42" s="21">
        <v>4.5044700000000004</v>
      </c>
      <c r="F42" s="47">
        <v>5</v>
      </c>
      <c r="H42"/>
      <c r="I42" s="325">
        <f>'Tooth measurements raw data'!G58</f>
        <v>0.87749999999999995</v>
      </c>
      <c r="J42" s="150">
        <f>'Tooth measurements raw data'!K58</f>
        <v>0.38749999999999996</v>
      </c>
      <c r="K42" s="21">
        <v>0.123337</v>
      </c>
      <c r="L42" s="47">
        <v>2</v>
      </c>
      <c r="M42" s="61">
        <f t="shared" si="3"/>
        <v>0.13082370480805067</v>
      </c>
      <c r="N42" s="80"/>
      <c r="O42" s="77"/>
      <c r="Q42" s="61"/>
      <c r="R42"/>
      <c r="U42" s="80"/>
      <c r="V42" t="s">
        <v>21</v>
      </c>
      <c r="W42" s="187">
        <f>'Tooth measurements raw data'!G211</f>
        <v>24.314999999999998</v>
      </c>
      <c r="X42">
        <f>'Tooth measurements raw data'!K211</f>
        <v>5.5650000000000004</v>
      </c>
      <c r="Y42" s="47">
        <f>'Tooth measurements raw data'!H211</f>
        <v>267.76167800000002</v>
      </c>
      <c r="Z42" s="286">
        <v>5</v>
      </c>
      <c r="AC42" s="187">
        <f>'Tooth measurements raw data'!$G$212</f>
        <v>6.2250000000000005</v>
      </c>
      <c r="AD42">
        <f>'Tooth measurements raw data'!K212</f>
        <v>3.1150000000000002</v>
      </c>
      <c r="AE42" s="47">
        <f>'Tooth measurements raw data'!$H$212</f>
        <v>11.6967097</v>
      </c>
      <c r="AF42" s="286">
        <v>3</v>
      </c>
      <c r="AG42" s="59">
        <f t="shared" si="4"/>
        <v>0.25601480567550899</v>
      </c>
      <c r="AI42" s="85"/>
      <c r="AK42" s="61"/>
      <c r="AL42" s="286"/>
      <c r="AM42" s="43"/>
      <c r="AP42" s="45" t="s">
        <v>22</v>
      </c>
      <c r="AQ42" s="331">
        <f>'Tooth measurements raw data'!$G$140</f>
        <v>3.1928000000000001</v>
      </c>
      <c r="AR42">
        <f>'Tooth measurements raw data'!K140</f>
        <v>1.0828000000000002</v>
      </c>
      <c r="AS42" s="47">
        <f>'Tooth measurements raw data'!$H$140</f>
        <v>0.56130795999999994</v>
      </c>
      <c r="AT42" s="379">
        <v>4</v>
      </c>
      <c r="AW42" s="334">
        <f>'Tooth measurements raw data'!$G$141</f>
        <v>0.17280000000000001</v>
      </c>
      <c r="AX42" s="204">
        <f>'Tooth measurements raw data'!K141</f>
        <v>0.17280000000000001</v>
      </c>
      <c r="AY42" s="222">
        <f>'Tooth measurements raw data'!$H$141</f>
        <v>2.2071034200000002E-3</v>
      </c>
      <c r="AZ42" s="380">
        <v>2</v>
      </c>
      <c r="BA42" s="61">
        <f t="shared" si="2"/>
        <v>5.4121773991480833E-2</v>
      </c>
      <c r="BC42" s="77"/>
      <c r="BE42" s="61"/>
    </row>
    <row r="43" spans="2:59" x14ac:dyDescent="0.25">
      <c r="B43" s="45" t="s">
        <v>22</v>
      </c>
      <c r="C43" s="322">
        <f>'Tooth measurements raw data'!G59</f>
        <v>5.2275</v>
      </c>
      <c r="D43" s="350">
        <f>'Tooth measurements raw data'!K59</f>
        <v>1.7675000000000001</v>
      </c>
      <c r="E43" s="63">
        <v>3.9992700000000001</v>
      </c>
      <c r="F43" s="47">
        <v>5</v>
      </c>
      <c r="H43"/>
      <c r="I43" s="325">
        <f>'Tooth measurements raw data'!G60</f>
        <v>2.2075</v>
      </c>
      <c r="J43" s="150">
        <f>'Tooth measurements raw data'!K60</f>
        <v>1.0474999999999999</v>
      </c>
      <c r="K43" s="21">
        <v>0.78298299999999998</v>
      </c>
      <c r="L43" s="47">
        <v>3</v>
      </c>
      <c r="M43" s="61">
        <f t="shared" si="3"/>
        <v>0.42228598756575803</v>
      </c>
      <c r="N43" s="80"/>
      <c r="O43" s="77"/>
      <c r="Q43" s="61"/>
      <c r="R43"/>
      <c r="U43" s="80"/>
      <c r="V43" s="45" t="s">
        <v>22</v>
      </c>
      <c r="W43" s="186">
        <f>'Tooth measurements raw data'!G213</f>
        <v>21.195</v>
      </c>
      <c r="X43">
        <f>'Tooth measurements raw data'!K213</f>
        <v>4.3849999999999998</v>
      </c>
      <c r="Y43" s="87">
        <f>'Tooth measurements raw data'!H213</f>
        <v>168.41505100000001</v>
      </c>
      <c r="Z43" s="286">
        <v>4</v>
      </c>
      <c r="AC43" s="187">
        <f>'Tooth measurements raw data'!$G$214</f>
        <v>2.0150000000000001</v>
      </c>
      <c r="AD43">
        <f>'Tooth measurements raw data'!K214</f>
        <v>1.135</v>
      </c>
      <c r="AE43" s="47">
        <f>'Tooth measurements raw data'!$H$214</f>
        <v>1.1939030900000001</v>
      </c>
      <c r="AF43" s="286">
        <v>1</v>
      </c>
      <c r="AG43" s="59">
        <f t="shared" si="4"/>
        <v>9.5069591884878513E-2</v>
      </c>
      <c r="AI43" s="85"/>
      <c r="AK43" s="61"/>
      <c r="AL43" s="286"/>
      <c r="AM43" s="43"/>
      <c r="AP43" t="s">
        <v>23</v>
      </c>
      <c r="AQ43" s="331">
        <f>'Tooth measurements raw data'!$G$142</f>
        <v>3.0427999999999997</v>
      </c>
      <c r="AR43">
        <f>'Tooth measurements raw data'!K142</f>
        <v>1.7028000000000001</v>
      </c>
      <c r="AS43" s="47">
        <f>'Tooth measurements raw data'!$H$142</f>
        <v>0.50373135999999996</v>
      </c>
      <c r="AT43" s="379">
        <v>6</v>
      </c>
      <c r="AW43" s="333">
        <f>'Tooth measurements raw data'!$G$143</f>
        <v>0.95279999999999998</v>
      </c>
      <c r="AX43">
        <f>'Tooth measurements raw data'!K143</f>
        <v>0.45279999999999998</v>
      </c>
      <c r="AY43" s="282">
        <f>'Tooth measurements raw data'!$H$143</f>
        <v>6.8132322999999995E-2</v>
      </c>
      <c r="AZ43" s="380">
        <v>3</v>
      </c>
      <c r="BA43" s="61">
        <f t="shared" si="2"/>
        <v>0.31313264098856319</v>
      </c>
      <c r="BC43" s="77"/>
      <c r="BE43" s="61"/>
    </row>
    <row r="44" spans="2:59" x14ac:dyDescent="0.25">
      <c r="B44" t="s">
        <v>23</v>
      </c>
      <c r="C44" s="322">
        <f>'Tooth measurements raw data'!G61</f>
        <v>6.0175000000000001</v>
      </c>
      <c r="D44" s="350">
        <f>'Tooth measurements raw data'!K61</f>
        <v>2.2774999999999999</v>
      </c>
      <c r="E44" s="63">
        <v>4.4103899999999996</v>
      </c>
      <c r="F44" s="47">
        <v>7</v>
      </c>
      <c r="H44"/>
      <c r="I44" s="325">
        <f>'Tooth measurements raw data'!G62</f>
        <v>1.1475</v>
      </c>
      <c r="J44" s="150">
        <f>'Tooth measurements raw data'!K62</f>
        <v>0.59750000000000003</v>
      </c>
      <c r="K44" s="21">
        <v>0.23824699999999999</v>
      </c>
      <c r="L44" s="47">
        <v>3</v>
      </c>
      <c r="M44" s="61">
        <f t="shared" si="3"/>
        <v>0.19069380972164518</v>
      </c>
      <c r="N44" s="80"/>
      <c r="O44" s="77"/>
      <c r="Q44" s="61"/>
      <c r="R44"/>
      <c r="U44" s="80"/>
      <c r="V44" t="s">
        <v>23</v>
      </c>
      <c r="W44" s="186">
        <f>'Tooth measurements raw data'!G215</f>
        <v>20.044999999999998</v>
      </c>
      <c r="X44">
        <f>'Tooth measurements raw data'!K215</f>
        <v>4.2149999999999999</v>
      </c>
      <c r="Y44" s="87">
        <f>'Tooth measurements raw data'!H215</f>
        <v>184.64803499999999</v>
      </c>
      <c r="Z44" s="286">
        <v>4</v>
      </c>
      <c r="AC44" s="187">
        <f>'Tooth measurements raw data'!$G$216</f>
        <v>3.5450000000000004</v>
      </c>
      <c r="AD44">
        <f>'Tooth measurements raw data'!K216</f>
        <v>1.8749999999999998</v>
      </c>
      <c r="AE44" s="47">
        <f>'Tooth measurements raw data'!$H$216</f>
        <v>5.4770563000000001</v>
      </c>
      <c r="AF44" s="286">
        <v>2</v>
      </c>
      <c r="AG44" s="59">
        <f t="shared" si="4"/>
        <v>0.17685208281366929</v>
      </c>
      <c r="AI44" s="85"/>
      <c r="AK44" s="61"/>
      <c r="AL44" s="286"/>
      <c r="AM44" s="43"/>
      <c r="AP44" t="s">
        <v>24</v>
      </c>
      <c r="AQ44" s="334">
        <f>'Tooth measurements raw data'!$G$144</f>
        <v>3.1027999999999998</v>
      </c>
      <c r="AR44">
        <f>'Tooth measurements raw data'!K144</f>
        <v>1.1128</v>
      </c>
      <c r="AS44" s="47">
        <f>'Tooth measurements raw data'!$H$144</f>
        <v>0.47731009000000002</v>
      </c>
      <c r="AT44" s="379">
        <v>4</v>
      </c>
      <c r="AW44" s="334">
        <f>'Tooth measurements raw data'!$G$145</f>
        <v>0.1628</v>
      </c>
      <c r="AX44" s="204">
        <f>'Tooth measurements raw data'!K145</f>
        <v>0.1628</v>
      </c>
      <c r="AY44" s="222">
        <f>'Tooth measurements raw data'!$H$145</f>
        <v>2.2710774E-3</v>
      </c>
      <c r="AZ44" s="380">
        <v>2</v>
      </c>
      <c r="BA44" s="61">
        <f t="shared" si="2"/>
        <v>5.2468737914142069E-2</v>
      </c>
      <c r="BC44" s="77"/>
      <c r="BE44" s="61"/>
    </row>
    <row r="45" spans="2:59" x14ac:dyDescent="0.25">
      <c r="B45" t="s">
        <v>24</v>
      </c>
      <c r="C45" s="326">
        <f>'Tooth measurements raw data'!G63</f>
        <v>4.4975000000000005</v>
      </c>
      <c r="D45" s="350">
        <f>'Tooth measurements raw data'!K63</f>
        <v>0.95750000000000002</v>
      </c>
      <c r="E45" s="21">
        <v>2.8141500000000002</v>
      </c>
      <c r="F45" s="47">
        <v>4</v>
      </c>
      <c r="H45"/>
      <c r="I45" s="325">
        <f>'Tooth measurements raw data'!G64</f>
        <v>0.28749999999999998</v>
      </c>
      <c r="J45" s="150">
        <f>'Tooth measurements raw data'!K64</f>
        <v>0.16749999999999998</v>
      </c>
      <c r="K45" s="21">
        <v>1.7778200000000001E-2</v>
      </c>
      <c r="L45" s="47">
        <v>2</v>
      </c>
      <c r="M45" s="61">
        <f t="shared" si="3"/>
        <v>6.3924402445803205E-2</v>
      </c>
      <c r="N45" s="80"/>
      <c r="O45" s="77"/>
      <c r="Q45" s="61"/>
      <c r="R45"/>
      <c r="U45" s="80"/>
      <c r="V45" t="s">
        <v>24</v>
      </c>
      <c r="W45" s="188">
        <f>'Tooth measurements raw data'!G217</f>
        <v>18.265000000000001</v>
      </c>
      <c r="X45">
        <f>'Tooth measurements raw data'!K217</f>
        <v>5.5650000000000004</v>
      </c>
      <c r="Y45" s="196">
        <f>'Tooth measurements raw data'!H217</f>
        <v>164.82438200000001</v>
      </c>
      <c r="Z45" s="286">
        <v>5</v>
      </c>
      <c r="AC45" s="187">
        <f>'Tooth measurements raw data'!$G$218</f>
        <v>7.3849999999999998</v>
      </c>
      <c r="AD45">
        <f>'Tooth measurements raw data'!K218</f>
        <v>3.3650000000000002</v>
      </c>
      <c r="AE45" s="47">
        <f>'Tooth measurements raw data'!$H$218</f>
        <v>25.102081999999999</v>
      </c>
      <c r="AF45" s="286">
        <v>3</v>
      </c>
      <c r="AG45" s="59">
        <f t="shared" si="4"/>
        <v>0.4043252121543936</v>
      </c>
      <c r="AI45" s="85">
        <f>'Tooth measurements raw data'!$G$219</f>
        <v>0.58499999999999996</v>
      </c>
      <c r="AJ45">
        <f>'Tooth measurements raw data'!K219</f>
        <v>0.42499999999999999</v>
      </c>
      <c r="AK45" s="197">
        <f>'Tooth measurements raw data'!$H$219</f>
        <v>0.17725769699999999</v>
      </c>
      <c r="AL45" s="286">
        <v>1</v>
      </c>
      <c r="AM45" s="43">
        <f>AI45/AC45</f>
        <v>7.9214624238320916E-2</v>
      </c>
      <c r="AP45" t="s">
        <v>25</v>
      </c>
      <c r="AQ45" s="332">
        <f>'Tooth measurements raw data'!$G$146</f>
        <v>3.1827999999999999</v>
      </c>
      <c r="AR45">
        <f>'Tooth measurements raw data'!K146</f>
        <v>1.8128000000000002</v>
      </c>
      <c r="AS45" s="196">
        <f>'Tooth measurements raw data'!$H$146</f>
        <v>0.57957254999999996</v>
      </c>
      <c r="AT45" s="379">
        <v>6</v>
      </c>
      <c r="AW45" s="331">
        <f>'Tooth measurements raw data'!$G$147</f>
        <v>0.7228</v>
      </c>
      <c r="AX45">
        <f>'Tooth measurements raw data'!K147</f>
        <v>0.46279999999999999</v>
      </c>
      <c r="AY45" s="222">
        <f>'Tooth measurements raw data'!$H$147</f>
        <v>6.5413426999999996E-2</v>
      </c>
      <c r="AZ45" s="380">
        <v>3</v>
      </c>
      <c r="BA45" s="61">
        <f t="shared" si="2"/>
        <v>0.22709563905994723</v>
      </c>
      <c r="BC45" s="77"/>
      <c r="BE45" s="61"/>
    </row>
    <row r="46" spans="2:59" x14ac:dyDescent="0.25">
      <c r="B46" t="s">
        <v>25</v>
      </c>
      <c r="C46" s="322">
        <f>'Tooth measurements raw data'!G65</f>
        <v>5.8175000000000008</v>
      </c>
      <c r="D46" s="350">
        <f>'Tooth measurements raw data'!K65</f>
        <v>2.3075000000000001</v>
      </c>
      <c r="E46" s="63">
        <v>4.5590099999999998</v>
      </c>
      <c r="F46" s="47">
        <v>7</v>
      </c>
      <c r="H46"/>
      <c r="I46" s="325">
        <f>'Tooth measurements raw data'!G66</f>
        <v>1.3975</v>
      </c>
      <c r="J46" s="150">
        <f>'Tooth measurements raw data'!K66</f>
        <v>0.66749999999999998</v>
      </c>
      <c r="K46" s="21">
        <v>0.34843499999999999</v>
      </c>
      <c r="L46" s="47">
        <v>3</v>
      </c>
      <c r="M46" s="61">
        <f t="shared" si="3"/>
        <v>0.24022346368715081</v>
      </c>
      <c r="N46" s="80"/>
      <c r="O46" s="77"/>
      <c r="Q46" s="61"/>
      <c r="R46"/>
      <c r="U46" s="80"/>
      <c r="V46" t="s">
        <v>25</v>
      </c>
      <c r="W46" s="186">
        <f>'Tooth measurements raw data'!G220</f>
        <v>21.314999999999998</v>
      </c>
      <c r="X46">
        <f>'Tooth measurements raw data'!K220</f>
        <v>4.5550000000000006</v>
      </c>
      <c r="Y46" s="87">
        <f>'Tooth measurements raw data'!H220</f>
        <v>183.91717399999999</v>
      </c>
      <c r="Z46" s="286">
        <v>4</v>
      </c>
      <c r="AC46" s="187">
        <f>'Tooth measurements raw data'!$G$221</f>
        <v>2.5050000000000003</v>
      </c>
      <c r="AD46">
        <f>'Tooth measurements raw data'!K221</f>
        <v>1.5449999999999999</v>
      </c>
      <c r="AE46" s="47">
        <f>'Tooth measurements raw data'!$H$221</f>
        <v>2.9533754000000001</v>
      </c>
      <c r="AF46" s="286">
        <v>2</v>
      </c>
      <c r="AG46" s="59">
        <f t="shared" si="4"/>
        <v>0.11752287121745253</v>
      </c>
      <c r="AI46" s="85"/>
      <c r="AK46" s="61"/>
      <c r="AP46" t="s">
        <v>26</v>
      </c>
      <c r="AQ46" s="332">
        <f>'Tooth measurements raw data'!$G$148</f>
        <v>3.8828</v>
      </c>
      <c r="AR46">
        <f>'Tooth measurements raw data'!K148</f>
        <v>1.4928000000000001</v>
      </c>
      <c r="AS46" s="196">
        <f>'Tooth measurements raw data'!$H$148</f>
        <v>0.94569581000000003</v>
      </c>
      <c r="AT46" s="379">
        <v>7</v>
      </c>
      <c r="AW46" s="331">
        <f>'Tooth measurements raw data'!$G$149</f>
        <v>0.45279999999999998</v>
      </c>
      <c r="AX46">
        <f>'Tooth measurements raw data'!K149</f>
        <v>0.2828</v>
      </c>
      <c r="AY46" s="222">
        <f>'Tooth measurements raw data'!$H$149</f>
        <v>2.7061005999999999E-2</v>
      </c>
      <c r="AZ46" s="380">
        <v>2</v>
      </c>
      <c r="BA46" s="61">
        <f t="shared" si="2"/>
        <v>0.11661687442052127</v>
      </c>
      <c r="BC46" s="77"/>
      <c r="BE46" s="61"/>
    </row>
    <row r="47" spans="2:59" x14ac:dyDescent="0.25">
      <c r="B47" t="s">
        <v>26</v>
      </c>
      <c r="C47" s="327">
        <f>'Tooth measurements raw data'!G67</f>
        <v>5.5675000000000008</v>
      </c>
      <c r="D47" s="350">
        <f>'Tooth measurements raw data'!K67</f>
        <v>1.6675</v>
      </c>
      <c r="E47" s="21">
        <v>4.1650200000000002</v>
      </c>
      <c r="F47" s="47">
        <v>5</v>
      </c>
      <c r="H47">
        <v>48.287500000000001</v>
      </c>
      <c r="I47" s="353">
        <f>'Tooth measurements raw data'!G68</f>
        <v>0.75749999999999995</v>
      </c>
      <c r="J47" s="150">
        <f>'Tooth measurements raw data'!K68</f>
        <v>0.32749999999999996</v>
      </c>
      <c r="K47" s="21">
        <v>6.0279300000000001E-2</v>
      </c>
      <c r="L47" s="47">
        <v>2</v>
      </c>
      <c r="M47" s="61">
        <f t="shared" si="3"/>
        <v>0.13605747642568475</v>
      </c>
      <c r="N47" s="80">
        <v>15.695652170000001</v>
      </c>
      <c r="O47" s="77"/>
      <c r="Q47" s="61"/>
      <c r="R47"/>
      <c r="U47" s="80"/>
      <c r="V47" t="s">
        <v>26</v>
      </c>
      <c r="W47" s="186">
        <f>'Tooth measurements raw data'!G222</f>
        <v>25.984999999999999</v>
      </c>
      <c r="X47">
        <f>'Tooth measurements raw data'!K222</f>
        <v>5.0250000000000004</v>
      </c>
      <c r="Y47" s="87">
        <f>'Tooth measurements raw data'!H222</f>
        <v>296.44431084299998</v>
      </c>
      <c r="Z47" s="286">
        <v>5</v>
      </c>
      <c r="AC47" s="187"/>
      <c r="AE47" s="47"/>
      <c r="AF47" s="286"/>
      <c r="AG47" s="59"/>
      <c r="AI47" s="85"/>
      <c r="AK47" s="61"/>
      <c r="AP47" t="s">
        <v>27</v>
      </c>
      <c r="AQ47" s="332">
        <f>'Tooth measurements raw data'!$G$150</f>
        <v>3.5627999999999997</v>
      </c>
      <c r="AR47">
        <f>'Tooth measurements raw data'!K150</f>
        <v>2.1328</v>
      </c>
      <c r="AS47" s="196">
        <f>'Tooth measurements raw data'!$H$150</f>
        <v>1.21445063</v>
      </c>
      <c r="AT47" s="379">
        <v>6</v>
      </c>
      <c r="AV47" s="227">
        <v>1.44E-2</v>
      </c>
      <c r="AW47" s="331">
        <f>'Tooth measurements raw data'!$G$151</f>
        <v>1.6128</v>
      </c>
      <c r="AX47">
        <f>'Tooth measurements raw data'!K151</f>
        <v>0.92279999999999995</v>
      </c>
      <c r="AY47" s="222">
        <f>'Tooth measurements raw data'!$H$151</f>
        <v>0.35022571000000002</v>
      </c>
      <c r="AZ47" s="380">
        <v>4</v>
      </c>
      <c r="BA47" s="61">
        <f t="shared" si="2"/>
        <v>0.4526776692489054</v>
      </c>
      <c r="BB47" s="226">
        <v>1.2999999999999999E-2</v>
      </c>
      <c r="BC47" s="77"/>
      <c r="BE47" s="61"/>
    </row>
    <row r="48" spans="2:59" x14ac:dyDescent="0.25">
      <c r="B48" t="s">
        <v>27</v>
      </c>
      <c r="C48" s="322">
        <f>'Tooth measurements raw data'!G69</f>
        <v>8.557500000000001</v>
      </c>
      <c r="D48" s="350">
        <f>'Tooth measurements raw data'!K69</f>
        <v>2.7974999999999999</v>
      </c>
      <c r="E48" s="63">
        <v>13.806800000000001</v>
      </c>
      <c r="F48" s="47">
        <v>7</v>
      </c>
      <c r="H48">
        <v>33.381419233333332</v>
      </c>
      <c r="I48" s="325">
        <f>'Tooth measurements raw data'!G70</f>
        <v>2.5874999999999999</v>
      </c>
      <c r="J48" s="150">
        <f>'Tooth measurements raw data'!K70</f>
        <v>1.1875</v>
      </c>
      <c r="K48" s="21">
        <v>1.45319</v>
      </c>
      <c r="L48" s="47">
        <v>2</v>
      </c>
      <c r="M48" s="61">
        <f t="shared" si="3"/>
        <v>0.30236634531113055</v>
      </c>
      <c r="N48" s="80"/>
      <c r="O48" s="77"/>
      <c r="Q48" s="61"/>
      <c r="R48"/>
      <c r="U48" s="80"/>
      <c r="V48" t="s">
        <v>27</v>
      </c>
      <c r="W48" s="186">
        <f>'Tooth measurements raw data'!G223</f>
        <v>36.585000000000001</v>
      </c>
      <c r="X48" s="204">
        <f>'Tooth measurements raw data'!K223</f>
        <v>9.4749999999999996</v>
      </c>
      <c r="Y48" s="87">
        <f>'Tooth measurements raw data'!H223</f>
        <v>931.44852915599995</v>
      </c>
      <c r="Z48" s="286">
        <v>8</v>
      </c>
      <c r="AC48" s="187">
        <f>'Tooth measurements raw data'!$G$224</f>
        <v>5.3550000000000004</v>
      </c>
      <c r="AD48">
        <f>'Tooth measurements raw data'!K224</f>
        <v>2.3450000000000002</v>
      </c>
      <c r="AE48" s="47">
        <f>'Tooth measurements raw data'!$H$224</f>
        <v>16.3242622</v>
      </c>
      <c r="AF48" s="286">
        <v>2</v>
      </c>
      <c r="AG48" s="59">
        <f>AC48/W48</f>
        <v>0.14637146371463716</v>
      </c>
      <c r="AI48" s="85"/>
      <c r="AK48" s="61"/>
      <c r="AP48" t="s">
        <v>29</v>
      </c>
      <c r="AQ48" s="332">
        <f>'Tooth measurements raw data'!$G$152</f>
        <v>5.3928000000000003</v>
      </c>
      <c r="AR48">
        <f>'Tooth measurements raw data'!K152</f>
        <v>1.8128000000000002</v>
      </c>
      <c r="AS48" s="196">
        <f>'Tooth measurements raw data'!$H$152</f>
        <v>2.3750671900000002</v>
      </c>
      <c r="AT48" s="379">
        <v>5</v>
      </c>
      <c r="AW48" s="331">
        <f>'Tooth measurements raw data'!$G$153</f>
        <v>0.80279999999999996</v>
      </c>
      <c r="AX48">
        <f>'Tooth measurements raw data'!K153</f>
        <v>0.45279999999999998</v>
      </c>
      <c r="AY48" s="222">
        <f>'Tooth measurements raw data'!$H$153</f>
        <v>6.8324242000000007E-2</v>
      </c>
      <c r="AZ48" s="380">
        <v>2</v>
      </c>
      <c r="BA48" s="61">
        <f t="shared" si="2"/>
        <v>0.14886515353805072</v>
      </c>
      <c r="BC48" s="77"/>
      <c r="BE48" s="61"/>
    </row>
    <row r="49" spans="2:57" x14ac:dyDescent="0.25">
      <c r="B49" t="s">
        <v>29</v>
      </c>
      <c r="C49" s="327">
        <f>'Tooth measurements raw data'!G71</f>
        <v>7.5575000000000001</v>
      </c>
      <c r="D49" s="350">
        <f>'Tooth measurements raw data'!K71</f>
        <v>2.1175000000000002</v>
      </c>
      <c r="E49" s="21">
        <v>9.2895900000000005</v>
      </c>
      <c r="F49" s="47">
        <v>5</v>
      </c>
      <c r="H49"/>
      <c r="I49" s="325">
        <f>'Tooth measurements raw data'!G72</f>
        <v>0.5675</v>
      </c>
      <c r="J49" s="150">
        <f>'Tooth measurements raw data'!K72</f>
        <v>0.19750000000000001</v>
      </c>
      <c r="K49" s="21">
        <v>6.9631399999999996E-2</v>
      </c>
      <c r="L49" s="47">
        <v>3</v>
      </c>
      <c r="M49" s="61">
        <f t="shared" si="3"/>
        <v>7.5090969235858424E-2</v>
      </c>
      <c r="N49" s="80"/>
      <c r="O49" s="77"/>
      <c r="Q49" s="61"/>
      <c r="R49"/>
      <c r="U49" s="80"/>
      <c r="V49" t="s">
        <v>29</v>
      </c>
      <c r="W49" s="186">
        <f>'Tooth measurements raw data'!G225</f>
        <v>45.025000000000006</v>
      </c>
      <c r="X49" s="204">
        <f>'Tooth measurements raw data'!K225</f>
        <v>11.975</v>
      </c>
      <c r="Y49" s="87">
        <f>'Tooth measurements raw data'!H225</f>
        <v>2305.1986898119999</v>
      </c>
      <c r="Z49" s="286">
        <v>10</v>
      </c>
      <c r="AC49" s="189">
        <f>'Tooth measurements raw data'!$G$226</f>
        <v>13.045</v>
      </c>
      <c r="AD49" s="204">
        <f>'Tooth measurements raw data'!K226</f>
        <v>3.9249999999999998</v>
      </c>
      <c r="AE49" s="194">
        <f>'Tooth measurements raw data'!$H$226</f>
        <v>130.83227500000001</v>
      </c>
      <c r="AF49" s="286">
        <v>4</v>
      </c>
      <c r="AG49" s="59">
        <f>AC49/W49</f>
        <v>0.28972792892837307</v>
      </c>
      <c r="AI49" s="85"/>
      <c r="AK49" s="61"/>
      <c r="AP49" t="s">
        <v>30</v>
      </c>
      <c r="AQ49" s="332">
        <f>'Tooth measurements raw data'!$G$154</f>
        <v>4.1228000000000007</v>
      </c>
      <c r="AR49">
        <f>'Tooth measurements raw data'!K154</f>
        <v>2.2827999999999999</v>
      </c>
      <c r="AS49" s="196">
        <f>'Tooth measurements raw data'!$H$154</f>
        <v>1.76830563</v>
      </c>
      <c r="AT49" s="379">
        <v>6</v>
      </c>
      <c r="AW49" s="331">
        <f>'Tooth measurements raw data'!$G$155</f>
        <v>1.6928000000000001</v>
      </c>
      <c r="AX49">
        <f>'Tooth measurements raw data'!K155</f>
        <v>0.83279999999999998</v>
      </c>
      <c r="AY49" s="222">
        <f>'Tooth measurements raw data'!$H$155</f>
        <v>0.37901402000000001</v>
      </c>
      <c r="AZ49" s="380">
        <v>3</v>
      </c>
      <c r="BA49" s="61">
        <f t="shared" si="2"/>
        <v>0.41059474143785774</v>
      </c>
      <c r="BC49" s="77"/>
      <c r="BE49" s="61"/>
    </row>
    <row r="50" spans="2:57" x14ac:dyDescent="0.25">
      <c r="B50" t="s">
        <v>30</v>
      </c>
      <c r="C50" s="322">
        <f>'Tooth measurements raw data'!G73</f>
        <v>8.6475000000000009</v>
      </c>
      <c r="D50" s="350">
        <f>'Tooth measurements raw data'!K73</f>
        <v>2.6575000000000002</v>
      </c>
      <c r="E50" s="63">
        <v>17.8504</v>
      </c>
      <c r="F50" s="47">
        <v>6</v>
      </c>
      <c r="H50"/>
      <c r="I50" s="325">
        <f>'Tooth measurements raw data'!G74</f>
        <v>1.6174999999999999</v>
      </c>
      <c r="J50" s="150">
        <f>'Tooth measurements raw data'!K74</f>
        <v>0.8175</v>
      </c>
      <c r="K50" s="21">
        <v>0.74964900000000001</v>
      </c>
      <c r="L50" s="47">
        <v>3</v>
      </c>
      <c r="M50" s="61">
        <f t="shared" si="3"/>
        <v>0.18704827984966751</v>
      </c>
      <c r="N50" s="80"/>
      <c r="O50" s="77"/>
      <c r="Q50" s="61"/>
      <c r="R50"/>
      <c r="U50" s="80"/>
      <c r="V50" t="s">
        <v>30</v>
      </c>
      <c r="W50" s="186">
        <f>'Tooth measurements raw data'!G227</f>
        <v>38.215000000000003</v>
      </c>
      <c r="X50" s="204">
        <f>'Tooth measurements raw data'!K227</f>
        <v>7.7050000000000001</v>
      </c>
      <c r="Y50" s="87">
        <f>'Tooth measurements raw data'!H227</f>
        <v>1332.206439625</v>
      </c>
      <c r="Z50" s="286">
        <v>7</v>
      </c>
      <c r="AC50" s="187"/>
      <c r="AE50" s="47"/>
      <c r="AF50" s="286"/>
      <c r="AG50" s="59"/>
      <c r="AI50" s="85"/>
      <c r="AK50" s="61"/>
      <c r="AP50" t="s">
        <v>31</v>
      </c>
      <c r="AQ50" s="332">
        <f>'Tooth measurements raw data'!$G$156</f>
        <v>4.2528000000000006</v>
      </c>
      <c r="AR50">
        <f>'Tooth measurements raw data'!K156</f>
        <v>1.5728000000000002</v>
      </c>
      <c r="AS50" s="196">
        <f>'Tooth measurements raw data'!$H$156</f>
        <v>1.6480344499999999</v>
      </c>
      <c r="AT50" s="379">
        <v>5</v>
      </c>
      <c r="AW50" s="331">
        <f>'Tooth measurements raw data'!$G$157</f>
        <v>0.30280000000000001</v>
      </c>
      <c r="AX50">
        <f>'Tooth measurements raw data'!K157</f>
        <v>0.23280000000000001</v>
      </c>
      <c r="AY50" s="222">
        <f>'Tooth measurements raw data'!$H$157</f>
        <v>1.3562490699999999E-2</v>
      </c>
      <c r="AZ50" s="380">
        <v>1</v>
      </c>
      <c r="BA50" s="61">
        <f t="shared" si="2"/>
        <v>7.1200150489089536E-2</v>
      </c>
      <c r="BC50" s="77"/>
      <c r="BE50" s="61"/>
    </row>
    <row r="51" spans="2:57" x14ac:dyDescent="0.25">
      <c r="B51" t="s">
        <v>31</v>
      </c>
      <c r="C51" s="322">
        <f>'Tooth measurements raw data'!G75</f>
        <v>7.2475000000000005</v>
      </c>
      <c r="D51" s="350">
        <f>'Tooth measurements raw data'!K75</f>
        <v>3.0575000000000001</v>
      </c>
      <c r="E51" s="63">
        <v>11.353300000000001</v>
      </c>
      <c r="F51" s="47">
        <v>7</v>
      </c>
      <c r="H51"/>
      <c r="I51" s="353">
        <f>'Tooth measurements raw data'!G76</f>
        <v>2.6274999999999999</v>
      </c>
      <c r="J51" s="150">
        <f>'Tooth measurements raw data'!K76</f>
        <v>1.3674999999999999</v>
      </c>
      <c r="K51" s="63">
        <v>2.5144199999999999</v>
      </c>
      <c r="L51" s="47">
        <v>4</v>
      </c>
      <c r="M51" s="61">
        <f t="shared" si="3"/>
        <v>0.36253880648499481</v>
      </c>
      <c r="N51" s="80"/>
      <c r="O51" s="77"/>
      <c r="Q51" s="61"/>
      <c r="R51"/>
      <c r="U51" s="80"/>
      <c r="V51" t="s">
        <v>31</v>
      </c>
      <c r="W51" s="83">
        <f>'Tooth measurements raw data'!G228</f>
        <v>28.035</v>
      </c>
      <c r="X51">
        <f>'Tooth measurements raw data'!K228</f>
        <v>6.9750000000000005</v>
      </c>
      <c r="Y51" s="195">
        <f>'Tooth measurements raw data'!H228</f>
        <v>691.27449000000001</v>
      </c>
      <c r="Z51" s="286">
        <v>6</v>
      </c>
      <c r="AC51" s="187">
        <f>'Tooth measurements raw data'!$G$229</f>
        <v>8.8649999999999984</v>
      </c>
      <c r="AD51">
        <f>'Tooth measurements raw data'!K229</f>
        <v>3.4750000000000001</v>
      </c>
      <c r="AE51" s="47">
        <f>'Tooth measurements raw data'!$H$229</f>
        <v>91.083331999999999</v>
      </c>
      <c r="AF51" s="286">
        <v>2</v>
      </c>
      <c r="AG51" s="59">
        <f>AC51/W51</f>
        <v>0.31621187800963074</v>
      </c>
      <c r="AI51" s="85"/>
      <c r="AK51" s="61"/>
      <c r="AP51" t="s">
        <v>32</v>
      </c>
      <c r="AQ51" s="332">
        <f>'Tooth measurements raw data'!$G$158</f>
        <v>3.7128000000000001</v>
      </c>
      <c r="AR51">
        <f>'Tooth measurements raw data'!K158</f>
        <v>2.0427999999999997</v>
      </c>
      <c r="AS51" s="196">
        <f>'Tooth measurements raw data'!$H$158</f>
        <v>1.48784348</v>
      </c>
      <c r="AT51" s="379">
        <v>4</v>
      </c>
      <c r="AW51" s="331">
        <f>'Tooth measurements raw data'!$G$159</f>
        <v>0.84279999999999999</v>
      </c>
      <c r="AX51">
        <f>'Tooth measurements raw data'!K159</f>
        <v>0.53280000000000005</v>
      </c>
      <c r="AY51" s="222">
        <f>'Tooth measurements raw data'!$H$159</f>
        <v>0.16985099000000001</v>
      </c>
      <c r="AZ51" s="380">
        <v>2</v>
      </c>
      <c r="BA51" s="61">
        <f t="shared" si="2"/>
        <v>0.22699849170437406</v>
      </c>
      <c r="BC51" s="77"/>
      <c r="BE51" s="61"/>
    </row>
    <row r="52" spans="2:57" x14ac:dyDescent="0.25">
      <c r="B52" t="s">
        <v>32</v>
      </c>
      <c r="C52" s="327">
        <f>'Tooth measurements raw data'!G77</f>
        <v>5.9175000000000004</v>
      </c>
      <c r="D52" s="350">
        <f>'Tooth measurements raw data'!K77</f>
        <v>2.1575000000000002</v>
      </c>
      <c r="E52" s="21">
        <v>9.6607099999999999</v>
      </c>
      <c r="F52" s="47">
        <v>5</v>
      </c>
      <c r="H52"/>
      <c r="I52" s="325">
        <f>'Tooth measurements raw data'!G78</f>
        <v>0.61749999999999994</v>
      </c>
      <c r="J52" s="150">
        <f>'Tooth measurements raw data'!K78</f>
        <v>0.39749999999999996</v>
      </c>
      <c r="K52" s="21">
        <v>0.120188</v>
      </c>
      <c r="L52" s="47">
        <v>1</v>
      </c>
      <c r="M52" s="61">
        <f t="shared" si="3"/>
        <v>0.10435149978876213</v>
      </c>
      <c r="N52" s="80"/>
      <c r="O52" s="77"/>
      <c r="Q52" s="61"/>
      <c r="R52"/>
      <c r="U52" s="80"/>
      <c r="V52" t="s">
        <v>32</v>
      </c>
      <c r="W52" s="186">
        <f>'Tooth measurements raw data'!G230</f>
        <v>26.125</v>
      </c>
      <c r="X52">
        <f>'Tooth measurements raw data'!K230</f>
        <v>5.2650000000000006</v>
      </c>
      <c r="Y52" s="87">
        <f>'Tooth measurements raw data'!H230</f>
        <v>569.97456971899999</v>
      </c>
      <c r="Z52" s="286">
        <v>4</v>
      </c>
      <c r="AC52" s="187">
        <f>'Tooth measurements raw data'!$G$231</f>
        <v>1.4849999999999999</v>
      </c>
      <c r="AD52">
        <f>'Tooth measurements raw data'!K231</f>
        <v>0.98499999999999988</v>
      </c>
      <c r="AE52" s="47">
        <f>'Tooth measurements raw data'!$H$231</f>
        <v>2.6565666000000001</v>
      </c>
      <c r="AF52" s="286">
        <v>1</v>
      </c>
      <c r="AG52" s="59">
        <f>AC52/W52</f>
        <v>5.6842105263157888E-2</v>
      </c>
      <c r="AI52" s="85"/>
      <c r="AK52" s="61"/>
      <c r="AP52" t="s">
        <v>72</v>
      </c>
      <c r="AQ52" s="331">
        <f>'Tooth measurements raw data'!$G$160</f>
        <v>3.3428</v>
      </c>
      <c r="AR52">
        <f>'Tooth measurements raw data'!K160</f>
        <v>1.4128000000000001</v>
      </c>
      <c r="AS52" s="47">
        <f>'Tooth measurements raw data'!$H$160</f>
        <v>1.2274053700000001</v>
      </c>
      <c r="AT52" s="379">
        <v>5</v>
      </c>
      <c r="AW52" s="331">
        <f>'Tooth measurements raw data'!$G$161</f>
        <v>0.15279999999999999</v>
      </c>
      <c r="AX52" s="204">
        <f>'Tooth measurements raw data'!K161</f>
        <v>0.15279999999999999</v>
      </c>
      <c r="AY52" s="222">
        <f>'Tooth measurements raw data'!$H$161</f>
        <v>4.8620247000000002E-3</v>
      </c>
      <c r="AZ52" s="380">
        <v>1</v>
      </c>
      <c r="BA52" s="61">
        <f t="shared" si="2"/>
        <v>4.5710183080052647E-2</v>
      </c>
      <c r="BC52" s="52"/>
      <c r="BE52" s="47"/>
    </row>
    <row r="53" spans="2:57" x14ac:dyDescent="0.25">
      <c r="B53" t="s">
        <v>72</v>
      </c>
      <c r="C53" s="327">
        <f>'Tooth measurements raw data'!G79</f>
        <v>6.4675000000000002</v>
      </c>
      <c r="D53" s="350">
        <f>'Tooth measurements raw data'!K79</f>
        <v>2.7574999999999998</v>
      </c>
      <c r="E53" s="21">
        <v>11.2189</v>
      </c>
      <c r="F53" s="47">
        <v>5</v>
      </c>
      <c r="H53"/>
      <c r="I53" s="325">
        <f>'Tooth measurements raw data'!G80</f>
        <v>1.1875</v>
      </c>
      <c r="J53" s="150">
        <f>'Tooth measurements raw data'!K80</f>
        <v>0.72750000000000004</v>
      </c>
      <c r="K53" s="21">
        <v>0.53964400000000001</v>
      </c>
      <c r="L53" s="47">
        <v>2</v>
      </c>
      <c r="M53" s="61">
        <f t="shared" si="3"/>
        <v>0.18361035948975646</v>
      </c>
      <c r="N53" s="80"/>
      <c r="O53" s="52"/>
      <c r="Q53" s="47"/>
      <c r="R53"/>
      <c r="U53" s="80"/>
      <c r="V53" t="s">
        <v>72</v>
      </c>
      <c r="W53" s="82"/>
      <c r="Y53" s="87"/>
      <c r="Z53" s="61"/>
      <c r="AC53" s="187"/>
      <c r="AE53" s="47"/>
      <c r="AF53" s="61"/>
      <c r="AG53" s="59"/>
      <c r="AI53" s="85"/>
      <c r="AK53" s="47"/>
      <c r="AP53" t="s">
        <v>73</v>
      </c>
      <c r="AQ53" s="332">
        <f>'Tooth measurements raw data'!$G$162</f>
        <v>3.3828</v>
      </c>
      <c r="AR53">
        <f>'Tooth measurements raw data'!K162</f>
        <v>1.8628</v>
      </c>
      <c r="AS53" s="196">
        <f>'Tooth measurements raw data'!$H$162</f>
        <v>1.1998005899999999</v>
      </c>
      <c r="AT53" s="379">
        <v>5</v>
      </c>
      <c r="AV53">
        <v>1.4499999999999999E-2</v>
      </c>
      <c r="AW53" s="331">
        <f>'Tooth measurements raw data'!$G$163</f>
        <v>0.68279999999999996</v>
      </c>
      <c r="AX53">
        <f>'Tooth measurements raw data'!K163</f>
        <v>0.43280000000000002</v>
      </c>
      <c r="AY53" s="222">
        <f>'Tooth measurements raw data'!$H$163</f>
        <v>0.110387154</v>
      </c>
      <c r="AZ53" s="380">
        <v>2</v>
      </c>
      <c r="BA53" s="61">
        <f t="shared" si="2"/>
        <v>0.2018446257538134</v>
      </c>
      <c r="BC53" s="79"/>
      <c r="BE53" s="47"/>
    </row>
    <row r="54" spans="2:57" x14ac:dyDescent="0.25">
      <c r="B54" t="s">
        <v>73</v>
      </c>
      <c r="C54" s="322">
        <f>'Tooth measurements raw data'!G81</f>
        <v>6.1175000000000006</v>
      </c>
      <c r="D54" s="350">
        <f>'Tooth measurements raw data'!K81</f>
        <v>2.4874999999999998</v>
      </c>
      <c r="E54" s="63">
        <v>7.7495500000000002</v>
      </c>
      <c r="F54" s="47">
        <v>6</v>
      </c>
      <c r="H54">
        <v>32.115259740000006</v>
      </c>
      <c r="I54" s="325">
        <f>'Tooth measurements raw data'!G82</f>
        <v>2.7075</v>
      </c>
      <c r="J54" s="150">
        <f>'Tooth measurements raw data'!K82</f>
        <v>1.3274999999999999</v>
      </c>
      <c r="K54" s="21">
        <v>2.29691</v>
      </c>
      <c r="L54" s="47">
        <v>3</v>
      </c>
      <c r="M54" s="61">
        <f t="shared" si="3"/>
        <v>0.44258275439313444</v>
      </c>
      <c r="N54" s="80"/>
      <c r="O54" s="79"/>
      <c r="Q54" s="47"/>
      <c r="R54"/>
      <c r="U54" s="80"/>
      <c r="V54" t="s">
        <v>73</v>
      </c>
      <c r="W54" s="186"/>
      <c r="Y54" s="87"/>
      <c r="Z54" s="21"/>
      <c r="AC54" s="187"/>
      <c r="AE54" s="47"/>
      <c r="AF54" s="61"/>
      <c r="AG54" s="59"/>
      <c r="AI54" s="85"/>
      <c r="AK54" s="47"/>
      <c r="AP54" t="s">
        <v>74</v>
      </c>
      <c r="AQ54" s="331">
        <f>'Tooth measurements raw data'!$G$164</f>
        <v>3.4827999999999997</v>
      </c>
      <c r="AR54">
        <f>'Tooth measurements raw data'!K164</f>
        <v>1.6428</v>
      </c>
      <c r="AS54" s="47">
        <f>'Tooth measurements raw data'!$H$164</f>
        <v>1.0185301899999999</v>
      </c>
      <c r="AT54" s="379">
        <v>5</v>
      </c>
      <c r="AV54">
        <v>1.2499999999999999E-2</v>
      </c>
      <c r="AW54" s="331">
        <f>'Tooth measurements raw data'!$G$165</f>
        <v>0.11280000000000001</v>
      </c>
      <c r="AX54" s="204">
        <f>'Tooth measurements raw data'!K165</f>
        <v>0.11280000000000001</v>
      </c>
      <c r="AY54" s="222">
        <f>'Tooth measurements raw data'!$H$165</f>
        <v>2.8148565499999997E-3</v>
      </c>
      <c r="AZ54" s="380">
        <v>1</v>
      </c>
      <c r="BA54" s="61">
        <f t="shared" si="2"/>
        <v>3.2387734007120715E-2</v>
      </c>
      <c r="BC54" s="52"/>
      <c r="BE54" s="47"/>
    </row>
    <row r="55" spans="2:57" x14ac:dyDescent="0.25">
      <c r="B55" t="s">
        <v>74</v>
      </c>
      <c r="C55" s="327">
        <f>'Tooth measurements raw data'!G83</f>
        <v>6.0475000000000003</v>
      </c>
      <c r="D55" s="350">
        <f>'Tooth measurements raw data'!K83</f>
        <v>2.5874999999999999</v>
      </c>
      <c r="E55" s="21">
        <v>8.3101199999999995</v>
      </c>
      <c r="F55" s="47">
        <v>9</v>
      </c>
      <c r="H55">
        <v>48.216053391168835</v>
      </c>
      <c r="I55" s="325">
        <f>'Tooth measurements raw data'!G84</f>
        <v>0.90749999999999997</v>
      </c>
      <c r="J55" s="150">
        <f>'Tooth measurements raw data'!K84</f>
        <v>0.51749999999999996</v>
      </c>
      <c r="K55" s="21">
        <v>0.33676800000000001</v>
      </c>
      <c r="L55" s="47">
        <v>1</v>
      </c>
      <c r="M55" s="61">
        <f t="shared" si="3"/>
        <v>0.15006200909466721</v>
      </c>
      <c r="N55" s="80">
        <v>33.708333334999999</v>
      </c>
      <c r="O55" s="52"/>
      <c r="Q55" s="47"/>
      <c r="R55"/>
      <c r="U55" s="80"/>
      <c r="V55" t="s">
        <v>74</v>
      </c>
      <c r="W55" s="82"/>
      <c r="Y55" s="87"/>
      <c r="Z55" s="61"/>
      <c r="AC55" s="187"/>
      <c r="AE55" s="47"/>
      <c r="AF55" s="61"/>
      <c r="AG55" s="59"/>
      <c r="AI55" s="85"/>
      <c r="AK55" s="47"/>
      <c r="AP55" t="s">
        <v>75</v>
      </c>
      <c r="AQ55" s="332">
        <f>'Tooth measurements raw data'!$G$166</f>
        <v>2.8327999999999998</v>
      </c>
      <c r="AR55">
        <f>'Tooth measurements raw data'!K166</f>
        <v>2.8327999999999998</v>
      </c>
      <c r="AS55" s="196">
        <f>'Tooth measurements raw data'!$H$166</f>
        <v>0.65960404000000006</v>
      </c>
      <c r="AT55" s="379">
        <v>8</v>
      </c>
      <c r="AW55" s="331">
        <f>'Tooth measurements raw data'!$G$167</f>
        <v>0.42280000000000001</v>
      </c>
      <c r="AX55">
        <f>'Tooth measurements raw data'!K167</f>
        <v>0.30280000000000001</v>
      </c>
      <c r="AY55" s="222">
        <f>'Tooth measurements raw data'!$H$167</f>
        <v>4.3278417E-2</v>
      </c>
      <c r="AZ55" s="380">
        <v>1</v>
      </c>
      <c r="BA55" s="61">
        <f t="shared" si="2"/>
        <v>0.14925162383507484</v>
      </c>
      <c r="BC55" s="79"/>
      <c r="BE55" s="47"/>
    </row>
    <row r="56" spans="2:57" x14ac:dyDescent="0.25">
      <c r="B56" t="s">
        <v>75</v>
      </c>
      <c r="C56" s="327">
        <f>'Tooth measurements raw data'!G85</f>
        <v>5.4375</v>
      </c>
      <c r="D56" s="350">
        <f>'Tooth measurements raw data'!K85</f>
        <v>2.5175000000000001</v>
      </c>
      <c r="E56" s="21">
        <v>4.81114</v>
      </c>
      <c r="F56" s="47">
        <v>8</v>
      </c>
      <c r="H56"/>
      <c r="I56" s="325">
        <f>'Tooth measurements raw data'!G86</f>
        <v>1.6274999999999999</v>
      </c>
      <c r="J56" s="150">
        <f>'Tooth measurements raw data'!K86</f>
        <v>1.0275000000000001</v>
      </c>
      <c r="K56" s="21">
        <v>1.07392</v>
      </c>
      <c r="L56" s="47">
        <v>2</v>
      </c>
      <c r="M56" s="61">
        <f t="shared" si="3"/>
        <v>0.29931034482758617</v>
      </c>
      <c r="N56" s="80"/>
      <c r="O56" s="79"/>
      <c r="Q56" s="47"/>
      <c r="R56"/>
      <c r="U56" s="80"/>
      <c r="V56" t="s">
        <v>75</v>
      </c>
      <c r="W56" s="82"/>
      <c r="Y56" s="87"/>
      <c r="Z56" s="61"/>
      <c r="AC56" s="187"/>
      <c r="AE56" s="47"/>
      <c r="AF56" s="61"/>
      <c r="AG56" s="59"/>
      <c r="AI56" s="85"/>
      <c r="AK56" s="47"/>
      <c r="AS56" s="80"/>
      <c r="AY56" s="80"/>
      <c r="AZ56" s="58" t="s">
        <v>39</v>
      </c>
      <c r="BA56" s="60">
        <f>(BA36+BA37+BA38+BA39+BA40+BA41+BA42+BA43+BA44+BA45+BA46+BA47+BA48+BA49+BA50+BA51+BA52+BA53+BA54+BA55)/20</f>
        <v>0.22659514172124257</v>
      </c>
      <c r="BE56" s="80"/>
    </row>
    <row r="57" spans="2:57" x14ac:dyDescent="0.25">
      <c r="B57" s="318" t="s">
        <v>39</v>
      </c>
      <c r="C57" s="375">
        <f>AVERAGE(C6:C56)</f>
        <v>7.7384999999999993</v>
      </c>
      <c r="D57" s="375">
        <f>AVERAGE(D6:D56)</f>
        <v>2.5319024390243907</v>
      </c>
      <c r="E57" s="318">
        <f>AVERAGE(E6:E56)</f>
        <v>11.219442500000003</v>
      </c>
      <c r="H57"/>
      <c r="I57" s="376">
        <f>AVERAGE(I6:I56)</f>
        <v>1.9950000000000003</v>
      </c>
      <c r="J57" s="376">
        <f>AVERAGE(J6:J56)</f>
        <v>0.88677352881562066</v>
      </c>
      <c r="K57" s="376">
        <f>AVERAGE(K6:K56)</f>
        <v>1.0058846774999999</v>
      </c>
      <c r="L57" s="58" t="s">
        <v>39</v>
      </c>
      <c r="M57" s="60">
        <f>(M37+M38+M39+M40+M41+M42+M43+M44+M45+M46+M47+M48+M49+M50+M51+M52+M53+M54+M55+M56)/20</f>
        <v>0.24235337230841311</v>
      </c>
      <c r="N57" s="80"/>
      <c r="Q57" s="80"/>
      <c r="R57"/>
      <c r="U57" s="80"/>
      <c r="X57" s="319">
        <f>AVERAGE(X37:X52)</f>
        <v>6.8299999999999992</v>
      </c>
      <c r="Y57" s="80"/>
      <c r="AD57" s="319">
        <f>AVERAGE(AD37:AD52)</f>
        <v>2.5008333333333335</v>
      </c>
      <c r="AE57" s="80"/>
      <c r="AF57" s="58" t="s">
        <v>39</v>
      </c>
      <c r="AG57" s="60">
        <f>(AG38+AG40+AG41+AG42+AG43+AG44+AG45+AG46+AG48+AG49+AG51+AG52)/12</f>
        <v>0.23060320372263457</v>
      </c>
      <c r="AK57" s="80"/>
      <c r="AM57" s="60">
        <f>(AM40+AM45)/2</f>
        <v>0.10146388165327319</v>
      </c>
      <c r="AP57" s="318" t="s">
        <v>39</v>
      </c>
      <c r="AQ57" s="374">
        <f>AVERAGE(AQ6:AQ55)</f>
        <v>3.8786536585365852</v>
      </c>
      <c r="AR57" s="319">
        <f>AVERAGE(AR6:AR55)</f>
        <v>1.7876780487804884</v>
      </c>
      <c r="AS57" s="318">
        <f>AVERAGE(AS6:AS55)</f>
        <v>1.3706650182195124</v>
      </c>
    </row>
    <row r="58" spans="2:57" x14ac:dyDescent="0.25">
      <c r="B58" t="s">
        <v>271</v>
      </c>
      <c r="C58">
        <v>7.8410000000000011</v>
      </c>
      <c r="D58">
        <v>2.6004999999999994</v>
      </c>
      <c r="E58">
        <v>11.219442500000003</v>
      </c>
      <c r="G58" s="375">
        <v>2.3259999999999996</v>
      </c>
      <c r="H58"/>
      <c r="J58" s="319">
        <v>0.75697368421052647</v>
      </c>
      <c r="K58" s="80"/>
      <c r="L58"/>
      <c r="N58" s="80"/>
      <c r="Q58" s="80"/>
      <c r="R58"/>
      <c r="U58" s="80"/>
      <c r="V58" s="318" t="s">
        <v>39</v>
      </c>
      <c r="W58" s="319">
        <f>AVERAGE(W6:W52)</f>
        <v>31.209687500000001</v>
      </c>
      <c r="X58" s="319">
        <f>AVERAGE(X6:X52)</f>
        <v>7.0516666666666676</v>
      </c>
      <c r="Y58" s="318">
        <f>AVERAGE(Y6:Y52)</f>
        <v>829.51607417095602</v>
      </c>
      <c r="AD58">
        <f>X57/AD57</f>
        <v>2.7310896367877371</v>
      </c>
      <c r="AP58" t="s">
        <v>271</v>
      </c>
      <c r="AQ58" s="286">
        <v>3.9058536585365848</v>
      </c>
      <c r="AR58" s="286">
        <v>1.8148780487804876</v>
      </c>
      <c r="AS58">
        <v>1.3686685565853665</v>
      </c>
    </row>
    <row r="59" spans="2:57" x14ac:dyDescent="0.25">
      <c r="E59" s="80"/>
      <c r="H59"/>
      <c r="I59" s="80"/>
      <c r="J59">
        <v>3.0727620371979825</v>
      </c>
      <c r="L59"/>
      <c r="N59" s="80"/>
      <c r="Q59" s="80"/>
      <c r="R59"/>
      <c r="U59" s="80"/>
      <c r="V59" t="s">
        <v>271</v>
      </c>
      <c r="W59">
        <v>31.070937499999999</v>
      </c>
      <c r="X59">
        <v>6.9656249999999993</v>
      </c>
      <c r="Y59">
        <v>821.68830544374998</v>
      </c>
    </row>
    <row r="60" spans="2:57" x14ac:dyDescent="0.25">
      <c r="E60" s="80"/>
      <c r="H60"/>
      <c r="I60" s="80"/>
      <c r="L60"/>
      <c r="N60" s="80"/>
      <c r="Q60" s="80"/>
      <c r="R60"/>
      <c r="U60" s="80"/>
    </row>
    <row r="61" spans="2:57" x14ac:dyDescent="0.25">
      <c r="E61" s="80"/>
      <c r="H61"/>
      <c r="I61" s="80"/>
      <c r="L61"/>
      <c r="N61" s="80"/>
      <c r="R61"/>
      <c r="U61" s="80"/>
    </row>
    <row r="62" spans="2:57" x14ac:dyDescent="0.25">
      <c r="E62" s="80"/>
      <c r="H62"/>
      <c r="I62" s="80"/>
      <c r="L62"/>
      <c r="N62" s="80"/>
      <c r="R62"/>
      <c r="U62" s="80"/>
    </row>
    <row r="63" spans="2:57" x14ac:dyDescent="0.25">
      <c r="E63" s="80"/>
      <c r="H63"/>
      <c r="I63" s="80"/>
      <c r="L63"/>
      <c r="N63" s="80"/>
      <c r="R63"/>
      <c r="U63" s="80"/>
    </row>
    <row r="64" spans="2:57" x14ac:dyDescent="0.25">
      <c r="E64" s="80"/>
      <c r="H64"/>
      <c r="I64" s="80"/>
      <c r="L64"/>
      <c r="N64" s="80"/>
      <c r="R64"/>
      <c r="U64" s="80"/>
    </row>
    <row r="65" spans="2:82" x14ac:dyDescent="0.25">
      <c r="E65" s="80"/>
      <c r="H65"/>
      <c r="I65" s="80"/>
      <c r="L65"/>
      <c r="N65" s="80"/>
      <c r="R65"/>
      <c r="U65" s="80"/>
    </row>
    <row r="66" spans="2:82" x14ac:dyDescent="0.25">
      <c r="E66" s="80"/>
      <c r="H66"/>
      <c r="I66" s="80"/>
      <c r="L66"/>
      <c r="N66" s="80"/>
      <c r="R66"/>
      <c r="U66" s="80"/>
    </row>
    <row r="67" spans="2:82" x14ac:dyDescent="0.25">
      <c r="E67" s="80"/>
      <c r="H67"/>
      <c r="I67" s="80"/>
      <c r="L67"/>
      <c r="N67" s="80"/>
      <c r="R67"/>
      <c r="U67" s="80"/>
    </row>
    <row r="68" spans="2:82" x14ac:dyDescent="0.25">
      <c r="E68" s="80"/>
      <c r="H68"/>
      <c r="I68" s="80"/>
      <c r="L68"/>
      <c r="N68" s="80"/>
      <c r="R68"/>
      <c r="U68" s="80"/>
    </row>
    <row r="69" spans="2:82" x14ac:dyDescent="0.25">
      <c r="E69" s="80"/>
      <c r="H69"/>
      <c r="I69" s="204" t="s">
        <v>822</v>
      </c>
      <c r="L69"/>
      <c r="N69" s="80"/>
      <c r="R69"/>
      <c r="U69" s="80"/>
      <c r="AN69" s="204" t="s">
        <v>822</v>
      </c>
    </row>
    <row r="70" spans="2:82" x14ac:dyDescent="0.25">
      <c r="E70" s="80"/>
      <c r="H70"/>
      <c r="I70" s="204"/>
      <c r="L70"/>
      <c r="N70" s="80"/>
      <c r="R70"/>
      <c r="U70" s="80"/>
      <c r="AN70" s="204"/>
    </row>
    <row r="71" spans="2:82" x14ac:dyDescent="0.25">
      <c r="E71" s="80"/>
      <c r="H71"/>
      <c r="I71" s="204"/>
      <c r="L71"/>
      <c r="N71" s="80"/>
      <c r="R71"/>
      <c r="U71" s="80"/>
      <c r="AN71" s="204"/>
    </row>
    <row r="72" spans="2:82" x14ac:dyDescent="0.25">
      <c r="E72" s="80"/>
      <c r="H72"/>
      <c r="I72" s="204"/>
      <c r="L72"/>
      <c r="N72" s="80"/>
      <c r="R72"/>
      <c r="U72" s="80"/>
      <c r="AN72" s="204"/>
      <c r="BR72" s="204" t="s">
        <v>822</v>
      </c>
    </row>
    <row r="73" spans="2:82" x14ac:dyDescent="0.25">
      <c r="E73" s="80"/>
      <c r="H73"/>
      <c r="I73" s="204"/>
      <c r="L73"/>
      <c r="N73" s="80"/>
      <c r="R73"/>
      <c r="U73" s="80"/>
      <c r="AN73" s="204"/>
      <c r="BR73" s="204"/>
    </row>
    <row r="74" spans="2:82" x14ac:dyDescent="0.25">
      <c r="E74" s="80"/>
      <c r="H74"/>
      <c r="I74" s="204"/>
      <c r="L74"/>
      <c r="N74" s="80"/>
      <c r="Q74" s="100" t="s">
        <v>825</v>
      </c>
      <c r="R74"/>
      <c r="U74" s="80"/>
      <c r="AN74" s="204"/>
      <c r="BR74" s="204"/>
    </row>
    <row r="75" spans="2:82" x14ac:dyDescent="0.25">
      <c r="E75" s="80" t="s">
        <v>818</v>
      </c>
      <c r="H75"/>
      <c r="I75" s="204"/>
      <c r="K75" t="s">
        <v>819</v>
      </c>
      <c r="L75"/>
      <c r="N75" s="80"/>
      <c r="R75"/>
      <c r="U75" s="80"/>
      <c r="AG75" t="s">
        <v>78</v>
      </c>
      <c r="AI75" s="80"/>
      <c r="AJ75" s="80"/>
      <c r="AN75" s="204"/>
      <c r="AS75" s="80"/>
      <c r="AZ75" s="80"/>
      <c r="BR75" s="204"/>
      <c r="CD75" s="80"/>
    </row>
    <row r="76" spans="2:82" x14ac:dyDescent="0.25">
      <c r="B76" s="105"/>
      <c r="C76" s="105"/>
      <c r="D76" s="104"/>
      <c r="E76" s="105" t="s">
        <v>274</v>
      </c>
      <c r="F76" t="s">
        <v>820</v>
      </c>
      <c r="G76" s="61" t="s">
        <v>824</v>
      </c>
      <c r="H76" s="104" t="s">
        <v>821</v>
      </c>
      <c r="I76" s="61" t="s">
        <v>111</v>
      </c>
      <c r="J76" s="61" t="s">
        <v>823</v>
      </c>
      <c r="K76" t="s">
        <v>274</v>
      </c>
      <c r="L76" t="s">
        <v>820</v>
      </c>
      <c r="M76" s="104" t="s">
        <v>824</v>
      </c>
      <c r="N76" s="104" t="s">
        <v>269</v>
      </c>
      <c r="O76" s="105" t="s">
        <v>202</v>
      </c>
      <c r="P76" s="105" t="s">
        <v>209</v>
      </c>
      <c r="Q76" s="105" t="s">
        <v>210</v>
      </c>
      <c r="R76" s="61" t="s">
        <v>318</v>
      </c>
      <c r="S76" s="61" t="s">
        <v>319</v>
      </c>
      <c r="U76" s="80"/>
      <c r="AG76" s="105"/>
      <c r="AH76" s="105"/>
      <c r="AI76" s="104"/>
      <c r="AJ76" s="105" t="s">
        <v>274</v>
      </c>
      <c r="AK76" t="s">
        <v>820</v>
      </c>
      <c r="AL76" s="61" t="s">
        <v>824</v>
      </c>
      <c r="AM76" s="104" t="s">
        <v>821</v>
      </c>
      <c r="AN76" s="61" t="s">
        <v>111</v>
      </c>
      <c r="AO76" s="61" t="s">
        <v>826</v>
      </c>
      <c r="AP76" t="s">
        <v>274</v>
      </c>
      <c r="AQ76" t="s">
        <v>820</v>
      </c>
      <c r="AR76" s="104" t="s">
        <v>824</v>
      </c>
      <c r="AS76" s="104" t="s">
        <v>95</v>
      </c>
      <c r="AT76" s="43" t="s">
        <v>202</v>
      </c>
      <c r="AU76" s="105" t="s">
        <v>209</v>
      </c>
      <c r="AV76" s="105" t="s">
        <v>210</v>
      </c>
      <c r="AW76" s="61" t="s">
        <v>318</v>
      </c>
      <c r="AX76" s="61" t="s">
        <v>319</v>
      </c>
      <c r="BR76" s="204"/>
      <c r="CD76" s="80"/>
    </row>
    <row r="77" spans="2:82" x14ac:dyDescent="0.25">
      <c r="B77" t="s">
        <v>43</v>
      </c>
      <c r="C77" s="43" t="s">
        <v>15</v>
      </c>
      <c r="E77" s="339">
        <f>C6</f>
        <v>5.7075000000000005</v>
      </c>
      <c r="F77" s="151">
        <v>30.558333333333337</v>
      </c>
      <c r="G77" s="362">
        <f>D6</f>
        <v>2.4474999999999998</v>
      </c>
      <c r="H77" s="152">
        <f t="shared" ref="H77:H94" si="5">M77/O77</f>
        <v>97.899999999999991</v>
      </c>
      <c r="I77" s="151">
        <f>E6/H77</f>
        <v>2.330674157303371E-2</v>
      </c>
      <c r="J77" s="154">
        <f>E6/C116</f>
        <v>1.3517910112359552E-2</v>
      </c>
      <c r="K77" s="339">
        <f>E77</f>
        <v>5.7075000000000005</v>
      </c>
      <c r="L77" s="55">
        <v>30.558333333333337</v>
      </c>
      <c r="M77" s="153">
        <f>G77</f>
        <v>2.4474999999999998</v>
      </c>
      <c r="N77">
        <v>105.41666666666666</v>
      </c>
      <c r="O77" s="255">
        <v>2.5000000000000001E-2</v>
      </c>
      <c r="P77">
        <v>1.4E-2</v>
      </c>
      <c r="Q77">
        <v>3.9E-2</v>
      </c>
      <c r="R77">
        <v>5.4999999999999997E-3</v>
      </c>
      <c r="S77">
        <v>11.654761904761898</v>
      </c>
      <c r="T77" t="s">
        <v>43</v>
      </c>
      <c r="U77" s="43" t="s">
        <v>15</v>
      </c>
      <c r="AG77" t="s">
        <v>43</v>
      </c>
      <c r="AH77" s="43" t="s">
        <v>15</v>
      </c>
      <c r="AI77" s="80"/>
      <c r="AJ77" s="85">
        <f>W6</f>
        <v>27.254999999999999</v>
      </c>
      <c r="AK77" s="151">
        <v>76.564982239542118</v>
      </c>
      <c r="AL77" s="224">
        <f>X6</f>
        <v>5.6550000000000002</v>
      </c>
      <c r="AM77" s="152">
        <f t="shared" ref="AM77:AM93" si="6">AL77/AT77</f>
        <v>408.79518072289153</v>
      </c>
      <c r="AN77" s="243">
        <f>Y6/AM77</f>
        <v>0.70974294943236071</v>
      </c>
      <c r="AO77" s="243">
        <f>Y6/AQ77</f>
        <v>0.92712175441876277</v>
      </c>
      <c r="AP77" s="85">
        <f t="shared" ref="AP77:AP93" si="7">AJ77</f>
        <v>27.254999999999999</v>
      </c>
      <c r="AQ77" s="55">
        <f>X6/0.018070182</f>
        <v>312.94648830875087</v>
      </c>
      <c r="AR77" s="100">
        <f t="shared" ref="AR77:AR93" si="8">AL77</f>
        <v>5.6550000000000002</v>
      </c>
      <c r="AS77" s="152">
        <v>421.4457831325301</v>
      </c>
      <c r="AT77" s="272">
        <v>1.3833333333333335E-2</v>
      </c>
      <c r="AU77">
        <v>6.0000000000000001E-3</v>
      </c>
      <c r="AV77">
        <v>2.8000000000000001E-2</v>
      </c>
      <c r="AW77" s="226">
        <f>(0.004+0.004+0.004+0.0025+0.004+0.004)/6</f>
        <v>3.7500000000000003E-3</v>
      </c>
      <c r="AX77">
        <v>141.93773809523807</v>
      </c>
      <c r="AY77" t="s">
        <v>43</v>
      </c>
      <c r="AZ77" s="43" t="s">
        <v>15</v>
      </c>
      <c r="BR77" s="204"/>
      <c r="CD77" s="80"/>
    </row>
    <row r="78" spans="2:82" x14ac:dyDescent="0.25">
      <c r="C78" t="s">
        <v>17</v>
      </c>
      <c r="E78" s="339">
        <f>C8</f>
        <v>9.0274999999999999</v>
      </c>
      <c r="F78" s="65">
        <v>33.821989530000003</v>
      </c>
      <c r="G78" s="354">
        <f>D8</f>
        <v>2.9474999999999998</v>
      </c>
      <c r="H78" s="152">
        <f t="shared" si="5"/>
        <v>189.54983922829581</v>
      </c>
      <c r="I78" s="65">
        <f>E8/H78</f>
        <v>6.4411027989821887E-2</v>
      </c>
      <c r="J78" s="65">
        <f>E8/E116</f>
        <v>6.0061730279898223E-2</v>
      </c>
      <c r="K78" s="339">
        <f>E78</f>
        <v>9.0274999999999999</v>
      </c>
      <c r="L78">
        <v>33.821989530000003</v>
      </c>
      <c r="M78" s="153">
        <f>G78</f>
        <v>2.9474999999999998</v>
      </c>
      <c r="N78">
        <v>158.63874345549738</v>
      </c>
      <c r="O78" s="256">
        <v>1.555E-2</v>
      </c>
      <c r="P78">
        <v>8.0000000000000002E-3</v>
      </c>
      <c r="Q78">
        <v>3.9E-2</v>
      </c>
      <c r="R78">
        <v>5.1999999999999998E-3</v>
      </c>
      <c r="S78">
        <v>34.013249278769109</v>
      </c>
      <c r="U78" t="s">
        <v>17</v>
      </c>
      <c r="AH78" t="s">
        <v>17</v>
      </c>
      <c r="AI78" s="80"/>
      <c r="AJ78" s="203">
        <f>W8</f>
        <v>39.015000000000001</v>
      </c>
      <c r="AK78" s="65">
        <v>59.55151515</v>
      </c>
      <c r="AL78" s="47">
        <f>X8</f>
        <v>11.455</v>
      </c>
      <c r="AM78" s="152">
        <f t="shared" si="6"/>
        <v>1041.3636363636363</v>
      </c>
      <c r="AN78" s="219">
        <f>Y8/AM78</f>
        <v>0.97280198243186389</v>
      </c>
      <c r="AO78" s="219">
        <f>Y8/AQ78</f>
        <v>1.598064442954962</v>
      </c>
      <c r="AP78" s="203">
        <f t="shared" si="7"/>
        <v>39.015000000000001</v>
      </c>
      <c r="AQ78">
        <f>X8/0.018070182</f>
        <v>633.91724554849532</v>
      </c>
      <c r="AR78" s="80">
        <f t="shared" si="8"/>
        <v>11.455</v>
      </c>
      <c r="AS78" s="152">
        <v>1057.2727272727273</v>
      </c>
      <c r="AT78" s="270">
        <v>1.1000000000000001E-2</v>
      </c>
      <c r="AU78" s="105">
        <v>6.0000000000000001E-3</v>
      </c>
      <c r="AV78" s="105">
        <v>2.3E-2</v>
      </c>
      <c r="AW78" s="226">
        <f>(0.004+0.002+0.003)/3</f>
        <v>3.0000000000000005E-3</v>
      </c>
      <c r="AX78">
        <v>399.87812650312645</v>
      </c>
      <c r="AZ78" t="s">
        <v>17</v>
      </c>
      <c r="BK78" t="s">
        <v>79</v>
      </c>
      <c r="BM78" s="80"/>
      <c r="BN78" s="80"/>
      <c r="BR78" s="204"/>
      <c r="BW78" s="80"/>
      <c r="CD78" s="80"/>
    </row>
    <row r="79" spans="2:82" x14ac:dyDescent="0.25">
      <c r="B79" s="105"/>
      <c r="C79" s="101" t="s">
        <v>88</v>
      </c>
      <c r="D79" s="104"/>
      <c r="E79" s="106"/>
      <c r="F79" s="155"/>
      <c r="G79" s="355"/>
      <c r="H79" s="152">
        <f t="shared" si="5"/>
        <v>42.260692464358449</v>
      </c>
      <c r="I79" s="65">
        <f>K8/H79</f>
        <v>3.7931228915662654E-2</v>
      </c>
      <c r="J79" s="65">
        <f>K8/E117</f>
        <v>2.2403373493975903E-2</v>
      </c>
      <c r="K79" s="345">
        <f>I8</f>
        <v>3.0175000000000001</v>
      </c>
      <c r="L79" s="103">
        <v>43.107385890000003</v>
      </c>
      <c r="M79" s="119">
        <f>J8</f>
        <v>1.0375000000000001</v>
      </c>
      <c r="N79" s="105">
        <v>45.636514522821585</v>
      </c>
      <c r="O79" s="257">
        <v>2.4550000000000002E-2</v>
      </c>
      <c r="P79" s="105">
        <v>1.4E-2</v>
      </c>
      <c r="Q79" s="105">
        <v>3.5000000000000003E-2</v>
      </c>
      <c r="R79" s="61">
        <v>5.1000000000000004E-3</v>
      </c>
      <c r="S79">
        <v>7.2178186399893889</v>
      </c>
      <c r="T79" s="105"/>
      <c r="U79" s="101" t="s">
        <v>88</v>
      </c>
      <c r="AG79" s="55" t="s">
        <v>44</v>
      </c>
      <c r="AH79" s="55" t="s">
        <v>21</v>
      </c>
      <c r="AI79" s="46"/>
      <c r="AJ79" s="186">
        <f>W22</f>
        <v>31.684999999999999</v>
      </c>
      <c r="AK79" s="151">
        <v>34.361655773333332</v>
      </c>
      <c r="AL79" s="201">
        <f>X22</f>
        <v>8.8249999999999993</v>
      </c>
      <c r="AM79" s="205">
        <f t="shared" si="6"/>
        <v>756.42857142857133</v>
      </c>
      <c r="AN79" s="243">
        <f>Y22/AM79</f>
        <v>0.98971877899339011</v>
      </c>
      <c r="AO79" s="243">
        <f>Y22/AQ79</f>
        <v>1.5329484398767146</v>
      </c>
      <c r="AP79" s="85">
        <f t="shared" si="7"/>
        <v>31.684999999999999</v>
      </c>
      <c r="AQ79" s="46">
        <f>X22/0.018070182</f>
        <v>488.37360907599043</v>
      </c>
      <c r="AR79" s="46">
        <f t="shared" si="8"/>
        <v>8.8249999999999993</v>
      </c>
      <c r="AS79" s="205">
        <v>771.42857142857144</v>
      </c>
      <c r="AT79" s="269">
        <v>1.1666666666666667E-2</v>
      </c>
      <c r="AU79">
        <v>5.0000000000000001E-3</v>
      </c>
      <c r="AV79">
        <v>2.5999999999999999E-2</v>
      </c>
      <c r="AW79" s="226">
        <f>(0.003+0.002+0.003)/3</f>
        <v>2.6666666666666666E-3</v>
      </c>
      <c r="AX79">
        <v>293.89200124494249</v>
      </c>
      <c r="AY79" s="55" t="s">
        <v>44</v>
      </c>
      <c r="AZ79" s="55" t="s">
        <v>21</v>
      </c>
      <c r="BK79" s="105"/>
      <c r="BL79" s="105"/>
      <c r="BM79" s="104"/>
      <c r="BN79" s="105" t="s">
        <v>274</v>
      </c>
      <c r="BO79" t="s">
        <v>820</v>
      </c>
      <c r="BP79" s="104" t="s">
        <v>824</v>
      </c>
      <c r="BQ79" s="104" t="s">
        <v>821</v>
      </c>
      <c r="BR79" s="61" t="s">
        <v>111</v>
      </c>
      <c r="BS79" s="61" t="s">
        <v>826</v>
      </c>
      <c r="BT79" t="s">
        <v>274</v>
      </c>
      <c r="BU79" t="s">
        <v>820</v>
      </c>
      <c r="BV79" s="104" t="s">
        <v>824</v>
      </c>
      <c r="BW79" s="104" t="s">
        <v>95</v>
      </c>
      <c r="BX79" s="43" t="s">
        <v>202</v>
      </c>
      <c r="BY79" s="105" t="s">
        <v>209</v>
      </c>
      <c r="BZ79" s="105" t="s">
        <v>210</v>
      </c>
      <c r="CA79" s="61" t="s">
        <v>318</v>
      </c>
      <c r="CB79" s="61" t="s">
        <v>319</v>
      </c>
      <c r="CD79" s="80"/>
    </row>
    <row r="80" spans="2:82" x14ac:dyDescent="0.25">
      <c r="B80" t="s">
        <v>44</v>
      </c>
      <c r="C80" t="s">
        <v>21</v>
      </c>
      <c r="E80" s="340">
        <f>C22</f>
        <v>9.6375000000000011</v>
      </c>
      <c r="F80" s="65">
        <v>24.086956520000001</v>
      </c>
      <c r="G80" s="363">
        <f>D22</f>
        <v>3.3174999999999999</v>
      </c>
      <c r="H80" s="205">
        <f t="shared" si="5"/>
        <v>288.47826086956519</v>
      </c>
      <c r="I80" s="151">
        <f>E22/H80</f>
        <v>5.7188018085908066E-2</v>
      </c>
      <c r="J80" s="151">
        <f>E22/M116</f>
        <v>7.2106631499623208E-2</v>
      </c>
      <c r="K80" s="340">
        <f>E80</f>
        <v>9.6375000000000011</v>
      </c>
      <c r="L80">
        <v>24.086956520000001</v>
      </c>
      <c r="M80" s="130">
        <f>D22</f>
        <v>3.3174999999999999</v>
      </c>
      <c r="N80">
        <v>295.6521739130435</v>
      </c>
      <c r="O80" s="265">
        <v>1.15E-2</v>
      </c>
      <c r="P80">
        <v>6.0000000000000001E-3</v>
      </c>
      <c r="Q80">
        <v>2.5999999999999999E-2</v>
      </c>
      <c r="R80" s="226">
        <v>4.5734740000000001E-3</v>
      </c>
      <c r="S80">
        <v>82.082306889734838</v>
      </c>
      <c r="T80" t="s">
        <v>44</v>
      </c>
      <c r="U80" t="s">
        <v>21</v>
      </c>
      <c r="AH80" t="s">
        <v>89</v>
      </c>
      <c r="AJ80" s="187">
        <f>AC22</f>
        <v>7.4649999999999999</v>
      </c>
      <c r="AK80" s="66">
        <v>22.1</v>
      </c>
      <c r="AL80" s="47">
        <f>AD22</f>
        <v>2.0550000000000002</v>
      </c>
      <c r="AM80" s="152">
        <f t="shared" si="6"/>
        <v>205.5</v>
      </c>
      <c r="AN80" s="244">
        <f>AE22/AM80</f>
        <v>0.2651447104622871</v>
      </c>
      <c r="AO80" s="244">
        <f>AE22/AQ80</f>
        <v>0.47912131743908326</v>
      </c>
      <c r="AP80" s="85">
        <f t="shared" si="7"/>
        <v>7.4649999999999999</v>
      </c>
      <c r="AQ80">
        <f>AD22/0.018070182</f>
        <v>113.72325967718533</v>
      </c>
      <c r="AR80" s="80">
        <f t="shared" si="8"/>
        <v>2.0550000000000002</v>
      </c>
      <c r="AS80" s="228">
        <v>223</v>
      </c>
      <c r="AT80" s="261">
        <v>0.01</v>
      </c>
      <c r="AU80">
        <v>6.0000000000000001E-3</v>
      </c>
      <c r="AV80">
        <v>1.4E-2</v>
      </c>
      <c r="AW80" s="226">
        <f>(0.002)</f>
        <v>2E-3</v>
      </c>
      <c r="AX80">
        <v>51.375</v>
      </c>
      <c r="AZ80" t="s">
        <v>89</v>
      </c>
      <c r="BK80" t="s">
        <v>43</v>
      </c>
      <c r="BL80" t="s">
        <v>17</v>
      </c>
      <c r="BM80" s="80"/>
      <c r="BN80" s="369">
        <f>AQ8</f>
        <v>4.9228000000000005</v>
      </c>
      <c r="BO80" s="151">
        <v>27.207616890000001</v>
      </c>
      <c r="BP80" s="371">
        <f>AR8</f>
        <v>1.7928000000000002</v>
      </c>
      <c r="BQ80" s="152">
        <f>AR8/AV8</f>
        <v>107.56800000000001</v>
      </c>
      <c r="BR80" s="206">
        <f>AS8/BQ80</f>
        <v>1.3929488788487281E-2</v>
      </c>
      <c r="BS80" s="209">
        <f>AS8/BU80</f>
        <v>1.1383606837606818E-2</v>
      </c>
      <c r="BT80" s="369">
        <f t="shared" ref="BT80:BT92" si="9">BN80</f>
        <v>4.9228000000000005</v>
      </c>
      <c r="BU80" s="151">
        <f>AR8/BO111</f>
        <v>131.62500000000023</v>
      </c>
      <c r="BV80" s="210">
        <v>1.82</v>
      </c>
      <c r="BW80" s="152">
        <f t="shared" ref="BW80:BW92" si="10">BV80/BX80</f>
        <v>109.2</v>
      </c>
      <c r="BX80" s="249">
        <v>1.6666666666666666E-2</v>
      </c>
      <c r="BY80" s="221">
        <v>7.0000000000000001E-3</v>
      </c>
      <c r="BZ80" s="221">
        <v>3.1E-2</v>
      </c>
      <c r="CA80" s="226">
        <f>(0.004+0.004+0.003)/3</f>
        <v>3.6666666666666666E-3</v>
      </c>
      <c r="CB80">
        <v>19.72724358666667</v>
      </c>
      <c r="CD80" s="80"/>
    </row>
    <row r="81" spans="2:85" x14ac:dyDescent="0.25">
      <c r="C81" t="s">
        <v>89</v>
      </c>
      <c r="E81" s="85"/>
      <c r="F81" s="156"/>
      <c r="G81" s="355"/>
      <c r="H81" s="152">
        <f t="shared" si="5"/>
        <v>36.689189189189186</v>
      </c>
      <c r="I81" s="65">
        <f>K22/H81</f>
        <v>5.8359697974217313E-2</v>
      </c>
      <c r="J81" s="65">
        <f>K22/M117</f>
        <v>2.2870692449355433E-2</v>
      </c>
      <c r="K81" s="324">
        <f>I22</f>
        <v>3.1274999999999999</v>
      </c>
      <c r="L81" s="100">
        <v>13.595000000000001</v>
      </c>
      <c r="M81" s="150">
        <f>J22</f>
        <v>1.3574999999999999</v>
      </c>
      <c r="N81">
        <v>36.689</v>
      </c>
      <c r="O81" s="257">
        <v>3.6999999999999998E-2</v>
      </c>
      <c r="P81">
        <v>2.1000000000000001E-2</v>
      </c>
      <c r="Q81">
        <v>5.8000000000000003E-2</v>
      </c>
      <c r="R81" s="404">
        <v>1.0999999999999999E-2</v>
      </c>
      <c r="S81">
        <v>15.522349272349274</v>
      </c>
      <c r="U81" t="s">
        <v>89</v>
      </c>
      <c r="AH81" s="45" t="s">
        <v>22</v>
      </c>
      <c r="AI81" s="80"/>
      <c r="AJ81" s="187">
        <f>W23</f>
        <v>28.484999999999999</v>
      </c>
      <c r="AK81" s="65">
        <v>56.904818484444441</v>
      </c>
      <c r="AL81" s="47">
        <f>X23</f>
        <v>6.2250000000000005</v>
      </c>
      <c r="AM81" s="152">
        <f t="shared" si="6"/>
        <v>346.90402476780184</v>
      </c>
      <c r="AN81" s="219">
        <f>Y23/AM81</f>
        <v>1.4918029859883981</v>
      </c>
      <c r="AO81" s="219">
        <f>Y23/AQ81</f>
        <v>1.5022561187899952</v>
      </c>
      <c r="AP81" s="85">
        <f t="shared" si="7"/>
        <v>28.484999999999999</v>
      </c>
      <c r="AQ81" s="80">
        <f>X23/0.018070182</f>
        <v>344.49016617541542</v>
      </c>
      <c r="AR81" s="80">
        <f t="shared" si="8"/>
        <v>6.2250000000000005</v>
      </c>
      <c r="AS81" s="152">
        <v>356.65634674922597</v>
      </c>
      <c r="AT81" s="267">
        <v>1.7944444444444447E-2</v>
      </c>
      <c r="AU81">
        <v>7.0000000000000001E-3</v>
      </c>
      <c r="AV81">
        <v>0.05</v>
      </c>
      <c r="AW81" s="226">
        <f>(0.005+0.002667+0.004+0.0035+0.005+0.005+0.006+0.01+0.004)/9</f>
        <v>5.0185555555555556E-3</v>
      </c>
      <c r="AX81">
        <v>169.56365472377595</v>
      </c>
      <c r="AZ81" s="45" t="s">
        <v>22</v>
      </c>
      <c r="BK81" s="55" t="s">
        <v>44</v>
      </c>
      <c r="BL81" s="55" t="s">
        <v>21</v>
      </c>
      <c r="BM81" s="46"/>
      <c r="BN81" s="369">
        <f>AQ21</f>
        <v>4.0428000000000006</v>
      </c>
      <c r="BO81" s="151">
        <v>29.401709403333331</v>
      </c>
      <c r="BP81" s="372">
        <f>AR21</f>
        <v>2.1928000000000001</v>
      </c>
      <c r="BQ81" s="205">
        <f>AR21/AV21</f>
        <v>173.11578947368423</v>
      </c>
      <c r="BR81" s="151">
        <f>AS21/BQ81</f>
        <v>8.1743273926790701E-3</v>
      </c>
      <c r="BS81" s="151">
        <f>AS21/BU81</f>
        <v>8.7898840303463881E-3</v>
      </c>
      <c r="BT81" s="369">
        <f t="shared" si="9"/>
        <v>4.0428000000000006</v>
      </c>
      <c r="BU81" s="151">
        <f>AR21/BO111</f>
        <v>160.99246987951832</v>
      </c>
      <c r="BV81" s="211">
        <v>2.2200000000000002</v>
      </c>
      <c r="BW81" s="205">
        <f t="shared" si="10"/>
        <v>175.26315789473685</v>
      </c>
      <c r="BX81" s="278">
        <v>1.2666666666666666E-2</v>
      </c>
      <c r="BY81">
        <v>6.0000000000000001E-3</v>
      </c>
      <c r="BZ81">
        <v>2.3E-2</v>
      </c>
      <c r="CA81" s="226">
        <f>(0.002+0.002+0.004)/3</f>
        <v>2.6666666666666666E-3</v>
      </c>
      <c r="CB81">
        <v>20.339251489999999</v>
      </c>
      <c r="CD81" s="80"/>
    </row>
    <row r="82" spans="2:85" x14ac:dyDescent="0.25">
      <c r="C82" s="45" t="s">
        <v>22</v>
      </c>
      <c r="E82" s="324">
        <f>C23</f>
        <v>8.2475000000000005</v>
      </c>
      <c r="F82" s="65">
        <v>39.200000000000003</v>
      </c>
      <c r="G82" s="354">
        <f>D23</f>
        <v>2.3174999999999999</v>
      </c>
      <c r="H82" s="152">
        <f t="shared" si="5"/>
        <v>231.74999999999997</v>
      </c>
      <c r="I82" s="65">
        <f>E23/H82</f>
        <v>3.9785674217907234E-2</v>
      </c>
      <c r="J82" s="65">
        <f>E23/N116</f>
        <v>5.768922761596549E-2</v>
      </c>
      <c r="K82" s="324">
        <f>E82</f>
        <v>8.2475000000000005</v>
      </c>
      <c r="L82">
        <v>39.200000000000003</v>
      </c>
      <c r="M82" s="130">
        <f>G82</f>
        <v>2.3174999999999999</v>
      </c>
      <c r="N82">
        <v>240</v>
      </c>
      <c r="O82" s="260">
        <v>0.01</v>
      </c>
      <c r="P82">
        <v>6.0000000000000001E-3</v>
      </c>
      <c r="Q82">
        <v>1.9E-2</v>
      </c>
      <c r="R82" s="226">
        <v>4.0000000000000001E-3</v>
      </c>
      <c r="S82">
        <v>66.214285714285694</v>
      </c>
      <c r="U82" s="45" t="s">
        <v>22</v>
      </c>
      <c r="AH82" s="222" t="s">
        <v>178</v>
      </c>
      <c r="AI82" s="80"/>
      <c r="AJ82" s="187">
        <f>AC23</f>
        <v>3.0050000000000003</v>
      </c>
      <c r="AK82" s="65">
        <v>29.165514472063492</v>
      </c>
      <c r="AL82" s="196">
        <f>AD23</f>
        <v>1.7849999999999999</v>
      </c>
      <c r="AM82" s="152">
        <f t="shared" si="6"/>
        <v>89.25</v>
      </c>
      <c r="AN82" s="219">
        <f>AE23/AM82</f>
        <v>5.8258262184873948E-2</v>
      </c>
      <c r="AO82" s="219">
        <f>AE23/AQ82</f>
        <v>5.2636870034219498E-2</v>
      </c>
      <c r="AP82" s="85">
        <f t="shared" si="7"/>
        <v>3.0050000000000003</v>
      </c>
      <c r="AQ82">
        <f>AD23/0.018070182</f>
        <v>98.781517529817904</v>
      </c>
      <c r="AR82" s="100">
        <f t="shared" si="8"/>
        <v>1.7849999999999999</v>
      </c>
      <c r="AS82" s="152">
        <v>98</v>
      </c>
      <c r="AT82" s="261">
        <v>0.02</v>
      </c>
      <c r="AU82" s="100">
        <v>6.0000000000000001E-3</v>
      </c>
      <c r="AV82" s="100">
        <v>4.3999999999999997E-2</v>
      </c>
      <c r="AW82">
        <f>(0.008+0.002+0.006+0.006+0.005)/5</f>
        <v>5.4000000000000003E-3</v>
      </c>
      <c r="AX82">
        <v>36.058712121212118</v>
      </c>
      <c r="AZ82" s="222" t="s">
        <v>178</v>
      </c>
      <c r="BI82" s="65"/>
      <c r="BL82" s="45" t="s">
        <v>22</v>
      </c>
      <c r="BM82" s="80"/>
      <c r="BN82" s="370">
        <f>AQ22</f>
        <v>4.0528000000000004</v>
      </c>
      <c r="BO82" s="65">
        <v>71.372364671851855</v>
      </c>
      <c r="BP82" s="371">
        <f>AR22</f>
        <v>2.0627999999999997</v>
      </c>
      <c r="BQ82" s="152">
        <f>AR22/AV22</f>
        <v>134.53043478260869</v>
      </c>
      <c r="BR82" s="65">
        <f>AS22/BQ82</f>
        <v>9.7831938336242E-3</v>
      </c>
      <c r="BS82" s="65">
        <f>AS22/BU82</f>
        <v>8.6903554588982738E-3</v>
      </c>
      <c r="BT82" s="370">
        <f t="shared" si="9"/>
        <v>4.0528000000000004</v>
      </c>
      <c r="BU82" s="152">
        <f>AR22/BO111</f>
        <v>151.4480421686749</v>
      </c>
      <c r="BV82" s="210">
        <v>2.09</v>
      </c>
      <c r="BW82" s="152">
        <f t="shared" si="10"/>
        <v>136.30434782608697</v>
      </c>
      <c r="BX82" s="271">
        <v>1.5333333333333332E-2</v>
      </c>
      <c r="BY82">
        <v>5.0000000000000001E-3</v>
      </c>
      <c r="BZ82">
        <v>3.1E-2</v>
      </c>
      <c r="CA82" s="226">
        <f>(0.003+0.003+0.003)/3</f>
        <v>3.0000000000000005E-3</v>
      </c>
      <c r="CB82">
        <v>28.224358973333327</v>
      </c>
      <c r="CD82" s="80"/>
    </row>
    <row r="83" spans="2:85" x14ac:dyDescent="0.25">
      <c r="C83" t="s">
        <v>27</v>
      </c>
      <c r="E83" s="324">
        <f>C28</f>
        <v>8.6974999999999998</v>
      </c>
      <c r="F83" s="65">
        <v>30.851851853333333</v>
      </c>
      <c r="G83" s="354">
        <f>D28</f>
        <v>3.0175000000000001</v>
      </c>
      <c r="H83" s="152">
        <f t="shared" si="5"/>
        <v>274.31818181818181</v>
      </c>
      <c r="I83" s="65">
        <f>E28/H83</f>
        <v>7.5536371168185582E-2</v>
      </c>
      <c r="J83" s="65">
        <f>E28/S116</f>
        <v>9.9570671085335544E-2</v>
      </c>
      <c r="K83" s="324">
        <f>E83</f>
        <v>8.6974999999999998</v>
      </c>
      <c r="L83">
        <v>30.851851853333333</v>
      </c>
      <c r="M83" s="130">
        <f>G83</f>
        <v>3.0175000000000001</v>
      </c>
      <c r="N83" s="80">
        <v>287.03703703703701</v>
      </c>
      <c r="O83" s="264">
        <v>1.1000000000000001E-2</v>
      </c>
      <c r="P83" s="61">
        <v>5.0000000000000001E-3</v>
      </c>
      <c r="Q83" s="61">
        <v>0.02</v>
      </c>
      <c r="R83" s="226">
        <f>(0.002+0.002+0.005)/3</f>
        <v>3.0000000000000005E-3</v>
      </c>
      <c r="S83">
        <v>56.946849446849477</v>
      </c>
      <c r="U83" t="s">
        <v>27</v>
      </c>
      <c r="AH83" t="s">
        <v>27</v>
      </c>
      <c r="AJ83" s="187">
        <f>W28</f>
        <v>31.695</v>
      </c>
      <c r="AK83" s="65">
        <v>16.638931885000002</v>
      </c>
      <c r="AL83" s="47">
        <f>X28</f>
        <v>7.7650000000000006</v>
      </c>
      <c r="AM83" s="152">
        <f t="shared" si="6"/>
        <v>228.38235294117646</v>
      </c>
      <c r="AN83" s="219">
        <f>Y28/AM83</f>
        <v>4.4099193760929811</v>
      </c>
      <c r="AO83" s="219">
        <f>Y28/AQ83</f>
        <v>2.3437660509213711</v>
      </c>
      <c r="AP83" s="85">
        <f t="shared" si="7"/>
        <v>31.695</v>
      </c>
      <c r="AQ83">
        <f>X28/0.018070182</f>
        <v>429.71343620114067</v>
      </c>
      <c r="AR83" s="80">
        <f t="shared" si="8"/>
        <v>7.7650000000000006</v>
      </c>
      <c r="AS83" s="65">
        <v>233.52941176470588</v>
      </c>
      <c r="AT83" s="268">
        <v>3.4000000000000002E-2</v>
      </c>
      <c r="AU83" s="100">
        <v>1.4999999999999999E-2</v>
      </c>
      <c r="AV83" s="100">
        <v>6.0999999999999999E-2</v>
      </c>
      <c r="AW83" s="226">
        <f>(0.036+0.012)/2</f>
        <v>2.4E-2</v>
      </c>
      <c r="AX83">
        <v>108.26306994089501</v>
      </c>
      <c r="AZ83" t="s">
        <v>27</v>
      </c>
      <c r="BL83" t="s">
        <v>27</v>
      </c>
      <c r="BM83" s="80"/>
      <c r="BN83" s="370">
        <f>AQ27</f>
        <v>4.5628000000000002</v>
      </c>
      <c r="BO83" s="65">
        <v>26.25</v>
      </c>
      <c r="BP83" s="371">
        <f>AR27</f>
        <v>1.5628000000000002</v>
      </c>
      <c r="BQ83" s="152">
        <f>AR27/AV27</f>
        <v>130.23333333333335</v>
      </c>
      <c r="BR83" s="65">
        <f>AS27/BQ83</f>
        <v>1.8109786946506268E-2</v>
      </c>
      <c r="BS83" s="65">
        <f>AS27/BU83</f>
        <v>2.0555382106803664E-2</v>
      </c>
      <c r="BT83" s="370">
        <f t="shared" si="9"/>
        <v>4.5628000000000002</v>
      </c>
      <c r="BU83" s="65">
        <f>AR27/BO111</f>
        <v>114.7387048192773</v>
      </c>
      <c r="BV83" s="210">
        <v>1.59</v>
      </c>
      <c r="BW83" s="152">
        <f t="shared" si="10"/>
        <v>132.5</v>
      </c>
      <c r="BX83" s="253">
        <v>1.2E-2</v>
      </c>
      <c r="BY83">
        <v>7.0000000000000001E-3</v>
      </c>
      <c r="BZ83">
        <v>0.02</v>
      </c>
      <c r="CA83" s="226">
        <f>(0.003)</f>
        <v>3.0000000000000001E-3</v>
      </c>
      <c r="CB83">
        <v>13.63888889</v>
      </c>
    </row>
    <row r="84" spans="2:85" x14ac:dyDescent="0.25">
      <c r="B84" s="43"/>
      <c r="C84" s="43" t="s">
        <v>29</v>
      </c>
      <c r="D84" s="61"/>
      <c r="E84" s="341">
        <f>C29</f>
        <v>7.4375</v>
      </c>
      <c r="F84" s="66">
        <v>22.156593405000002</v>
      </c>
      <c r="G84" s="356">
        <f>D29</f>
        <v>2.8174999999999999</v>
      </c>
      <c r="H84" s="152">
        <f t="shared" si="5"/>
        <v>208.7037037037037</v>
      </c>
      <c r="I84" s="65">
        <f>E29/H84</f>
        <v>6.5590594498669039E-2</v>
      </c>
      <c r="J84" s="65">
        <f>E29/T116</f>
        <v>7.0449157054126008E-2</v>
      </c>
      <c r="K84" s="322">
        <f>E84</f>
        <v>7.4375</v>
      </c>
      <c r="L84" s="43">
        <v>22.156593405000002</v>
      </c>
      <c r="M84" s="130">
        <f>G84</f>
        <v>2.8174999999999999</v>
      </c>
      <c r="N84" s="80">
        <v>215.1098901098901</v>
      </c>
      <c r="O84" s="262">
        <v>1.35E-2</v>
      </c>
      <c r="P84" s="61">
        <v>8.9999999999999993E-3</v>
      </c>
      <c r="Q84" s="61">
        <v>2.3E-2</v>
      </c>
      <c r="R84" s="226">
        <v>3.5000000000000001E-3</v>
      </c>
      <c r="S84">
        <v>42.679620726495742</v>
      </c>
      <c r="T84" s="43"/>
      <c r="U84" s="43" t="s">
        <v>29</v>
      </c>
      <c r="AG84" s="43"/>
      <c r="AH84" s="43" t="s">
        <v>29</v>
      </c>
      <c r="AI84" s="80"/>
      <c r="AJ84" s="186">
        <f>W29</f>
        <v>26.395</v>
      </c>
      <c r="AK84" s="65">
        <v>87.655666205000003</v>
      </c>
      <c r="AL84" s="87">
        <f>X29</f>
        <v>6.415</v>
      </c>
      <c r="AM84" s="152">
        <f t="shared" si="6"/>
        <v>342.13333333333333</v>
      </c>
      <c r="AN84" s="219">
        <f>Y29/AM84</f>
        <v>1.7965367010911926</v>
      </c>
      <c r="AO84" s="219">
        <f>Y29/AQ84</f>
        <v>1.7313997417811973</v>
      </c>
      <c r="AP84" s="85">
        <f t="shared" si="7"/>
        <v>26.395</v>
      </c>
      <c r="AQ84">
        <f>X29/0.018070182</f>
        <v>355.00472546430353</v>
      </c>
      <c r="AR84" s="80">
        <f t="shared" si="8"/>
        <v>6.415</v>
      </c>
      <c r="AS84" s="152">
        <v>351.4666666666667</v>
      </c>
      <c r="AT84" s="250">
        <v>1.8749999999999999E-2</v>
      </c>
      <c r="AU84" s="103">
        <v>4.0000000000000001E-3</v>
      </c>
      <c r="AV84" s="103">
        <v>6.4000000000000001E-2</v>
      </c>
      <c r="AW84" s="226">
        <f>(0.008+0.005+0.005+0.003)/4</f>
        <v>5.2500000000000003E-3</v>
      </c>
      <c r="AX84">
        <v>137.6430761267718</v>
      </c>
      <c r="AY84" s="43"/>
      <c r="AZ84" s="43" t="s">
        <v>29</v>
      </c>
      <c r="BL84" t="s">
        <v>167</v>
      </c>
      <c r="BM84" s="80"/>
      <c r="BN84" s="370">
        <f>AW27</f>
        <v>0.36280000000000001</v>
      </c>
      <c r="BO84" s="65">
        <v>27.488636364999998</v>
      </c>
      <c r="BP84" s="371">
        <f>AX27</f>
        <v>0.20280000000000001</v>
      </c>
      <c r="BQ84" s="152">
        <f>AX27/BB27</f>
        <v>17.634782608695652</v>
      </c>
      <c r="BR84" s="65">
        <f>AY28/BQ84</f>
        <v>6.3376224408284018E-3</v>
      </c>
      <c r="BS84" s="65">
        <f>AY28/BU84</f>
        <v>7.5062319745106834E-3</v>
      </c>
      <c r="BT84" s="370">
        <f t="shared" si="9"/>
        <v>0.36280000000000001</v>
      </c>
      <c r="BU84" s="65">
        <f>AX27/BO111</f>
        <v>14.889307228915687</v>
      </c>
      <c r="BV84" s="210">
        <v>0.23</v>
      </c>
      <c r="BW84" s="152">
        <f t="shared" si="10"/>
        <v>20</v>
      </c>
      <c r="BX84" s="253">
        <v>1.15E-2</v>
      </c>
      <c r="BY84">
        <v>7.0000000000000001E-3</v>
      </c>
      <c r="BZ84">
        <v>0.02</v>
      </c>
      <c r="CA84">
        <f>(0.002+0.003)/2</f>
        <v>2.5000000000000001E-3</v>
      </c>
      <c r="CB84">
        <v>10.011363637000001</v>
      </c>
    </row>
    <row r="85" spans="2:85" x14ac:dyDescent="0.25">
      <c r="B85" s="105"/>
      <c r="C85" s="105" t="s">
        <v>96</v>
      </c>
      <c r="D85" s="104"/>
      <c r="E85" s="324">
        <f>I29</f>
        <v>2.0674999999999999</v>
      </c>
      <c r="F85" s="157">
        <v>21.444871794358974</v>
      </c>
      <c r="G85" s="354">
        <f>'Tooth measurements raw data'!K41</f>
        <v>1.1074999999999999</v>
      </c>
      <c r="H85" s="152">
        <f t="shared" si="5"/>
        <v>72.228260869565219</v>
      </c>
      <c r="I85" s="65">
        <f>K29/H85</f>
        <v>2.1112927012791573E-2</v>
      </c>
      <c r="J85" s="65">
        <f>K29/T117</f>
        <v>1.9965485327313775E-2</v>
      </c>
      <c r="K85" s="346">
        <f>E85</f>
        <v>2.0674999999999999</v>
      </c>
      <c r="L85" s="109">
        <v>21.444871794358974</v>
      </c>
      <c r="M85" s="365">
        <f>G85</f>
        <v>1.1074999999999999</v>
      </c>
      <c r="N85" s="104">
        <v>78.141025641025607</v>
      </c>
      <c r="O85" s="258">
        <v>1.5333333333333332E-2</v>
      </c>
      <c r="P85" s="104">
        <v>8.0000000000000002E-3</v>
      </c>
      <c r="Q85" s="104">
        <v>2.8000000000000001E-2</v>
      </c>
      <c r="R85" s="226">
        <f>(0.005+0.004+0.002)/3</f>
        <v>3.666666666666667E-3</v>
      </c>
      <c r="S85">
        <v>14.750890313390315</v>
      </c>
      <c r="T85" s="105"/>
      <c r="U85" s="105" t="s">
        <v>96</v>
      </c>
      <c r="AG85" s="55" t="s">
        <v>45</v>
      </c>
      <c r="AH85" s="55" t="s">
        <v>16</v>
      </c>
      <c r="AI85" s="46"/>
      <c r="AJ85" s="50">
        <f>W38</f>
        <v>32.575000000000003</v>
      </c>
      <c r="AK85" s="151">
        <v>31.00595238</v>
      </c>
      <c r="AL85" s="296">
        <f>X38</f>
        <v>4.625</v>
      </c>
      <c r="AM85" s="205">
        <f t="shared" si="6"/>
        <v>210.22727272727272</v>
      </c>
      <c r="AN85" s="243">
        <f>Y38/AM85</f>
        <v>1.9874860829976218</v>
      </c>
      <c r="AO85" s="243">
        <f>Y38/AQ85</f>
        <v>1.6324652382833695</v>
      </c>
      <c r="AP85" s="85">
        <f t="shared" si="7"/>
        <v>32.575000000000003</v>
      </c>
      <c r="AQ85" s="55">
        <f>X38/0.018070182</f>
        <v>255.94650900583071</v>
      </c>
      <c r="AR85" s="46">
        <f t="shared" si="8"/>
        <v>4.625</v>
      </c>
      <c r="AS85" s="205">
        <v>218.18181818181816</v>
      </c>
      <c r="AT85" s="266">
        <v>2.2000000000000002E-2</v>
      </c>
      <c r="AU85" s="61">
        <v>1.2E-2</v>
      </c>
      <c r="AV85" s="61">
        <v>3.7999999999999999E-2</v>
      </c>
      <c r="AW85" s="226">
        <f>(0.004+0.005+0.006)/3</f>
        <v>5.0000000000000001E-3</v>
      </c>
      <c r="AX85">
        <v>61.627081388110803</v>
      </c>
      <c r="AY85" s="55" t="s">
        <v>45</v>
      </c>
      <c r="AZ85" s="55" t="s">
        <v>16</v>
      </c>
      <c r="BL85" s="43" t="s">
        <v>29</v>
      </c>
      <c r="BM85" s="61"/>
      <c r="BN85" s="344">
        <f>AQ28</f>
        <v>3.8828</v>
      </c>
      <c r="BO85" s="66">
        <v>86.03729603666666</v>
      </c>
      <c r="BP85" s="349">
        <f>AR28</f>
        <v>2.0528</v>
      </c>
      <c r="BQ85" s="152">
        <f>AR28/AV28</f>
        <v>175.95428571428573</v>
      </c>
      <c r="BR85" s="65">
        <f>AS28/BQ85</f>
        <v>9.5362402409716798E-3</v>
      </c>
      <c r="BS85" s="65">
        <f>AS28/BU85</f>
        <v>1.1133298496712416E-2</v>
      </c>
      <c r="BT85" s="344">
        <f t="shared" si="9"/>
        <v>3.8828</v>
      </c>
      <c r="BU85" s="66">
        <f>AR28/BO111</f>
        <v>150.71385542168699</v>
      </c>
      <c r="BV85" s="212">
        <v>2.08</v>
      </c>
      <c r="BW85" s="152">
        <f t="shared" si="10"/>
        <v>178.28571428571431</v>
      </c>
      <c r="BX85" s="251">
        <v>1.1666666666666665E-2</v>
      </c>
      <c r="BY85" s="105">
        <v>5.0000000000000001E-3</v>
      </c>
      <c r="BZ85" s="105">
        <v>2.7E-2</v>
      </c>
      <c r="CA85" s="226">
        <f>(0.003+0.002+0.004)/3</f>
        <v>3.0000000000000005E-3</v>
      </c>
      <c r="CB85">
        <v>33.17913105666667</v>
      </c>
    </row>
    <row r="86" spans="2:85" x14ac:dyDescent="0.25">
      <c r="B86" s="43" t="s">
        <v>45</v>
      </c>
      <c r="C86" s="43" t="s">
        <v>16</v>
      </c>
      <c r="E86" s="342">
        <f>C38</f>
        <v>8.1275000000000013</v>
      </c>
      <c r="F86" s="66">
        <v>11.25</v>
      </c>
      <c r="G86" s="364">
        <f>D38</f>
        <v>2.3875000000000002</v>
      </c>
      <c r="H86" s="205">
        <f t="shared" si="5"/>
        <v>298.4375</v>
      </c>
      <c r="I86" s="151">
        <f>E38/H86</f>
        <v>3.1904335078534032E-2</v>
      </c>
      <c r="J86" s="151">
        <f>E38/D148</f>
        <v>5.7826607329842926E-2</v>
      </c>
      <c r="K86" s="342">
        <f>E86</f>
        <v>8.1275000000000013</v>
      </c>
      <c r="L86" s="43">
        <v>11.25</v>
      </c>
      <c r="M86" s="343">
        <f>G86</f>
        <v>2.3875000000000002</v>
      </c>
      <c r="N86" s="80">
        <v>308.75</v>
      </c>
      <c r="O86" s="259">
        <v>8.0000000000000002E-3</v>
      </c>
      <c r="P86" s="61">
        <v>5.0000000000000001E-3</v>
      </c>
      <c r="Q86" s="61">
        <v>0.01</v>
      </c>
      <c r="R86" s="226">
        <v>2E-3</v>
      </c>
      <c r="S86">
        <v>59.6875</v>
      </c>
      <c r="T86" s="43" t="s">
        <v>45</v>
      </c>
      <c r="U86" s="43" t="s">
        <v>16</v>
      </c>
      <c r="AH86" s="61" t="s">
        <v>90</v>
      </c>
      <c r="AJ86" s="50">
        <f>AC38</f>
        <v>1.9349999999999998</v>
      </c>
      <c r="AK86" s="66">
        <v>59.081807079999997</v>
      </c>
      <c r="AL86" s="199">
        <f>AD38</f>
        <v>1.175</v>
      </c>
      <c r="AM86" s="152">
        <f t="shared" si="6"/>
        <v>90.384615384615387</v>
      </c>
      <c r="AN86" s="244">
        <f>AE38/AM86</f>
        <v>5.16944634893617E-2</v>
      </c>
      <c r="AO86" s="244">
        <f>AE38/AQ86</f>
        <v>7.1856027972701603E-2</v>
      </c>
      <c r="AP86" s="85">
        <f t="shared" si="7"/>
        <v>1.9349999999999998</v>
      </c>
      <c r="AQ86" s="43">
        <f>AD38/0.018070182</f>
        <v>65.024248233913752</v>
      </c>
      <c r="AR86" s="80">
        <f t="shared" si="8"/>
        <v>1.175</v>
      </c>
      <c r="AS86" s="228">
        <v>103.84615384615385</v>
      </c>
      <c r="AT86" s="253">
        <v>1.2999999999999999E-2</v>
      </c>
      <c r="AU86" s="61">
        <v>5.0000000000000001E-3</v>
      </c>
      <c r="AV86" s="61">
        <v>2.3E-2</v>
      </c>
      <c r="AW86" s="226">
        <f>(0.003+0.004+0.004)/3</f>
        <v>3.6666666666666666E-3</v>
      </c>
      <c r="AX86">
        <v>36.54838217338218</v>
      </c>
      <c r="AZ86" s="61" t="s">
        <v>90</v>
      </c>
      <c r="BK86" s="55" t="s">
        <v>45</v>
      </c>
      <c r="BL86" s="55" t="s">
        <v>16</v>
      </c>
      <c r="BM86" s="46"/>
      <c r="BN86" s="370">
        <f>AQ37</f>
        <v>2.1728000000000001</v>
      </c>
      <c r="BO86" s="151">
        <v>64.284819346666666</v>
      </c>
      <c r="BP86" s="372">
        <f>AR37</f>
        <v>1.6228</v>
      </c>
      <c r="BQ86" s="205">
        <f>AR37/AV37</f>
        <v>121.71</v>
      </c>
      <c r="BR86" s="151">
        <f>AS37/BQ86</f>
        <v>5.5942436118642672E-3</v>
      </c>
      <c r="BS86" s="151">
        <f>AS37/BU86</f>
        <v>5.7147350127351813E-3</v>
      </c>
      <c r="BT86" s="370">
        <f t="shared" si="9"/>
        <v>2.1728000000000001</v>
      </c>
      <c r="BU86" s="151">
        <f>AR37/BO111</f>
        <v>119.143825301205</v>
      </c>
      <c r="BV86" s="211">
        <v>1.65</v>
      </c>
      <c r="BW86" s="205">
        <f t="shared" si="10"/>
        <v>123.74999999999999</v>
      </c>
      <c r="BX86" s="252">
        <v>1.3333333333333334E-2</v>
      </c>
      <c r="BY86" s="61">
        <v>7.0000000000000001E-3</v>
      </c>
      <c r="BZ86" s="61">
        <v>2.5000000000000001E-2</v>
      </c>
      <c r="CA86" s="226">
        <f>(0.002+0.003+0.004)/3</f>
        <v>3.0000000000000005E-3</v>
      </c>
      <c r="CB86" s="80">
        <v>23.328137139999995</v>
      </c>
      <c r="CC86" s="80"/>
    </row>
    <row r="87" spans="2:85" x14ac:dyDescent="0.25">
      <c r="C87" s="61" t="s">
        <v>90</v>
      </c>
      <c r="E87" s="50"/>
      <c r="F87" s="152"/>
      <c r="G87" s="358"/>
      <c r="H87" s="152">
        <f t="shared" si="5"/>
        <v>85.5</v>
      </c>
      <c r="I87" s="65">
        <f>K38/H87</f>
        <v>4.2615321637426897E-3</v>
      </c>
      <c r="J87" s="65">
        <f>K38/D149</f>
        <v>1.2358443274853801E-2</v>
      </c>
      <c r="K87" s="326">
        <f>I38</f>
        <v>1.7175</v>
      </c>
      <c r="L87" s="80">
        <v>10.199999999999999</v>
      </c>
      <c r="M87" s="343">
        <f>J38</f>
        <v>0.42749999999999999</v>
      </c>
      <c r="N87" s="80">
        <v>102</v>
      </c>
      <c r="O87" s="260">
        <v>5.0000000000000001E-3</v>
      </c>
      <c r="P87" s="61">
        <v>3.0000000000000001E-3</v>
      </c>
      <c r="Q87" s="61">
        <v>7.0000000000000001E-3</v>
      </c>
      <c r="R87" s="226">
        <v>2E-3</v>
      </c>
      <c r="S87">
        <v>24.428571428571431</v>
      </c>
      <c r="U87" s="61" t="s">
        <v>90</v>
      </c>
      <c r="AH87" t="s">
        <v>18</v>
      </c>
      <c r="AI87" s="80"/>
      <c r="AJ87" s="50">
        <f>W40</f>
        <v>43.715000000000003</v>
      </c>
      <c r="AK87" s="65">
        <v>32.549536212795033</v>
      </c>
      <c r="AL87" s="199">
        <f>X40</f>
        <v>12.864999999999998</v>
      </c>
      <c r="AM87" s="152">
        <f t="shared" si="6"/>
        <v>796.94690265486713</v>
      </c>
      <c r="AN87" s="219">
        <f>Y40/AM87</f>
        <v>1.2122684041905283</v>
      </c>
      <c r="AO87" s="219">
        <f>Y40/AQ87</f>
        <v>1.3570033174867866</v>
      </c>
      <c r="AP87" s="85">
        <f t="shared" si="7"/>
        <v>43.715000000000003</v>
      </c>
      <c r="AQ87" s="80">
        <f>X40/0.018070182</f>
        <v>711.94634342919164</v>
      </c>
      <c r="AR87" s="80">
        <f t="shared" si="8"/>
        <v>12.864999999999998</v>
      </c>
      <c r="AS87" s="152">
        <v>807.78761061946898</v>
      </c>
      <c r="AT87" s="273">
        <v>1.6142857142857143E-2</v>
      </c>
      <c r="AU87" s="238">
        <v>6.0000000000000001E-3</v>
      </c>
      <c r="AV87" s="238">
        <v>4.1000000000000002E-2</v>
      </c>
      <c r="AW87" s="226">
        <f>(0.003+0.003+0.004+0.002+0.007+0.005+0.006)/7</f>
        <v>4.2857142857142859E-3</v>
      </c>
      <c r="AX87">
        <v>302.87297123166678</v>
      </c>
      <c r="AZ87" t="s">
        <v>18</v>
      </c>
      <c r="BL87" t="s">
        <v>18</v>
      </c>
      <c r="BM87" s="80"/>
      <c r="BN87" s="370">
        <f>AQ39</f>
        <v>3.7527999999999997</v>
      </c>
      <c r="BO87" s="65">
        <v>65.833218129999992</v>
      </c>
      <c r="BP87" s="371">
        <f>AR39</f>
        <v>1.2328000000000001</v>
      </c>
      <c r="BQ87" s="152">
        <f>AR39/AV39</f>
        <v>70.445714285714288</v>
      </c>
      <c r="BR87" s="65">
        <f>AS39/BQ87</f>
        <v>1.6007643352530826E-2</v>
      </c>
      <c r="BS87" s="65">
        <f>AS39/BU87</f>
        <v>1.245898922910529E-2</v>
      </c>
      <c r="BT87" s="370">
        <f t="shared" si="9"/>
        <v>3.7527999999999997</v>
      </c>
      <c r="BU87" s="65">
        <f>AR39/BO111</f>
        <v>90.510542168674846</v>
      </c>
      <c r="BV87" s="210">
        <v>1.26</v>
      </c>
      <c r="BW87" s="152">
        <f t="shared" si="10"/>
        <v>72</v>
      </c>
      <c r="BX87" s="253">
        <v>1.7500000000000002E-2</v>
      </c>
      <c r="BY87" s="61">
        <v>5.0000000000000001E-3</v>
      </c>
      <c r="BZ87" s="61">
        <v>3.2000000000000001E-2</v>
      </c>
      <c r="CA87" s="226">
        <f>(0.005+0.004+0.0055)/3</f>
        <v>4.8333333333333336E-3</v>
      </c>
      <c r="CB87" s="80">
        <v>39.144529186666666</v>
      </c>
      <c r="CC87" s="80"/>
    </row>
    <row r="88" spans="2:85" x14ac:dyDescent="0.25">
      <c r="C88" t="s">
        <v>18</v>
      </c>
      <c r="E88" s="326">
        <f>C40</f>
        <v>11.127500000000001</v>
      </c>
      <c r="F88" s="65">
        <v>20.428571430000002</v>
      </c>
      <c r="G88" s="357">
        <f>D40</f>
        <v>2.6575000000000002</v>
      </c>
      <c r="H88" s="152">
        <f t="shared" si="5"/>
        <v>189.82142857142858</v>
      </c>
      <c r="I88" s="65">
        <f>E40/H88</f>
        <v>0.10607179680150516</v>
      </c>
      <c r="J88" s="65">
        <f>E40/F148</f>
        <v>0.10986007525870178</v>
      </c>
      <c r="K88" s="326">
        <f>E88</f>
        <v>11.127500000000001</v>
      </c>
      <c r="L88">
        <v>20.428571430000002</v>
      </c>
      <c r="M88" s="130">
        <f>G88</f>
        <v>2.6575000000000002</v>
      </c>
      <c r="N88" s="80">
        <v>195.71428571428572</v>
      </c>
      <c r="O88" s="260">
        <v>1.4E-2</v>
      </c>
      <c r="P88" s="61">
        <v>6.0000000000000001E-3</v>
      </c>
      <c r="Q88" s="61">
        <v>3.1E-2</v>
      </c>
      <c r="R88" s="226">
        <v>7.0000000000000001E-3</v>
      </c>
      <c r="S88">
        <v>63.273809523809533</v>
      </c>
      <c r="U88" t="s">
        <v>18</v>
      </c>
      <c r="AH88" t="s">
        <v>168</v>
      </c>
      <c r="AI88" s="80"/>
      <c r="AJ88" s="50">
        <f>AC40</f>
        <v>28.654999999999998</v>
      </c>
      <c r="AK88" s="65">
        <v>38.616408667500004</v>
      </c>
      <c r="AL88" s="199">
        <f>AD40</f>
        <v>4.5650000000000004</v>
      </c>
      <c r="AM88" s="152">
        <f t="shared" si="6"/>
        <v>243.46666666666664</v>
      </c>
      <c r="AN88" s="219">
        <f>AE40/AM88</f>
        <v>1.9304239074479739</v>
      </c>
      <c r="AO88" s="219">
        <f>AE40/AQ88</f>
        <v>1.8604326050525888</v>
      </c>
      <c r="AP88" s="85">
        <f t="shared" si="7"/>
        <v>28.654999999999998</v>
      </c>
      <c r="AQ88">
        <f>AD40/0.018070182</f>
        <v>252.62612186197128</v>
      </c>
      <c r="AR88" s="80">
        <f t="shared" si="8"/>
        <v>4.5650000000000004</v>
      </c>
      <c r="AS88" s="152">
        <v>252.79999999999998</v>
      </c>
      <c r="AT88" s="271">
        <v>1.8750000000000003E-2</v>
      </c>
      <c r="AU88" s="61">
        <v>8.9999999999999993E-3</v>
      </c>
      <c r="AV88" s="61">
        <v>0.03</v>
      </c>
      <c r="AW88" s="226">
        <f>(0.004+0.005+0.004+0.003)/4</f>
        <v>4.0000000000000001E-3</v>
      </c>
      <c r="AX88">
        <v>68.19557306728359</v>
      </c>
      <c r="AZ88" t="s">
        <v>168</v>
      </c>
      <c r="BL88" t="s">
        <v>168</v>
      </c>
      <c r="BM88" s="80"/>
      <c r="BN88" s="369">
        <f>AW39</f>
        <v>0.36280000000000001</v>
      </c>
      <c r="BO88" s="152">
        <v>31.472027975</v>
      </c>
      <c r="BP88" s="371">
        <f>AX39</f>
        <v>0.1928</v>
      </c>
      <c r="BQ88" s="152">
        <f>AX39/BB39</f>
        <v>16.066666666666666</v>
      </c>
      <c r="BR88" s="65">
        <f>BA39/BQ88</f>
        <v>6.0170840074265991E-3</v>
      </c>
      <c r="BS88" s="65">
        <f>BA39/BU88</f>
        <v>6.8296474887713779E-3</v>
      </c>
      <c r="BT88" s="369">
        <f t="shared" si="9"/>
        <v>0.36280000000000001</v>
      </c>
      <c r="BU88" s="152">
        <f>AX39/BO111</f>
        <v>14.155120481927732</v>
      </c>
      <c r="BV88" s="210">
        <v>0.22</v>
      </c>
      <c r="BW88" s="152">
        <f t="shared" si="10"/>
        <v>18.333333333333332</v>
      </c>
      <c r="BX88" s="253">
        <v>1.2E-2</v>
      </c>
      <c r="BY88" s="61">
        <v>6.0000000000000001E-3</v>
      </c>
      <c r="BZ88" s="61">
        <v>1.7999999999999999E-2</v>
      </c>
      <c r="CA88" s="226">
        <f>(0.003+0.003)/2</f>
        <v>3.0000000000000001E-3</v>
      </c>
      <c r="CB88" s="80">
        <v>29.589860139999999</v>
      </c>
    </row>
    <row r="89" spans="2:85" x14ac:dyDescent="0.25">
      <c r="C89" t="s">
        <v>26</v>
      </c>
      <c r="E89" s="327">
        <f>C47</f>
        <v>5.5675000000000008</v>
      </c>
      <c r="F89" s="65">
        <v>48.287500000000001</v>
      </c>
      <c r="G89" s="359">
        <f>D47</f>
        <v>1.6675</v>
      </c>
      <c r="H89" s="152">
        <f t="shared" si="5"/>
        <v>145</v>
      </c>
      <c r="I89" s="65">
        <f>E47/H89</f>
        <v>2.8724275862068965E-2</v>
      </c>
      <c r="J89" s="65">
        <f>E47/M148</f>
        <v>3.6217565217391307E-2</v>
      </c>
      <c r="K89" s="327">
        <f>E89</f>
        <v>5.5675000000000008</v>
      </c>
      <c r="L89">
        <v>48.287500000000001</v>
      </c>
      <c r="M89" s="130">
        <f>G89</f>
        <v>1.6675</v>
      </c>
      <c r="N89" s="80">
        <v>155.20833333333334</v>
      </c>
      <c r="O89" s="262">
        <v>1.15E-2</v>
      </c>
      <c r="P89" s="61">
        <v>7.0000000000000001E-3</v>
      </c>
      <c r="Q89" s="61">
        <v>0.02</v>
      </c>
      <c r="R89" s="226">
        <f>(0.002+0.003+0.003+0.003)/4</f>
        <v>2.7499999999999998E-3</v>
      </c>
      <c r="S89">
        <v>29.457909125188554</v>
      </c>
      <c r="U89" t="s">
        <v>26</v>
      </c>
      <c r="AH89" t="s">
        <v>26</v>
      </c>
      <c r="AI89" s="80"/>
      <c r="AJ89" s="82">
        <f>W47</f>
        <v>25.984999999999999</v>
      </c>
      <c r="AK89" s="65">
        <v>43.344867737547389</v>
      </c>
      <c r="AL89" s="223">
        <f>X47</f>
        <v>5.0250000000000004</v>
      </c>
      <c r="AM89" s="152">
        <f t="shared" si="6"/>
        <v>296.65041067761803</v>
      </c>
      <c r="AN89" s="219">
        <f>Y47/AM89</f>
        <v>0.99930524338682947</v>
      </c>
      <c r="AO89" s="219">
        <f>Y47/AQ89</f>
        <v>1.0660303780691707</v>
      </c>
      <c r="AP89" s="85">
        <f t="shared" si="7"/>
        <v>25.984999999999999</v>
      </c>
      <c r="AQ89">
        <f>X47/0.018070182</f>
        <v>278.0824232982269</v>
      </c>
      <c r="AR89" s="80">
        <f t="shared" si="8"/>
        <v>5.0250000000000004</v>
      </c>
      <c r="AS89" s="152">
        <v>306.98151950718682</v>
      </c>
      <c r="AT89" s="274">
        <v>1.6939130434782613E-2</v>
      </c>
      <c r="AU89" s="61">
        <v>6.0000000000000001E-3</v>
      </c>
      <c r="AV89" s="61">
        <v>3.6999999999999998E-2</v>
      </c>
      <c r="AW89" s="226">
        <f>(0.005+0.007+0.003+0.005+0.004+0.003+0.004+0.003+0.00375+0.003+0.004+0.004+0.004+0.003+0.006+0.006+0.003+0.005+0.0035+0.004+0.003+0.003+0.004)/23</f>
        <v>4.0543478260869582E-3</v>
      </c>
      <c r="AX89">
        <v>96.888634734365638</v>
      </c>
      <c r="AZ89" t="s">
        <v>26</v>
      </c>
      <c r="BL89" t="s">
        <v>27</v>
      </c>
      <c r="BM89" s="80"/>
      <c r="BN89" s="369">
        <f>AQ47</f>
        <v>3.5627999999999997</v>
      </c>
      <c r="BO89" s="65">
        <v>112.95546660857144</v>
      </c>
      <c r="BP89" s="371">
        <f>AR47</f>
        <v>2.1328</v>
      </c>
      <c r="BQ89" s="152">
        <f>AR47/AV47</f>
        <v>148.11111111111111</v>
      </c>
      <c r="BR89" s="65">
        <f>AS47/BQ89</f>
        <v>8.1995916504126031E-3</v>
      </c>
      <c r="BS89" s="65">
        <f>AS47/BU89</f>
        <v>7.7557391109315671E-3</v>
      </c>
      <c r="BT89" s="369">
        <f t="shared" si="9"/>
        <v>3.5627999999999997</v>
      </c>
      <c r="BU89" s="65">
        <f>AR47/BO111</f>
        <v>156.5873493975906</v>
      </c>
      <c r="BV89" s="210">
        <v>2.16</v>
      </c>
      <c r="BW89" s="152">
        <f t="shared" si="10"/>
        <v>150</v>
      </c>
      <c r="BX89" s="251">
        <v>1.44E-2</v>
      </c>
      <c r="BY89" s="61">
        <v>6.0000000000000001E-3</v>
      </c>
      <c r="BZ89" s="61">
        <v>0.03</v>
      </c>
      <c r="CA89">
        <f>(0.003+0.0045+0.0035+0.004+0.0035)/5</f>
        <v>3.6999999999999997E-3</v>
      </c>
      <c r="CB89" s="80">
        <v>68.648927042857139</v>
      </c>
    </row>
    <row r="90" spans="2:85" x14ac:dyDescent="0.25">
      <c r="C90" t="s">
        <v>91</v>
      </c>
      <c r="E90" s="83"/>
      <c r="F90" s="152"/>
      <c r="G90" s="360"/>
      <c r="H90" s="152">
        <f t="shared" si="5"/>
        <v>14.242898040227928</v>
      </c>
      <c r="I90" s="65">
        <f>K47/H90</f>
        <v>4.2322355906604069E-3</v>
      </c>
      <c r="J90" s="65">
        <f>K47/M149</f>
        <v>2.6688545038167947E-3</v>
      </c>
      <c r="K90" s="322">
        <f>I47</f>
        <v>0.75749999999999995</v>
      </c>
      <c r="L90" s="80">
        <v>15.695652170000001</v>
      </c>
      <c r="M90" s="150">
        <f>J47</f>
        <v>0.32749999999999996</v>
      </c>
      <c r="N90" s="80">
        <v>17.830803653415117</v>
      </c>
      <c r="O90" s="261">
        <v>2.2993915920411868E-2</v>
      </c>
      <c r="P90" s="238">
        <v>3.3000000000000002E-2</v>
      </c>
      <c r="Q90" s="238">
        <v>7.9000000000000001E-2</v>
      </c>
      <c r="R90" s="226">
        <v>1.4999999999999999E-2</v>
      </c>
      <c r="S90">
        <v>3.5023519771052278</v>
      </c>
      <c r="U90" t="s">
        <v>91</v>
      </c>
      <c r="AH90" t="s">
        <v>27</v>
      </c>
      <c r="AI90" s="80"/>
      <c r="AJ90" s="186">
        <f>W48</f>
        <v>36.585000000000001</v>
      </c>
      <c r="AK90" s="65">
        <v>41.869909504999995</v>
      </c>
      <c r="AL90" s="87">
        <f>X48</f>
        <v>9.4749999999999996</v>
      </c>
      <c r="AM90" s="152">
        <f t="shared" si="6"/>
        <v>551.94175293147327</v>
      </c>
      <c r="AN90" s="219">
        <f>Y48/AM90</f>
        <v>1.6875848297558396</v>
      </c>
      <c r="AO90" s="219">
        <f>Y48/AQ90</f>
        <v>1.7764057462249316</v>
      </c>
      <c r="AP90" s="85">
        <f t="shared" si="7"/>
        <v>36.585000000000001</v>
      </c>
      <c r="AQ90">
        <f>X48/0.018070182</f>
        <v>524.34446980113421</v>
      </c>
      <c r="AR90" s="80">
        <f t="shared" si="8"/>
        <v>9.4749999999999996</v>
      </c>
      <c r="AS90" s="152">
        <v>562.1359277877275</v>
      </c>
      <c r="AT90" s="275">
        <v>1.71666665E-2</v>
      </c>
      <c r="AU90" s="61">
        <v>8.9999999999999993E-3</v>
      </c>
      <c r="AV90" s="61">
        <v>3.9E-2</v>
      </c>
      <c r="AW90">
        <f>(0.005+0.006)/2</f>
        <v>5.4999999999999997E-3</v>
      </c>
      <c r="AX90">
        <v>262.80966664846039</v>
      </c>
      <c r="AZ90" t="s">
        <v>27</v>
      </c>
      <c r="BL90" t="s">
        <v>167</v>
      </c>
      <c r="BM90" s="80"/>
      <c r="BN90" s="370">
        <f>AW47</f>
        <v>1.6128</v>
      </c>
      <c r="BO90" s="65">
        <v>54.626144690000004</v>
      </c>
      <c r="BP90" s="371">
        <f>AX47</f>
        <v>0.92279999999999995</v>
      </c>
      <c r="BQ90" s="152">
        <f>AX47/BB47</f>
        <v>70.984615384615381</v>
      </c>
      <c r="BR90" s="65">
        <f>BA47/BQ90</f>
        <v>6.3771236456824565E-3</v>
      </c>
      <c r="BS90" s="65">
        <f>BA47/BU90</f>
        <v>6.6815149518471709E-3</v>
      </c>
      <c r="BT90" s="370">
        <f t="shared" si="9"/>
        <v>1.6128</v>
      </c>
      <c r="BU90" s="65">
        <f>AX47/BO111</f>
        <v>67.750753012048293</v>
      </c>
      <c r="BV90" s="210">
        <v>0.95</v>
      </c>
      <c r="BW90" s="152">
        <f t="shared" si="10"/>
        <v>73.07692307692308</v>
      </c>
      <c r="BX90" s="251">
        <v>1.2999999999999999E-2</v>
      </c>
      <c r="BY90" s="61">
        <v>6.0000000000000001E-3</v>
      </c>
      <c r="BZ90" s="61">
        <v>2.4E-2</v>
      </c>
      <c r="CA90" s="226">
        <f>(0.003+0.003+0.003+0.003)/4</f>
        <v>3.0000000000000001E-3</v>
      </c>
      <c r="CB90" s="80">
        <v>18.156911145000002</v>
      </c>
    </row>
    <row r="91" spans="2:85" x14ac:dyDescent="0.25">
      <c r="C91" t="s">
        <v>27</v>
      </c>
      <c r="E91" s="322">
        <f>C48</f>
        <v>8.557500000000001</v>
      </c>
      <c r="F91" s="65">
        <v>33.381419233333332</v>
      </c>
      <c r="G91" s="356">
        <f>D48</f>
        <v>2.7974999999999999</v>
      </c>
      <c r="H91" s="152">
        <f t="shared" si="5"/>
        <v>195.17441860465118</v>
      </c>
      <c r="I91" s="65">
        <f>E48/H91</f>
        <v>7.0740828120345545E-2</v>
      </c>
      <c r="J91" s="65">
        <f>E48/N148</f>
        <v>7.1563395889186782E-2</v>
      </c>
      <c r="K91" s="322">
        <f>E91</f>
        <v>8.557500000000001</v>
      </c>
      <c r="L91">
        <v>33.381419233333332</v>
      </c>
      <c r="M91" s="130">
        <f>G91</f>
        <v>2.7974999999999999</v>
      </c>
      <c r="N91" s="80">
        <v>205.04201680672267</v>
      </c>
      <c r="O91" s="262">
        <v>1.4333333333333332E-2</v>
      </c>
      <c r="P91" s="61">
        <v>7.0000000000000001E-3</v>
      </c>
      <c r="Q91" s="61">
        <v>3.1E-2</v>
      </c>
      <c r="R91" s="226">
        <f>(0.005+0.003+0.004)/3</f>
        <v>4.0000000000000001E-3</v>
      </c>
      <c r="S91">
        <v>43.647862554112542</v>
      </c>
      <c r="U91" t="s">
        <v>27</v>
      </c>
      <c r="AH91" t="s">
        <v>31</v>
      </c>
      <c r="AI91" s="80"/>
      <c r="AJ91" s="83">
        <f>W51</f>
        <v>28.035</v>
      </c>
      <c r="AK91" s="65">
        <v>30.216666664999998</v>
      </c>
      <c r="AL91" s="195">
        <f>X51</f>
        <v>6.9750000000000005</v>
      </c>
      <c r="AM91" s="152">
        <f t="shared" si="6"/>
        <v>422.72727272727275</v>
      </c>
      <c r="AN91" s="219">
        <f>Y51/AM91</f>
        <v>1.6352729870967742</v>
      </c>
      <c r="AO91" s="219">
        <f>Y51/AQ91</f>
        <v>1.7908897270619613</v>
      </c>
      <c r="AP91" s="203">
        <f t="shared" si="7"/>
        <v>28.035</v>
      </c>
      <c r="AQ91">
        <f>X51/0.018070182</f>
        <v>385.99500547365824</v>
      </c>
      <c r="AR91" s="100">
        <f t="shared" si="8"/>
        <v>6.9750000000000005</v>
      </c>
      <c r="AS91" s="152">
        <v>433.33333333333331</v>
      </c>
      <c r="AT91" s="276">
        <v>1.6500000000000001E-2</v>
      </c>
      <c r="AU91" s="61">
        <v>7.0000000000000001E-3</v>
      </c>
      <c r="AV91" s="61">
        <v>2.8000000000000001E-2</v>
      </c>
      <c r="AW91" s="226">
        <f>(0.005+0.004+0.005)/3</f>
        <v>4.6666666666666671E-3</v>
      </c>
      <c r="AX91">
        <v>159.06468531468533</v>
      </c>
      <c r="AZ91" t="s">
        <v>31</v>
      </c>
      <c r="BL91" t="s">
        <v>73</v>
      </c>
      <c r="BM91" s="80"/>
      <c r="BN91" s="369">
        <f>AQ53</f>
        <v>3.3828</v>
      </c>
      <c r="BO91" s="65">
        <v>52.807692307499998</v>
      </c>
      <c r="BP91" s="371">
        <f>AR53</f>
        <v>1.8628</v>
      </c>
      <c r="BQ91" s="152">
        <f>AR53/AV53</f>
        <v>128.4689655172414</v>
      </c>
      <c r="BR91" s="65">
        <f>AS53/BQ91</f>
        <v>9.3392251207859121E-3</v>
      </c>
      <c r="BS91" s="65">
        <f>AS53/BU91</f>
        <v>8.7727610683668786E-3</v>
      </c>
      <c r="BT91" s="369">
        <f t="shared" si="9"/>
        <v>3.3828</v>
      </c>
      <c r="BU91" s="65">
        <f>AR53/BO111</f>
        <v>136.76430722891587</v>
      </c>
      <c r="BV91" s="210">
        <v>1.89</v>
      </c>
      <c r="BW91" s="152">
        <f t="shared" si="10"/>
        <v>130.34482758620689</v>
      </c>
      <c r="BX91" s="251">
        <v>1.4499999999999999E-2</v>
      </c>
      <c r="BY91" s="61">
        <v>7.0000000000000001E-3</v>
      </c>
      <c r="BZ91" s="61">
        <v>2.5000000000000001E-2</v>
      </c>
      <c r="CA91" s="226">
        <f>(0.004+0.003+0.003+0.003)/4</f>
        <v>3.2500000000000003E-3</v>
      </c>
      <c r="CB91" s="80">
        <v>24.989169652499999</v>
      </c>
    </row>
    <row r="92" spans="2:85" x14ac:dyDescent="0.25">
      <c r="C92" t="s">
        <v>73</v>
      </c>
      <c r="E92" s="322">
        <f>C54</f>
        <v>6.1175000000000006</v>
      </c>
      <c r="F92" s="65">
        <v>32.115259740000006</v>
      </c>
      <c r="G92" s="356">
        <f>D54</f>
        <v>2.4874999999999998</v>
      </c>
      <c r="H92" s="152">
        <f t="shared" si="5"/>
        <v>171.55172413793102</v>
      </c>
      <c r="I92" s="65">
        <f>E54/H92</f>
        <v>4.5173256281407038E-2</v>
      </c>
      <c r="J92" s="65">
        <f>E54/T148</f>
        <v>4.5173256281407038E-2</v>
      </c>
      <c r="K92" s="322">
        <f>E92</f>
        <v>6.1175000000000006</v>
      </c>
      <c r="L92">
        <v>32.115259740000006</v>
      </c>
      <c r="M92" s="130">
        <f>G92</f>
        <v>2.4874999999999998</v>
      </c>
      <c r="N92" s="80">
        <v>187.03657106782103</v>
      </c>
      <c r="O92" s="263">
        <v>1.4500000000000001E-2</v>
      </c>
      <c r="P92" s="61">
        <v>5.0000000000000001E-3</v>
      </c>
      <c r="Q92" s="61">
        <v>3.4000000000000002E-2</v>
      </c>
      <c r="R92" s="226">
        <f>(0.002+0.004+0.003+0.004+0.002+0.003+0.005+0.006+0.005+0.002+0.004+0.005)/12</f>
        <v>3.7500000000000003E-3</v>
      </c>
      <c r="S92">
        <v>36.713432157511107</v>
      </c>
      <c r="U92" t="s">
        <v>73</v>
      </c>
      <c r="AH92" t="s">
        <v>183</v>
      </c>
      <c r="AI92" s="80"/>
      <c r="AJ92" s="50">
        <f>AC51</f>
        <v>8.8649999999999984</v>
      </c>
      <c r="AK92" s="65">
        <v>17.03846154</v>
      </c>
      <c r="AL92" s="223">
        <f>AD51</f>
        <v>3.4750000000000001</v>
      </c>
      <c r="AM92" s="152">
        <f t="shared" si="6"/>
        <v>133.65384615384616</v>
      </c>
      <c r="AN92" s="219">
        <f>AE51/AM92</f>
        <v>0.68148680057553956</v>
      </c>
      <c r="AO92" s="219">
        <f>AE51/AQ92</f>
        <v>0.47363809680760399</v>
      </c>
      <c r="AP92" s="187">
        <f t="shared" si="7"/>
        <v>8.8649999999999984</v>
      </c>
      <c r="AQ92">
        <f>AD51/0.018070182</f>
        <v>192.30575541519173</v>
      </c>
      <c r="AR92" s="80">
        <f t="shared" si="8"/>
        <v>3.4750000000000001</v>
      </c>
      <c r="AS92" s="152">
        <v>140.38461538461539</v>
      </c>
      <c r="AT92" s="253">
        <v>2.5999999999999999E-2</v>
      </c>
      <c r="AU92" s="238">
        <v>1.4E-2</v>
      </c>
      <c r="AV92" s="238">
        <v>4.7E-2</v>
      </c>
      <c r="AW92" s="226">
        <f>(0.008)</f>
        <v>8.0000000000000002E-3</v>
      </c>
      <c r="AX92">
        <v>59.401709401709411</v>
      </c>
      <c r="AZ92" t="s">
        <v>183</v>
      </c>
      <c r="BL92" t="s">
        <v>74</v>
      </c>
      <c r="BM92" s="80"/>
      <c r="BN92" s="370">
        <f>AQ54</f>
        <v>3.4827999999999997</v>
      </c>
      <c r="BO92" s="65">
        <v>47.089743587500003</v>
      </c>
      <c r="BP92" s="371">
        <f>AR54</f>
        <v>1.6428</v>
      </c>
      <c r="BQ92" s="152">
        <f>AR54/AV54</f>
        <v>131.42400000000001</v>
      </c>
      <c r="BR92" s="65">
        <f>AS54/BQ92</f>
        <v>7.749955791940588E-3</v>
      </c>
      <c r="BS92" s="65">
        <f>AS54/BU92</f>
        <v>8.4446697778027355E-3</v>
      </c>
      <c r="BT92" s="370">
        <f t="shared" si="9"/>
        <v>3.4827999999999997</v>
      </c>
      <c r="BU92" s="65">
        <f>AR54/BO111</f>
        <v>120.61219879518092</v>
      </c>
      <c r="BV92" s="210">
        <v>1.67</v>
      </c>
      <c r="BW92" s="152">
        <f t="shared" si="10"/>
        <v>133.6</v>
      </c>
      <c r="BX92" s="254">
        <v>1.2499999999999999E-2</v>
      </c>
      <c r="BY92" s="61">
        <v>6.0000000000000001E-3</v>
      </c>
      <c r="BZ92" s="61">
        <v>2.1999999999999999E-2</v>
      </c>
      <c r="CA92" s="226">
        <f>(0.003+0.002+0.003+0.003)/4</f>
        <v>2.7499999999999998E-3</v>
      </c>
      <c r="CB92" s="80">
        <v>21.141239315</v>
      </c>
      <c r="CC92" s="80"/>
    </row>
    <row r="93" spans="2:85" x14ac:dyDescent="0.25">
      <c r="C93" t="s">
        <v>74</v>
      </c>
      <c r="E93" s="327">
        <f>C55</f>
        <v>6.0475000000000003</v>
      </c>
      <c r="F93" s="65">
        <v>48.216053391168835</v>
      </c>
      <c r="G93" s="359">
        <f>D55</f>
        <v>2.5874999999999999</v>
      </c>
      <c r="H93" s="152">
        <f t="shared" si="5"/>
        <v>274.43181818181819</v>
      </c>
      <c r="I93" s="65">
        <f>E55/H93</f>
        <v>3.028118260869565E-2</v>
      </c>
      <c r="J93" s="65">
        <f>E55/U148</f>
        <v>4.6568788405797104E-2</v>
      </c>
      <c r="K93" s="327">
        <f>E93</f>
        <v>6.0475000000000003</v>
      </c>
      <c r="L93">
        <v>48.216053391168835</v>
      </c>
      <c r="M93" s="130">
        <f>G93</f>
        <v>2.5874999999999999</v>
      </c>
      <c r="N93" s="80">
        <v>287.61255411255416</v>
      </c>
      <c r="O93" s="262">
        <v>9.4285714285714285E-3</v>
      </c>
      <c r="P93" s="61">
        <v>5.0000000000000001E-3</v>
      </c>
      <c r="Q93" s="61">
        <v>1.9E-2</v>
      </c>
      <c r="R93" s="226">
        <f>(0.005+0.003+0.003+0.002+0.001+0.003+0.002)/7</f>
        <v>2.7142857142857138E-3</v>
      </c>
      <c r="S93">
        <v>58.864171542742987</v>
      </c>
      <c r="U93" t="s">
        <v>74</v>
      </c>
      <c r="AH93" t="s">
        <v>32</v>
      </c>
      <c r="AI93" s="80"/>
      <c r="AJ93" s="82">
        <f>W52</f>
        <v>26.125</v>
      </c>
      <c r="AK93" s="65">
        <v>38.330555555000004</v>
      </c>
      <c r="AL93" s="297">
        <f>X52</f>
        <v>5.2650000000000006</v>
      </c>
      <c r="AM93" s="152">
        <f t="shared" si="6"/>
        <v>224.04255319148939</v>
      </c>
      <c r="AN93" s="219">
        <f>Y52/AM93</f>
        <v>2.5440460376821457</v>
      </c>
      <c r="AO93" s="219">
        <f>Y52/AQ93</f>
        <v>1.9562287198849038</v>
      </c>
      <c r="AP93" s="187">
        <f t="shared" si="7"/>
        <v>26.125</v>
      </c>
      <c r="AQ93">
        <f>X52/0.018070182</f>
        <v>291.36397187366458</v>
      </c>
      <c r="AR93" s="80">
        <f t="shared" si="8"/>
        <v>5.2650000000000006</v>
      </c>
      <c r="AS93" s="152">
        <v>231.48936170212767</v>
      </c>
      <c r="AT93" s="277">
        <v>2.35E-2</v>
      </c>
      <c r="AU93" s="238">
        <v>1.2E-2</v>
      </c>
      <c r="AV93" s="238">
        <v>4.5999999999999999E-2</v>
      </c>
      <c r="AW93">
        <f>(0.008+0.005)/2</f>
        <v>6.5000000000000006E-3</v>
      </c>
      <c r="AX93">
        <v>84.927631578947413</v>
      </c>
      <c r="AZ93" t="s">
        <v>32</v>
      </c>
      <c r="BM93" s="80"/>
      <c r="BQ93" s="80"/>
      <c r="BR93" s="65"/>
      <c r="BV93" s="80"/>
      <c r="BW93" t="s">
        <v>39</v>
      </c>
      <c r="BX93">
        <v>1.3620512820512824E-2</v>
      </c>
      <c r="CA93" t="s">
        <v>774</v>
      </c>
      <c r="CC93" s="80"/>
    </row>
    <row r="94" spans="2:85" x14ac:dyDescent="0.25">
      <c r="C94" t="s">
        <v>92</v>
      </c>
      <c r="E94" s="82"/>
      <c r="F94" s="152"/>
      <c r="G94" s="361"/>
      <c r="H94" s="152">
        <f t="shared" si="5"/>
        <v>21.562499999999996</v>
      </c>
      <c r="I94" s="65">
        <f>K55/H94</f>
        <v>1.5618226086956524E-2</v>
      </c>
      <c r="J94" s="65">
        <f>K55/U149</f>
        <v>9.4360115942028998E-3</v>
      </c>
      <c r="K94" s="327">
        <f>I55</f>
        <v>0.90749999999999997</v>
      </c>
      <c r="L94" s="80">
        <v>33.708333334999999</v>
      </c>
      <c r="M94" s="150">
        <f>J55</f>
        <v>0.51749999999999996</v>
      </c>
      <c r="N94" s="80">
        <v>25</v>
      </c>
      <c r="O94" s="250">
        <v>2.4E-2</v>
      </c>
      <c r="P94" s="61">
        <v>1.4999999999999999E-2</v>
      </c>
      <c r="Q94" s="61">
        <v>3.4000000000000002E-2</v>
      </c>
      <c r="R94" s="61">
        <v>4.0000000000000001E-3</v>
      </c>
      <c r="S94">
        <v>3.0567528735632177</v>
      </c>
      <c r="U94" t="s">
        <v>92</v>
      </c>
      <c r="AI94" s="80"/>
      <c r="AM94" s="80"/>
      <c r="AN94" s="65"/>
      <c r="AR94" s="80"/>
      <c r="AS94" t="s">
        <v>39</v>
      </c>
      <c r="AT94">
        <v>1.8070182266004958E-2</v>
      </c>
      <c r="AW94" t="s">
        <v>775</v>
      </c>
      <c r="AY94" s="80"/>
      <c r="BM94" s="80"/>
      <c r="BQ94" s="80"/>
      <c r="BV94" s="80"/>
      <c r="CC94" s="80"/>
    </row>
    <row r="95" spans="2:85" x14ac:dyDescent="0.25">
      <c r="I95" s="65"/>
      <c r="L95"/>
      <c r="M95" s="80"/>
      <c r="N95" t="s">
        <v>39</v>
      </c>
      <c r="O95" s="226">
        <v>1.6232730778647227E-2</v>
      </c>
      <c r="R95" t="s">
        <v>776</v>
      </c>
      <c r="T95" s="80"/>
      <c r="AH95" s="110" t="s">
        <v>176</v>
      </c>
      <c r="AI95" s="55"/>
      <c r="AJ95" s="55"/>
      <c r="AK95" s="55"/>
      <c r="AL95" s="55"/>
      <c r="AM95" s="111" t="s">
        <v>181</v>
      </c>
      <c r="AN95" s="55"/>
      <c r="AO95" s="55"/>
      <c r="AP95" s="55"/>
      <c r="AQ95" s="55"/>
      <c r="AR95" s="55"/>
      <c r="AS95" s="55"/>
      <c r="AT95" s="55"/>
      <c r="AU95" s="55"/>
      <c r="AV95" s="55"/>
      <c r="AW95" s="46"/>
      <c r="AX95" s="55"/>
      <c r="AY95" s="46"/>
      <c r="AZ95" s="55"/>
      <c r="BA95" s="55"/>
      <c r="BB95" s="121"/>
      <c r="BL95" s="110" t="s">
        <v>169</v>
      </c>
      <c r="BM95" s="55"/>
      <c r="BN95" s="55"/>
      <c r="BO95" s="55"/>
      <c r="BP95" s="55"/>
      <c r="BQ95" s="111" t="s">
        <v>170</v>
      </c>
      <c r="BR95" s="55"/>
      <c r="BS95" s="55"/>
      <c r="BT95" s="55"/>
      <c r="BU95" s="55"/>
      <c r="BV95" s="55"/>
      <c r="BW95" s="55"/>
      <c r="BX95" s="55"/>
      <c r="BY95" s="55"/>
      <c r="BZ95" s="55"/>
      <c r="CA95" s="46"/>
      <c r="CB95" s="55"/>
      <c r="CC95" s="46"/>
      <c r="CD95" s="55"/>
      <c r="CE95" s="55"/>
      <c r="CF95" s="55"/>
      <c r="CG95" s="121"/>
    </row>
    <row r="96" spans="2:85" x14ac:dyDescent="0.25">
      <c r="L96"/>
      <c r="M96" s="80"/>
      <c r="R96"/>
      <c r="T96" s="80"/>
      <c r="AH96" s="81">
        <v>1</v>
      </c>
      <c r="AI96" s="122">
        <v>2</v>
      </c>
      <c r="AJ96" s="138">
        <v>3</v>
      </c>
      <c r="AK96" s="122">
        <v>4</v>
      </c>
      <c r="AL96" s="122">
        <v>5</v>
      </c>
      <c r="AM96" s="134">
        <v>6</v>
      </c>
      <c r="AN96" s="122">
        <v>7</v>
      </c>
      <c r="AO96" s="122">
        <v>8</v>
      </c>
      <c r="AP96" s="122">
        <v>9</v>
      </c>
      <c r="AQ96" s="122">
        <v>10</v>
      </c>
      <c r="AR96" s="215">
        <v>11</v>
      </c>
      <c r="AS96" s="104">
        <v>12</v>
      </c>
      <c r="AT96" s="122">
        <v>13</v>
      </c>
      <c r="AU96" s="122">
        <v>14</v>
      </c>
      <c r="AV96" s="122">
        <v>15</v>
      </c>
      <c r="AW96" s="122">
        <v>16</v>
      </c>
      <c r="AX96" s="138">
        <v>17</v>
      </c>
      <c r="AY96" s="61">
        <v>18</v>
      </c>
      <c r="AZ96" s="122">
        <v>19</v>
      </c>
      <c r="BA96" s="122">
        <v>20</v>
      </c>
      <c r="BB96" s="112" t="s">
        <v>97</v>
      </c>
      <c r="BL96" s="134">
        <v>1</v>
      </c>
      <c r="BM96" s="122">
        <v>2</v>
      </c>
      <c r="BN96" s="61">
        <v>3</v>
      </c>
      <c r="BO96" s="122">
        <v>4</v>
      </c>
      <c r="BP96" s="122">
        <v>5</v>
      </c>
      <c r="BQ96" s="213">
        <v>6</v>
      </c>
      <c r="BR96" s="214">
        <v>7</v>
      </c>
      <c r="BS96" s="122">
        <v>8</v>
      </c>
      <c r="BT96" s="122">
        <v>9</v>
      </c>
      <c r="BU96" s="122">
        <v>10</v>
      </c>
      <c r="BV96" s="61">
        <v>11</v>
      </c>
      <c r="BW96" s="104">
        <v>12</v>
      </c>
      <c r="BX96" s="122">
        <v>13</v>
      </c>
      <c r="BY96" s="122">
        <v>14</v>
      </c>
      <c r="BZ96" s="122">
        <v>15</v>
      </c>
      <c r="CA96" s="122">
        <v>16</v>
      </c>
      <c r="CB96" s="215">
        <v>17</v>
      </c>
      <c r="CC96" s="61">
        <v>18</v>
      </c>
      <c r="CD96" s="122">
        <v>19</v>
      </c>
      <c r="CE96" s="122">
        <v>20</v>
      </c>
      <c r="CF96" s="122">
        <v>21</v>
      </c>
      <c r="CG96" s="112" t="s">
        <v>97</v>
      </c>
    </row>
    <row r="97" spans="3:86" x14ac:dyDescent="0.25">
      <c r="C97" s="110" t="s">
        <v>100</v>
      </c>
      <c r="D97" s="55"/>
      <c r="E97" s="55"/>
      <c r="F97" s="55"/>
      <c r="G97" s="55"/>
      <c r="H97" s="111" t="s">
        <v>101</v>
      </c>
      <c r="I97" s="55"/>
      <c r="J97" s="55"/>
      <c r="K97" s="55"/>
      <c r="L97" s="55"/>
      <c r="M97" s="55"/>
      <c r="N97" s="55"/>
      <c r="O97" s="55"/>
      <c r="P97" s="55"/>
      <c r="Q97" s="55"/>
      <c r="R97" s="46"/>
      <c r="S97" s="55"/>
      <c r="T97" s="46"/>
      <c r="U97" s="55"/>
      <c r="V97" s="55"/>
      <c r="W97" s="121"/>
      <c r="AH97" s="113">
        <f>AM77</f>
        <v>408.79518072289153</v>
      </c>
      <c r="AI97" s="123">
        <f>X7/0.0138</f>
        <v>583.695652173913</v>
      </c>
      <c r="AJ97" s="114">
        <f>AM78</f>
        <v>1041.3636363636363</v>
      </c>
      <c r="AK97" s="123"/>
      <c r="AL97" s="123">
        <f>X10/0.011</f>
        <v>785.90909090909088</v>
      </c>
      <c r="AM97" s="135">
        <f>X17/0.011</f>
        <v>655</v>
      </c>
      <c r="AN97" s="123">
        <f>X18/0.011</f>
        <v>107.72727272727273</v>
      </c>
      <c r="AO97" s="123">
        <f>X19/0.011</f>
        <v>495.90909090909093</v>
      </c>
      <c r="AP97" s="123">
        <f>X20/0.0117</f>
        <v>1087.6068376068376</v>
      </c>
      <c r="AQ97" s="123">
        <f>X21/0.0117</f>
        <v>514.95726495726501</v>
      </c>
      <c r="AR97" s="139">
        <f>AM79</f>
        <v>756.42857142857133</v>
      </c>
      <c r="AS97" s="117">
        <f>AM81</f>
        <v>346.90402476780184</v>
      </c>
      <c r="AT97" s="123">
        <f>X24/0.0179</f>
        <v>347.20670391061452</v>
      </c>
      <c r="AU97" s="123"/>
      <c r="AV97" s="123">
        <f>X26/0.0188</f>
        <v>555.05319148936167</v>
      </c>
      <c r="AW97" s="123">
        <f>X27/0.0188</f>
        <v>364.62765957446811</v>
      </c>
      <c r="AX97" s="114">
        <f>AM83</f>
        <v>228.38235294117646</v>
      </c>
      <c r="AY97" s="139">
        <f>AM84</f>
        <v>342.13333333333333</v>
      </c>
      <c r="AZ97" s="123">
        <f>X30/0.0188</f>
        <v>328.45744680851061</v>
      </c>
      <c r="BA97" s="123">
        <f>X31/0.0188</f>
        <v>242.28723404255322</v>
      </c>
      <c r="BB97" s="115" t="s">
        <v>98</v>
      </c>
      <c r="BL97" s="135">
        <f>AR6/0.0167</f>
        <v>85.796407185628752</v>
      </c>
      <c r="BM97" s="123">
        <f>AR7/0.0167</f>
        <v>106.1556886227545</v>
      </c>
      <c r="BN97" s="114">
        <f>BQ80</f>
        <v>107.56800000000001</v>
      </c>
      <c r="BO97" s="123">
        <f>AR9/AV8</f>
        <v>85.968000000000004</v>
      </c>
      <c r="BP97" s="123">
        <f>AR10/AV8</f>
        <v>105.76800000000001</v>
      </c>
      <c r="BQ97" s="135">
        <f>AR16/AV8</f>
        <v>101.56800000000001</v>
      </c>
      <c r="BR97" s="123">
        <f>AR17/AV8</f>
        <v>145.96799999999999</v>
      </c>
      <c r="BS97" s="123">
        <f>AR18/AV8</f>
        <v>107.56800000000001</v>
      </c>
      <c r="BT97" s="123">
        <f>AR19/0.0153</f>
        <v>164.23529411764707</v>
      </c>
      <c r="BU97" s="123">
        <f>AR20/0.0153</f>
        <v>119.79084967320263</v>
      </c>
      <c r="BV97" s="139">
        <f>BQ81</f>
        <v>173.11578947368423</v>
      </c>
      <c r="BW97" s="117">
        <f>BQ82</f>
        <v>134.53043478260869</v>
      </c>
      <c r="BX97" s="123">
        <f>AR23/0.012</f>
        <v>175.23333333333332</v>
      </c>
      <c r="BY97" s="123">
        <f>AR24/0.012</f>
        <v>190.23333333333332</v>
      </c>
      <c r="BZ97" s="123">
        <f>AR25/0.012</f>
        <v>112.73333333333333</v>
      </c>
      <c r="CA97" s="123">
        <f>AR26/0.012</f>
        <v>191.9</v>
      </c>
      <c r="CB97" s="139">
        <f>BQ83</f>
        <v>130.23333333333335</v>
      </c>
      <c r="CC97" s="139">
        <f>BQ85</f>
        <v>175.95428571428573</v>
      </c>
      <c r="CD97" s="123">
        <f>AR29/0.0117</f>
        <v>115.62393162393163</v>
      </c>
      <c r="CE97" s="123">
        <f>AR30/0.0117</f>
        <v>149.81196581196582</v>
      </c>
      <c r="CF97" s="123">
        <f>AR31/0.0117</f>
        <v>58.358974358974351</v>
      </c>
      <c r="CG97" s="115" t="s">
        <v>98</v>
      </c>
    </row>
    <row r="98" spans="3:86" x14ac:dyDescent="0.25">
      <c r="C98" s="81">
        <v>1</v>
      </c>
      <c r="D98" s="122">
        <v>2</v>
      </c>
      <c r="E98" s="61">
        <v>3</v>
      </c>
      <c r="F98" s="122">
        <v>4</v>
      </c>
      <c r="G98" s="122">
        <v>5</v>
      </c>
      <c r="H98" s="134">
        <v>6</v>
      </c>
      <c r="I98" s="122">
        <v>7</v>
      </c>
      <c r="J98" s="122">
        <v>8</v>
      </c>
      <c r="K98" s="122">
        <v>9</v>
      </c>
      <c r="L98" s="122">
        <v>10</v>
      </c>
      <c r="M98" s="138">
        <v>11</v>
      </c>
      <c r="N98" s="104">
        <v>12</v>
      </c>
      <c r="O98" s="122">
        <v>13</v>
      </c>
      <c r="P98" s="122">
        <v>14</v>
      </c>
      <c r="Q98" s="122">
        <v>15</v>
      </c>
      <c r="R98" s="122">
        <v>16</v>
      </c>
      <c r="S98" s="138">
        <v>17</v>
      </c>
      <c r="T98" s="61">
        <v>18</v>
      </c>
      <c r="U98" s="122">
        <v>19</v>
      </c>
      <c r="V98" s="122">
        <v>20</v>
      </c>
      <c r="W98" s="112" t="s">
        <v>97</v>
      </c>
      <c r="AH98" s="42"/>
      <c r="AI98" s="124">
        <f>AD7/0.0138</f>
        <v>227.89855072463769</v>
      </c>
      <c r="AJ98" s="124">
        <f>AD8/0.011</f>
        <v>435.90909090909093</v>
      </c>
      <c r="AK98" s="124"/>
      <c r="AL98" s="124">
        <f>AD10/0.011</f>
        <v>269.54545454545456</v>
      </c>
      <c r="AM98" s="129">
        <f>AD17/0.011</f>
        <v>355.90909090909093</v>
      </c>
      <c r="AN98" s="124"/>
      <c r="AO98" s="124"/>
      <c r="AP98" s="124"/>
      <c r="AQ98" s="124"/>
      <c r="AR98" s="130">
        <f>AM80</f>
        <v>205.5</v>
      </c>
      <c r="AS98" s="130">
        <f>AM82</f>
        <v>89.25</v>
      </c>
      <c r="AT98" s="124">
        <f>AD24/0.02</f>
        <v>47.749999999999993</v>
      </c>
      <c r="AU98" s="124"/>
      <c r="AV98" s="124">
        <f>AD26/0.0188</f>
        <v>224.7340425531915</v>
      </c>
      <c r="AW98" s="124">
        <f>AD27/0.0188</f>
        <v>76.329787234042556</v>
      </c>
      <c r="AX98" s="124">
        <f>AD28/0.034</f>
        <v>85.441176470588232</v>
      </c>
      <c r="AY98" s="153">
        <f>AD29/0.0188</f>
        <v>89.627659574468083</v>
      </c>
      <c r="AZ98" s="124"/>
      <c r="BA98" s="124"/>
      <c r="BB98" s="115" t="s">
        <v>99</v>
      </c>
      <c r="BL98" s="129">
        <f>AX6/0.0167</f>
        <v>9.748502994011977</v>
      </c>
      <c r="BM98" s="124">
        <f>AX7/0.0167</f>
        <v>46.275449101796411</v>
      </c>
      <c r="BN98" s="124">
        <f>AX8/0.0167</f>
        <v>31.904191616766472</v>
      </c>
      <c r="BO98" s="124">
        <f>AX9/0.0167</f>
        <v>18.730538922155691</v>
      </c>
      <c r="BP98" s="124">
        <f>AX10/0.0167</f>
        <v>33.700598802395206</v>
      </c>
      <c r="BQ98" s="129">
        <f>AX16/0.0167</f>
        <v>28.311377245508982</v>
      </c>
      <c r="BR98" s="124">
        <f>AX17/0.0167</f>
        <v>57.053892215568865</v>
      </c>
      <c r="BS98" s="124">
        <f>AX18/0.0167</f>
        <v>36.095808383233532</v>
      </c>
      <c r="BT98" s="124">
        <f>AX19/0.0153</f>
        <v>79.921568627450995</v>
      </c>
      <c r="BU98" s="124">
        <f>AX20/0.0153</f>
        <v>32.86274509803922</v>
      </c>
      <c r="BV98" s="145">
        <f>AX21/0.01267</f>
        <v>73.62273086029991</v>
      </c>
      <c r="BW98" s="124">
        <f>AX22/0.01533</f>
        <v>27.579908675799089</v>
      </c>
      <c r="BX98" s="124">
        <f>AX23/0.012</f>
        <v>88.566666666666677</v>
      </c>
      <c r="BY98" s="124">
        <f>AX24/0.012</f>
        <v>51.06666666666667</v>
      </c>
      <c r="BZ98" s="124">
        <f>AX25/0.012</f>
        <v>23.566666666666666</v>
      </c>
      <c r="CA98" s="124">
        <f>AX26/0.012</f>
        <v>62.733333333333334</v>
      </c>
      <c r="CB98" s="153">
        <f>BQ84</f>
        <v>17.634782608695652</v>
      </c>
      <c r="CC98" s="124">
        <f>AX28/0.0117</f>
        <v>38.700854700854698</v>
      </c>
      <c r="CD98" s="124"/>
      <c r="CE98" s="124">
        <f>AX30/0.0117</f>
        <v>28.444444444444443</v>
      </c>
      <c r="CF98" s="124"/>
      <c r="CG98" s="115" t="s">
        <v>99</v>
      </c>
    </row>
    <row r="99" spans="3:86" x14ac:dyDescent="0.25">
      <c r="C99" s="113">
        <f>H77</f>
        <v>97.899999999999991</v>
      </c>
      <c r="D99" s="123">
        <f>D7/0.01555</f>
        <v>138.74598070739552</v>
      </c>
      <c r="E99" s="114">
        <f>H78</f>
        <v>189.54983922829581</v>
      </c>
      <c r="F99" s="123">
        <f>D9/0.01555</f>
        <v>163.18327974276528</v>
      </c>
      <c r="G99" s="123">
        <f>D10/0.0155</f>
        <v>168.2258064516129</v>
      </c>
      <c r="H99" s="135">
        <f>D17/0.01555</f>
        <v>167.68488745980707</v>
      </c>
      <c r="I99" s="123">
        <f>D18/0.01555</f>
        <v>226.84887459807075</v>
      </c>
      <c r="J99" s="123">
        <f>D19/0.01555</f>
        <v>189.54983922829581</v>
      </c>
      <c r="K99" s="123">
        <f>D20/0.0115</f>
        <v>229.34782608695653</v>
      </c>
      <c r="L99" s="123">
        <f>D21/0.0115</f>
        <v>245</v>
      </c>
      <c r="M99" s="114">
        <f>H80</f>
        <v>288.47826086956519</v>
      </c>
      <c r="N99" s="117">
        <f>H82</f>
        <v>231.74999999999997</v>
      </c>
      <c r="O99" s="123">
        <f>D24/0.0135</f>
        <v>202.77777777777777</v>
      </c>
      <c r="P99" s="123">
        <f>D25/0.0135</f>
        <v>170.18518518518519</v>
      </c>
      <c r="Q99" s="123">
        <f>D26/0.0135</f>
        <v>241.29629629629628</v>
      </c>
      <c r="R99" s="123">
        <f>D27/0.0135</f>
        <v>170.18518518518519</v>
      </c>
      <c r="S99" s="114">
        <f>H83</f>
        <v>274.31818181818181</v>
      </c>
      <c r="T99" s="139">
        <f>H84</f>
        <v>208.7037037037037</v>
      </c>
      <c r="U99" s="123">
        <f>D30/0.0135</f>
        <v>162.77777777777777</v>
      </c>
      <c r="V99" s="123">
        <f>D31/0.0135</f>
        <v>227.22222222222223</v>
      </c>
      <c r="W99" s="115" t="s">
        <v>98</v>
      </c>
      <c r="AH99" s="42"/>
      <c r="AI99" s="125"/>
      <c r="AJ99" s="125"/>
      <c r="AK99" s="125"/>
      <c r="AL99" s="145"/>
      <c r="AM99" s="134">
        <f>AJ17/0.011</f>
        <v>52.272727272727273</v>
      </c>
      <c r="AN99" s="145"/>
      <c r="AO99" s="125"/>
      <c r="AP99" s="125"/>
      <c r="AQ99" s="125"/>
      <c r="AR99" s="153"/>
      <c r="AS99" s="80"/>
      <c r="AT99" s="125"/>
      <c r="AU99" s="125"/>
      <c r="AV99" s="125"/>
      <c r="AW99" s="125"/>
      <c r="AX99" s="150"/>
      <c r="AY99" s="153"/>
      <c r="AZ99" s="125"/>
      <c r="BA99" s="125"/>
      <c r="BB99" s="115" t="s">
        <v>102</v>
      </c>
      <c r="BL99" s="129"/>
      <c r="BM99" s="124"/>
      <c r="BN99" s="124"/>
      <c r="BO99" s="125"/>
      <c r="BP99" s="145"/>
      <c r="BQ99" s="134"/>
      <c r="BR99" s="145"/>
      <c r="BS99" s="125"/>
      <c r="BT99" s="125"/>
      <c r="BU99" s="125"/>
      <c r="BV99" s="145"/>
      <c r="BW99" s="125"/>
      <c r="BX99" s="125">
        <f>BD23/0.0115</f>
        <v>14.156521739130435</v>
      </c>
      <c r="BY99" s="125"/>
      <c r="BZ99" s="125"/>
      <c r="CA99" s="125"/>
      <c r="CB99" s="80"/>
      <c r="CC99" s="125"/>
      <c r="CD99" s="125"/>
      <c r="CE99" s="125"/>
      <c r="CF99" s="125"/>
      <c r="CG99" s="115" t="s">
        <v>102</v>
      </c>
    </row>
    <row r="100" spans="3:86" x14ac:dyDescent="0.25">
      <c r="C100" s="129">
        <f>J7/O77</f>
        <v>36.699999999999996</v>
      </c>
      <c r="D100" s="124">
        <f>J7/0.01555</f>
        <v>59.0032154340836</v>
      </c>
      <c r="E100" s="117">
        <f>M79/O79</f>
        <v>42.260692464358449</v>
      </c>
      <c r="F100" s="124">
        <f>J9/0.01555</f>
        <v>59.0032154340836</v>
      </c>
      <c r="G100" s="124">
        <f>J10/0.01555</f>
        <v>88.585209003215439</v>
      </c>
      <c r="H100" s="129">
        <f>J17/0.01555</f>
        <v>43.569131832797432</v>
      </c>
      <c r="I100" s="124">
        <f>J18/0.01555</f>
        <v>129.09967845659165</v>
      </c>
      <c r="J100" s="124">
        <f>J19/0.0155</f>
        <v>66.935483870967744</v>
      </c>
      <c r="K100" s="124">
        <f>J20/0.0115</f>
        <v>42.391304347826079</v>
      </c>
      <c r="L100" s="124">
        <f>J21/0.0115</f>
        <v>80.652173913043484</v>
      </c>
      <c r="M100" s="117">
        <f>H81</f>
        <v>36.689189189189186</v>
      </c>
      <c r="N100" s="124">
        <f>J23/0.0135</f>
        <v>43.518518518518519</v>
      </c>
      <c r="O100" s="124">
        <f>J24/0.0135</f>
        <v>95.370370370370381</v>
      </c>
      <c r="P100" s="124">
        <f>J25/0.0135</f>
        <v>41.296296296296298</v>
      </c>
      <c r="Q100" s="124">
        <f>J26/0.0135</f>
        <v>91.666666666666671</v>
      </c>
      <c r="R100" s="124">
        <f>J27/0.0135</f>
        <v>18.333333333333332</v>
      </c>
      <c r="S100" s="124">
        <f>J28/0.011</f>
        <v>74.318181818181827</v>
      </c>
      <c r="T100" s="153">
        <f>H85</f>
        <v>72.228260869565219</v>
      </c>
      <c r="U100" s="124">
        <f>J30/0.0135</f>
        <v>30.925925925925924</v>
      </c>
      <c r="V100" s="124">
        <f>J31/0.0135</f>
        <v>30.925925925925924</v>
      </c>
      <c r="W100" s="115" t="s">
        <v>99</v>
      </c>
      <c r="AH100" s="116"/>
      <c r="AI100" s="124">
        <f>AI97-AI98</f>
        <v>355.79710144927532</v>
      </c>
      <c r="AJ100" s="229">
        <f>AJ97-AJ98</f>
        <v>605.45454545454527</v>
      </c>
      <c r="AK100" s="124"/>
      <c r="AL100" s="142">
        <f>AL97-AL98</f>
        <v>516.36363636363626</v>
      </c>
      <c r="AM100" s="124">
        <f>AM97-AM98</f>
        <v>299.09090909090907</v>
      </c>
      <c r="AN100" s="124"/>
      <c r="AO100" s="124"/>
      <c r="AP100" s="124"/>
      <c r="AQ100" s="124"/>
      <c r="AR100" s="130">
        <f>AR97-AR98</f>
        <v>550.92857142857133</v>
      </c>
      <c r="AS100" s="130">
        <f>AS97-AS98</f>
        <v>257.65402476780184</v>
      </c>
      <c r="AT100" s="124">
        <f>AT97-AT98</f>
        <v>299.45670391061452</v>
      </c>
      <c r="AU100" s="124"/>
      <c r="AV100" s="124">
        <f>AV97-AV98</f>
        <v>330.31914893617017</v>
      </c>
      <c r="AW100" s="124">
        <f>AW97-AW98</f>
        <v>288.29787234042556</v>
      </c>
      <c r="AX100" s="124">
        <f>AX97-AX98</f>
        <v>142.94117647058823</v>
      </c>
      <c r="AY100" s="117">
        <f>AY97-AY98</f>
        <v>252.50567375886524</v>
      </c>
      <c r="AZ100" s="124"/>
      <c r="BA100" s="124"/>
      <c r="BB100" s="115" t="s">
        <v>105</v>
      </c>
      <c r="BL100" s="129">
        <f t="shared" ref="BL100:CC100" si="11">BL97-BL98</f>
        <v>76.04790419161678</v>
      </c>
      <c r="BM100" s="124">
        <f t="shared" si="11"/>
        <v>59.880239520958085</v>
      </c>
      <c r="BN100" s="124">
        <f t="shared" si="11"/>
        <v>75.663808383233544</v>
      </c>
      <c r="BO100" s="124">
        <f t="shared" si="11"/>
        <v>67.237461077844316</v>
      </c>
      <c r="BP100" s="142">
        <f t="shared" si="11"/>
        <v>72.067401197604809</v>
      </c>
      <c r="BQ100" s="124">
        <f t="shared" si="11"/>
        <v>73.256622754491033</v>
      </c>
      <c r="BR100" s="124">
        <f t="shared" si="11"/>
        <v>88.914107784431124</v>
      </c>
      <c r="BS100" s="124">
        <f t="shared" si="11"/>
        <v>71.47219161676648</v>
      </c>
      <c r="BT100" s="124">
        <f t="shared" si="11"/>
        <v>84.313725490196077</v>
      </c>
      <c r="BU100" s="124">
        <f t="shared" si="11"/>
        <v>86.928104575163417</v>
      </c>
      <c r="BV100" s="145">
        <f t="shared" si="11"/>
        <v>99.493058613384321</v>
      </c>
      <c r="BW100" s="124">
        <f t="shared" si="11"/>
        <v>106.9505261068096</v>
      </c>
      <c r="BX100" s="124">
        <f t="shared" si="11"/>
        <v>86.666666666666643</v>
      </c>
      <c r="BY100" s="124">
        <f t="shared" si="11"/>
        <v>139.16666666666666</v>
      </c>
      <c r="BZ100" s="124">
        <f t="shared" si="11"/>
        <v>89.166666666666671</v>
      </c>
      <c r="CA100" s="124">
        <f t="shared" si="11"/>
        <v>129.16666666666669</v>
      </c>
      <c r="CB100" s="130">
        <f t="shared" si="11"/>
        <v>112.5985507246377</v>
      </c>
      <c r="CC100" s="124">
        <f t="shared" si="11"/>
        <v>137.25343101343103</v>
      </c>
      <c r="CD100" s="124"/>
      <c r="CE100" s="124">
        <f>CE97-CE98</f>
        <v>121.36752136752138</v>
      </c>
      <c r="CF100" s="124"/>
      <c r="CG100" s="115" t="s">
        <v>105</v>
      </c>
    </row>
    <row r="101" spans="3:86" x14ac:dyDescent="0.25">
      <c r="C101" s="42"/>
      <c r="D101" s="125"/>
      <c r="F101" s="125"/>
      <c r="G101" s="145">
        <f>P10/0.01555</f>
        <v>7.5562700964630229</v>
      </c>
      <c r="H101" s="134"/>
      <c r="I101" s="145">
        <f>P18/0.01555</f>
        <v>21.061093247588424</v>
      </c>
      <c r="J101" s="125"/>
      <c r="K101" s="125"/>
      <c r="L101" s="125"/>
      <c r="M101" s="145">
        <f>P22/0.042</f>
        <v>1.3690476190476193</v>
      </c>
      <c r="O101" s="125"/>
      <c r="P101" s="125"/>
      <c r="Q101" s="125"/>
      <c r="R101" s="125"/>
      <c r="S101" s="150"/>
      <c r="T101" s="153"/>
      <c r="U101" s="125"/>
      <c r="V101" s="125"/>
      <c r="W101" s="115" t="s">
        <v>102</v>
      </c>
      <c r="AH101" s="109"/>
      <c r="AI101" s="126"/>
      <c r="AJ101" s="230"/>
      <c r="AK101" s="126"/>
      <c r="AL101" s="126"/>
      <c r="AM101" s="129">
        <f>AM98-AM99</f>
        <v>303.63636363636368</v>
      </c>
      <c r="AN101" s="124"/>
      <c r="AO101" s="124"/>
      <c r="AP101" s="124"/>
      <c r="AQ101" s="124"/>
      <c r="AR101" s="130"/>
      <c r="AS101" s="61"/>
      <c r="AT101" s="124"/>
      <c r="AU101" s="124"/>
      <c r="AV101" s="124"/>
      <c r="AW101" s="124"/>
      <c r="AX101" s="117"/>
      <c r="AY101" s="130"/>
      <c r="AZ101" s="124"/>
      <c r="BA101" s="124"/>
      <c r="BB101" s="101" t="s">
        <v>106</v>
      </c>
      <c r="BD101" t="s">
        <v>110</v>
      </c>
      <c r="BL101" s="129"/>
      <c r="BM101" s="124"/>
      <c r="BN101" s="126"/>
      <c r="BO101" s="126"/>
      <c r="BP101" s="126"/>
      <c r="BQ101" s="129"/>
      <c r="BR101" s="124"/>
      <c r="BS101" s="124"/>
      <c r="BT101" s="124"/>
      <c r="BU101" s="124"/>
      <c r="BV101" s="124"/>
      <c r="BW101" s="124"/>
      <c r="BX101" s="124">
        <f>BX98-BX99</f>
        <v>74.410144927536237</v>
      </c>
      <c r="BY101" s="124"/>
      <c r="BZ101" s="124"/>
      <c r="CA101" s="124"/>
      <c r="CB101" s="130"/>
      <c r="CC101" s="124"/>
      <c r="CD101" s="124"/>
      <c r="CE101" s="124"/>
      <c r="CF101" s="124"/>
      <c r="CG101" s="101" t="s">
        <v>106</v>
      </c>
      <c r="CH101" t="s">
        <v>110</v>
      </c>
    </row>
    <row r="102" spans="3:86" x14ac:dyDescent="0.25">
      <c r="C102" s="116">
        <f t="shared" ref="C102:V102" si="12">C99-C100</f>
        <v>61.199999999999996</v>
      </c>
      <c r="D102" s="124">
        <f t="shared" si="12"/>
        <v>79.742765273311917</v>
      </c>
      <c r="E102" s="117">
        <f t="shared" si="12"/>
        <v>147.28914676393737</v>
      </c>
      <c r="F102" s="124">
        <f t="shared" si="12"/>
        <v>104.18006430868168</v>
      </c>
      <c r="G102" s="142">
        <f t="shared" si="12"/>
        <v>79.640597448397457</v>
      </c>
      <c r="H102" s="124">
        <f t="shared" si="12"/>
        <v>124.11575562700963</v>
      </c>
      <c r="I102" s="124">
        <f t="shared" si="12"/>
        <v>97.749196141479104</v>
      </c>
      <c r="J102" s="124">
        <f t="shared" si="12"/>
        <v>122.61435535732807</v>
      </c>
      <c r="K102" s="124">
        <f t="shared" si="12"/>
        <v>186.95652173913044</v>
      </c>
      <c r="L102" s="124">
        <f t="shared" si="12"/>
        <v>164.3478260869565</v>
      </c>
      <c r="M102" s="117">
        <f t="shared" si="12"/>
        <v>251.789071680376</v>
      </c>
      <c r="N102" s="117">
        <f t="shared" si="12"/>
        <v>188.23148148148147</v>
      </c>
      <c r="O102" s="124">
        <f t="shared" si="12"/>
        <v>107.40740740740739</v>
      </c>
      <c r="P102" s="124">
        <f t="shared" si="12"/>
        <v>128.88888888888889</v>
      </c>
      <c r="Q102" s="124">
        <f t="shared" si="12"/>
        <v>149.62962962962962</v>
      </c>
      <c r="R102" s="124">
        <f t="shared" si="12"/>
        <v>151.85185185185185</v>
      </c>
      <c r="S102" s="124">
        <f t="shared" si="12"/>
        <v>200</v>
      </c>
      <c r="T102" s="117">
        <f t="shared" si="12"/>
        <v>136.47544283413848</v>
      </c>
      <c r="U102" s="124">
        <f t="shared" si="12"/>
        <v>131.85185185185185</v>
      </c>
      <c r="V102" s="124">
        <f t="shared" si="12"/>
        <v>196.2962962962963</v>
      </c>
      <c r="W102" s="115" t="s">
        <v>105</v>
      </c>
      <c r="AH102" s="118"/>
      <c r="AI102" s="126">
        <f>AI100</f>
        <v>355.79710144927532</v>
      </c>
      <c r="AJ102" s="231">
        <f>AJ100</f>
        <v>605.45454545454527</v>
      </c>
      <c r="AK102" s="126"/>
      <c r="AL102" s="126">
        <f>(AL100+AL101)/2</f>
        <v>258.18181818181813</v>
      </c>
      <c r="AM102" s="147">
        <f>(AM100+AM101)/2</f>
        <v>301.36363636363637</v>
      </c>
      <c r="AN102" s="137"/>
      <c r="AO102" s="137"/>
      <c r="AP102" s="137"/>
      <c r="AQ102" s="137"/>
      <c r="AR102" s="216">
        <f>(AR100+AR101)/2</f>
        <v>275.46428571428567</v>
      </c>
      <c r="AS102" s="216">
        <f>AS100</f>
        <v>257.65402476780184</v>
      </c>
      <c r="AT102" s="137">
        <f>AT100</f>
        <v>299.45670391061452</v>
      </c>
      <c r="AU102" s="137"/>
      <c r="AV102" s="137">
        <f>AV100</f>
        <v>330.31914893617017</v>
      </c>
      <c r="AW102" s="137">
        <f>AW100</f>
        <v>288.29787234042556</v>
      </c>
      <c r="AX102" s="137">
        <f>AX100</f>
        <v>142.94117647058823</v>
      </c>
      <c r="AY102" s="149">
        <f>AY100</f>
        <v>252.50567375886524</v>
      </c>
      <c r="AZ102" s="137"/>
      <c r="BA102" s="143"/>
      <c r="BB102" s="101" t="s">
        <v>107</v>
      </c>
      <c r="BD102" s="150">
        <f>AVERAGE(AH102:BA102)</f>
        <v>306.13054430436608</v>
      </c>
      <c r="BL102" s="147">
        <f>BL100</f>
        <v>76.04790419161678</v>
      </c>
      <c r="BM102" s="137">
        <f>BM100</f>
        <v>59.880239520958085</v>
      </c>
      <c r="BN102" s="148">
        <f>BN100</f>
        <v>75.663808383233544</v>
      </c>
      <c r="BO102" s="126">
        <f>BO100</f>
        <v>67.237461077844316</v>
      </c>
      <c r="BP102" s="126">
        <f>(BP100)/1</f>
        <v>72.067401197604809</v>
      </c>
      <c r="BQ102" s="147">
        <f>BQ100</f>
        <v>73.256622754491033</v>
      </c>
      <c r="BR102" s="137">
        <f>(BR100)/1</f>
        <v>88.914107784431124</v>
      </c>
      <c r="BS102" s="137">
        <f>BS100</f>
        <v>71.47219161676648</v>
      </c>
      <c r="BT102" s="137">
        <f>BT100</f>
        <v>84.313725490196077</v>
      </c>
      <c r="BU102" s="137">
        <f>BU100</f>
        <v>86.928104575163417</v>
      </c>
      <c r="BV102" s="148">
        <f>(BV100)/1</f>
        <v>99.493058613384321</v>
      </c>
      <c r="BW102" s="148">
        <f t="shared" ref="BW102:CC102" si="13">BW100</f>
        <v>106.9505261068096</v>
      </c>
      <c r="BX102" s="137">
        <f t="shared" si="13"/>
        <v>86.666666666666643</v>
      </c>
      <c r="BY102" s="137">
        <f t="shared" si="13"/>
        <v>139.16666666666666</v>
      </c>
      <c r="BZ102" s="137">
        <f t="shared" si="13"/>
        <v>89.166666666666671</v>
      </c>
      <c r="CA102" s="137">
        <f t="shared" si="13"/>
        <v>129.16666666666669</v>
      </c>
      <c r="CB102" s="216">
        <f t="shared" si="13"/>
        <v>112.5985507246377</v>
      </c>
      <c r="CC102" s="148">
        <f t="shared" si="13"/>
        <v>137.25343101343103</v>
      </c>
      <c r="CD102" s="137"/>
      <c r="CE102" s="137">
        <f>CE100</f>
        <v>121.36752136752138</v>
      </c>
      <c r="CF102" s="143"/>
      <c r="CG102" s="101" t="s">
        <v>107</v>
      </c>
      <c r="CH102" s="150">
        <f>AVERAGE(BL102:CF102)</f>
        <v>93.558490583408258</v>
      </c>
    </row>
    <row r="103" spans="3:86" ht="75" x14ac:dyDescent="0.25">
      <c r="C103" s="109"/>
      <c r="D103" s="126"/>
      <c r="E103" s="105"/>
      <c r="F103" s="126"/>
      <c r="G103" s="126">
        <f>G100-G101</f>
        <v>81.028938906752416</v>
      </c>
      <c r="H103" s="129"/>
      <c r="I103" s="124">
        <f>I100-I101</f>
        <v>108.03858520900323</v>
      </c>
      <c r="J103" s="124"/>
      <c r="K103" s="124"/>
      <c r="L103" s="124"/>
      <c r="M103" s="124">
        <f>M100-M101</f>
        <v>35.320141570141566</v>
      </c>
      <c r="N103" s="43"/>
      <c r="O103" s="124"/>
      <c r="P103" s="124"/>
      <c r="Q103" s="124"/>
      <c r="R103" s="124"/>
      <c r="S103" s="117"/>
      <c r="T103" s="130"/>
      <c r="U103" s="124"/>
      <c r="V103" s="124"/>
      <c r="W103" s="101" t="s">
        <v>106</v>
      </c>
      <c r="Y103" t="s">
        <v>110</v>
      </c>
      <c r="AG103" s="127" t="s">
        <v>104</v>
      </c>
      <c r="AH103" s="127"/>
      <c r="AI103" s="217" t="s">
        <v>182</v>
      </c>
      <c r="AJ103" s="127" t="s">
        <v>184</v>
      </c>
      <c r="AK103" s="217"/>
      <c r="AL103" s="217" t="s">
        <v>184</v>
      </c>
      <c r="AM103" s="217" t="s">
        <v>184</v>
      </c>
      <c r="AN103" s="217" t="s">
        <v>184</v>
      </c>
      <c r="AO103" s="217" t="s">
        <v>184</v>
      </c>
      <c r="AP103" s="217" t="s">
        <v>185</v>
      </c>
      <c r="AQ103" s="217" t="s">
        <v>185</v>
      </c>
      <c r="AR103" s="144"/>
      <c r="AS103" s="217"/>
      <c r="AT103" s="127" t="s">
        <v>186</v>
      </c>
      <c r="AU103" s="127"/>
      <c r="AV103" s="127" t="s">
        <v>187</v>
      </c>
      <c r="AW103" s="127" t="s">
        <v>187</v>
      </c>
      <c r="AX103" s="127" t="s">
        <v>188</v>
      </c>
      <c r="AY103" s="144"/>
      <c r="AZ103" s="127" t="s">
        <v>187</v>
      </c>
      <c r="BA103" s="127" t="s">
        <v>187</v>
      </c>
      <c r="BB103" s="127"/>
      <c r="BK103" s="127" t="s">
        <v>104</v>
      </c>
      <c r="BL103" s="217" t="s">
        <v>172</v>
      </c>
      <c r="BM103" s="217" t="s">
        <v>172</v>
      </c>
      <c r="BN103" s="217" t="s">
        <v>172</v>
      </c>
      <c r="BO103" s="217" t="s">
        <v>172</v>
      </c>
      <c r="BP103" s="217" t="s">
        <v>172</v>
      </c>
      <c r="BQ103" s="217" t="s">
        <v>172</v>
      </c>
      <c r="BR103" s="217" t="s">
        <v>172</v>
      </c>
      <c r="BS103" s="217" t="s">
        <v>172</v>
      </c>
      <c r="BT103" s="217" t="s">
        <v>173</v>
      </c>
      <c r="BU103" s="217" t="s">
        <v>173</v>
      </c>
      <c r="BV103" s="144" t="s">
        <v>179</v>
      </c>
      <c r="BW103" s="217" t="s">
        <v>180</v>
      </c>
      <c r="BX103" s="127" t="s">
        <v>174</v>
      </c>
      <c r="BY103" s="127" t="s">
        <v>174</v>
      </c>
      <c r="BZ103" s="127" t="s">
        <v>174</v>
      </c>
      <c r="CA103" s="127" t="s">
        <v>174</v>
      </c>
      <c r="CB103" s="127" t="s">
        <v>174</v>
      </c>
      <c r="CC103" s="144" t="s">
        <v>175</v>
      </c>
      <c r="CD103" s="144" t="s">
        <v>175</v>
      </c>
      <c r="CE103" s="144" t="s">
        <v>175</v>
      </c>
      <c r="CF103" s="144" t="s">
        <v>175</v>
      </c>
    </row>
    <row r="104" spans="3:86" x14ac:dyDescent="0.25">
      <c r="C104" s="118">
        <f>C102</f>
        <v>61.199999999999996</v>
      </c>
      <c r="D104" s="126">
        <f>D102</f>
        <v>79.742765273311917</v>
      </c>
      <c r="E104" s="119">
        <f>E102</f>
        <v>147.28914676393737</v>
      </c>
      <c r="F104" s="126">
        <f>F102</f>
        <v>104.18006430868168</v>
      </c>
      <c r="G104" s="126">
        <f>(G102+G103)/2</f>
        <v>80.334768177574944</v>
      </c>
      <c r="H104" s="147">
        <f>H102</f>
        <v>124.11575562700963</v>
      </c>
      <c r="I104" s="137">
        <f>(I102+I103)/2</f>
        <v>102.89389067524117</v>
      </c>
      <c r="J104" s="137">
        <f>J102</f>
        <v>122.61435535732807</v>
      </c>
      <c r="K104" s="137">
        <f>K102</f>
        <v>186.95652173913044</v>
      </c>
      <c r="L104" s="137">
        <f>L102</f>
        <v>164.3478260869565</v>
      </c>
      <c r="M104" s="148">
        <f>(M102+M103)/2</f>
        <v>143.55460662525877</v>
      </c>
      <c r="N104" s="149">
        <f t="shared" ref="N104:V104" si="14">N102</f>
        <v>188.23148148148147</v>
      </c>
      <c r="O104" s="137">
        <f t="shared" si="14"/>
        <v>107.40740740740739</v>
      </c>
      <c r="P104" s="137">
        <f t="shared" si="14"/>
        <v>128.88888888888889</v>
      </c>
      <c r="Q104" s="137">
        <f t="shared" si="14"/>
        <v>149.62962962962962</v>
      </c>
      <c r="R104" s="137">
        <f t="shared" si="14"/>
        <v>151.85185185185185</v>
      </c>
      <c r="S104" s="137">
        <f t="shared" si="14"/>
        <v>200</v>
      </c>
      <c r="T104" s="149">
        <f t="shared" si="14"/>
        <v>136.47544283413848</v>
      </c>
      <c r="U104" s="137">
        <f t="shared" si="14"/>
        <v>131.85185185185185</v>
      </c>
      <c r="V104" s="143">
        <f t="shared" si="14"/>
        <v>196.2962962962963</v>
      </c>
      <c r="W104" s="101" t="s">
        <v>107</v>
      </c>
      <c r="Y104" s="150">
        <f>AVERAGE(C104:V104)</f>
        <v>135.39312754379881</v>
      </c>
      <c r="AI104" s="125" t="s">
        <v>103</v>
      </c>
      <c r="AM104" s="80"/>
      <c r="AR104" s="80"/>
      <c r="AY104" s="80"/>
      <c r="BM104" s="125" t="s">
        <v>103</v>
      </c>
      <c r="BQ104" s="80"/>
      <c r="BV104" s="80"/>
      <c r="CC104" s="80"/>
    </row>
    <row r="105" spans="3:86" x14ac:dyDescent="0.25">
      <c r="R105"/>
      <c r="S105" s="80"/>
      <c r="AI105" s="80"/>
      <c r="AM105" s="80"/>
      <c r="AQ105" s="80"/>
      <c r="AX105" s="80"/>
      <c r="BM105" s="80"/>
      <c r="BQ105" s="80"/>
      <c r="BU105" s="80"/>
      <c r="CB105" s="80"/>
    </row>
    <row r="106" spans="3:86" x14ac:dyDescent="0.25">
      <c r="R106"/>
      <c r="S106" s="80"/>
      <c r="AI106" s="80"/>
      <c r="AM106" s="80"/>
      <c r="AQ106" s="80"/>
      <c r="AX106" s="80"/>
      <c r="BM106" s="80"/>
      <c r="BQ106" s="80"/>
      <c r="BU106" s="80"/>
      <c r="CB106" s="80"/>
    </row>
    <row r="107" spans="3:86" x14ac:dyDescent="0.25">
      <c r="R107"/>
      <c r="S107" s="80"/>
      <c r="AI107" s="80"/>
      <c r="AM107" s="80"/>
      <c r="AQ107" s="80"/>
      <c r="AX107" s="80"/>
      <c r="BM107" s="80"/>
      <c r="BQ107" s="80"/>
      <c r="BU107" s="80"/>
      <c r="CB107" s="80"/>
    </row>
    <row r="108" spans="3:86" x14ac:dyDescent="0.25">
      <c r="R108"/>
      <c r="S108" s="80"/>
      <c r="AI108" s="80"/>
      <c r="AM108" s="80"/>
      <c r="AQ108" s="80"/>
      <c r="AX108" s="80"/>
      <c r="BM108" s="80"/>
      <c r="BQ108" s="80"/>
      <c r="BU108" s="80"/>
      <c r="CB108" s="80"/>
    </row>
    <row r="109" spans="3:86" x14ac:dyDescent="0.25">
      <c r="R109"/>
      <c r="S109" s="80"/>
      <c r="AI109" s="80"/>
      <c r="AM109" s="80"/>
      <c r="AQ109" s="80"/>
      <c r="AX109" s="80"/>
      <c r="BM109" s="80"/>
      <c r="BQ109" s="80"/>
      <c r="BU109" s="80"/>
      <c r="CB109" s="80"/>
    </row>
    <row r="110" spans="3:86" x14ac:dyDescent="0.25">
      <c r="R110"/>
      <c r="S110" s="80"/>
      <c r="AI110" s="80"/>
      <c r="AM110" s="80"/>
      <c r="AQ110" s="80"/>
      <c r="AW110" s="80"/>
      <c r="BM110" s="80"/>
      <c r="BQ110" s="80"/>
      <c r="BU110" s="80"/>
      <c r="CA110" s="80"/>
    </row>
    <row r="111" spans="3:86" x14ac:dyDescent="0.25">
      <c r="R111"/>
      <c r="S111" s="80"/>
      <c r="AG111" t="s">
        <v>109</v>
      </c>
      <c r="AI111" s="80"/>
      <c r="AK111">
        <v>1.8070182266004958E-2</v>
      </c>
      <c r="AM111" s="80"/>
      <c r="AQ111" s="80"/>
      <c r="AW111" s="80"/>
      <c r="BK111" t="s">
        <v>109</v>
      </c>
      <c r="BM111" s="80"/>
      <c r="BO111" s="218">
        <v>1.36205128205128E-2</v>
      </c>
      <c r="BQ111" s="80"/>
      <c r="BU111" s="80"/>
      <c r="CA111" s="80"/>
    </row>
    <row r="112" spans="3:86" x14ac:dyDescent="0.25">
      <c r="AH112" s="110" t="s">
        <v>176</v>
      </c>
      <c r="AI112" s="55"/>
      <c r="AJ112" s="55"/>
      <c r="AK112" s="55"/>
      <c r="AL112" s="55"/>
      <c r="AM112" s="111" t="s">
        <v>181</v>
      </c>
      <c r="AN112" s="55"/>
      <c r="AO112" s="55"/>
      <c r="AP112" s="55"/>
      <c r="AQ112" s="55"/>
      <c r="AR112" s="55"/>
      <c r="AS112" s="55"/>
      <c r="AT112" s="55"/>
      <c r="AU112" s="55"/>
      <c r="AV112" s="55"/>
      <c r="AW112" s="46"/>
      <c r="AX112" s="55"/>
      <c r="AY112" s="46"/>
      <c r="AZ112" s="55"/>
      <c r="BA112" s="55"/>
      <c r="BB112" s="121"/>
      <c r="BL112" s="110" t="s">
        <v>169</v>
      </c>
      <c r="BM112" s="55"/>
      <c r="BN112" s="55"/>
      <c r="BO112" s="55"/>
      <c r="BP112" s="55"/>
      <c r="BQ112" s="111" t="s">
        <v>170</v>
      </c>
      <c r="BR112" s="55"/>
      <c r="BS112" s="55"/>
      <c r="BT112" s="55"/>
      <c r="BU112" s="55"/>
      <c r="BV112" s="55"/>
      <c r="BW112" s="55"/>
      <c r="BX112" s="55"/>
      <c r="BY112" s="55"/>
      <c r="BZ112" s="55"/>
      <c r="CA112" s="46"/>
      <c r="CB112" s="55"/>
      <c r="CC112" s="46"/>
      <c r="CD112" s="55"/>
      <c r="CE112" s="55"/>
      <c r="CF112" s="55"/>
      <c r="CG112" s="121"/>
    </row>
    <row r="113" spans="1:89" x14ac:dyDescent="0.25">
      <c r="B113" t="s">
        <v>109</v>
      </c>
      <c r="F113">
        <v>1.4500000000000001E-2</v>
      </c>
      <c r="AH113" s="81">
        <v>1</v>
      </c>
      <c r="AI113" s="122">
        <v>2</v>
      </c>
      <c r="AJ113" s="138">
        <v>3</v>
      </c>
      <c r="AK113" s="122">
        <v>4</v>
      </c>
      <c r="AL113" s="122">
        <v>5</v>
      </c>
      <c r="AM113" s="134">
        <v>6</v>
      </c>
      <c r="AN113" s="122">
        <v>7</v>
      </c>
      <c r="AO113" s="122">
        <v>8</v>
      </c>
      <c r="AP113" s="122">
        <v>9</v>
      </c>
      <c r="AQ113" s="122">
        <v>10</v>
      </c>
      <c r="AR113" s="215">
        <v>11</v>
      </c>
      <c r="AS113" s="104">
        <v>12</v>
      </c>
      <c r="AT113" s="122">
        <v>13</v>
      </c>
      <c r="AU113" s="122">
        <v>14</v>
      </c>
      <c r="AV113" s="122">
        <v>15</v>
      </c>
      <c r="AW113" s="122">
        <v>16</v>
      </c>
      <c r="AX113" s="138">
        <v>17</v>
      </c>
      <c r="AY113" s="61">
        <v>18</v>
      </c>
      <c r="AZ113" s="122">
        <v>19</v>
      </c>
      <c r="BA113" s="122">
        <v>20</v>
      </c>
      <c r="BB113" s="112" t="s">
        <v>97</v>
      </c>
      <c r="BL113" s="134">
        <v>1</v>
      </c>
      <c r="BM113" s="122">
        <v>2</v>
      </c>
      <c r="BN113" s="61">
        <v>3</v>
      </c>
      <c r="BO113" s="122">
        <v>4</v>
      </c>
      <c r="BP113" s="122">
        <v>5</v>
      </c>
      <c r="BQ113" s="213">
        <v>6</v>
      </c>
      <c r="BR113" s="214">
        <v>7</v>
      </c>
      <c r="BS113" s="122">
        <v>8</v>
      </c>
      <c r="BT113" s="122">
        <v>9</v>
      </c>
      <c r="BU113" s="122">
        <v>10</v>
      </c>
      <c r="BV113" s="61">
        <v>11</v>
      </c>
      <c r="BW113" s="104">
        <v>12</v>
      </c>
      <c r="BX113" s="122">
        <v>13</v>
      </c>
      <c r="BY113" s="122">
        <v>14</v>
      </c>
      <c r="BZ113" s="122">
        <v>15</v>
      </c>
      <c r="CA113" s="122">
        <v>16</v>
      </c>
      <c r="CB113" s="215">
        <v>17</v>
      </c>
      <c r="CC113" s="61">
        <v>18</v>
      </c>
      <c r="CD113" s="122">
        <v>19</v>
      </c>
      <c r="CE113" s="122">
        <v>20</v>
      </c>
      <c r="CF113" s="122">
        <v>21</v>
      </c>
      <c r="CG113" s="112" t="s">
        <v>97</v>
      </c>
    </row>
    <row r="114" spans="1:89" x14ac:dyDescent="0.25">
      <c r="C114" s="110" t="s">
        <v>100</v>
      </c>
      <c r="D114" s="55"/>
      <c r="E114" s="55"/>
      <c r="F114" s="55"/>
      <c r="G114" s="55"/>
      <c r="H114" s="111" t="s">
        <v>101</v>
      </c>
      <c r="I114" s="55"/>
      <c r="J114" s="55"/>
      <c r="K114" s="55"/>
      <c r="L114" s="55"/>
      <c r="M114" s="55"/>
      <c r="N114" s="55"/>
      <c r="O114" s="55"/>
      <c r="P114" s="55"/>
      <c r="Q114" s="55"/>
      <c r="R114" s="46"/>
      <c r="S114" s="55"/>
      <c r="T114" s="46"/>
      <c r="U114" s="55"/>
      <c r="V114" s="55"/>
      <c r="W114" s="121"/>
      <c r="AH114" s="113">
        <f>AM77</f>
        <v>408.79518072289153</v>
      </c>
      <c r="AI114" s="123">
        <f>X7/AK111</f>
        <v>445.76196750121863</v>
      </c>
      <c r="AJ114" s="114">
        <f>AM78</f>
        <v>1041.3636363636363</v>
      </c>
      <c r="AK114" s="123"/>
      <c r="AL114" s="123">
        <f>X10/AK111</f>
        <v>478.41244060186654</v>
      </c>
      <c r="AM114" s="135">
        <f>X17/AK111</f>
        <v>398.7231503223191</v>
      </c>
      <c r="AN114" s="123">
        <f>X18/AK111</f>
        <v>65.577645125877609</v>
      </c>
      <c r="AO114" s="123">
        <f>X19/AK111</f>
        <v>301.8785267187024</v>
      </c>
      <c r="AP114" s="123">
        <f>X20/AK111</f>
        <v>704.19876306058438</v>
      </c>
      <c r="AQ114" s="123">
        <f>X21/AK111</f>
        <v>333.4222041210233</v>
      </c>
      <c r="AR114" s="139">
        <f>AM79</f>
        <v>756.42857142857133</v>
      </c>
      <c r="AS114" s="117">
        <f>AM81</f>
        <v>346.90402476780184</v>
      </c>
      <c r="AT114" s="123">
        <f>X24/AK111</f>
        <v>343.93676325513024</v>
      </c>
      <c r="AU114" s="123"/>
      <c r="AV114" s="123">
        <f>X26/AK111</f>
        <v>577.4706556021373</v>
      </c>
      <c r="AW114" s="123">
        <f>X27/AK111</f>
        <v>379.35422560159577</v>
      </c>
      <c r="AX114" s="114">
        <f>AM83</f>
        <v>228.38235294117646</v>
      </c>
      <c r="AY114" s="205">
        <f>AM84</f>
        <v>342.13333333333333</v>
      </c>
      <c r="AZ114" s="123">
        <f>X30/AK111</f>
        <v>341.72317185847612</v>
      </c>
      <c r="BA114" s="123">
        <f>X31/AK111</f>
        <v>252.07272029398527</v>
      </c>
      <c r="BB114" s="115" t="s">
        <v>98</v>
      </c>
      <c r="BL114" s="135">
        <f>AR6/BO111</f>
        <v>105.19427710843391</v>
      </c>
      <c r="BM114" s="123">
        <f>AR7/BO111</f>
        <v>130.15662650602431</v>
      </c>
      <c r="BN114" s="114">
        <f>BQ80</f>
        <v>107.56800000000001</v>
      </c>
      <c r="BO114" s="123">
        <f>AR8/BO111</f>
        <v>131.62500000000023</v>
      </c>
      <c r="BP114" s="123">
        <f>AR9/BO111</f>
        <v>105.19427710843391</v>
      </c>
      <c r="BQ114" s="135">
        <f>AR16/BO111</f>
        <v>124.28313253012068</v>
      </c>
      <c r="BR114" s="123">
        <f>AR18/BO111</f>
        <v>131.62500000000023</v>
      </c>
      <c r="BS114" s="123">
        <f>AR18/BO111</f>
        <v>131.62500000000023</v>
      </c>
      <c r="BT114" s="123">
        <f>AR19/BO111</f>
        <v>184.48644578313281</v>
      </c>
      <c r="BU114" s="123">
        <f>AR20/BO111</f>
        <v>134.56174698795203</v>
      </c>
      <c r="BV114" s="139">
        <f>BQ81</f>
        <v>173.11578947368423</v>
      </c>
      <c r="BW114" s="117">
        <f>BQ82</f>
        <v>134.53043478260869</v>
      </c>
      <c r="BX114" s="123">
        <f>AR23/BO111</f>
        <v>154.38478915662674</v>
      </c>
      <c r="BY114" s="123">
        <f>AR24/BO111</f>
        <v>167.60015060240988</v>
      </c>
      <c r="BZ114" s="123">
        <f>AR25/BO111</f>
        <v>99.320783132530266</v>
      </c>
      <c r="CA114" s="123">
        <f>AR26/BO111</f>
        <v>169.0685240963858</v>
      </c>
      <c r="CB114" s="139">
        <f>BQ83</f>
        <v>130.23333333333335</v>
      </c>
      <c r="CC114" s="139">
        <f>BQ85</f>
        <v>175.95428571428573</v>
      </c>
      <c r="CD114" s="123">
        <f>AR29/BO111</f>
        <v>99.320783132530266</v>
      </c>
      <c r="CE114" s="123">
        <f>AR30/BO111</f>
        <v>128.68825301204839</v>
      </c>
      <c r="CF114" s="123">
        <f>AR31/BO111</f>
        <v>50.130271084337423</v>
      </c>
      <c r="CG114" s="115" t="s">
        <v>98</v>
      </c>
    </row>
    <row r="115" spans="1:89" x14ac:dyDescent="0.25">
      <c r="C115" s="81">
        <v>1</v>
      </c>
      <c r="D115" s="122">
        <v>2</v>
      </c>
      <c r="E115" s="61">
        <v>3</v>
      </c>
      <c r="F115" s="122">
        <v>4</v>
      </c>
      <c r="G115" s="122">
        <v>5</v>
      </c>
      <c r="H115" s="134">
        <v>6</v>
      </c>
      <c r="I115" s="122">
        <v>7</v>
      </c>
      <c r="J115" s="122">
        <v>8</v>
      </c>
      <c r="K115" s="122">
        <v>9</v>
      </c>
      <c r="L115" s="122">
        <v>10</v>
      </c>
      <c r="M115" s="138">
        <v>11</v>
      </c>
      <c r="N115" s="104">
        <v>12</v>
      </c>
      <c r="O115" s="122">
        <v>13</v>
      </c>
      <c r="P115" s="122">
        <v>14</v>
      </c>
      <c r="Q115" s="122">
        <v>15</v>
      </c>
      <c r="R115" s="122">
        <v>16</v>
      </c>
      <c r="S115" s="138">
        <v>17</v>
      </c>
      <c r="T115" s="61">
        <v>18</v>
      </c>
      <c r="U115" s="122">
        <v>19</v>
      </c>
      <c r="V115" s="122">
        <v>20</v>
      </c>
      <c r="W115" s="112" t="s">
        <v>97</v>
      </c>
      <c r="AH115" s="232"/>
      <c r="AI115" s="124">
        <f>AD7/AK111</f>
        <v>174.04362356192834</v>
      </c>
      <c r="AJ115" s="124">
        <f>AD8/AK111</f>
        <v>265.35426867390981</v>
      </c>
      <c r="AK115" s="124"/>
      <c r="AL115" s="124">
        <f>AD10/AK111</f>
        <v>164.0824622769849</v>
      </c>
      <c r="AM115" s="129">
        <f>AD17/AK111</f>
        <v>216.65525794751969</v>
      </c>
      <c r="AN115" s="124"/>
      <c r="AO115" s="124"/>
      <c r="AP115" s="124"/>
      <c r="AQ115" s="124"/>
      <c r="AR115" s="130">
        <f>AM80</f>
        <v>205.5</v>
      </c>
      <c r="AS115" s="117">
        <f>AM82</f>
        <v>89.25</v>
      </c>
      <c r="AT115" s="124">
        <f>AD24/AK111</f>
        <v>52.849494595116546</v>
      </c>
      <c r="AU115" s="124"/>
      <c r="AV115" s="124">
        <f>AD26/AK111</f>
        <v>233.81059127158895</v>
      </c>
      <c r="AW115" s="124">
        <f>AD27/AK111</f>
        <v>79.412591354965713</v>
      </c>
      <c r="AX115" s="124">
        <f>AD28/AK111</f>
        <v>160.76207518200377</v>
      </c>
      <c r="AY115" s="153">
        <f>AD29/AK111</f>
        <v>93.247537584053816</v>
      </c>
      <c r="AZ115" s="124"/>
      <c r="BA115" s="124"/>
      <c r="BB115" s="115" t="s">
        <v>99</v>
      </c>
      <c r="BL115" s="129">
        <f>AX6/BO111</f>
        <v>11.952560240963873</v>
      </c>
      <c r="BM115" s="124">
        <f>AX7/BO111</f>
        <v>56.737951807229003</v>
      </c>
      <c r="BN115" s="124">
        <f>AX8/BO111</f>
        <v>39.117469879518133</v>
      </c>
      <c r="BO115" s="124">
        <f>AX9/BO111</f>
        <v>22.96536144578317</v>
      </c>
      <c r="BP115" s="124">
        <f>AX10/BO111</f>
        <v>41.320030120481988</v>
      </c>
      <c r="BQ115" s="129">
        <f>AX16/BO111</f>
        <v>34.712349397590415</v>
      </c>
      <c r="BR115" s="124">
        <f>AX17/BO111</f>
        <v>69.953313253012155</v>
      </c>
      <c r="BS115" s="124">
        <f>AX18/BO111</f>
        <v>44.256777108433802</v>
      </c>
      <c r="BT115" s="124">
        <f>AX19/BO111</f>
        <v>89.776355421686887</v>
      </c>
      <c r="BU115" s="124">
        <f>AX20/BO111</f>
        <v>36.914909638554278</v>
      </c>
      <c r="BV115" s="145">
        <f>AX21/BO111</f>
        <v>68.484939759036251</v>
      </c>
      <c r="BW115" s="124">
        <f>AX22/BO111</f>
        <v>31.04141566265065</v>
      </c>
      <c r="BX115" s="124">
        <f>AX23/BO111</f>
        <v>78.029367469879645</v>
      </c>
      <c r="BY115" s="124">
        <f>AX24/BO111</f>
        <v>44.990963855421754</v>
      </c>
      <c r="BZ115" s="124">
        <f>AX25/BO111</f>
        <v>20.762801204819308</v>
      </c>
      <c r="CA115" s="124">
        <f>AX26/BO111</f>
        <v>55.269578313253099</v>
      </c>
      <c r="CB115" s="153">
        <f>BQ84</f>
        <v>17.634782608695652</v>
      </c>
      <c r="CC115" s="124">
        <f>AX28/BO111</f>
        <v>33.243975903614505</v>
      </c>
      <c r="CD115" s="124"/>
      <c r="CE115" s="124">
        <f>AX30/BO111</f>
        <v>24.433734939759074</v>
      </c>
      <c r="CF115" s="124"/>
      <c r="CG115" s="115" t="s">
        <v>99</v>
      </c>
    </row>
    <row r="116" spans="1:89" x14ac:dyDescent="0.25">
      <c r="C116" s="113">
        <f>D6/F113</f>
        <v>168.79310344827584</v>
      </c>
      <c r="D116" s="123">
        <f>D7/F113</f>
        <v>148.79310344827587</v>
      </c>
      <c r="E116" s="114">
        <f>D8/F113</f>
        <v>203.27586206896549</v>
      </c>
      <c r="F116" s="123">
        <f>D9/F113</f>
        <v>175</v>
      </c>
      <c r="G116" s="123">
        <f>D10/F113</f>
        <v>179.82758620689654</v>
      </c>
      <c r="H116" s="135">
        <f>D17/F113</f>
        <v>179.82758620689654</v>
      </c>
      <c r="I116" s="123">
        <f>D19/F113</f>
        <v>203.27586206896549</v>
      </c>
      <c r="J116" s="123">
        <f>D19/F113</f>
        <v>203.27586206896549</v>
      </c>
      <c r="K116" s="123">
        <f>D20/F113</f>
        <v>181.89655172413794</v>
      </c>
      <c r="L116" s="123">
        <f>D21/F113</f>
        <v>194.31034482758619</v>
      </c>
      <c r="M116" s="114">
        <f>D22/F113</f>
        <v>228.79310344827584</v>
      </c>
      <c r="N116" s="117">
        <f>D23/F113</f>
        <v>159.82758620689654</v>
      </c>
      <c r="O116" s="123">
        <f>D24/F113</f>
        <v>188.79310344827584</v>
      </c>
      <c r="P116" s="123">
        <f>D25/F113</f>
        <v>158.44827586206895</v>
      </c>
      <c r="Q116" s="123">
        <f>D26/F113</f>
        <v>224.65517241379308</v>
      </c>
      <c r="R116" s="123">
        <f>D27/F113</f>
        <v>158.44827586206895</v>
      </c>
      <c r="S116" s="114">
        <f>D28/F113</f>
        <v>208.10344827586206</v>
      </c>
      <c r="T116" s="139">
        <f>D29/F113</f>
        <v>194.31034482758619</v>
      </c>
      <c r="U116" s="123">
        <f>D30/F113</f>
        <v>151.55172413793102</v>
      </c>
      <c r="V116" s="123">
        <f>D31/F113</f>
        <v>211.55172413793102</v>
      </c>
      <c r="W116" s="115" t="s">
        <v>98</v>
      </c>
      <c r="AH116" s="81"/>
      <c r="AI116" s="125"/>
      <c r="AJ116" s="125"/>
      <c r="AK116" s="125"/>
      <c r="AL116" s="145"/>
      <c r="AM116" s="134">
        <f>AJ17/AK111</f>
        <v>31.820376326902633</v>
      </c>
      <c r="AN116" s="145"/>
      <c r="AO116" s="125"/>
      <c r="AP116" s="125"/>
      <c r="AQ116" s="125"/>
      <c r="AR116" s="153"/>
      <c r="AT116" s="125"/>
      <c r="AU116" s="125"/>
      <c r="AV116" s="125"/>
      <c r="AW116" s="125"/>
      <c r="AY116" s="80"/>
      <c r="AZ116" s="125"/>
      <c r="BA116" s="125"/>
      <c r="BB116" s="115" t="s">
        <v>102</v>
      </c>
      <c r="BL116" s="129"/>
      <c r="BM116" s="124"/>
      <c r="BN116" s="124"/>
      <c r="BO116" s="125"/>
      <c r="BP116" s="145"/>
      <c r="BQ116" s="134"/>
      <c r="BR116" s="145"/>
      <c r="BS116" s="125"/>
      <c r="BT116" s="125"/>
      <c r="BU116" s="125"/>
      <c r="BV116" s="145"/>
      <c r="BW116" s="125"/>
      <c r="BX116" s="125">
        <f>BD23/BO111</f>
        <v>11.952560240963873</v>
      </c>
      <c r="BY116" s="125"/>
      <c r="BZ116" s="125"/>
      <c r="CA116" s="125"/>
      <c r="CB116" s="80"/>
      <c r="CC116" s="125"/>
      <c r="CD116" s="125"/>
      <c r="CE116" s="125"/>
      <c r="CF116" s="125"/>
      <c r="CG116" s="115" t="s">
        <v>102</v>
      </c>
    </row>
    <row r="117" spans="1:89" x14ac:dyDescent="0.25">
      <c r="C117" s="129">
        <f>J6/F113</f>
        <v>43.275862068965509</v>
      </c>
      <c r="D117" s="124">
        <f>J7/F113</f>
        <v>63.275862068965516</v>
      </c>
      <c r="E117" s="117">
        <f>J8/F113</f>
        <v>71.551724137931032</v>
      </c>
      <c r="F117" s="124">
        <f>J9/F113</f>
        <v>63.275862068965516</v>
      </c>
      <c r="G117" s="124">
        <f>J10/F113</f>
        <v>94.999999999999986</v>
      </c>
      <c r="H117" s="129">
        <f>J17/F113</f>
        <v>46.724137931034477</v>
      </c>
      <c r="I117" s="124">
        <f>J18/F113</f>
        <v>138.44827586206895</v>
      </c>
      <c r="J117" s="124">
        <f>J19/F113</f>
        <v>71.551724137931032</v>
      </c>
      <c r="K117" s="124">
        <f>J40/F113</f>
        <v>52.931034482758612</v>
      </c>
      <c r="L117" s="124">
        <f>J21/F113</f>
        <v>63.96551724137931</v>
      </c>
      <c r="M117" s="117">
        <f>J22/F113</f>
        <v>93.620689655172399</v>
      </c>
      <c r="N117" s="117">
        <f>J23/F113</f>
        <v>40.517241379310342</v>
      </c>
      <c r="O117" s="124">
        <f>J24/F113</f>
        <v>88.793103448275858</v>
      </c>
      <c r="P117" s="124">
        <f>J25/F113</f>
        <v>38.448275862068961</v>
      </c>
      <c r="Q117" s="124">
        <f>J26/F113</f>
        <v>85.34482758620689</v>
      </c>
      <c r="R117" s="124">
        <f>J27/F113</f>
        <v>17.068965517241377</v>
      </c>
      <c r="S117" s="124">
        <f>J28/F113</f>
        <v>56.379310344827587</v>
      </c>
      <c r="T117" s="153">
        <f>J29/F113</f>
        <v>76.379310344827573</v>
      </c>
      <c r="U117" s="124">
        <f>J30/F113</f>
        <v>28.793103448275858</v>
      </c>
      <c r="V117" s="124">
        <f>J31/F113</f>
        <v>28.793103448275858</v>
      </c>
      <c r="W117" s="115" t="s">
        <v>99</v>
      </c>
      <c r="AH117" s="232"/>
      <c r="AI117" s="124">
        <f>AI114-AI115</f>
        <v>271.71834393929032</v>
      </c>
      <c r="AJ117" s="124">
        <f>AJ114-AJ115</f>
        <v>776.00936768972645</v>
      </c>
      <c r="AK117" s="124"/>
      <c r="AL117" s="142">
        <f>AL114-AL115</f>
        <v>314.32997832488161</v>
      </c>
      <c r="AM117" s="124">
        <f>AM114-AM115</f>
        <v>182.06789237479941</v>
      </c>
      <c r="AN117" s="124"/>
      <c r="AO117" s="124"/>
      <c r="AP117" s="124"/>
      <c r="AQ117" s="124"/>
      <c r="AR117" s="130">
        <f>AR114-AR115</f>
        <v>550.92857142857133</v>
      </c>
      <c r="AS117" s="117">
        <f>AS114-AS115</f>
        <v>257.65402476780184</v>
      </c>
      <c r="AT117" s="124">
        <f>AT114-AT115</f>
        <v>291.08726866001371</v>
      </c>
      <c r="AU117" s="124"/>
      <c r="AV117" s="124">
        <f>AV114-AV115</f>
        <v>343.66006433054838</v>
      </c>
      <c r="AW117" s="124">
        <f>AW114-AW115</f>
        <v>299.94163424663009</v>
      </c>
      <c r="AX117" s="124">
        <f>AX114-AX115</f>
        <v>67.620277759172694</v>
      </c>
      <c r="AY117" s="117">
        <f>AY114-AY115</f>
        <v>248.88579574927951</v>
      </c>
      <c r="AZ117" s="124"/>
      <c r="BA117" s="124"/>
      <c r="BB117" s="115" t="s">
        <v>105</v>
      </c>
      <c r="BL117" s="129">
        <f t="shared" ref="BL117:CC117" si="15">BL114-BL115</f>
        <v>93.241716867470032</v>
      </c>
      <c r="BM117" s="124">
        <f t="shared" si="15"/>
        <v>73.418674698795314</v>
      </c>
      <c r="BN117" s="124">
        <f t="shared" si="15"/>
        <v>68.450530120481886</v>
      </c>
      <c r="BO117" s="124">
        <f t="shared" si="15"/>
        <v>108.65963855421705</v>
      </c>
      <c r="BP117" s="142">
        <f t="shared" si="15"/>
        <v>63.874246987951921</v>
      </c>
      <c r="BQ117" s="124">
        <f t="shared" si="15"/>
        <v>89.570783132530266</v>
      </c>
      <c r="BR117" s="124">
        <f t="shared" si="15"/>
        <v>61.671686746988073</v>
      </c>
      <c r="BS117" s="124">
        <f t="shared" si="15"/>
        <v>87.368222891566433</v>
      </c>
      <c r="BT117" s="124">
        <f t="shared" si="15"/>
        <v>94.710090361445921</v>
      </c>
      <c r="BU117" s="124">
        <f t="shared" si="15"/>
        <v>97.646837349397757</v>
      </c>
      <c r="BV117" s="145">
        <f t="shared" si="15"/>
        <v>104.63084971464798</v>
      </c>
      <c r="BW117" s="124">
        <f t="shared" si="15"/>
        <v>103.48901911995804</v>
      </c>
      <c r="BX117" s="124">
        <f t="shared" si="15"/>
        <v>76.355421686747093</v>
      </c>
      <c r="BY117" s="124">
        <f t="shared" si="15"/>
        <v>122.60918674698813</v>
      </c>
      <c r="BZ117" s="124">
        <f t="shared" si="15"/>
        <v>78.557981927710955</v>
      </c>
      <c r="CA117" s="124">
        <f t="shared" si="15"/>
        <v>113.79894578313269</v>
      </c>
      <c r="CB117" s="130">
        <f t="shared" si="15"/>
        <v>112.5985507246377</v>
      </c>
      <c r="CC117" s="124">
        <f t="shared" si="15"/>
        <v>142.71030981067122</v>
      </c>
      <c r="CD117" s="124"/>
      <c r="CE117" s="124">
        <f>CE114-CE115</f>
        <v>104.25451807228932</v>
      </c>
      <c r="CF117" s="124">
        <f>CF114-CF115</f>
        <v>50.130271084337423</v>
      </c>
      <c r="CG117" s="115" t="s">
        <v>105</v>
      </c>
    </row>
    <row r="118" spans="1:89" x14ac:dyDescent="0.25">
      <c r="C118" s="42"/>
      <c r="D118" s="125"/>
      <c r="F118" s="125"/>
      <c r="G118" s="145">
        <f>P10/F113</f>
        <v>8.1034482758620694</v>
      </c>
      <c r="H118" s="134"/>
      <c r="I118" s="145">
        <f>P18/F113</f>
        <v>22.586206896551719</v>
      </c>
      <c r="J118" s="125"/>
      <c r="K118" s="125"/>
      <c r="L118" s="125"/>
      <c r="M118" s="145">
        <f>P22/F113</f>
        <v>3.9655172413793109</v>
      </c>
      <c r="O118" s="125"/>
      <c r="P118" s="125"/>
      <c r="Q118" s="125"/>
      <c r="R118" s="125"/>
      <c r="T118" s="80"/>
      <c r="U118" s="125"/>
      <c r="V118" s="125"/>
      <c r="W118" s="115" t="s">
        <v>102</v>
      </c>
      <c r="AH118" s="233"/>
      <c r="AI118" s="126"/>
      <c r="AJ118" s="214"/>
      <c r="AK118" s="126"/>
      <c r="AL118" s="126">
        <f>AL115-AL116</f>
        <v>164.0824622769849</v>
      </c>
      <c r="AM118" s="124">
        <f>AM115-AM116</f>
        <v>184.83488162061707</v>
      </c>
      <c r="AN118" s="124"/>
      <c r="AO118" s="124"/>
      <c r="AP118" s="124"/>
      <c r="AQ118" s="124"/>
      <c r="AR118" s="130"/>
      <c r="AS118" s="43"/>
      <c r="AT118" s="124"/>
      <c r="AU118" s="124"/>
      <c r="AV118" s="124"/>
      <c r="AW118" s="124"/>
      <c r="AX118" s="43"/>
      <c r="AY118" s="61"/>
      <c r="AZ118" s="124"/>
      <c r="BA118" s="124"/>
      <c r="BB118" s="101" t="s">
        <v>106</v>
      </c>
      <c r="BD118" t="s">
        <v>110</v>
      </c>
      <c r="BL118" s="129"/>
      <c r="BM118" s="124"/>
      <c r="BN118" s="126"/>
      <c r="BO118" s="126"/>
      <c r="BP118" s="126"/>
      <c r="BQ118" s="129"/>
      <c r="BR118" s="124"/>
      <c r="BS118" s="124"/>
      <c r="BT118" s="124"/>
      <c r="BU118" s="124"/>
      <c r="BV118" s="124"/>
      <c r="BW118" s="124"/>
      <c r="BX118" s="124">
        <f>BX115-BX116</f>
        <v>66.076807228915769</v>
      </c>
      <c r="BY118" s="124"/>
      <c r="BZ118" s="124"/>
      <c r="CA118" s="124"/>
      <c r="CB118" s="130"/>
      <c r="CC118" s="124"/>
      <c r="CD118" s="124"/>
      <c r="CE118" s="124"/>
      <c r="CF118" s="124"/>
      <c r="CG118" s="101" t="s">
        <v>106</v>
      </c>
      <c r="CI118" t="s">
        <v>110</v>
      </c>
    </row>
    <row r="119" spans="1:89" x14ac:dyDescent="0.25">
      <c r="C119" s="116">
        <f t="shared" ref="C119:V119" si="16">C116-C117</f>
        <v>125.51724137931033</v>
      </c>
      <c r="D119" s="124">
        <f t="shared" si="16"/>
        <v>85.517241379310349</v>
      </c>
      <c r="E119" s="117">
        <f t="shared" si="16"/>
        <v>131.72413793103448</v>
      </c>
      <c r="F119" s="124">
        <f t="shared" si="16"/>
        <v>111.72413793103448</v>
      </c>
      <c r="G119" s="142">
        <f t="shared" si="16"/>
        <v>84.827586206896555</v>
      </c>
      <c r="H119" s="124">
        <f t="shared" si="16"/>
        <v>133.10344827586206</v>
      </c>
      <c r="I119" s="124">
        <f t="shared" si="16"/>
        <v>64.827586206896541</v>
      </c>
      <c r="J119" s="124">
        <f t="shared" si="16"/>
        <v>131.72413793103448</v>
      </c>
      <c r="K119" s="124">
        <f t="shared" si="16"/>
        <v>128.96551724137933</v>
      </c>
      <c r="L119" s="124">
        <f t="shared" si="16"/>
        <v>130.34482758620689</v>
      </c>
      <c r="M119" s="117">
        <f t="shared" si="16"/>
        <v>135.17241379310343</v>
      </c>
      <c r="N119" s="117">
        <f t="shared" si="16"/>
        <v>119.31034482758619</v>
      </c>
      <c r="O119" s="124">
        <f t="shared" si="16"/>
        <v>99.999999999999986</v>
      </c>
      <c r="P119" s="124">
        <f t="shared" si="16"/>
        <v>120</v>
      </c>
      <c r="Q119" s="124">
        <f t="shared" si="16"/>
        <v>139.31034482758619</v>
      </c>
      <c r="R119" s="124">
        <f t="shared" si="16"/>
        <v>141.37931034482759</v>
      </c>
      <c r="S119" s="124">
        <f t="shared" si="16"/>
        <v>151.72413793103448</v>
      </c>
      <c r="T119" s="117">
        <f t="shared" si="16"/>
        <v>117.93103448275862</v>
      </c>
      <c r="U119" s="124">
        <f t="shared" si="16"/>
        <v>122.75862068965516</v>
      </c>
      <c r="V119" s="124">
        <f t="shared" si="16"/>
        <v>182.75862068965517</v>
      </c>
      <c r="W119" s="115" t="s">
        <v>105</v>
      </c>
      <c r="AH119" s="116"/>
      <c r="AI119" s="124">
        <f>AI117</f>
        <v>271.71834393929032</v>
      </c>
      <c r="AJ119" s="117">
        <f>AJ117</f>
        <v>776.00936768972645</v>
      </c>
      <c r="AK119" s="124"/>
      <c r="AL119" s="124">
        <f>(AL117+AL118)/2</f>
        <v>239.20622030093324</v>
      </c>
      <c r="AM119" s="135">
        <f>(AM117+AM118)/2</f>
        <v>183.45138699770825</v>
      </c>
      <c r="AN119" s="123"/>
      <c r="AO119" s="123"/>
      <c r="AP119" s="123"/>
      <c r="AQ119" s="123"/>
      <c r="AR119" s="139">
        <f>AR117</f>
        <v>550.92857142857133</v>
      </c>
      <c r="AS119" s="114">
        <f>AS117</f>
        <v>257.65402476780184</v>
      </c>
      <c r="AT119" s="123">
        <f>AT117</f>
        <v>291.08726866001371</v>
      </c>
      <c r="AU119" s="123"/>
      <c r="AV119" s="123">
        <f>AV117</f>
        <v>343.66006433054838</v>
      </c>
      <c r="AW119" s="123">
        <f>AW117</f>
        <v>299.94163424663009</v>
      </c>
      <c r="AX119" s="123">
        <f>AX117</f>
        <v>67.620277759172694</v>
      </c>
      <c r="AY119" s="114">
        <f>AY117</f>
        <v>248.88579574927951</v>
      </c>
      <c r="AZ119" s="123"/>
      <c r="BA119" s="131"/>
      <c r="BB119" s="133" t="s">
        <v>107</v>
      </c>
      <c r="BD119" s="150">
        <f>AVERAGE(AH119:BA119)</f>
        <v>320.92390507906146</v>
      </c>
      <c r="BL119" s="135">
        <f>BL117</f>
        <v>93.241716867470032</v>
      </c>
      <c r="BM119" s="123">
        <f>BM117</f>
        <v>73.418674698795314</v>
      </c>
      <c r="BN119" s="678">
        <f>BN117</f>
        <v>68.450530120481886</v>
      </c>
      <c r="BO119" s="124">
        <f>BO117</f>
        <v>108.65963855421705</v>
      </c>
      <c r="BP119" s="124">
        <f>(BP117)/1</f>
        <v>63.874246987951921</v>
      </c>
      <c r="BQ119" s="135">
        <f>BQ117</f>
        <v>89.570783132530266</v>
      </c>
      <c r="BR119" s="123">
        <f>(BR117)/1</f>
        <v>61.671686746988073</v>
      </c>
      <c r="BS119" s="123">
        <f>BS117</f>
        <v>87.368222891566433</v>
      </c>
      <c r="BT119" s="123">
        <f>BT117</f>
        <v>94.710090361445921</v>
      </c>
      <c r="BU119" s="123">
        <f>BU117</f>
        <v>97.646837349397757</v>
      </c>
      <c r="BV119" s="678">
        <f>(BV117)/1</f>
        <v>104.63084971464798</v>
      </c>
      <c r="BW119" s="678">
        <f>BW117</f>
        <v>103.48901911995804</v>
      </c>
      <c r="BX119" s="123">
        <f>(BX117+BX118)/2</f>
        <v>71.216114457831424</v>
      </c>
      <c r="BY119" s="123">
        <f>BY117</f>
        <v>122.60918674698813</v>
      </c>
      <c r="BZ119" s="123">
        <f>BZ117</f>
        <v>78.557981927710955</v>
      </c>
      <c r="CA119" s="123">
        <f>CA117</f>
        <v>113.79894578313269</v>
      </c>
      <c r="CB119" s="139">
        <f>CB117</f>
        <v>112.5985507246377</v>
      </c>
      <c r="CC119" s="678">
        <f>CC117</f>
        <v>142.71030981067122</v>
      </c>
      <c r="CD119" s="123"/>
      <c r="CE119" s="123">
        <f>CE117</f>
        <v>104.25451807228932</v>
      </c>
      <c r="CF119" s="131"/>
      <c r="CG119" s="133" t="s">
        <v>107</v>
      </c>
      <c r="CI119" s="150">
        <f>AVERAGE(BL119:CF119)</f>
        <v>94.340942319405912</v>
      </c>
    </row>
    <row r="120" spans="1:89" x14ac:dyDescent="0.25">
      <c r="C120" s="109"/>
      <c r="D120" s="126"/>
      <c r="E120" s="105"/>
      <c r="F120" s="126"/>
      <c r="G120" s="126">
        <f>G117-G118</f>
        <v>86.896551724137922</v>
      </c>
      <c r="H120" s="129"/>
      <c r="I120" s="124">
        <f>I117-I118</f>
        <v>115.86206896551724</v>
      </c>
      <c r="J120" s="124"/>
      <c r="K120" s="124"/>
      <c r="L120" s="124"/>
      <c r="M120" s="124">
        <f>M117-M118</f>
        <v>89.655172413793082</v>
      </c>
      <c r="N120" s="43"/>
      <c r="O120" s="124"/>
      <c r="P120" s="124"/>
      <c r="Q120" s="124"/>
      <c r="R120" s="124"/>
      <c r="S120" s="43"/>
      <c r="T120" s="61"/>
      <c r="U120" s="124"/>
      <c r="V120" s="124"/>
      <c r="W120" s="101" t="s">
        <v>106</v>
      </c>
      <c r="Y120" t="s">
        <v>110</v>
      </c>
      <c r="AF120" s="61"/>
      <c r="AG120" s="377"/>
      <c r="AH120" s="61"/>
      <c r="AI120" s="679"/>
      <c r="AJ120" s="61"/>
      <c r="AK120" s="679"/>
      <c r="AL120" s="679"/>
      <c r="AM120" s="679"/>
      <c r="AN120" s="679"/>
      <c r="AO120" s="679"/>
      <c r="AP120" s="679"/>
      <c r="AQ120" s="679"/>
      <c r="AR120" s="377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J120" s="61"/>
      <c r="BK120" s="377"/>
      <c r="BL120" s="680"/>
      <c r="BM120" s="680"/>
      <c r="BN120" s="680"/>
      <c r="BO120" s="680"/>
      <c r="BP120" s="680"/>
      <c r="BQ120" s="680"/>
      <c r="BR120" s="680"/>
      <c r="BS120" s="680"/>
      <c r="BT120" s="680"/>
      <c r="BU120" s="680"/>
      <c r="BV120" s="377"/>
      <c r="BW120" s="680"/>
      <c r="BX120" s="377"/>
      <c r="BY120" s="377"/>
      <c r="BZ120" s="377"/>
      <c r="CA120" s="377"/>
      <c r="CB120" s="377"/>
      <c r="CC120" s="377"/>
      <c r="CD120" s="377"/>
      <c r="CE120" s="377"/>
      <c r="CF120" s="377"/>
      <c r="CG120" s="61"/>
      <c r="CH120" s="61"/>
      <c r="CI120" s="61"/>
      <c r="CJ120" s="61"/>
      <c r="CK120" s="61"/>
    </row>
    <row r="121" spans="1:89" x14ac:dyDescent="0.25">
      <c r="C121" s="116">
        <f>C119</f>
        <v>125.51724137931033</v>
      </c>
      <c r="D121" s="124">
        <f>D119</f>
        <v>85.517241379310349</v>
      </c>
      <c r="E121" s="117">
        <f>E119</f>
        <v>131.72413793103448</v>
      </c>
      <c r="F121" s="124">
        <f>F119</f>
        <v>111.72413793103448</v>
      </c>
      <c r="G121" s="124">
        <f>(G119+G120)/2</f>
        <v>85.862068965517238</v>
      </c>
      <c r="H121" s="135">
        <f>H119</f>
        <v>133.10344827586206</v>
      </c>
      <c r="I121" s="123">
        <f>(I119+I120)/2</f>
        <v>90.34482758620689</v>
      </c>
      <c r="J121" s="123">
        <f>J119</f>
        <v>131.72413793103448</v>
      </c>
      <c r="K121" s="123">
        <f>K119</f>
        <v>128.96551724137933</v>
      </c>
      <c r="L121" s="123">
        <f>L119</f>
        <v>130.34482758620689</v>
      </c>
      <c r="M121" s="678">
        <f>(M119+M120)/2</f>
        <v>112.41379310344826</v>
      </c>
      <c r="N121" s="114">
        <f t="shared" ref="N121:V121" si="17">N119</f>
        <v>119.31034482758619</v>
      </c>
      <c r="O121" s="123">
        <f t="shared" si="17"/>
        <v>99.999999999999986</v>
      </c>
      <c r="P121" s="123">
        <f t="shared" si="17"/>
        <v>120</v>
      </c>
      <c r="Q121" s="123">
        <f t="shared" si="17"/>
        <v>139.31034482758619</v>
      </c>
      <c r="R121" s="123">
        <f t="shared" si="17"/>
        <v>141.37931034482759</v>
      </c>
      <c r="S121" s="123">
        <f t="shared" si="17"/>
        <v>151.72413793103448</v>
      </c>
      <c r="T121" s="114">
        <f t="shared" si="17"/>
        <v>117.93103448275862</v>
      </c>
      <c r="U121" s="123">
        <f t="shared" si="17"/>
        <v>122.75862068965516</v>
      </c>
      <c r="V121" s="131">
        <f t="shared" si="17"/>
        <v>182.75862068965517</v>
      </c>
      <c r="W121" s="133" t="s">
        <v>107</v>
      </c>
      <c r="Y121" s="150">
        <f>AVERAGE(C121:V121)</f>
        <v>123.12068965517244</v>
      </c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</row>
    <row r="122" spans="1:89" x14ac:dyDescent="0.25">
      <c r="A122" s="61"/>
      <c r="B122" s="377"/>
      <c r="C122" s="61"/>
      <c r="D122" s="679"/>
      <c r="E122" s="61"/>
      <c r="F122" s="679"/>
      <c r="G122" s="679"/>
      <c r="H122" s="679"/>
      <c r="I122" s="679"/>
      <c r="J122" s="679"/>
      <c r="K122" s="679"/>
      <c r="L122" s="679"/>
      <c r="M122" s="377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J122" s="61"/>
      <c r="BK122" s="61"/>
      <c r="BL122" s="220"/>
      <c r="BM122" s="220"/>
      <c r="BN122" s="220"/>
      <c r="BO122" s="220"/>
      <c r="BP122" s="220"/>
      <c r="BQ122" s="220"/>
      <c r="BR122" s="220"/>
      <c r="BS122" s="220"/>
      <c r="BT122" s="220"/>
      <c r="BU122" s="220"/>
      <c r="BV122" s="220"/>
      <c r="BW122" s="220"/>
      <c r="BX122" s="220"/>
      <c r="BY122" s="220"/>
      <c r="BZ122" s="220"/>
      <c r="CA122" s="220"/>
      <c r="CB122" s="220"/>
      <c r="CC122" s="220"/>
      <c r="CD122" s="220"/>
      <c r="CE122" s="220"/>
      <c r="CF122" s="220"/>
      <c r="CG122" s="220"/>
      <c r="CH122" s="61"/>
      <c r="CI122" s="61"/>
      <c r="CJ122" s="61"/>
      <c r="CK122" s="61"/>
    </row>
    <row r="123" spans="1:89" x14ac:dyDescent="0.2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AF123" s="61"/>
      <c r="AG123" s="61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61"/>
      <c r="BC123" s="61"/>
      <c r="BD123" s="61"/>
      <c r="BE123" s="61"/>
      <c r="BJ123" s="61"/>
      <c r="BK123" s="61"/>
      <c r="BL123" s="682"/>
      <c r="BM123" s="682"/>
      <c r="BN123" s="682"/>
      <c r="BO123" s="682"/>
      <c r="BP123" s="682"/>
      <c r="BQ123" s="682"/>
      <c r="BR123" s="682"/>
      <c r="BS123" s="682"/>
      <c r="BT123" s="682"/>
      <c r="BU123" s="682"/>
      <c r="BV123" s="682"/>
      <c r="BW123" s="682"/>
      <c r="BX123" s="682"/>
      <c r="BY123" s="682"/>
      <c r="BZ123" s="682"/>
      <c r="CA123" s="682"/>
      <c r="CB123" s="682"/>
      <c r="CC123" s="682"/>
      <c r="CD123" s="682"/>
      <c r="CE123" s="682"/>
      <c r="CF123" s="682"/>
      <c r="CG123" s="220"/>
      <c r="CH123" s="61"/>
      <c r="CI123" s="61"/>
      <c r="CJ123" s="61"/>
      <c r="CK123" s="61"/>
    </row>
    <row r="124" spans="1:89" x14ac:dyDescent="0.2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130"/>
      <c r="AW124" s="61"/>
      <c r="AX124" s="61"/>
      <c r="AY124" s="61"/>
      <c r="AZ124" s="228"/>
      <c r="BA124" s="61"/>
      <c r="BB124" s="61"/>
      <c r="BC124" s="61"/>
      <c r="BD124" s="61"/>
      <c r="BE124" s="61"/>
      <c r="BJ124" s="61"/>
      <c r="BK124" s="61"/>
      <c r="BL124" s="220"/>
      <c r="BM124" s="681"/>
      <c r="BN124" s="681"/>
      <c r="BO124" s="681"/>
      <c r="BP124" s="681"/>
      <c r="BQ124" s="681"/>
      <c r="BR124" s="681"/>
      <c r="BS124" s="681"/>
      <c r="BT124" s="681"/>
      <c r="BU124" s="681"/>
      <c r="BV124" s="681"/>
      <c r="BW124" s="681"/>
      <c r="BX124" s="681"/>
      <c r="BY124" s="681"/>
      <c r="BZ124" s="683"/>
      <c r="CA124" s="681"/>
      <c r="CB124" s="681"/>
      <c r="CC124" s="681"/>
      <c r="CD124" s="61"/>
      <c r="CE124" s="532"/>
      <c r="CF124" s="681"/>
      <c r="CG124" s="682"/>
      <c r="CH124" s="61"/>
      <c r="CI124" s="61"/>
      <c r="CJ124" s="61"/>
      <c r="CK124" s="61"/>
    </row>
    <row r="125" spans="1:89" x14ac:dyDescent="0.2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M125" s="80"/>
      <c r="BQ125" s="80"/>
      <c r="BU125" s="80"/>
      <c r="CA125" s="80"/>
    </row>
    <row r="126" spans="1:89" x14ac:dyDescent="0.2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M126" s="80"/>
      <c r="BQ126" s="80"/>
      <c r="BU126" s="80"/>
      <c r="CA126" s="80"/>
    </row>
    <row r="127" spans="1:89" x14ac:dyDescent="0.2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AI127" s="80"/>
      <c r="AM127" s="80"/>
      <c r="AQ127" s="80"/>
      <c r="AW127" s="80"/>
      <c r="BM127" s="80"/>
      <c r="BQ127" s="80"/>
      <c r="BU127" s="80"/>
      <c r="CA127" s="80"/>
    </row>
    <row r="128" spans="1:89" x14ac:dyDescent="0.2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AH128" s="110" t="s">
        <v>177</v>
      </c>
      <c r="AI128" s="55"/>
      <c r="AJ128" s="55"/>
      <c r="AK128" s="55"/>
      <c r="AL128" s="55"/>
      <c r="AM128" s="120"/>
      <c r="AN128" s="55"/>
      <c r="AO128" s="55"/>
      <c r="AP128" s="55"/>
      <c r="AQ128" s="55"/>
      <c r="AR128" s="55"/>
      <c r="AS128" s="55"/>
      <c r="AT128" s="55"/>
      <c r="AU128" s="55"/>
      <c r="AV128" s="55"/>
      <c r="AW128" s="46"/>
      <c r="AX128" s="55"/>
      <c r="AY128" s="46"/>
      <c r="AZ128" s="55"/>
      <c r="BA128" s="55"/>
      <c r="BB128" s="121"/>
      <c r="BL128" s="110" t="s">
        <v>171</v>
      </c>
      <c r="BM128" s="55"/>
      <c r="BN128" s="55"/>
      <c r="BO128" s="55"/>
      <c r="BP128" s="55"/>
      <c r="BQ128" s="120"/>
      <c r="BR128" s="55"/>
      <c r="BS128" s="55"/>
      <c r="BT128" s="55"/>
      <c r="BU128" s="55"/>
      <c r="BV128" s="55"/>
      <c r="BW128" s="55"/>
      <c r="BX128" s="55"/>
      <c r="BY128" s="55"/>
      <c r="BZ128" s="55"/>
      <c r="CA128" s="46"/>
      <c r="CB128" s="55"/>
      <c r="CC128" s="46"/>
      <c r="CD128" s="55"/>
      <c r="CE128" s="55"/>
      <c r="CF128" s="121"/>
    </row>
    <row r="129" spans="1:377" x14ac:dyDescent="0.25">
      <c r="AH129" s="134">
        <v>1</v>
      </c>
      <c r="AI129" s="61">
        <v>2</v>
      </c>
      <c r="AJ129" s="122">
        <v>3</v>
      </c>
      <c r="AK129" s="61">
        <v>4</v>
      </c>
      <c r="AL129" s="122">
        <v>5</v>
      </c>
      <c r="AM129" s="122">
        <v>6</v>
      </c>
      <c r="AN129" s="122">
        <v>7</v>
      </c>
      <c r="AO129" s="122">
        <v>8</v>
      </c>
      <c r="AP129" s="122">
        <v>9</v>
      </c>
      <c r="AQ129" s="122">
        <v>10</v>
      </c>
      <c r="AR129" s="146">
        <v>11</v>
      </c>
      <c r="AS129" s="138">
        <v>12</v>
      </c>
      <c r="AT129" s="122">
        <v>13</v>
      </c>
      <c r="AU129" s="122">
        <v>14</v>
      </c>
      <c r="AV129" s="61">
        <v>15</v>
      </c>
      <c r="AW129" s="138">
        <v>16</v>
      </c>
      <c r="AX129" s="122">
        <v>17</v>
      </c>
      <c r="AY129" s="61">
        <v>18</v>
      </c>
      <c r="AZ129" s="61">
        <v>19</v>
      </c>
      <c r="BA129" s="141">
        <v>20</v>
      </c>
      <c r="BB129" s="140" t="s">
        <v>97</v>
      </c>
      <c r="BL129" s="134">
        <v>1</v>
      </c>
      <c r="BM129" s="61">
        <v>2</v>
      </c>
      <c r="BN129" s="122">
        <v>3</v>
      </c>
      <c r="BO129" s="61">
        <v>4</v>
      </c>
      <c r="BP129" s="122">
        <v>5</v>
      </c>
      <c r="BQ129" s="122">
        <v>6</v>
      </c>
      <c r="BR129" s="122">
        <v>7</v>
      </c>
      <c r="BS129" s="122">
        <v>8</v>
      </c>
      <c r="BT129" s="122">
        <v>9</v>
      </c>
      <c r="BU129" s="122">
        <v>10</v>
      </c>
      <c r="BV129" s="122">
        <v>11</v>
      </c>
      <c r="BW129" s="61">
        <v>12</v>
      </c>
      <c r="BX129" s="122">
        <v>13</v>
      </c>
      <c r="BY129" s="122">
        <v>14</v>
      </c>
      <c r="BZ129" s="122">
        <v>15</v>
      </c>
      <c r="CA129" s="122">
        <v>16</v>
      </c>
      <c r="CB129" s="122">
        <v>17</v>
      </c>
      <c r="CC129" s="61">
        <v>18</v>
      </c>
      <c r="CD129" s="61">
        <v>19</v>
      </c>
      <c r="CE129" s="141">
        <v>20</v>
      </c>
      <c r="CF129" s="140" t="s">
        <v>97</v>
      </c>
    </row>
    <row r="130" spans="1:377" x14ac:dyDescent="0.25">
      <c r="C130" s="110" t="s">
        <v>108</v>
      </c>
      <c r="D130" s="55"/>
      <c r="E130" s="55"/>
      <c r="F130" s="55"/>
      <c r="G130" s="55"/>
      <c r="H130" s="120"/>
      <c r="I130" s="55"/>
      <c r="J130" s="55"/>
      <c r="K130" s="55"/>
      <c r="L130" s="55"/>
      <c r="M130" s="55"/>
      <c r="N130" s="55"/>
      <c r="O130" s="55"/>
      <c r="P130" s="55"/>
      <c r="Q130" s="55"/>
      <c r="R130" s="46"/>
      <c r="S130" s="55"/>
      <c r="T130" s="46"/>
      <c r="U130" s="55"/>
      <c r="V130" s="55"/>
      <c r="W130" s="121"/>
      <c r="AH130" s="135"/>
      <c r="AI130" s="139">
        <f>AM85</f>
        <v>210.22727272727272</v>
      </c>
      <c r="AJ130" s="123"/>
      <c r="AK130" s="139">
        <f>AM87</f>
        <v>796.94690265486713</v>
      </c>
      <c r="AL130" s="123">
        <f>X41/0.0161</f>
        <v>461.18012422360249</v>
      </c>
      <c r="AM130" s="123">
        <f>X42/0.0161</f>
        <v>345.6521739130435</v>
      </c>
      <c r="AN130" s="123">
        <f>X43/0.0161</f>
        <v>272.36024844720498</v>
      </c>
      <c r="AO130" s="123">
        <f>X44/0.0161</f>
        <v>261.80124223602485</v>
      </c>
      <c r="AP130" s="123">
        <f>X45/0.0169</f>
        <v>329.28994082840245</v>
      </c>
      <c r="AQ130" s="123">
        <f>X46/0.0169</f>
        <v>269.52662721893495</v>
      </c>
      <c r="AR130" s="139">
        <f>AM89</f>
        <v>296.65041067761803</v>
      </c>
      <c r="AS130" s="139">
        <f>AM90</f>
        <v>551.94175293147327</v>
      </c>
      <c r="AT130" s="123">
        <f>X49/0.0172</f>
        <v>696.22093023255809</v>
      </c>
      <c r="AU130" s="123">
        <f>X50/0.0172</f>
        <v>447.96511627906978</v>
      </c>
      <c r="AV130" s="139">
        <f>AM91</f>
        <v>422.72727272727275</v>
      </c>
      <c r="AW130" s="139">
        <f>AM93</f>
        <v>224.04255319148939</v>
      </c>
      <c r="AX130" s="234"/>
      <c r="AY130" s="234"/>
      <c r="AZ130" s="234"/>
      <c r="BA130" s="235"/>
      <c r="BB130" s="133" t="s">
        <v>98</v>
      </c>
      <c r="BL130" s="135">
        <f>AR36/0.0133</f>
        <v>161.11278195488723</v>
      </c>
      <c r="BM130" s="139">
        <f>BQ86</f>
        <v>121.71</v>
      </c>
      <c r="BN130" s="123">
        <f>AR38/0.0175</f>
        <v>105.30285714285715</v>
      </c>
      <c r="BO130" s="139">
        <f>BQ87</f>
        <v>70.445714285714288</v>
      </c>
      <c r="BP130" s="123">
        <f>AR40/0.0175</f>
        <v>89.874285714285719</v>
      </c>
      <c r="BQ130" s="123">
        <f>AR41/0.0175</f>
        <v>109.8742857142857</v>
      </c>
      <c r="BR130" s="123">
        <f>AR42/0.0175</f>
        <v>61.874285714285719</v>
      </c>
      <c r="BS130" s="123">
        <f>AR43/0.0144</f>
        <v>118.25000000000001</v>
      </c>
      <c r="BT130" s="123">
        <f>AR44/0.0144</f>
        <v>77.277777777777786</v>
      </c>
      <c r="BU130" s="123">
        <f>AR45/0.0144</f>
        <v>125.8888888888889</v>
      </c>
      <c r="BV130" s="123">
        <f>AR46/0.0144</f>
        <v>103.66666666666667</v>
      </c>
      <c r="BW130" s="139">
        <f>BQ89</f>
        <v>148.11111111111111</v>
      </c>
      <c r="BX130" s="123">
        <f>AR48/0.0144</f>
        <v>125.8888888888889</v>
      </c>
      <c r="BY130" s="123">
        <f>AR49/0.0144</f>
        <v>158.52777777777777</v>
      </c>
      <c r="BZ130" s="123">
        <f>AR50/0.0144</f>
        <v>109.22222222222224</v>
      </c>
      <c r="CA130" s="123">
        <f>AR51/0.0145</f>
        <v>140.88275862068963</v>
      </c>
      <c r="CB130" s="123">
        <f>AR52/0.0145</f>
        <v>97.434482758620689</v>
      </c>
      <c r="CC130" s="139">
        <f>BQ91</f>
        <v>128.4689655172414</v>
      </c>
      <c r="CD130" s="139">
        <f>BQ92</f>
        <v>131.42400000000001</v>
      </c>
      <c r="CE130" s="123">
        <f>AR55/0.0125</f>
        <v>226.62399999999997</v>
      </c>
      <c r="CF130" s="133" t="s">
        <v>98</v>
      </c>
    </row>
    <row r="131" spans="1:377" x14ac:dyDescent="0.25">
      <c r="C131" s="134">
        <v>1</v>
      </c>
      <c r="D131" s="61">
        <v>2</v>
      </c>
      <c r="E131" s="122">
        <v>3</v>
      </c>
      <c r="F131" s="61">
        <v>4</v>
      </c>
      <c r="G131" s="122">
        <v>5</v>
      </c>
      <c r="H131" s="122">
        <v>6</v>
      </c>
      <c r="I131" s="122">
        <v>7</v>
      </c>
      <c r="J131" s="122">
        <v>8</v>
      </c>
      <c r="K131" s="122">
        <v>9</v>
      </c>
      <c r="L131" s="122">
        <v>10</v>
      </c>
      <c r="M131" s="146">
        <v>11</v>
      </c>
      <c r="N131" s="61">
        <v>12</v>
      </c>
      <c r="O131" s="122">
        <v>13</v>
      </c>
      <c r="P131" s="122">
        <v>14</v>
      </c>
      <c r="Q131" s="122">
        <v>15</v>
      </c>
      <c r="R131" s="122">
        <v>16</v>
      </c>
      <c r="S131" s="122">
        <v>17</v>
      </c>
      <c r="T131" s="61">
        <v>18</v>
      </c>
      <c r="U131" s="61">
        <v>19</v>
      </c>
      <c r="V131" s="141">
        <v>20</v>
      </c>
      <c r="W131" s="140" t="s">
        <v>97</v>
      </c>
      <c r="AH131" s="129"/>
      <c r="AI131" s="130">
        <f>AM86</f>
        <v>90.384615384615387</v>
      </c>
      <c r="AJ131" s="124"/>
      <c r="AK131" s="130">
        <f>AM88</f>
        <v>243.46666666666664</v>
      </c>
      <c r="AL131" s="124">
        <f>AD41/0.0188</f>
        <v>133.24468085106383</v>
      </c>
      <c r="AM131" s="124">
        <f>AD42/0.0188</f>
        <v>165.69148936170214</v>
      </c>
      <c r="AN131" s="124">
        <v>69.680851063829792</v>
      </c>
      <c r="AO131" s="124">
        <v>109.04255319148935</v>
      </c>
      <c r="AP131" s="124">
        <f>AD45/0.0169</f>
        <v>199.11242603550298</v>
      </c>
      <c r="AQ131" s="124">
        <f>AD46/0.0169</f>
        <v>91.42011834319527</v>
      </c>
      <c r="AR131" s="124"/>
      <c r="AS131" s="124">
        <f>AD48/0.0172</f>
        <v>136.33720930232559</v>
      </c>
      <c r="AT131" s="124">
        <f>AD49/0.0172</f>
        <v>228.19767441860463</v>
      </c>
      <c r="AU131" s="124"/>
      <c r="AV131" s="130">
        <f>AM92</f>
        <v>133.65384615384616</v>
      </c>
      <c r="AW131" s="124">
        <f>AD52/0.0225</f>
        <v>43.777777777777771</v>
      </c>
      <c r="AX131" s="236"/>
      <c r="AY131" s="236"/>
      <c r="AZ131" s="236"/>
      <c r="BA131" s="237"/>
      <c r="BB131" s="133" t="s">
        <v>99</v>
      </c>
      <c r="BL131" s="129">
        <f>AX36/0.0133</f>
        <v>49.834586466165412</v>
      </c>
      <c r="BM131" s="124">
        <f>AX37/0.0133</f>
        <v>61.86466165413534</v>
      </c>
      <c r="BN131" s="124">
        <f>AX38/0.012</f>
        <v>45.233333333333327</v>
      </c>
      <c r="BO131" s="130">
        <f>BQ88</f>
        <v>16.066666666666666</v>
      </c>
      <c r="BP131" s="124">
        <f>AX40/0.012</f>
        <v>26.9</v>
      </c>
      <c r="BQ131" s="124">
        <f>AX41/0.012</f>
        <v>46.9</v>
      </c>
      <c r="BR131" s="124">
        <f>AX42/0.012</f>
        <v>14.4</v>
      </c>
      <c r="BS131" s="124">
        <f>AX43/0.013</f>
        <v>34.830769230769228</v>
      </c>
      <c r="BT131" s="124">
        <f>AX44/0.013</f>
        <v>12.523076923076923</v>
      </c>
      <c r="BU131" s="124">
        <f>AX45/0.013</f>
        <v>35.6</v>
      </c>
      <c r="BV131" s="124">
        <f>AX46/0.013</f>
        <v>21.753846153846155</v>
      </c>
      <c r="BW131" s="130">
        <f>BQ90</f>
        <v>70.984615384615381</v>
      </c>
      <c r="BX131" s="124">
        <f>AX48/0.013</f>
        <v>34.830769230769228</v>
      </c>
      <c r="BY131" s="124">
        <f>AX49/0.013</f>
        <v>64.061538461538461</v>
      </c>
      <c r="BZ131" s="124">
        <f>AX50/0.013</f>
        <v>17.907692307692308</v>
      </c>
      <c r="CA131" s="124">
        <f>AX51/0.0145</f>
        <v>36.744827586206895</v>
      </c>
      <c r="CB131" s="124">
        <f>AX52/0.0145</f>
        <v>10.537931034482758</v>
      </c>
      <c r="CC131" s="124">
        <f>AX53/0.0145</f>
        <v>29.848275862068967</v>
      </c>
      <c r="CD131" s="124">
        <f>AX54/0.0125</f>
        <v>9.0240000000000009</v>
      </c>
      <c r="CE131" s="142">
        <f>AX55/0.0125</f>
        <v>24.224</v>
      </c>
      <c r="CF131" s="133" t="s">
        <v>99</v>
      </c>
    </row>
    <row r="132" spans="1:377" x14ac:dyDescent="0.25">
      <c r="C132" s="135">
        <f>D37/0.014</f>
        <v>151.25</v>
      </c>
      <c r="D132" s="139">
        <f>H86</f>
        <v>298.4375</v>
      </c>
      <c r="E132" s="123">
        <f>D39/0.014</f>
        <v>225.53571428571431</v>
      </c>
      <c r="F132" s="139">
        <v>195.71428571428572</v>
      </c>
      <c r="G132" s="123">
        <v>160.71428571428572</v>
      </c>
      <c r="H132" s="123">
        <v>142.85714285714286</v>
      </c>
      <c r="I132" s="123">
        <v>132.14285714285714</v>
      </c>
      <c r="J132" s="123">
        <v>205.21739130434781</v>
      </c>
      <c r="K132" s="123">
        <v>90.434782608695656</v>
      </c>
      <c r="L132" s="123">
        <v>207.82608695652175</v>
      </c>
      <c r="M132" s="139">
        <v>155.20833333333334</v>
      </c>
      <c r="N132" s="139">
        <v>205.04201680672267</v>
      </c>
      <c r="O132" s="123">
        <v>153.48837209302329</v>
      </c>
      <c r="P132" s="123">
        <v>191.16279069767447</v>
      </c>
      <c r="Q132" s="123">
        <v>219.06976744186051</v>
      </c>
      <c r="R132" s="123">
        <v>154.48275862068965</v>
      </c>
      <c r="S132" s="123">
        <v>154.48275862068965</v>
      </c>
      <c r="T132" s="139">
        <v>187.03657106782103</v>
      </c>
      <c r="U132" s="139">
        <v>287.61255411255416</v>
      </c>
      <c r="V132" s="131">
        <v>275.75757575757575</v>
      </c>
      <c r="W132" s="133" t="s">
        <v>98</v>
      </c>
      <c r="AH132" s="134"/>
      <c r="AI132" s="61"/>
      <c r="AJ132" s="122"/>
      <c r="AK132" s="124">
        <f>AJ40/0.0188</f>
        <v>84.840425531914889</v>
      </c>
      <c r="AL132" s="122"/>
      <c r="AM132" s="122"/>
      <c r="AN132" s="122"/>
      <c r="AO132" s="122"/>
      <c r="AP132" s="124">
        <f>AJ45/0.0169</f>
        <v>25.147928994082843</v>
      </c>
      <c r="AQ132" s="122"/>
      <c r="AR132" s="122"/>
      <c r="AS132" s="61"/>
      <c r="AT132" s="122"/>
      <c r="AU132" s="122"/>
      <c r="AV132" s="61"/>
      <c r="AW132" s="122"/>
      <c r="AX132" s="238"/>
      <c r="AY132" s="238"/>
      <c r="AZ132" s="238"/>
      <c r="BA132" s="239"/>
      <c r="BB132" s="133" t="s">
        <v>102</v>
      </c>
      <c r="BL132" s="134"/>
      <c r="BM132" s="122"/>
      <c r="BN132" s="122"/>
      <c r="BO132" s="61"/>
      <c r="BP132" s="122"/>
      <c r="BQ132" s="122"/>
      <c r="BR132" s="122"/>
      <c r="BS132" s="122"/>
      <c r="BT132" s="122"/>
      <c r="BU132" s="122"/>
      <c r="BV132" s="122"/>
      <c r="BW132" s="61"/>
      <c r="BX132" s="122"/>
      <c r="BY132" s="122"/>
      <c r="BZ132" s="122"/>
      <c r="CA132" s="122"/>
      <c r="CB132" s="122"/>
      <c r="CC132" s="122"/>
      <c r="CD132" s="122"/>
      <c r="CE132" s="141"/>
      <c r="CF132" s="133" t="s">
        <v>102</v>
      </c>
    </row>
    <row r="133" spans="1:377" x14ac:dyDescent="0.25">
      <c r="C133" s="129"/>
      <c r="D133" s="130">
        <f>H87</f>
        <v>85.5</v>
      </c>
      <c r="E133" s="124">
        <f>J39/0.014</f>
        <v>105.53571428571429</v>
      </c>
      <c r="F133" s="124">
        <f>J40/0.014</f>
        <v>54.821428571428569</v>
      </c>
      <c r="G133" s="124">
        <f>J41/0.014</f>
        <v>67.678571428571431</v>
      </c>
      <c r="H133" s="124">
        <v>33.571428571428569</v>
      </c>
      <c r="I133" s="124">
        <v>80.714285714285708</v>
      </c>
      <c r="J133" s="124">
        <v>59.130434782608702</v>
      </c>
      <c r="K133" s="124">
        <v>21.739130434782609</v>
      </c>
      <c r="L133" s="124">
        <v>65.217391304347828</v>
      </c>
      <c r="M133" s="130">
        <v>17.830803653415117</v>
      </c>
      <c r="N133" s="124">
        <v>55.232001560578539</v>
      </c>
      <c r="O133" s="124">
        <v>88.604651162790717</v>
      </c>
      <c r="P133" s="124">
        <v>62.790697674418617</v>
      </c>
      <c r="Q133" s="124">
        <v>101.16279069767442</v>
      </c>
      <c r="R133" s="124">
        <v>2.2400000000000002</v>
      </c>
      <c r="S133" s="124">
        <v>55.862068965517246</v>
      </c>
      <c r="T133" s="124">
        <v>97.241379310344811</v>
      </c>
      <c r="U133" s="130">
        <v>25</v>
      </c>
      <c r="V133" s="142">
        <v>46.25</v>
      </c>
      <c r="W133" s="133" t="s">
        <v>99</v>
      </c>
      <c r="AH133" s="129"/>
      <c r="AI133" s="130">
        <f>AI130-AI131</f>
        <v>119.84265734265733</v>
      </c>
      <c r="AJ133" s="124"/>
      <c r="AK133" s="130">
        <f t="shared" ref="AK133:AQ133" si="18">AK130-AK131</f>
        <v>553.48023598820055</v>
      </c>
      <c r="AL133" s="124">
        <f t="shared" si="18"/>
        <v>327.93544337253866</v>
      </c>
      <c r="AM133" s="124">
        <f t="shared" si="18"/>
        <v>179.96068455134136</v>
      </c>
      <c r="AN133" s="124">
        <f t="shared" si="18"/>
        <v>202.6793973833752</v>
      </c>
      <c r="AO133" s="124">
        <f t="shared" si="18"/>
        <v>152.75868904453552</v>
      </c>
      <c r="AP133" s="124">
        <f t="shared" si="18"/>
        <v>130.17751479289947</v>
      </c>
      <c r="AQ133" s="124">
        <f t="shared" si="18"/>
        <v>178.10650887573968</v>
      </c>
      <c r="AR133" s="124"/>
      <c r="AS133" s="130">
        <f>AS130-AS131</f>
        <v>415.60454362914766</v>
      </c>
      <c r="AT133" s="124">
        <f>AT130-AT131</f>
        <v>468.02325581395348</v>
      </c>
      <c r="AU133" s="124"/>
      <c r="AV133" s="130">
        <f>AV130-AV131</f>
        <v>289.07342657342656</v>
      </c>
      <c r="AW133" s="124">
        <f>AW130-AW131</f>
        <v>180.26477541371162</v>
      </c>
      <c r="AX133" s="236"/>
      <c r="AY133" s="236"/>
      <c r="AZ133" s="236"/>
      <c r="BA133" s="237"/>
      <c r="BB133" s="133" t="s">
        <v>105</v>
      </c>
      <c r="BL133" s="129">
        <f t="shared" ref="BL133:CE133" si="19">BL130-BL131</f>
        <v>111.27819548872182</v>
      </c>
      <c r="BM133" s="124">
        <f t="shared" si="19"/>
        <v>59.845338345864654</v>
      </c>
      <c r="BN133" s="124">
        <f t="shared" si="19"/>
        <v>60.069523809523822</v>
      </c>
      <c r="BO133" s="130">
        <f t="shared" si="19"/>
        <v>54.379047619047626</v>
      </c>
      <c r="BP133" s="124">
        <f t="shared" si="19"/>
        <v>62.97428571428572</v>
      </c>
      <c r="BQ133" s="124">
        <f t="shared" si="19"/>
        <v>62.974285714285706</v>
      </c>
      <c r="BR133" s="124">
        <f t="shared" si="19"/>
        <v>47.47428571428572</v>
      </c>
      <c r="BS133" s="124">
        <f t="shared" si="19"/>
        <v>83.419230769230779</v>
      </c>
      <c r="BT133" s="124">
        <f t="shared" si="19"/>
        <v>64.754700854700857</v>
      </c>
      <c r="BU133" s="124">
        <f t="shared" si="19"/>
        <v>90.288888888888891</v>
      </c>
      <c r="BV133" s="124">
        <f t="shared" si="19"/>
        <v>81.912820512820517</v>
      </c>
      <c r="BW133" s="130">
        <f t="shared" si="19"/>
        <v>77.126495726495733</v>
      </c>
      <c r="BX133" s="124">
        <f t="shared" si="19"/>
        <v>91.058119658119665</v>
      </c>
      <c r="BY133" s="124">
        <f t="shared" si="19"/>
        <v>94.46623931623931</v>
      </c>
      <c r="BZ133" s="124">
        <f t="shared" si="19"/>
        <v>91.314529914529942</v>
      </c>
      <c r="CA133" s="124">
        <f t="shared" si="19"/>
        <v>104.13793103448273</v>
      </c>
      <c r="CB133" s="124">
        <f t="shared" si="19"/>
        <v>86.896551724137936</v>
      </c>
      <c r="CC133" s="124">
        <f t="shared" si="19"/>
        <v>98.620689655172441</v>
      </c>
      <c r="CD133" s="124">
        <f t="shared" si="19"/>
        <v>122.4</v>
      </c>
      <c r="CE133" s="142">
        <f t="shared" si="19"/>
        <v>202.39999999999998</v>
      </c>
      <c r="CF133" s="133" t="s">
        <v>105</v>
      </c>
    </row>
    <row r="134" spans="1:377" x14ac:dyDescent="0.25">
      <c r="C134" s="134"/>
      <c r="D134" s="61"/>
      <c r="E134" s="122">
        <f>P39/0.014</f>
        <v>7.6785714285714279</v>
      </c>
      <c r="F134" s="61"/>
      <c r="G134" s="122"/>
      <c r="H134" s="122"/>
      <c r="I134" s="122"/>
      <c r="J134" s="122"/>
      <c r="K134" s="122"/>
      <c r="L134" s="122"/>
      <c r="M134" s="61"/>
      <c r="N134" s="61"/>
      <c r="O134" s="122"/>
      <c r="P134" s="122"/>
      <c r="Q134" s="122"/>
      <c r="R134" s="122"/>
      <c r="S134" s="122"/>
      <c r="T134" s="61"/>
      <c r="U134" s="61"/>
      <c r="V134" s="141"/>
      <c r="W134" s="133" t="s">
        <v>102</v>
      </c>
      <c r="AH134" s="136"/>
      <c r="AI134" s="128"/>
      <c r="AJ134" s="126"/>
      <c r="AK134" s="126">
        <f>AK131-AK132</f>
        <v>158.62624113475175</v>
      </c>
      <c r="AL134" s="126"/>
      <c r="AM134" s="126"/>
      <c r="AN134" s="126"/>
      <c r="AO134" s="126"/>
      <c r="AP134" s="126">
        <f>AP131-AP132</f>
        <v>173.96449704142015</v>
      </c>
      <c r="AQ134" s="126"/>
      <c r="AR134" s="126"/>
      <c r="AS134" s="104"/>
      <c r="AT134" s="126"/>
      <c r="AU134" s="126"/>
      <c r="AV134" s="128"/>
      <c r="AW134" s="126"/>
      <c r="AX134" s="240"/>
      <c r="AY134" s="103"/>
      <c r="AZ134" s="240"/>
      <c r="BA134" s="241"/>
      <c r="BB134" s="101" t="s">
        <v>106</v>
      </c>
      <c r="BD134" t="s">
        <v>110</v>
      </c>
      <c r="BL134" s="136"/>
      <c r="BM134" s="126"/>
      <c r="BN134" s="126"/>
      <c r="BO134" s="128"/>
      <c r="BP134" s="126"/>
      <c r="BQ134" s="126"/>
      <c r="BR134" s="126"/>
      <c r="BS134" s="126"/>
      <c r="BT134" s="126"/>
      <c r="BU134" s="126"/>
      <c r="BV134" s="126"/>
      <c r="BW134" s="104"/>
      <c r="BX134" s="126"/>
      <c r="BY134" s="126"/>
      <c r="BZ134" s="126"/>
      <c r="CA134" s="126"/>
      <c r="CB134" s="126"/>
      <c r="CC134" s="126"/>
      <c r="CD134" s="126"/>
      <c r="CE134" s="132"/>
      <c r="CF134" s="101" t="s">
        <v>106</v>
      </c>
      <c r="CH134" t="s">
        <v>110</v>
      </c>
    </row>
    <row r="135" spans="1:377" x14ac:dyDescent="0.25">
      <c r="C135" s="129"/>
      <c r="D135" s="130">
        <f t="shared" ref="D135:V135" si="20">D132-D133</f>
        <v>212.9375</v>
      </c>
      <c r="E135" s="124">
        <f t="shared" si="20"/>
        <v>120.00000000000001</v>
      </c>
      <c r="F135" s="130">
        <f t="shared" si="20"/>
        <v>140.89285714285717</v>
      </c>
      <c r="G135" s="124">
        <f t="shared" si="20"/>
        <v>93.035714285714292</v>
      </c>
      <c r="H135" s="124">
        <f t="shared" si="20"/>
        <v>109.28571428571429</v>
      </c>
      <c r="I135" s="124">
        <f t="shared" si="20"/>
        <v>51.428571428571431</v>
      </c>
      <c r="J135" s="124">
        <f t="shared" si="20"/>
        <v>146.08695652173913</v>
      </c>
      <c r="K135" s="124">
        <f t="shared" si="20"/>
        <v>68.695652173913047</v>
      </c>
      <c r="L135" s="124">
        <f t="shared" si="20"/>
        <v>142.60869565217394</v>
      </c>
      <c r="M135" s="130">
        <f t="shared" si="20"/>
        <v>137.37752967991821</v>
      </c>
      <c r="N135" s="130">
        <f t="shared" si="20"/>
        <v>149.81001524614413</v>
      </c>
      <c r="O135" s="124">
        <f t="shared" si="20"/>
        <v>64.88372093023257</v>
      </c>
      <c r="P135" s="124">
        <f t="shared" si="20"/>
        <v>128.37209302325584</v>
      </c>
      <c r="Q135" s="124">
        <f t="shared" si="20"/>
        <v>117.90697674418608</v>
      </c>
      <c r="R135" s="124">
        <f t="shared" si="20"/>
        <v>152.24275862068964</v>
      </c>
      <c r="S135" s="124">
        <f t="shared" si="20"/>
        <v>98.620689655172413</v>
      </c>
      <c r="T135" s="130">
        <f t="shared" si="20"/>
        <v>89.795191757476218</v>
      </c>
      <c r="U135" s="130">
        <f t="shared" si="20"/>
        <v>262.61255411255416</v>
      </c>
      <c r="V135" s="142">
        <f t="shared" si="20"/>
        <v>229.50757575757575</v>
      </c>
      <c r="W135" s="133" t="s">
        <v>105</v>
      </c>
      <c r="AH135" s="136"/>
      <c r="AI135" s="128">
        <f>AI133</f>
        <v>119.84265734265733</v>
      </c>
      <c r="AJ135" s="126"/>
      <c r="AK135" s="128">
        <f>(AK133+AK134)/2</f>
        <v>356.05323856147618</v>
      </c>
      <c r="AL135" s="126">
        <f>AL133</f>
        <v>327.93544337253866</v>
      </c>
      <c r="AM135" s="126">
        <f>AM133</f>
        <v>179.96068455134136</v>
      </c>
      <c r="AN135" s="126">
        <f>AN133</f>
        <v>202.6793973833752</v>
      </c>
      <c r="AO135" s="126">
        <f>AO133</f>
        <v>152.75868904453552</v>
      </c>
      <c r="AP135" s="126">
        <f>(AP133+AP134)/2</f>
        <v>152.07100591715982</v>
      </c>
      <c r="AQ135" s="126">
        <f>AQ133</f>
        <v>178.10650887573968</v>
      </c>
      <c r="AR135" s="128"/>
      <c r="AS135" s="128">
        <f>AS133</f>
        <v>415.60454362914766</v>
      </c>
      <c r="AT135" s="126">
        <f>AT133</f>
        <v>468.02325581395348</v>
      </c>
      <c r="AU135" s="126"/>
      <c r="AV135" s="128">
        <f>AV133</f>
        <v>289.07342657342656</v>
      </c>
      <c r="AW135" s="126">
        <f>AW133</f>
        <v>180.26477541371162</v>
      </c>
      <c r="AX135" s="240"/>
      <c r="AY135" s="240"/>
      <c r="AZ135" s="240"/>
      <c r="BA135" s="240"/>
      <c r="BB135" s="101" t="s">
        <v>107</v>
      </c>
      <c r="BD135" s="150">
        <f>AVERAGE(AH135:BA135)</f>
        <v>251.86446887325519</v>
      </c>
      <c r="BL135" s="135">
        <f>BL133</f>
        <v>111.27819548872182</v>
      </c>
      <c r="BM135" s="678">
        <f>BM133</f>
        <v>59.845338345864654</v>
      </c>
      <c r="BN135" s="124">
        <f>(BN133)/1</f>
        <v>60.069523809523822</v>
      </c>
      <c r="BO135" s="130">
        <f t="shared" ref="BO135:CE135" si="21">BO133</f>
        <v>54.379047619047626</v>
      </c>
      <c r="BP135" s="124">
        <f t="shared" si="21"/>
        <v>62.97428571428572</v>
      </c>
      <c r="BQ135" s="124">
        <f t="shared" si="21"/>
        <v>62.974285714285706</v>
      </c>
      <c r="BR135" s="124">
        <f t="shared" si="21"/>
        <v>47.47428571428572</v>
      </c>
      <c r="BS135" s="124">
        <f t="shared" si="21"/>
        <v>83.419230769230779</v>
      </c>
      <c r="BT135" s="124">
        <f t="shared" si="21"/>
        <v>64.754700854700857</v>
      </c>
      <c r="BU135" s="124">
        <f t="shared" si="21"/>
        <v>90.288888888888891</v>
      </c>
      <c r="BV135" s="124">
        <f t="shared" si="21"/>
        <v>81.912820512820517</v>
      </c>
      <c r="BW135" s="130">
        <f t="shared" si="21"/>
        <v>77.126495726495733</v>
      </c>
      <c r="BX135" s="124">
        <f t="shared" si="21"/>
        <v>91.058119658119665</v>
      </c>
      <c r="BY135" s="124">
        <f t="shared" si="21"/>
        <v>94.46623931623931</v>
      </c>
      <c r="BZ135" s="124">
        <f t="shared" si="21"/>
        <v>91.314529914529942</v>
      </c>
      <c r="CA135" s="124">
        <f t="shared" si="21"/>
        <v>104.13793103448273</v>
      </c>
      <c r="CB135" s="124">
        <f t="shared" si="21"/>
        <v>86.896551724137936</v>
      </c>
      <c r="CC135" s="678">
        <f t="shared" si="21"/>
        <v>98.620689655172441</v>
      </c>
      <c r="CD135" s="678">
        <f t="shared" si="21"/>
        <v>122.4</v>
      </c>
      <c r="CE135" s="124">
        <f t="shared" si="21"/>
        <v>202.39999999999998</v>
      </c>
      <c r="CF135" s="133" t="s">
        <v>107</v>
      </c>
      <c r="CH135" s="150">
        <f>AVERAGE(BL135:CE135)</f>
        <v>87.389558023041701</v>
      </c>
    </row>
    <row r="136" spans="1:377" x14ac:dyDescent="0.25">
      <c r="C136" s="136"/>
      <c r="D136" s="128"/>
      <c r="E136" s="126">
        <f>E133-E134</f>
        <v>97.857142857142861</v>
      </c>
      <c r="F136" s="128"/>
      <c r="G136" s="126"/>
      <c r="H136" s="126"/>
      <c r="I136" s="126"/>
      <c r="J136" s="126"/>
      <c r="K136" s="126"/>
      <c r="L136" s="126"/>
      <c r="M136" s="128"/>
      <c r="N136" s="104"/>
      <c r="O136" s="126"/>
      <c r="P136" s="126"/>
      <c r="Q136" s="126"/>
      <c r="R136" s="126"/>
      <c r="S136" s="126"/>
      <c r="T136" s="104"/>
      <c r="U136" s="128"/>
      <c r="V136" s="132"/>
      <c r="W136" s="101" t="s">
        <v>106</v>
      </c>
      <c r="Y136" t="s">
        <v>110</v>
      </c>
      <c r="AG136" s="127"/>
      <c r="AH136" s="127"/>
      <c r="AI136" s="144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J136" s="61"/>
      <c r="BK136" s="377"/>
      <c r="BL136" s="377"/>
      <c r="BM136" s="377"/>
      <c r="BN136" s="377"/>
      <c r="BO136" s="377"/>
      <c r="BP136" s="377"/>
      <c r="BQ136" s="377"/>
      <c r="BR136" s="377"/>
      <c r="BS136" s="377"/>
      <c r="BT136" s="377"/>
      <c r="BU136" s="377"/>
      <c r="BV136" s="377"/>
      <c r="BW136" s="377"/>
      <c r="BX136" s="377"/>
      <c r="BY136" s="377"/>
      <c r="BZ136" s="377"/>
      <c r="CA136" s="377"/>
      <c r="CB136" s="377"/>
      <c r="CC136" s="377"/>
      <c r="CD136" s="377"/>
      <c r="CE136" s="377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</row>
    <row r="137" spans="1:377" x14ac:dyDescent="0.25">
      <c r="C137" s="129"/>
      <c r="D137" s="130">
        <f>D135</f>
        <v>212.9375</v>
      </c>
      <c r="E137" s="124">
        <f>(E135+E136)/2</f>
        <v>108.92857142857144</v>
      </c>
      <c r="F137" s="130">
        <f t="shared" ref="F137:V137" si="22">F135</f>
        <v>140.89285714285717</v>
      </c>
      <c r="G137" s="124">
        <f t="shared" si="22"/>
        <v>93.035714285714292</v>
      </c>
      <c r="H137" s="124">
        <f t="shared" si="22"/>
        <v>109.28571428571429</v>
      </c>
      <c r="I137" s="124">
        <f t="shared" si="22"/>
        <v>51.428571428571431</v>
      </c>
      <c r="J137" s="124">
        <f t="shared" si="22"/>
        <v>146.08695652173913</v>
      </c>
      <c r="K137" s="124">
        <f t="shared" si="22"/>
        <v>68.695652173913047</v>
      </c>
      <c r="L137" s="124">
        <f t="shared" si="22"/>
        <v>142.60869565217394</v>
      </c>
      <c r="M137" s="130">
        <f t="shared" si="22"/>
        <v>137.37752967991821</v>
      </c>
      <c r="N137" s="130">
        <f t="shared" si="22"/>
        <v>149.81001524614413</v>
      </c>
      <c r="O137" s="124">
        <f t="shared" si="22"/>
        <v>64.88372093023257</v>
      </c>
      <c r="P137" s="124">
        <f t="shared" si="22"/>
        <v>128.37209302325584</v>
      </c>
      <c r="Q137" s="124">
        <f t="shared" si="22"/>
        <v>117.90697674418608</v>
      </c>
      <c r="R137" s="124">
        <f t="shared" si="22"/>
        <v>152.24275862068964</v>
      </c>
      <c r="S137" s="124">
        <f t="shared" si="22"/>
        <v>98.620689655172413</v>
      </c>
      <c r="T137" s="130">
        <f t="shared" si="22"/>
        <v>89.795191757476218</v>
      </c>
      <c r="U137" s="130">
        <f t="shared" si="22"/>
        <v>262.61255411255416</v>
      </c>
      <c r="V137" s="124">
        <f t="shared" si="22"/>
        <v>229.50757575757575</v>
      </c>
      <c r="W137" s="133" t="s">
        <v>107</v>
      </c>
      <c r="Y137" s="150">
        <f>AVERAGE(C137:V137)</f>
        <v>131.84364939191892</v>
      </c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</row>
    <row r="138" spans="1:377" x14ac:dyDescent="0.25">
      <c r="A138" s="61"/>
      <c r="B138" s="377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377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J138" s="61"/>
      <c r="BK138" s="61"/>
      <c r="BL138" s="220"/>
      <c r="BM138" s="220"/>
      <c r="BN138" s="220"/>
      <c r="BO138" s="220"/>
      <c r="BP138" s="220"/>
      <c r="BQ138" s="220"/>
      <c r="BR138" s="220"/>
      <c r="BS138" s="220"/>
      <c r="BT138" s="220"/>
      <c r="BU138" s="220"/>
      <c r="BV138" s="220"/>
      <c r="BW138" s="220"/>
      <c r="BX138" s="220"/>
      <c r="BY138" s="220"/>
      <c r="BZ138" s="220"/>
      <c r="CA138" s="220"/>
      <c r="CB138" s="220"/>
      <c r="CC138" s="220"/>
      <c r="CD138" s="220"/>
      <c r="CE138" s="220"/>
      <c r="CF138" s="220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</row>
    <row r="139" spans="1:377" x14ac:dyDescent="0.2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D139" s="61"/>
      <c r="AE139" s="61"/>
      <c r="AF139" s="61"/>
      <c r="AG139" s="61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61"/>
      <c r="BC139" s="61"/>
      <c r="BD139" s="61"/>
      <c r="BJ139" s="61"/>
      <c r="BK139" s="61"/>
      <c r="BL139" s="682"/>
      <c r="BM139" s="682"/>
      <c r="BN139" s="682"/>
      <c r="BO139" s="682"/>
      <c r="BP139" s="682"/>
      <c r="BQ139" s="682"/>
      <c r="BR139" s="682"/>
      <c r="BS139" s="682"/>
      <c r="BT139" s="682"/>
      <c r="BU139" s="682"/>
      <c r="BV139" s="682"/>
      <c r="BW139" s="682"/>
      <c r="BX139" s="682"/>
      <c r="BY139" s="682"/>
      <c r="BZ139" s="682"/>
      <c r="CA139" s="682"/>
      <c r="CB139" s="682"/>
      <c r="CC139" s="682"/>
      <c r="CD139" s="682"/>
      <c r="CE139" s="682"/>
      <c r="CF139" s="682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</row>
    <row r="140" spans="1:377" x14ac:dyDescent="0.2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130"/>
      <c r="AW140" s="61"/>
      <c r="AX140" s="61"/>
      <c r="AY140" s="61"/>
      <c r="AZ140" s="228"/>
      <c r="BA140" s="61"/>
      <c r="BB140" s="61"/>
      <c r="BC140" s="61"/>
      <c r="BD140" s="61"/>
      <c r="BJ140" s="61"/>
      <c r="BK140" s="61"/>
      <c r="BL140" s="220"/>
      <c r="BM140" s="681"/>
      <c r="BN140" s="681"/>
      <c r="BO140" s="681"/>
      <c r="BP140" s="681"/>
      <c r="BQ140" s="681"/>
      <c r="BR140" s="681"/>
      <c r="BS140" s="681"/>
      <c r="BT140" s="681"/>
      <c r="BU140" s="681"/>
      <c r="BV140" s="681"/>
      <c r="BW140" s="681"/>
      <c r="BX140" s="681"/>
      <c r="BY140" s="681"/>
      <c r="BZ140" s="683"/>
      <c r="CA140" s="681"/>
      <c r="CB140" s="681"/>
      <c r="CC140" s="681"/>
      <c r="CD140" s="532"/>
      <c r="CE140" s="220"/>
      <c r="CF140" s="220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</row>
    <row r="141" spans="1:377" x14ac:dyDescent="0.25">
      <c r="AI141" s="80"/>
      <c r="AM141" s="80"/>
      <c r="AQ141" s="80"/>
      <c r="AW141" s="80"/>
      <c r="BI141" s="349"/>
      <c r="BJ141" s="286"/>
      <c r="BM141" s="80"/>
      <c r="BQ141" s="80"/>
      <c r="BU141" s="80"/>
      <c r="CA141" s="80"/>
    </row>
    <row r="142" spans="1:377" x14ac:dyDescent="0.25">
      <c r="AI142" s="80"/>
      <c r="AM142" s="80"/>
      <c r="AQ142" s="80"/>
      <c r="AW142" s="80"/>
      <c r="BI142" s="285"/>
      <c r="BJ142" s="286"/>
      <c r="BM142" s="80"/>
      <c r="BQ142" s="80"/>
      <c r="BU142" s="80"/>
      <c r="CA142" s="80"/>
    </row>
    <row r="143" spans="1:377" x14ac:dyDescent="0.25">
      <c r="AG143" t="s">
        <v>109</v>
      </c>
      <c r="AI143" s="80"/>
      <c r="AK143">
        <v>1.8070182266004958E-2</v>
      </c>
      <c r="AM143" s="80"/>
      <c r="AQ143" s="80"/>
      <c r="AW143" s="80"/>
      <c r="BI143" s="80"/>
      <c r="BK143" t="s">
        <v>109</v>
      </c>
      <c r="BM143" s="80"/>
      <c r="BO143">
        <v>1.36205128205128E-2</v>
      </c>
      <c r="BQ143" s="80"/>
      <c r="BU143" s="80"/>
      <c r="CA143" s="80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  <c r="NM143" s="43"/>
    </row>
    <row r="144" spans="1:377" x14ac:dyDescent="0.25">
      <c r="AH144" s="110" t="s">
        <v>177</v>
      </c>
      <c r="AI144" s="55"/>
      <c r="AJ144" s="55"/>
      <c r="AK144" s="55"/>
      <c r="AL144" s="55"/>
      <c r="AM144" s="120"/>
      <c r="AN144" s="55"/>
      <c r="AO144" s="55"/>
      <c r="AP144" s="55"/>
      <c r="AQ144" s="55"/>
      <c r="AR144" s="55"/>
      <c r="AS144" s="55"/>
      <c r="AT144" s="55"/>
      <c r="AU144" s="55"/>
      <c r="AV144" s="55"/>
      <c r="AW144" s="46"/>
      <c r="AX144" s="55"/>
      <c r="AY144" s="46"/>
      <c r="AZ144" s="55"/>
      <c r="BA144" s="55"/>
      <c r="BB144" s="121"/>
      <c r="BI144" s="80"/>
      <c r="BL144" s="110" t="s">
        <v>171</v>
      </c>
      <c r="BM144" s="55"/>
      <c r="BN144" s="55"/>
      <c r="BO144" s="55"/>
      <c r="BP144" s="55"/>
      <c r="BQ144" s="120"/>
      <c r="BR144" s="55"/>
      <c r="BS144" s="55"/>
      <c r="BT144" s="55"/>
      <c r="BU144" s="55"/>
      <c r="BV144" s="55"/>
      <c r="BW144" s="55"/>
      <c r="BX144" s="55"/>
      <c r="BY144" s="55"/>
      <c r="BZ144" s="55"/>
      <c r="CA144" s="46"/>
      <c r="CB144" s="55"/>
      <c r="CC144" s="46"/>
      <c r="CD144" s="55"/>
      <c r="CE144" s="55"/>
      <c r="CF144" s="121"/>
      <c r="MW144" s="43"/>
      <c r="MX144" s="43"/>
      <c r="MY144" s="43"/>
      <c r="MZ144" s="43"/>
      <c r="NA144" s="43"/>
      <c r="NB144" s="43"/>
      <c r="NC144" s="43"/>
      <c r="ND144" s="43"/>
      <c r="NE144" s="43"/>
      <c r="NF144" s="43"/>
      <c r="NG144" s="43"/>
      <c r="NH144" s="43"/>
      <c r="NI144" s="43"/>
      <c r="NJ144" s="43"/>
      <c r="NK144" s="43"/>
      <c r="NL144" s="43"/>
      <c r="NM144" s="43"/>
    </row>
    <row r="145" spans="1:377" x14ac:dyDescent="0.25">
      <c r="B145" t="s">
        <v>109</v>
      </c>
      <c r="F145">
        <v>1.4500000000000001E-2</v>
      </c>
      <c r="AH145" s="134">
        <v>1</v>
      </c>
      <c r="AI145" s="61">
        <v>2</v>
      </c>
      <c r="AJ145" s="122">
        <v>3</v>
      </c>
      <c r="AK145" s="61">
        <v>4</v>
      </c>
      <c r="AL145" s="122">
        <v>5</v>
      </c>
      <c r="AM145" s="122">
        <v>6</v>
      </c>
      <c r="AN145" s="122">
        <v>7</v>
      </c>
      <c r="AO145" s="122">
        <v>8</v>
      </c>
      <c r="AP145" s="122">
        <v>9</v>
      </c>
      <c r="AQ145" s="122">
        <v>10</v>
      </c>
      <c r="AR145" s="146">
        <v>11</v>
      </c>
      <c r="AS145" s="242">
        <v>12</v>
      </c>
      <c r="AT145" s="122">
        <v>13</v>
      </c>
      <c r="AU145" s="122">
        <v>14</v>
      </c>
      <c r="AV145" s="61">
        <v>15</v>
      </c>
      <c r="AW145" s="242">
        <v>16</v>
      </c>
      <c r="AX145" s="122">
        <v>17</v>
      </c>
      <c r="AY145" s="61">
        <v>18</v>
      </c>
      <c r="AZ145" s="61">
        <v>19</v>
      </c>
      <c r="BA145" s="141">
        <v>20</v>
      </c>
      <c r="BB145" s="140" t="s">
        <v>97</v>
      </c>
      <c r="BI145" s="80"/>
      <c r="BL145" s="134">
        <v>1</v>
      </c>
      <c r="BM145" s="61">
        <v>2</v>
      </c>
      <c r="BN145" s="122">
        <v>3</v>
      </c>
      <c r="BO145" s="61">
        <v>4</v>
      </c>
      <c r="BP145" s="122">
        <v>5</v>
      </c>
      <c r="BQ145" s="122">
        <v>6</v>
      </c>
      <c r="BR145" s="122">
        <v>7</v>
      </c>
      <c r="BS145" s="122">
        <v>8</v>
      </c>
      <c r="BT145" s="122">
        <v>9</v>
      </c>
      <c r="BU145" s="122">
        <v>10</v>
      </c>
      <c r="BV145" s="122">
        <v>11</v>
      </c>
      <c r="BW145" s="61">
        <v>12</v>
      </c>
      <c r="BX145" s="122">
        <v>13</v>
      </c>
      <c r="BY145" s="122">
        <v>14</v>
      </c>
      <c r="BZ145" s="122">
        <v>15</v>
      </c>
      <c r="CA145" s="122">
        <v>16</v>
      </c>
      <c r="CB145" s="122">
        <v>17</v>
      </c>
      <c r="CC145" s="61">
        <v>18</v>
      </c>
      <c r="CD145" s="61">
        <v>19</v>
      </c>
      <c r="CE145" s="141">
        <v>20</v>
      </c>
      <c r="CF145" s="140" t="s">
        <v>97</v>
      </c>
      <c r="MW145" s="43"/>
      <c r="MX145" s="43"/>
      <c r="MY145" s="43"/>
      <c r="MZ145" s="43"/>
      <c r="NA145" s="43"/>
      <c r="NB145" s="43"/>
      <c r="NC145" s="43"/>
      <c r="ND145" s="43"/>
      <c r="NE145" s="43"/>
      <c r="NF145" s="43"/>
      <c r="NG145" s="43"/>
      <c r="NH145" s="43"/>
      <c r="NI145" s="43"/>
      <c r="NJ145" s="43"/>
      <c r="NK145" s="43"/>
      <c r="NL145" s="43"/>
      <c r="NM145" s="43"/>
    </row>
    <row r="146" spans="1:377" x14ac:dyDescent="0.25">
      <c r="C146" s="110" t="s">
        <v>108</v>
      </c>
      <c r="D146" s="55"/>
      <c r="E146" s="55"/>
      <c r="F146" s="55"/>
      <c r="G146" s="55"/>
      <c r="H146" s="120"/>
      <c r="I146" s="55"/>
      <c r="J146" s="55"/>
      <c r="K146" s="55"/>
      <c r="L146" s="55"/>
      <c r="M146" s="55"/>
      <c r="N146" s="55"/>
      <c r="O146" s="55"/>
      <c r="P146" s="55"/>
      <c r="Q146" s="55"/>
      <c r="R146" s="46"/>
      <c r="S146" s="55"/>
      <c r="T146" s="46"/>
      <c r="U146" s="55"/>
      <c r="V146" s="55"/>
      <c r="W146" s="121"/>
      <c r="AH146" s="135"/>
      <c r="AI146" s="139">
        <f>AI130</f>
        <v>210.22727272727272</v>
      </c>
      <c r="AJ146" s="123"/>
      <c r="AK146" s="139">
        <f>AK130</f>
        <v>796.94690265486713</v>
      </c>
      <c r="AL146" s="123">
        <f>X41/AK143</f>
        <v>410.89790300391661</v>
      </c>
      <c r="AM146" s="123">
        <f>X42/AK143</f>
        <v>307.96590305950116</v>
      </c>
      <c r="AN146" s="123">
        <f>X43/AK143</f>
        <v>242.6649568582053</v>
      </c>
      <c r="AO146" s="123">
        <f>X44/AK143</f>
        <v>233.25719342242539</v>
      </c>
      <c r="AP146" s="123">
        <f>X45/AK143</f>
        <v>307.96590305950116</v>
      </c>
      <c r="AQ146" s="123">
        <f>X46/AK143</f>
        <v>252.07272029398527</v>
      </c>
      <c r="AR146" s="139">
        <f>AR130</f>
        <v>296.65041067761803</v>
      </c>
      <c r="AS146" s="139">
        <f>AS130</f>
        <v>551.94175293147327</v>
      </c>
      <c r="AT146" s="123">
        <f>X49/AK143</f>
        <v>662.6939243733201</v>
      </c>
      <c r="AU146" s="123">
        <f>X50/AK143</f>
        <v>426.39304278049531</v>
      </c>
      <c r="AV146" s="139">
        <f>AV130</f>
        <v>422.72727272727275</v>
      </c>
      <c r="AW146" s="139">
        <f>AW130</f>
        <v>224.04255319148939</v>
      </c>
      <c r="AX146" s="234"/>
      <c r="AY146" s="234"/>
      <c r="AZ146" s="234"/>
      <c r="BA146" s="235"/>
      <c r="BB146" s="133" t="s">
        <v>98</v>
      </c>
      <c r="BI146" s="80"/>
      <c r="BL146" s="135">
        <f>AR36/BO143</f>
        <v>157.32153614457854</v>
      </c>
      <c r="BM146" s="139">
        <f>BQ86</f>
        <v>121.71</v>
      </c>
      <c r="BN146" s="123">
        <f>AR38/BO143</f>
        <v>135.29593373493998</v>
      </c>
      <c r="BO146" s="139">
        <f>BQ87</f>
        <v>70.445714285714288</v>
      </c>
      <c r="BP146" s="123">
        <f>AR40/BO143</f>
        <v>115.47289156626525</v>
      </c>
      <c r="BQ146" s="123">
        <f>AR41/BO143</f>
        <v>141.16942771084359</v>
      </c>
      <c r="BR146" s="123">
        <f>AR42/BO143</f>
        <v>79.497740963855563</v>
      </c>
      <c r="BS146" s="123">
        <f>AR43/BO143</f>
        <v>125.01731927710863</v>
      </c>
      <c r="BT146" s="123">
        <f>AR44/BO143</f>
        <v>81.700301204819397</v>
      </c>
      <c r="BU146" s="123">
        <f>AR45/BO143</f>
        <v>133.09337349397612</v>
      </c>
      <c r="BV146" s="123">
        <f>AR46/BO143</f>
        <v>109.59939759036162</v>
      </c>
      <c r="BW146" s="139">
        <f>BQ89</f>
        <v>148.11111111111111</v>
      </c>
      <c r="BX146" s="123">
        <f>AR48/BO143</f>
        <v>133.09337349397612</v>
      </c>
      <c r="BY146" s="123">
        <f>AR49/BO143</f>
        <v>167.60015060240988</v>
      </c>
      <c r="BZ146" s="123">
        <f>AR50/BO143</f>
        <v>115.47289156626525</v>
      </c>
      <c r="CA146" s="123">
        <f>AR51/BO143</f>
        <v>149.97966867469901</v>
      </c>
      <c r="CB146" s="123">
        <f>AR52/BO143</f>
        <v>103.72590361445799</v>
      </c>
      <c r="CC146" s="139">
        <f>BQ91</f>
        <v>128.4689655172414</v>
      </c>
      <c r="CD146" s="139">
        <f>BQ92</f>
        <v>131.42400000000001</v>
      </c>
      <c r="CE146" s="123">
        <f>AR55/BO143</f>
        <v>207.98042168674729</v>
      </c>
      <c r="CF146" s="133" t="s">
        <v>98</v>
      </c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</row>
    <row r="147" spans="1:377" x14ac:dyDescent="0.25">
      <c r="C147" s="134">
        <v>1</v>
      </c>
      <c r="D147" s="61">
        <v>2</v>
      </c>
      <c r="E147" s="122">
        <v>3</v>
      </c>
      <c r="F147" s="61">
        <v>4</v>
      </c>
      <c r="G147" s="122">
        <v>5</v>
      </c>
      <c r="H147" s="122">
        <v>6</v>
      </c>
      <c r="I147" s="122">
        <v>7</v>
      </c>
      <c r="J147" s="122">
        <v>8</v>
      </c>
      <c r="K147" s="122">
        <v>9</v>
      </c>
      <c r="L147" s="122">
        <v>10</v>
      </c>
      <c r="M147" s="146">
        <v>11</v>
      </c>
      <c r="N147" s="61">
        <v>12</v>
      </c>
      <c r="O147" s="122">
        <v>13</v>
      </c>
      <c r="P147" s="122">
        <v>14</v>
      </c>
      <c r="Q147" s="122">
        <v>15</v>
      </c>
      <c r="R147" s="122">
        <v>16</v>
      </c>
      <c r="S147" s="122">
        <v>17</v>
      </c>
      <c r="T147" s="61">
        <v>18</v>
      </c>
      <c r="U147" s="61">
        <v>19</v>
      </c>
      <c r="V147" s="141">
        <v>20</v>
      </c>
      <c r="W147" s="140" t="s">
        <v>97</v>
      </c>
      <c r="AH147" s="129"/>
      <c r="AI147" s="130">
        <f>AI131</f>
        <v>90.384615384615387</v>
      </c>
      <c r="AJ147" s="124"/>
      <c r="AK147" s="130">
        <f>AK131</f>
        <v>243.46666666666664</v>
      </c>
      <c r="AL147" s="124">
        <f>AD41/AK143</f>
        <v>138.62616121546282</v>
      </c>
      <c r="AM147" s="124">
        <f>AD42/AK143</f>
        <v>172.38343001443778</v>
      </c>
      <c r="AN147" s="124">
        <f>AD43/AK143</f>
        <v>62.810655880059983</v>
      </c>
      <c r="AO147" s="124">
        <f>AD44/AK143</f>
        <v>103.76209671816076</v>
      </c>
      <c r="AP147" s="124">
        <f>AD45/AK143</f>
        <v>186.21837624352588</v>
      </c>
      <c r="AQ147" s="124">
        <f>AD46/AK143</f>
        <v>85.499967695764468</v>
      </c>
      <c r="AR147" s="124"/>
      <c r="AS147" s="124">
        <f>AD48/AK143</f>
        <v>129.77179562884641</v>
      </c>
      <c r="AT147" s="124">
        <f>AD49/AK143</f>
        <v>217.20865579668319</v>
      </c>
      <c r="AU147" s="124"/>
      <c r="AV147" s="130">
        <f>AV131</f>
        <v>133.65384615384616</v>
      </c>
      <c r="AW147" s="124">
        <f>AD52/AK143</f>
        <v>54.509688142607118</v>
      </c>
      <c r="AX147" s="236"/>
      <c r="AY147" s="236"/>
      <c r="AZ147" s="236"/>
      <c r="BA147" s="237"/>
      <c r="BB147" s="133" t="s">
        <v>99</v>
      </c>
      <c r="BI147" s="80"/>
      <c r="BL147" s="129">
        <f>AX36/0.0136205128205128</f>
        <v>48.661897590361519</v>
      </c>
      <c r="BM147" s="124">
        <f>AX37/0.0136205128205128</f>
        <v>60.408885542168768</v>
      </c>
      <c r="BN147" s="124">
        <f>AX38/0.0136205128205128</f>
        <v>39.851656626506085</v>
      </c>
      <c r="BO147" s="130">
        <f>BQ88</f>
        <v>16.066666666666666</v>
      </c>
      <c r="BP147" s="124">
        <f>AX40/0.0136205128205128</f>
        <v>23.699548192771118</v>
      </c>
      <c r="BQ147" s="124">
        <f>AX41/0.0136205128205128</f>
        <v>41.320030120481988</v>
      </c>
      <c r="BR147" s="124">
        <f>AX42/0.0136205128205128</f>
        <v>12.686746987951828</v>
      </c>
      <c r="BS147" s="124">
        <f>AX43/0.0136205128205128</f>
        <v>33.243975903614505</v>
      </c>
      <c r="BT147" s="124">
        <f>AX44/0.0136205128205128</f>
        <v>11.952560240963873</v>
      </c>
      <c r="BU147" s="124">
        <f>AX45/0.0136205128205128</f>
        <v>33.978162650602464</v>
      </c>
      <c r="BV147" s="124">
        <f>AX46/0.0136205128205128</f>
        <v>20.762801204819308</v>
      </c>
      <c r="BW147" s="130">
        <f>BQ90</f>
        <v>70.984615384615381</v>
      </c>
      <c r="BX147" s="124">
        <f>AX48/0.0136205128205128</f>
        <v>33.243975903614505</v>
      </c>
      <c r="BY147" s="124">
        <f>AX49/0.0136205128205128</f>
        <v>61.14307228915672</v>
      </c>
      <c r="BZ147" s="124">
        <f>AX50/0.0136205128205128</f>
        <v>17.091867469879546</v>
      </c>
      <c r="CA147" s="124">
        <f>AX51/BO143</f>
        <v>39.117469879518133</v>
      </c>
      <c r="CB147" s="124">
        <f>AX52/BO143</f>
        <v>11.218373493975919</v>
      </c>
      <c r="CC147" s="124">
        <f>AX53/BO143</f>
        <v>31.775602409638605</v>
      </c>
      <c r="CD147" s="124">
        <f>AX54/BO143</f>
        <v>8.2816265060241108</v>
      </c>
      <c r="CE147" s="142">
        <f>AX55/BO143</f>
        <v>22.231174698795215</v>
      </c>
      <c r="CF147" s="133" t="s">
        <v>99</v>
      </c>
      <c r="MW147" s="43"/>
      <c r="MX147" s="43"/>
      <c r="MY147" s="43"/>
      <c r="MZ147" s="43"/>
      <c r="NA147" s="43"/>
      <c r="NB147" s="43"/>
      <c r="NC147" s="43"/>
      <c r="ND147" s="43"/>
      <c r="NE147" s="43"/>
      <c r="NF147" s="43"/>
      <c r="NG147" s="43"/>
      <c r="NH147" s="43"/>
      <c r="NI147" s="43"/>
      <c r="NJ147" s="43"/>
      <c r="NK147" s="43"/>
      <c r="NL147" s="43"/>
      <c r="NM147" s="43"/>
    </row>
    <row r="148" spans="1:377" x14ac:dyDescent="0.25">
      <c r="C148" s="135">
        <f>D37/F145</f>
        <v>146.0344827586207</v>
      </c>
      <c r="D148" s="135">
        <f>D38/F145</f>
        <v>164.65517241379311</v>
      </c>
      <c r="E148" s="123">
        <f>D39/F145</f>
        <v>217.75862068965517</v>
      </c>
      <c r="F148" s="139">
        <f>D40/F145</f>
        <v>183.27586206896552</v>
      </c>
      <c r="G148" s="123">
        <f>D41/F145</f>
        <v>149.48275862068965</v>
      </c>
      <c r="H148" s="123">
        <f>D42/F145</f>
        <v>132.24137931034483</v>
      </c>
      <c r="I148" s="123">
        <f>D43/F145</f>
        <v>121.89655172413794</v>
      </c>
      <c r="J148" s="123">
        <f>D44/F145</f>
        <v>157.06896551724137</v>
      </c>
      <c r="K148" s="123">
        <f>D45/F145</f>
        <v>66.034482758620683</v>
      </c>
      <c r="L148" s="123">
        <f>D46/F145</f>
        <v>159.13793103448276</v>
      </c>
      <c r="M148" s="139">
        <f>D47/F145</f>
        <v>115</v>
      </c>
      <c r="N148" s="139">
        <f>D48/F145</f>
        <v>192.93103448275861</v>
      </c>
      <c r="O148" s="123">
        <f>D49/F145</f>
        <v>146.0344827586207</v>
      </c>
      <c r="P148" s="123">
        <f>D50/F145</f>
        <v>183.27586206896552</v>
      </c>
      <c r="Q148" s="123">
        <f>D51/F145</f>
        <v>210.86206896551724</v>
      </c>
      <c r="R148" s="123">
        <f>D52/F145</f>
        <v>148.79310344827587</v>
      </c>
      <c r="S148" s="123">
        <f>D53/F145</f>
        <v>190.17241379310343</v>
      </c>
      <c r="T148" s="139">
        <f>D54/F145</f>
        <v>171.55172413793102</v>
      </c>
      <c r="U148" s="139">
        <f>D55/F145</f>
        <v>178.44827586206895</v>
      </c>
      <c r="V148" s="131">
        <f>D56/F145</f>
        <v>173.62068965517241</v>
      </c>
      <c r="W148" s="133" t="s">
        <v>98</v>
      </c>
      <c r="AH148" s="134"/>
      <c r="AI148" s="61"/>
      <c r="AJ148" s="122"/>
      <c r="AK148" s="124">
        <f>AJ40/AK143</f>
        <v>88.266956941582094</v>
      </c>
      <c r="AL148" s="122"/>
      <c r="AM148" s="122"/>
      <c r="AN148" s="122"/>
      <c r="AO148" s="122"/>
      <c r="AP148" s="124">
        <f>AJ45/AK143</f>
        <v>23.519408589449775</v>
      </c>
      <c r="AQ148" s="122"/>
      <c r="AR148" s="122"/>
      <c r="AS148" s="61"/>
      <c r="AT148" s="122"/>
      <c r="AU148" s="122"/>
      <c r="AV148" s="61"/>
      <c r="AW148" s="122"/>
      <c r="AX148" s="238"/>
      <c r="AY148" s="238"/>
      <c r="AZ148" s="238"/>
      <c r="BA148" s="239"/>
      <c r="BB148" s="133" t="s">
        <v>102</v>
      </c>
      <c r="BI148" s="80"/>
      <c r="BL148" s="134"/>
      <c r="BM148" s="122"/>
      <c r="BN148" s="122"/>
      <c r="BO148" s="61"/>
      <c r="BP148" s="122"/>
      <c r="BQ148" s="122"/>
      <c r="BR148" s="122"/>
      <c r="BS148" s="122"/>
      <c r="BT148" s="122"/>
      <c r="BU148" s="122"/>
      <c r="BV148" s="122"/>
      <c r="BW148" s="61"/>
      <c r="BX148" s="122"/>
      <c r="BY148" s="122"/>
      <c r="BZ148" s="122"/>
      <c r="CA148" s="122"/>
      <c r="CB148" s="122"/>
      <c r="CC148" s="122"/>
      <c r="CD148" s="122"/>
      <c r="CE148" s="141"/>
      <c r="CF148" s="133" t="s">
        <v>102</v>
      </c>
      <c r="MW148" s="43"/>
      <c r="MX148" s="43"/>
      <c r="MY148" s="43"/>
      <c r="MZ148" s="43"/>
      <c r="NA148" s="43"/>
      <c r="NB148" s="43"/>
      <c r="NC148" s="43"/>
      <c r="ND148" s="43"/>
      <c r="NE148" s="43"/>
      <c r="NF148" s="43"/>
      <c r="NG148" s="43"/>
      <c r="NH148" s="43"/>
      <c r="NI148" s="43"/>
      <c r="NJ148" s="43"/>
      <c r="NK148" s="43"/>
      <c r="NL148" s="43"/>
      <c r="NM148" s="43"/>
    </row>
    <row r="149" spans="1:377" x14ac:dyDescent="0.25">
      <c r="C149" s="129"/>
      <c r="D149" s="130">
        <f>J38/F145</f>
        <v>29.482758620689655</v>
      </c>
      <c r="E149" s="124">
        <f>J39/F145</f>
        <v>101.89655172413792</v>
      </c>
      <c r="F149" s="124">
        <f>J40/F145</f>
        <v>52.931034482758612</v>
      </c>
      <c r="G149" s="124">
        <f>J41/F145</f>
        <v>65.34482758620689</v>
      </c>
      <c r="H149" s="124">
        <f>J42/F145</f>
        <v>26.724137931034477</v>
      </c>
      <c r="I149" s="124">
        <f>J43/F145</f>
        <v>72.241379310344811</v>
      </c>
      <c r="J149" s="124">
        <f>J44/F145</f>
        <v>41.206896551724135</v>
      </c>
      <c r="K149" s="124">
        <f>J45/F145</f>
        <v>11.551724137931032</v>
      </c>
      <c r="L149" s="124">
        <f>J46/F145</f>
        <v>46.034482758620683</v>
      </c>
      <c r="M149" s="130">
        <f>J47/F145</f>
        <v>22.586206896551719</v>
      </c>
      <c r="N149" s="124">
        <f>J48/F145</f>
        <v>81.896551724137922</v>
      </c>
      <c r="O149" s="124">
        <f>J49/F145</f>
        <v>13.620689655172415</v>
      </c>
      <c r="P149" s="124">
        <f>J50/F145</f>
        <v>56.379310344827587</v>
      </c>
      <c r="Q149" s="124">
        <f>J51/F145</f>
        <v>94.310344827586192</v>
      </c>
      <c r="R149" s="124">
        <f>J52/F145</f>
        <v>27.41379310344827</v>
      </c>
      <c r="S149" s="124">
        <f>J53/F145</f>
        <v>50.172413793103445</v>
      </c>
      <c r="T149" s="124">
        <f>J54/F145</f>
        <v>91.551724137931018</v>
      </c>
      <c r="U149" s="130">
        <f>J55/F145</f>
        <v>35.689655172413786</v>
      </c>
      <c r="V149" s="142">
        <f>J56/F145</f>
        <v>70.862068965517238</v>
      </c>
      <c r="W149" s="133" t="s">
        <v>99</v>
      </c>
      <c r="AH149" s="129"/>
      <c r="AI149" s="130">
        <f>AI146-AI147</f>
        <v>119.84265734265733</v>
      </c>
      <c r="AJ149" s="124"/>
      <c r="AK149" s="130">
        <f t="shared" ref="AK149:AQ149" si="23">AK146-AK147</f>
        <v>553.48023598820055</v>
      </c>
      <c r="AL149" s="124">
        <f t="shared" si="23"/>
        <v>272.27174178845382</v>
      </c>
      <c r="AM149" s="124">
        <f t="shared" si="23"/>
        <v>135.58247304506338</v>
      </c>
      <c r="AN149" s="124">
        <f t="shared" si="23"/>
        <v>179.85430097814532</v>
      </c>
      <c r="AO149" s="124">
        <f t="shared" si="23"/>
        <v>129.49509670426463</v>
      </c>
      <c r="AP149" s="124">
        <f t="shared" si="23"/>
        <v>121.74752681597528</v>
      </c>
      <c r="AQ149" s="124">
        <f t="shared" si="23"/>
        <v>166.5727525982208</v>
      </c>
      <c r="AR149" s="124"/>
      <c r="AS149" s="130">
        <f>AS146-AS147</f>
        <v>422.16995730262687</v>
      </c>
      <c r="AT149" s="124">
        <f>AT146-AT147</f>
        <v>445.48526857663694</v>
      </c>
      <c r="AU149" s="124"/>
      <c r="AV149" s="130">
        <f>AV146-AV147</f>
        <v>289.07342657342656</v>
      </c>
      <c r="AW149" s="124">
        <f>AW146-AW147</f>
        <v>169.53286504888229</v>
      </c>
      <c r="AX149" s="236"/>
      <c r="AY149" s="236"/>
      <c r="AZ149" s="236"/>
      <c r="BA149" s="237"/>
      <c r="BB149" s="133" t="s">
        <v>105</v>
      </c>
      <c r="BI149" s="130"/>
      <c r="BL149" s="129">
        <f t="shared" ref="BL149:CE149" si="24">BL146-BL147</f>
        <v>108.65963855421703</v>
      </c>
      <c r="BM149" s="124">
        <f t="shared" si="24"/>
        <v>61.301114457831225</v>
      </c>
      <c r="BN149" s="124">
        <f t="shared" si="24"/>
        <v>95.444277108433894</v>
      </c>
      <c r="BO149" s="130">
        <f t="shared" si="24"/>
        <v>54.379047619047626</v>
      </c>
      <c r="BP149" s="124">
        <f t="shared" si="24"/>
        <v>91.773343373494129</v>
      </c>
      <c r="BQ149" s="124">
        <f t="shared" si="24"/>
        <v>99.849397590361605</v>
      </c>
      <c r="BR149" s="124">
        <f t="shared" si="24"/>
        <v>66.810993975903727</v>
      </c>
      <c r="BS149" s="124">
        <f t="shared" si="24"/>
        <v>91.773343373494129</v>
      </c>
      <c r="BT149" s="124">
        <f t="shared" si="24"/>
        <v>69.74774096385552</v>
      </c>
      <c r="BU149" s="124">
        <f t="shared" si="24"/>
        <v>99.11521084337366</v>
      </c>
      <c r="BV149" s="124">
        <f t="shared" si="24"/>
        <v>88.836596385542308</v>
      </c>
      <c r="BW149" s="130">
        <f t="shared" si="24"/>
        <v>77.126495726495733</v>
      </c>
      <c r="BX149" s="124">
        <f t="shared" si="24"/>
        <v>99.849397590361605</v>
      </c>
      <c r="BY149" s="124">
        <f t="shared" si="24"/>
        <v>106.45707831325316</v>
      </c>
      <c r="BZ149" s="124">
        <f t="shared" si="24"/>
        <v>98.381024096385701</v>
      </c>
      <c r="CA149" s="124">
        <f t="shared" si="24"/>
        <v>110.86219879518089</v>
      </c>
      <c r="CB149" s="124">
        <f t="shared" si="24"/>
        <v>92.507530120482073</v>
      </c>
      <c r="CC149" s="124">
        <f t="shared" si="24"/>
        <v>96.693363107602792</v>
      </c>
      <c r="CD149" s="124">
        <f t="shared" si="24"/>
        <v>123.1423734939759</v>
      </c>
      <c r="CE149" s="142">
        <f t="shared" si="24"/>
        <v>185.74924698795206</v>
      </c>
      <c r="CF149" s="133" t="s">
        <v>105</v>
      </c>
      <c r="MW149" s="43"/>
      <c r="MX149" s="43"/>
      <c r="MY149" s="43"/>
      <c r="MZ149" s="43"/>
      <c r="NA149" s="43"/>
      <c r="NB149" s="43"/>
      <c r="NC149" s="43"/>
      <c r="ND149" s="43"/>
      <c r="NE149" s="43"/>
      <c r="NF149" s="43"/>
      <c r="NG149" s="43"/>
      <c r="NH149" s="43"/>
      <c r="NI149" s="43"/>
      <c r="NJ149" s="43"/>
      <c r="NK149" s="43"/>
      <c r="NL149" s="43"/>
      <c r="NM149" s="43"/>
    </row>
    <row r="150" spans="1:377" x14ac:dyDescent="0.25">
      <c r="C150" s="134"/>
      <c r="D150" s="61"/>
      <c r="E150" s="122">
        <f>P39/F145</f>
        <v>7.4137931034482758</v>
      </c>
      <c r="F150" s="61"/>
      <c r="G150" s="122"/>
      <c r="H150" s="122"/>
      <c r="I150" s="122"/>
      <c r="J150" s="122"/>
      <c r="K150" s="122"/>
      <c r="L150" s="122"/>
      <c r="M150" s="61"/>
      <c r="N150" s="61"/>
      <c r="O150" s="122"/>
      <c r="P150" s="122"/>
      <c r="Q150" s="122"/>
      <c r="R150" s="122"/>
      <c r="S150" s="122"/>
      <c r="T150" s="61"/>
      <c r="U150" s="61"/>
      <c r="V150" s="141"/>
      <c r="W150" s="133" t="s">
        <v>102</v>
      </c>
      <c r="AH150" s="136"/>
      <c r="AI150" s="128"/>
      <c r="AJ150" s="126"/>
      <c r="AK150" s="126">
        <f>AK147-AK148</f>
        <v>155.19970972508455</v>
      </c>
      <c r="AL150" s="126"/>
      <c r="AM150" s="126"/>
      <c r="AN150" s="126"/>
      <c r="AO150" s="126"/>
      <c r="AP150" s="126"/>
      <c r="AQ150" s="126"/>
      <c r="AR150" s="126"/>
      <c r="AS150" s="104"/>
      <c r="AT150" s="126"/>
      <c r="AU150" s="126"/>
      <c r="AV150" s="128"/>
      <c r="AW150" s="126"/>
      <c r="AX150" s="240"/>
      <c r="AY150" s="103"/>
      <c r="AZ150" s="240"/>
      <c r="BA150" s="241"/>
      <c r="BB150" s="101" t="s">
        <v>106</v>
      </c>
      <c r="BD150" t="s">
        <v>110</v>
      </c>
      <c r="BI150" s="80"/>
      <c r="BL150" s="136"/>
      <c r="BM150" s="126"/>
      <c r="BN150" s="126"/>
      <c r="BO150" s="128"/>
      <c r="BP150" s="126"/>
      <c r="BQ150" s="126"/>
      <c r="BR150" s="126"/>
      <c r="BS150" s="126"/>
      <c r="BT150" s="126"/>
      <c r="BU150" s="126"/>
      <c r="BV150" s="126"/>
      <c r="BW150" s="104"/>
      <c r="BX150" s="126"/>
      <c r="BY150" s="126"/>
      <c r="BZ150" s="126"/>
      <c r="CA150" s="126"/>
      <c r="CB150" s="126"/>
      <c r="CC150" s="126"/>
      <c r="CD150" s="126"/>
      <c r="CE150" s="132"/>
      <c r="CF150" s="101" t="s">
        <v>106</v>
      </c>
      <c r="CH150" t="s">
        <v>110</v>
      </c>
      <c r="MW150" s="43"/>
      <c r="MX150" s="43"/>
      <c r="MY150" s="43"/>
      <c r="MZ150" s="43"/>
      <c r="NA150" s="43"/>
      <c r="NB150" s="43"/>
      <c r="NC150" s="43"/>
      <c r="ND150" s="43"/>
      <c r="NE150" s="43"/>
      <c r="NF150" s="43"/>
      <c r="NG150" s="43"/>
      <c r="NH150" s="43"/>
      <c r="NI150" s="43"/>
      <c r="NJ150" s="43"/>
      <c r="NK150" s="43"/>
      <c r="NL150" s="43"/>
      <c r="NM150" s="43"/>
    </row>
    <row r="151" spans="1:377" x14ac:dyDescent="0.25">
      <c r="C151" s="129"/>
      <c r="D151" s="130">
        <f t="shared" ref="D151:V151" si="25">D148-D149</f>
        <v>135.17241379310346</v>
      </c>
      <c r="E151" s="124">
        <f t="shared" si="25"/>
        <v>115.86206896551725</v>
      </c>
      <c r="F151" s="130">
        <f t="shared" si="25"/>
        <v>130.34482758620692</v>
      </c>
      <c r="G151" s="124">
        <f t="shared" si="25"/>
        <v>84.137931034482762</v>
      </c>
      <c r="H151" s="124">
        <f t="shared" si="25"/>
        <v>105.51724137931035</v>
      </c>
      <c r="I151" s="124">
        <f t="shared" si="25"/>
        <v>49.655172413793125</v>
      </c>
      <c r="J151" s="124">
        <f t="shared" si="25"/>
        <v>115.86206896551724</v>
      </c>
      <c r="K151" s="124">
        <f t="shared" si="25"/>
        <v>54.482758620689651</v>
      </c>
      <c r="L151" s="124">
        <f t="shared" si="25"/>
        <v>113.10344827586208</v>
      </c>
      <c r="M151" s="130">
        <f t="shared" si="25"/>
        <v>92.413793103448285</v>
      </c>
      <c r="N151" s="130">
        <f t="shared" si="25"/>
        <v>111.03448275862068</v>
      </c>
      <c r="O151" s="124">
        <f t="shared" si="25"/>
        <v>132.41379310344828</v>
      </c>
      <c r="P151" s="124">
        <f t="shared" si="25"/>
        <v>126.89655172413794</v>
      </c>
      <c r="Q151" s="124">
        <f t="shared" si="25"/>
        <v>116.55172413793105</v>
      </c>
      <c r="R151" s="124">
        <f t="shared" si="25"/>
        <v>121.3793103448276</v>
      </c>
      <c r="S151" s="124">
        <f t="shared" si="25"/>
        <v>140</v>
      </c>
      <c r="T151" s="130">
        <f t="shared" si="25"/>
        <v>80</v>
      </c>
      <c r="U151" s="130">
        <f t="shared" si="25"/>
        <v>142.75862068965517</v>
      </c>
      <c r="V151" s="142">
        <f t="shared" si="25"/>
        <v>102.75862068965517</v>
      </c>
      <c r="W151" s="133" t="s">
        <v>105</v>
      </c>
      <c r="AH151" s="129"/>
      <c r="AI151" s="130">
        <f>AI149</f>
        <v>119.84265734265733</v>
      </c>
      <c r="AJ151" s="124"/>
      <c r="AK151" s="130">
        <f>(AK149+AK150)/2</f>
        <v>354.33997285664253</v>
      </c>
      <c r="AL151" s="124">
        <f t="shared" ref="AL151:AQ151" si="26">AL149</f>
        <v>272.27174178845382</v>
      </c>
      <c r="AM151" s="124">
        <f t="shared" si="26"/>
        <v>135.58247304506338</v>
      </c>
      <c r="AN151" s="124">
        <f t="shared" si="26"/>
        <v>179.85430097814532</v>
      </c>
      <c r="AO151" s="124">
        <f t="shared" si="26"/>
        <v>129.49509670426463</v>
      </c>
      <c r="AP151" s="124">
        <f t="shared" si="26"/>
        <v>121.74752681597528</v>
      </c>
      <c r="AQ151" s="124">
        <f t="shared" si="26"/>
        <v>166.5727525982208</v>
      </c>
      <c r="AR151" s="130"/>
      <c r="AS151" s="130">
        <f>AS149</f>
        <v>422.16995730262687</v>
      </c>
      <c r="AT151" s="124">
        <f>AT149</f>
        <v>445.48526857663694</v>
      </c>
      <c r="AU151" s="124"/>
      <c r="AV151" s="130">
        <f>AV149</f>
        <v>289.07342657342656</v>
      </c>
      <c r="AW151" s="124">
        <f>AW149</f>
        <v>169.53286504888229</v>
      </c>
      <c r="AX151" s="236"/>
      <c r="AY151" s="236"/>
      <c r="AZ151" s="236"/>
      <c r="BA151" s="236"/>
      <c r="BB151" s="133" t="s">
        <v>107</v>
      </c>
      <c r="BD151" s="150">
        <f>AVERAGE(AH151:BA151)</f>
        <v>233.83066996924961</v>
      </c>
      <c r="BI151" s="80"/>
      <c r="BL151" s="684">
        <f>BL149</f>
        <v>108.65963855421703</v>
      </c>
      <c r="BM151" s="678">
        <f>BM149</f>
        <v>61.301114457831225</v>
      </c>
      <c r="BN151" s="124">
        <f>(BN149+BN150)/1</f>
        <v>95.444277108433894</v>
      </c>
      <c r="BO151" s="130">
        <f t="shared" ref="BO151:CE151" si="27">BO149</f>
        <v>54.379047619047626</v>
      </c>
      <c r="BP151" s="124">
        <f t="shared" si="27"/>
        <v>91.773343373494129</v>
      </c>
      <c r="BQ151" s="124">
        <f t="shared" si="27"/>
        <v>99.849397590361605</v>
      </c>
      <c r="BR151" s="124">
        <f t="shared" si="27"/>
        <v>66.810993975903727</v>
      </c>
      <c r="BS151" s="124">
        <f t="shared" si="27"/>
        <v>91.773343373494129</v>
      </c>
      <c r="BT151" s="124">
        <f t="shared" si="27"/>
        <v>69.74774096385552</v>
      </c>
      <c r="BU151" s="124">
        <f t="shared" si="27"/>
        <v>99.11521084337366</v>
      </c>
      <c r="BV151" s="124">
        <f t="shared" si="27"/>
        <v>88.836596385542308</v>
      </c>
      <c r="BW151" s="130">
        <f t="shared" si="27"/>
        <v>77.126495726495733</v>
      </c>
      <c r="BX151" s="124">
        <f t="shared" si="27"/>
        <v>99.849397590361605</v>
      </c>
      <c r="BY151" s="124">
        <f t="shared" si="27"/>
        <v>106.45707831325316</v>
      </c>
      <c r="BZ151" s="124">
        <f t="shared" si="27"/>
        <v>98.381024096385701</v>
      </c>
      <c r="CA151" s="124">
        <f t="shared" si="27"/>
        <v>110.86219879518089</v>
      </c>
      <c r="CB151" s="124">
        <f t="shared" si="27"/>
        <v>92.507530120482073</v>
      </c>
      <c r="CC151" s="678">
        <f t="shared" si="27"/>
        <v>96.693363107602792</v>
      </c>
      <c r="CD151" s="678">
        <f t="shared" si="27"/>
        <v>123.1423734939759</v>
      </c>
      <c r="CE151" s="124">
        <f t="shared" si="27"/>
        <v>185.74924698795206</v>
      </c>
      <c r="CF151" s="133" t="s">
        <v>107</v>
      </c>
      <c r="CH151" s="150">
        <f>AVERAGE(BL151:CE151)</f>
        <v>95.922970623862227</v>
      </c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  <c r="NM151" s="43"/>
    </row>
    <row r="152" spans="1:377" x14ac:dyDescent="0.25">
      <c r="C152" s="136"/>
      <c r="D152" s="128"/>
      <c r="E152" s="126">
        <f>E149-E150</f>
        <v>94.482758620689651</v>
      </c>
      <c r="F152" s="128"/>
      <c r="G152" s="126"/>
      <c r="H152" s="126"/>
      <c r="I152" s="126"/>
      <c r="J152" s="126"/>
      <c r="K152" s="126"/>
      <c r="L152" s="126"/>
      <c r="M152" s="128"/>
      <c r="N152" s="104"/>
      <c r="O152" s="126"/>
      <c r="P152" s="126"/>
      <c r="Q152" s="126"/>
      <c r="R152" s="126"/>
      <c r="S152" s="126"/>
      <c r="T152" s="104"/>
      <c r="U152" s="128"/>
      <c r="V152" s="132"/>
      <c r="W152" s="101" t="s">
        <v>106</v>
      </c>
      <c r="Y152" t="s">
        <v>110</v>
      </c>
      <c r="AF152" s="61"/>
      <c r="AG152" s="377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377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I152" s="80"/>
      <c r="BJ152" s="61"/>
      <c r="BK152" s="377"/>
      <c r="BL152" s="61"/>
      <c r="BM152" s="377"/>
      <c r="BN152" s="61"/>
      <c r="BO152" s="377"/>
      <c r="BP152" s="61"/>
      <c r="BQ152" s="61"/>
      <c r="BR152" s="61"/>
      <c r="BS152" s="61"/>
      <c r="BT152" s="61"/>
      <c r="BU152" s="61"/>
      <c r="BV152" s="61"/>
      <c r="BW152" s="377"/>
      <c r="BX152" s="61"/>
      <c r="BY152" s="61"/>
      <c r="BZ152" s="61"/>
      <c r="CA152" s="61"/>
      <c r="CB152" s="61"/>
      <c r="CC152" s="61"/>
      <c r="CD152" s="377"/>
      <c r="CE152" s="61"/>
      <c r="CF152" s="61"/>
      <c r="CG152" s="61"/>
      <c r="CH152" s="61"/>
      <c r="CI152" s="61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  <c r="NM152" s="43"/>
    </row>
    <row r="153" spans="1:377" x14ac:dyDescent="0.25">
      <c r="C153" s="129"/>
      <c r="D153" s="130">
        <f>D151</f>
        <v>135.17241379310346</v>
      </c>
      <c r="E153" s="124">
        <f>(E151+E152)/2</f>
        <v>105.17241379310346</v>
      </c>
      <c r="F153" s="130">
        <f t="shared" ref="F153:V153" si="28">F151</f>
        <v>130.34482758620692</v>
      </c>
      <c r="G153" s="124">
        <f t="shared" si="28"/>
        <v>84.137931034482762</v>
      </c>
      <c r="H153" s="124">
        <f t="shared" si="28"/>
        <v>105.51724137931035</v>
      </c>
      <c r="I153" s="124">
        <f t="shared" si="28"/>
        <v>49.655172413793125</v>
      </c>
      <c r="J153" s="124">
        <f t="shared" si="28"/>
        <v>115.86206896551724</v>
      </c>
      <c r="K153" s="124">
        <f t="shared" si="28"/>
        <v>54.482758620689651</v>
      </c>
      <c r="L153" s="124">
        <f t="shared" si="28"/>
        <v>113.10344827586208</v>
      </c>
      <c r="M153" s="130">
        <f t="shared" si="28"/>
        <v>92.413793103448285</v>
      </c>
      <c r="N153" s="130">
        <f t="shared" si="28"/>
        <v>111.03448275862068</v>
      </c>
      <c r="O153" s="124">
        <f t="shared" si="28"/>
        <v>132.41379310344828</v>
      </c>
      <c r="P153" s="124">
        <f t="shared" si="28"/>
        <v>126.89655172413794</v>
      </c>
      <c r="Q153" s="124">
        <f t="shared" si="28"/>
        <v>116.55172413793105</v>
      </c>
      <c r="R153" s="124">
        <f t="shared" si="28"/>
        <v>121.3793103448276</v>
      </c>
      <c r="S153" s="124">
        <f t="shared" si="28"/>
        <v>140</v>
      </c>
      <c r="T153" s="130">
        <f t="shared" si="28"/>
        <v>80</v>
      </c>
      <c r="U153" s="130">
        <f t="shared" si="28"/>
        <v>142.75862068965517</v>
      </c>
      <c r="V153" s="124">
        <f t="shared" si="28"/>
        <v>102.75862068965517</v>
      </c>
      <c r="W153" s="133" t="s">
        <v>107</v>
      </c>
      <c r="Y153" s="150">
        <f>AVERAGE(C153:V153)</f>
        <v>108.40290381125229</v>
      </c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I153" s="130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  <c r="NM153" s="43"/>
    </row>
    <row r="154" spans="1:377" x14ac:dyDescent="0.25">
      <c r="A154" s="61"/>
      <c r="B154" s="377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377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I154" s="130"/>
      <c r="BJ154" s="61"/>
      <c r="BK154" s="61"/>
      <c r="BL154" s="220"/>
      <c r="BM154" s="220"/>
      <c r="BN154" s="220"/>
      <c r="BO154" s="220"/>
      <c r="BP154" s="220"/>
      <c r="BQ154" s="220"/>
      <c r="BR154" s="220"/>
      <c r="BS154" s="220"/>
      <c r="BT154" s="220"/>
      <c r="BU154" s="220"/>
      <c r="BV154" s="220"/>
      <c r="BW154" s="220"/>
      <c r="BX154" s="220"/>
      <c r="BY154" s="220"/>
      <c r="BZ154" s="220"/>
      <c r="CA154" s="220"/>
      <c r="CB154" s="220"/>
      <c r="CC154" s="220"/>
      <c r="CD154" s="220"/>
      <c r="CE154" s="220"/>
      <c r="CF154" s="220"/>
      <c r="CG154" s="61"/>
      <c r="CH154" s="61"/>
      <c r="CI154" s="61"/>
      <c r="MW154" s="43"/>
      <c r="MX154" s="43"/>
      <c r="MY154" s="43"/>
      <c r="MZ154" s="43"/>
      <c r="NA154" s="43"/>
      <c r="NB154" s="43"/>
      <c r="NC154" s="43"/>
      <c r="ND154" s="43"/>
      <c r="NE154" s="43"/>
      <c r="NF154" s="43"/>
      <c r="NG154" s="43"/>
      <c r="NH154" s="43"/>
      <c r="NI154" s="43"/>
      <c r="NJ154" s="43"/>
      <c r="NK154" s="43"/>
      <c r="NL154" s="43"/>
      <c r="NM154" s="43"/>
    </row>
    <row r="155" spans="1:377" x14ac:dyDescent="0.2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F155" s="61"/>
      <c r="AG155" s="61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61"/>
      <c r="BC155" s="61"/>
      <c r="BI155" s="130"/>
      <c r="BJ155" s="61"/>
      <c r="BK155" s="61"/>
      <c r="BL155" s="682"/>
      <c r="BM155" s="682"/>
      <c r="BN155" s="682"/>
      <c r="BO155" s="682"/>
      <c r="BP155" s="682"/>
      <c r="BQ155" s="682"/>
      <c r="BR155" s="682"/>
      <c r="BS155" s="682"/>
      <c r="BT155" s="682"/>
      <c r="BU155" s="682"/>
      <c r="BV155" s="682"/>
      <c r="BW155" s="682"/>
      <c r="BX155" s="682"/>
      <c r="BY155" s="682"/>
      <c r="BZ155" s="682"/>
      <c r="CA155" s="682"/>
      <c r="CB155" s="682"/>
      <c r="CC155" s="682"/>
      <c r="CD155" s="682"/>
      <c r="CE155" s="682"/>
      <c r="CF155" s="682"/>
      <c r="CG155" s="61"/>
      <c r="CH155" s="61"/>
      <c r="CI155" s="61"/>
      <c r="MW155" s="43"/>
      <c r="MX155" s="43"/>
      <c r="MY155" s="43"/>
      <c r="MZ155" s="43"/>
      <c r="NA155" s="43"/>
      <c r="NB155" s="43"/>
      <c r="NC155" s="43"/>
      <c r="ND155" s="43"/>
      <c r="NE155" s="43"/>
      <c r="NF155" s="43"/>
      <c r="NG155" s="43"/>
      <c r="NH155" s="43"/>
      <c r="NI155" s="43"/>
      <c r="NJ155" s="43"/>
      <c r="NK155" s="43"/>
      <c r="NL155" s="43"/>
      <c r="NM155" s="43"/>
    </row>
    <row r="156" spans="1:377" x14ac:dyDescent="0.2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130"/>
      <c r="AW156" s="61"/>
      <c r="AX156" s="61"/>
      <c r="AY156" s="61"/>
      <c r="AZ156" s="228"/>
      <c r="BA156" s="61"/>
      <c r="BB156" s="61"/>
      <c r="BC156" s="61"/>
      <c r="BI156" s="130"/>
      <c r="BJ156" s="61"/>
      <c r="BK156" s="61"/>
      <c r="BL156" s="220"/>
      <c r="BM156" s="681"/>
      <c r="BN156" s="681"/>
      <c r="BO156" s="681"/>
      <c r="BP156" s="681"/>
      <c r="BQ156" s="681"/>
      <c r="BR156" s="681"/>
      <c r="BS156" s="681"/>
      <c r="BT156" s="681"/>
      <c r="BU156" s="681"/>
      <c r="BV156" s="681"/>
      <c r="BW156" s="681"/>
      <c r="BX156" s="681"/>
      <c r="BY156" s="681"/>
      <c r="BZ156" s="683"/>
      <c r="CA156" s="681"/>
      <c r="CB156" s="681"/>
      <c r="CC156" s="681"/>
      <c r="CD156" s="532"/>
      <c r="CE156" s="220"/>
      <c r="CF156" s="220"/>
      <c r="CG156" s="61"/>
      <c r="CH156" s="61"/>
      <c r="CI156" s="61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</row>
    <row r="157" spans="1:377" x14ac:dyDescent="0.2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I157" s="80"/>
      <c r="AM157" s="80"/>
      <c r="AQ157" s="80"/>
      <c r="AW157" s="80"/>
      <c r="BM157" s="80"/>
      <c r="BQ157" s="80"/>
      <c r="BU157" s="80"/>
      <c r="CA157" s="80"/>
      <c r="MW157" s="43"/>
      <c r="MX157" s="43"/>
      <c r="MY157" s="43"/>
      <c r="MZ157" s="43"/>
      <c r="NA157" s="43"/>
      <c r="NB157" s="43"/>
      <c r="NC157" s="43"/>
      <c r="ND157" s="43"/>
      <c r="NE157" s="43"/>
      <c r="NF157" s="43"/>
      <c r="NG157" s="43"/>
      <c r="NH157" s="43"/>
      <c r="NI157" s="43"/>
      <c r="NJ157" s="43"/>
      <c r="NK157" s="43"/>
      <c r="NL157" s="43"/>
      <c r="NM157" s="43"/>
    </row>
    <row r="158" spans="1:377" x14ac:dyDescent="0.2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MW158" s="43"/>
      <c r="MX158" s="43"/>
      <c r="MY158" s="43"/>
      <c r="MZ158" s="43"/>
      <c r="NA158" s="43"/>
      <c r="NB158" s="43"/>
      <c r="NC158" s="43"/>
      <c r="ND158" s="43"/>
      <c r="NE158" s="43"/>
      <c r="NF158" s="43"/>
      <c r="NG158" s="43"/>
      <c r="NH158" s="43"/>
      <c r="NI158" s="43"/>
      <c r="NJ158" s="43"/>
      <c r="NK158" s="43"/>
      <c r="NL158" s="43"/>
      <c r="NM158" s="43"/>
    </row>
    <row r="159" spans="1:377" x14ac:dyDescent="0.25"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  <c r="NM159" s="43"/>
    </row>
    <row r="160" spans="1:377" x14ac:dyDescent="0.25">
      <c r="A160" s="61"/>
    </row>
    <row r="161" spans="1:79" x14ac:dyDescent="0.25">
      <c r="A161" s="61"/>
      <c r="B161" s="40" t="s">
        <v>243</v>
      </c>
      <c r="E161" s="80"/>
      <c r="F161" s="43"/>
      <c r="H161" s="43"/>
      <c r="I161" s="61"/>
      <c r="K161" s="5"/>
      <c r="L161" s="5"/>
      <c r="M161" s="1"/>
      <c r="N161" s="63"/>
      <c r="O161" s="1"/>
      <c r="Q161" s="1"/>
      <c r="R161" s="1"/>
      <c r="T161" s="1"/>
      <c r="U161" s="63"/>
      <c r="V161" s="1"/>
      <c r="W161" s="1"/>
    </row>
    <row r="162" spans="1:79" x14ac:dyDescent="0.25">
      <c r="A162" s="61"/>
      <c r="B162" s="40" t="s">
        <v>12</v>
      </c>
      <c r="E162" s="80"/>
      <c r="F162" s="43" t="s">
        <v>33</v>
      </c>
      <c r="H162" s="43"/>
      <c r="I162" s="61"/>
      <c r="K162" s="5"/>
      <c r="L162" s="43"/>
      <c r="N162" s="80"/>
      <c r="R162"/>
      <c r="U162" s="80"/>
      <c r="V162" s="40" t="s">
        <v>12</v>
      </c>
      <c r="Y162" s="80"/>
      <c r="Z162" s="43" t="s">
        <v>33</v>
      </c>
      <c r="AC162" s="43"/>
      <c r="AE162" s="61"/>
      <c r="AF162" s="5"/>
      <c r="AG162" s="43"/>
      <c r="AK162" s="80"/>
      <c r="AP162" s="40" t="s">
        <v>12</v>
      </c>
      <c r="AS162" s="80"/>
      <c r="AT162" s="43" t="s">
        <v>33</v>
      </c>
      <c r="BJ162" t="s">
        <v>41</v>
      </c>
      <c r="BO162" s="133"/>
      <c r="BP162" t="s">
        <v>78</v>
      </c>
      <c r="BV162" t="s">
        <v>79</v>
      </c>
    </row>
    <row r="163" spans="1:79" x14ac:dyDescent="0.25">
      <c r="A163" s="61"/>
      <c r="B163" t="s">
        <v>41</v>
      </c>
      <c r="C163" t="s">
        <v>34</v>
      </c>
      <c r="E163" s="80"/>
      <c r="H163"/>
      <c r="I163" s="43" t="s">
        <v>13</v>
      </c>
      <c r="K163" s="61"/>
      <c r="L163" s="43"/>
      <c r="N163" s="80"/>
      <c r="O163" t="s">
        <v>14</v>
      </c>
      <c r="Q163" s="80"/>
      <c r="R163" s="43"/>
      <c r="S163" s="5"/>
      <c r="U163" s="80"/>
      <c r="V163" t="s">
        <v>78</v>
      </c>
      <c r="W163" t="s">
        <v>34</v>
      </c>
      <c r="Y163" s="80"/>
      <c r="AC163" s="43" t="s">
        <v>13</v>
      </c>
      <c r="AE163" s="61"/>
      <c r="AF163" s="43"/>
      <c r="AI163" t="s">
        <v>14</v>
      </c>
      <c r="AK163" s="80"/>
      <c r="AL163" s="43"/>
      <c r="AM163" s="5"/>
      <c r="AP163" t="s">
        <v>79</v>
      </c>
      <c r="AQ163" t="s">
        <v>34</v>
      </c>
      <c r="AS163" s="80"/>
      <c r="AW163" s="43" t="s">
        <v>13</v>
      </c>
      <c r="AY163" s="61"/>
      <c r="AZ163" s="43"/>
      <c r="BC163" t="s">
        <v>14</v>
      </c>
      <c r="BE163" s="80"/>
      <c r="BF163" s="43"/>
      <c r="BG163" s="5"/>
      <c r="BJ163" t="str">
        <f t="shared" ref="BJ163:BJ169" si="29">C163</f>
        <v>Functional tooth</v>
      </c>
      <c r="BM163" t="s">
        <v>246</v>
      </c>
      <c r="BO163" s="133"/>
      <c r="BP163" t="str">
        <f>W163</f>
        <v>Functional tooth</v>
      </c>
      <c r="BS163" t="s">
        <v>246</v>
      </c>
      <c r="BV163" t="str">
        <f t="shared" ref="BV163:BV169" si="30">AQ163</f>
        <v>Functional tooth</v>
      </c>
      <c r="BY163" t="s">
        <v>246</v>
      </c>
    </row>
    <row r="164" spans="1:79" x14ac:dyDescent="0.25">
      <c r="A164" s="61"/>
      <c r="C164" t="s">
        <v>274</v>
      </c>
      <c r="D164" s="104" t="s">
        <v>93</v>
      </c>
      <c r="E164" s="300" t="s">
        <v>77</v>
      </c>
      <c r="F164" s="42" t="s">
        <v>37</v>
      </c>
      <c r="G164" t="s">
        <v>36</v>
      </c>
      <c r="H164" t="s">
        <v>87</v>
      </c>
      <c r="I164" s="62" t="s">
        <v>274</v>
      </c>
      <c r="J164" s="104" t="s">
        <v>93</v>
      </c>
      <c r="K164" s="107" t="s">
        <v>77</v>
      </c>
      <c r="L164" s="41" t="s">
        <v>37</v>
      </c>
      <c r="M164" s="10" t="s">
        <v>76</v>
      </c>
      <c r="N164" t="s">
        <v>87</v>
      </c>
      <c r="O164" s="42" t="s">
        <v>274</v>
      </c>
      <c r="P164" s="104" t="s">
        <v>93</v>
      </c>
      <c r="Q164" s="61"/>
      <c r="R164" s="41" t="s">
        <v>37</v>
      </c>
      <c r="S164" s="5" t="s">
        <v>36</v>
      </c>
      <c r="T164" t="s">
        <v>87</v>
      </c>
      <c r="U164" s="80"/>
      <c r="W164" t="s">
        <v>274</v>
      </c>
      <c r="X164" s="104" t="s">
        <v>93</v>
      </c>
      <c r="Y164" s="80" t="s">
        <v>77</v>
      </c>
      <c r="Z164" s="42" t="s">
        <v>37</v>
      </c>
      <c r="AA164" t="s">
        <v>36</v>
      </c>
      <c r="AC164" s="62" t="s">
        <v>274</v>
      </c>
      <c r="AD164" s="104" t="s">
        <v>93</v>
      </c>
      <c r="AE164" s="61" t="s">
        <v>77</v>
      </c>
      <c r="AF164" s="41" t="s">
        <v>37</v>
      </c>
      <c r="AG164" s="10" t="s">
        <v>36</v>
      </c>
      <c r="AI164" s="42" t="s">
        <v>274</v>
      </c>
      <c r="AJ164" s="104" t="s">
        <v>93</v>
      </c>
      <c r="AK164" s="61" t="s">
        <v>77</v>
      </c>
      <c r="AL164" s="41" t="s">
        <v>37</v>
      </c>
      <c r="AM164" s="5" t="s">
        <v>76</v>
      </c>
      <c r="AQ164" t="s">
        <v>274</v>
      </c>
      <c r="AR164" s="104" t="s">
        <v>93</v>
      </c>
      <c r="AS164" s="80" t="s">
        <v>77</v>
      </c>
      <c r="AT164" s="42" t="s">
        <v>37</v>
      </c>
      <c r="AU164" t="s">
        <v>36</v>
      </c>
      <c r="AV164" t="s">
        <v>87</v>
      </c>
      <c r="AW164" s="62" t="s">
        <v>274</v>
      </c>
      <c r="AX164" s="104" t="s">
        <v>93</v>
      </c>
      <c r="AY164" s="61" t="s">
        <v>77</v>
      </c>
      <c r="AZ164" s="41" t="s">
        <v>37</v>
      </c>
      <c r="BA164" s="5" t="s">
        <v>36</v>
      </c>
      <c r="BB164" t="s">
        <v>87</v>
      </c>
      <c r="BC164" s="42" t="s">
        <v>274</v>
      </c>
      <c r="BD164" s="104" t="s">
        <v>93</v>
      </c>
      <c r="BE164" s="61" t="s">
        <v>77</v>
      </c>
      <c r="BF164" s="41" t="s">
        <v>37</v>
      </c>
      <c r="BG164" s="5" t="s">
        <v>76</v>
      </c>
      <c r="BJ164" t="str">
        <f t="shared" si="29"/>
        <v>tooth height</v>
      </c>
      <c r="BK164" t="str">
        <f t="shared" ref="BK164:BL169" si="31">D164</f>
        <v>crown height</v>
      </c>
      <c r="BL164" t="str">
        <f t="shared" si="31"/>
        <v>volume</v>
      </c>
      <c r="BM164" t="str">
        <f t="shared" ref="BM164:BO165" si="32">I164</f>
        <v>tooth height</v>
      </c>
      <c r="BN164" t="str">
        <f t="shared" si="32"/>
        <v>crown height</v>
      </c>
      <c r="BO164" s="133" t="str">
        <f t="shared" si="32"/>
        <v>volume</v>
      </c>
      <c r="BP164" t="str">
        <f>W164</f>
        <v>tooth height</v>
      </c>
      <c r="BQ164" t="str">
        <f t="shared" ref="BQ164:BR167" si="33">X164</f>
        <v>crown height</v>
      </c>
      <c r="BR164" t="str">
        <f t="shared" si="33"/>
        <v>volume</v>
      </c>
      <c r="BS164" s="43" t="str">
        <f>AC164</f>
        <v>tooth height</v>
      </c>
      <c r="BT164" s="43" t="str">
        <f>AD164</f>
        <v>crown height</v>
      </c>
      <c r="BU164" s="133" t="str">
        <f>AE164</f>
        <v>volume</v>
      </c>
      <c r="BV164" t="str">
        <f t="shared" si="30"/>
        <v>tooth height</v>
      </c>
      <c r="BW164" t="str">
        <f t="shared" ref="BW164:BX169" si="34">AR164</f>
        <v>crown height</v>
      </c>
      <c r="BX164" t="str">
        <f t="shared" si="34"/>
        <v>volume</v>
      </c>
      <c r="BY164" t="str">
        <f t="shared" ref="BY164:CA169" si="35">AW164</f>
        <v>tooth height</v>
      </c>
      <c r="BZ164" t="str">
        <f t="shared" si="35"/>
        <v>crown height</v>
      </c>
      <c r="CA164" t="str">
        <f t="shared" si="35"/>
        <v>volume</v>
      </c>
    </row>
    <row r="165" spans="1:79" x14ac:dyDescent="0.25">
      <c r="A165" s="61"/>
      <c r="B165" s="55" t="s">
        <v>15</v>
      </c>
      <c r="C165" s="85">
        <f t="shared" ref="C165:E169" si="36">LOG(C6)</f>
        <v>0.75644592016227286</v>
      </c>
      <c r="D165" s="80">
        <f t="shared" si="36"/>
        <v>0.38872270047517538</v>
      </c>
      <c r="E165" s="80">
        <f t="shared" si="36"/>
        <v>0.35826425250657207</v>
      </c>
      <c r="F165" s="55"/>
      <c r="G165" s="98"/>
      <c r="H165" s="99">
        <f>LOG(H6)</f>
        <v>1.4851296639129778</v>
      </c>
      <c r="I165" s="85">
        <f>LOG(I6)</f>
        <v>0.10636090880675036</v>
      </c>
      <c r="J165">
        <f>LOG(J6)</f>
        <v>-0.20238626984692429</v>
      </c>
      <c r="K165">
        <f>LOG(K6)</f>
        <v>-0.66290030363831676</v>
      </c>
      <c r="L165" s="56"/>
      <c r="M165" s="46">
        <f>I165/C165</f>
        <v>0.14060609750388212</v>
      </c>
      <c r="N165" s="55"/>
      <c r="O165" s="85"/>
      <c r="Q165" s="56"/>
      <c r="R165" s="56"/>
      <c r="S165" s="46"/>
      <c r="T165" s="46"/>
      <c r="U165" s="80"/>
      <c r="V165" s="55" t="s">
        <v>15</v>
      </c>
      <c r="W165" s="85">
        <f t="shared" ref="W165:Y167" si="37">LOG(W6)</f>
        <v>1.4354461863637156</v>
      </c>
      <c r="X165" s="100">
        <f t="shared" si="37"/>
        <v>0.75243260926147415</v>
      </c>
      <c r="Y165" s="56">
        <f t="shared" si="37"/>
        <v>2.4626068542185005</v>
      </c>
      <c r="Z165" s="55"/>
      <c r="AA165" s="78"/>
      <c r="AC165" s="85"/>
      <c r="AE165" s="56"/>
      <c r="AF165" s="56"/>
      <c r="AG165" s="84"/>
      <c r="AI165" s="44"/>
      <c r="AK165" s="56"/>
      <c r="AL165" s="56"/>
      <c r="AM165" s="46"/>
      <c r="AP165" s="55" t="s">
        <v>15</v>
      </c>
      <c r="AQ165" s="88">
        <f t="shared" ref="AQ165:AS169" si="38">LOG(AQ6)</f>
        <v>0.50552981983513245</v>
      </c>
      <c r="AR165">
        <f t="shared" si="38"/>
        <v>0.15618557284097515</v>
      </c>
      <c r="AS165" s="56">
        <f t="shared" si="38"/>
        <v>-0.20133245951615755</v>
      </c>
      <c r="AT165" s="55"/>
      <c r="AU165" s="98"/>
      <c r="AV165" s="99"/>
      <c r="AW165" s="85">
        <f t="shared" ref="AW165:AY169" si="39">LOG(AW6)</f>
        <v>-0.59722293038965257</v>
      </c>
      <c r="AX165">
        <f t="shared" si="39"/>
        <v>-0.78834559944681759</v>
      </c>
      <c r="AY165" s="201">
        <f t="shared" si="39"/>
        <v>-2.4616026713164159</v>
      </c>
      <c r="AZ165" s="56"/>
      <c r="BA165" s="46">
        <f t="shared" ref="BA165:BA170" si="40">LOG(BA6)</f>
        <v>-1.1027527502247849</v>
      </c>
      <c r="BB165" s="99"/>
      <c r="BC165" s="85"/>
      <c r="BE165" s="56"/>
      <c r="BF165" s="56"/>
      <c r="BG165" s="46"/>
      <c r="BI165" s="55" t="s">
        <v>15</v>
      </c>
      <c r="BJ165">
        <f t="shared" si="29"/>
        <v>0.75644592016227286</v>
      </c>
      <c r="BK165">
        <f t="shared" si="31"/>
        <v>0.38872270047517538</v>
      </c>
      <c r="BL165">
        <f t="shared" si="31"/>
        <v>0.35826425250657207</v>
      </c>
      <c r="BM165">
        <f t="shared" si="32"/>
        <v>0.10636090880675036</v>
      </c>
      <c r="BN165">
        <f t="shared" si="32"/>
        <v>-0.20238626984692429</v>
      </c>
      <c r="BO165" s="133">
        <f t="shared" si="32"/>
        <v>-0.66290030363831676</v>
      </c>
      <c r="BP165">
        <f>W165</f>
        <v>1.4354461863637156</v>
      </c>
      <c r="BQ165">
        <f t="shared" si="33"/>
        <v>0.75243260926147415</v>
      </c>
      <c r="BR165">
        <f t="shared" si="33"/>
        <v>2.4626068542185005</v>
      </c>
      <c r="BS165" s="43"/>
      <c r="BT165" s="43"/>
      <c r="BU165" s="133"/>
      <c r="BV165">
        <f t="shared" si="30"/>
        <v>0.50552981983513245</v>
      </c>
      <c r="BW165">
        <f t="shared" si="34"/>
        <v>0.15618557284097515</v>
      </c>
      <c r="BX165">
        <f t="shared" si="34"/>
        <v>-0.20133245951615755</v>
      </c>
      <c r="BY165">
        <f t="shared" si="35"/>
        <v>-0.59722293038965257</v>
      </c>
      <c r="BZ165">
        <f t="shared" si="35"/>
        <v>-0.78834559944681759</v>
      </c>
      <c r="CA165">
        <f t="shared" si="35"/>
        <v>-2.4616026713164159</v>
      </c>
    </row>
    <row r="166" spans="1:79" x14ac:dyDescent="0.25">
      <c r="A166" s="61"/>
      <c r="B166" t="s">
        <v>16</v>
      </c>
      <c r="C166" s="203">
        <f t="shared" si="36"/>
        <v>0.70990566904040397</v>
      </c>
      <c r="D166" s="80">
        <f t="shared" si="36"/>
        <v>0.33395080438724722</v>
      </c>
      <c r="E166" s="80">
        <f t="shared" si="36"/>
        <v>0.48905803699906181</v>
      </c>
      <c r="H166"/>
      <c r="I166" s="85">
        <f t="shared" ref="I166:K169" si="41">LOG(I7)</f>
        <v>0.33994806169435088</v>
      </c>
      <c r="J166">
        <f t="shared" si="41"/>
        <v>-3.7393927075873058E-2</v>
      </c>
      <c r="K166">
        <f t="shared" si="41"/>
        <v>-0.16277467766196335</v>
      </c>
      <c r="L166" s="47"/>
      <c r="M166" s="61">
        <f>I166/C166</f>
        <v>0.47886370896835717</v>
      </c>
      <c r="N166" s="80"/>
      <c r="O166" s="85"/>
      <c r="Q166" s="47"/>
      <c r="R166" s="47"/>
      <c r="S166" s="61"/>
      <c r="U166" s="80"/>
      <c r="V166" t="s">
        <v>16</v>
      </c>
      <c r="W166" s="85">
        <f t="shared" si="37"/>
        <v>1.3667030568692862</v>
      </c>
      <c r="X166">
        <f t="shared" si="37"/>
        <v>0.90606554475523682</v>
      </c>
      <c r="Y166" s="47">
        <f t="shared" si="37"/>
        <v>2.3963493683471873</v>
      </c>
      <c r="AC166" s="85">
        <f t="shared" ref="AC166:AE167" si="42">LOG(AC7)</f>
        <v>0.90064018398260037</v>
      </c>
      <c r="AD166">
        <f t="shared" si="42"/>
        <v>0.49762064978128773</v>
      </c>
      <c r="AE166" s="47">
        <f t="shared" si="42"/>
        <v>1.4483595341228261</v>
      </c>
      <c r="AF166" s="47"/>
      <c r="AG166" s="59">
        <f>LOG(AG7)</f>
        <v>-0.46606287288668585</v>
      </c>
      <c r="AI166" s="44"/>
      <c r="AK166" s="47"/>
      <c r="AL166" s="47"/>
      <c r="AM166" s="61"/>
      <c r="AP166" t="s">
        <v>16</v>
      </c>
      <c r="AQ166" s="190">
        <f t="shared" si="38"/>
        <v>0.40360089751828065</v>
      </c>
      <c r="AR166">
        <f t="shared" si="38"/>
        <v>0.24865974304833577</v>
      </c>
      <c r="AS166" s="196">
        <f t="shared" si="38"/>
        <v>-0.42970816191082856</v>
      </c>
      <c r="AW166" s="85">
        <f t="shared" si="39"/>
        <v>6.1753967805932904E-2</v>
      </c>
      <c r="AX166">
        <f t="shared" si="39"/>
        <v>-0.11193288659256305</v>
      </c>
      <c r="AY166" s="197">
        <f t="shared" si="39"/>
        <v>-0.8565371546762327</v>
      </c>
      <c r="AZ166" s="47"/>
      <c r="BA166" s="61">
        <f t="shared" si="40"/>
        <v>-0.34184692971234776</v>
      </c>
      <c r="BC166" s="85"/>
      <c r="BE166" s="47"/>
      <c r="BF166" s="47"/>
      <c r="BG166" s="61"/>
      <c r="BI166" t="s">
        <v>16</v>
      </c>
      <c r="BJ166">
        <f t="shared" si="29"/>
        <v>0.70990566904040397</v>
      </c>
      <c r="BK166">
        <f t="shared" si="31"/>
        <v>0.33395080438724722</v>
      </c>
      <c r="BL166">
        <f t="shared" si="31"/>
        <v>0.48905803699906181</v>
      </c>
      <c r="BM166">
        <f>I166</f>
        <v>0.33994806169435088</v>
      </c>
      <c r="BO166" s="133">
        <f>K166</f>
        <v>-0.16277467766196335</v>
      </c>
      <c r="BP166">
        <f>W166</f>
        <v>1.3667030568692862</v>
      </c>
      <c r="BQ166">
        <f t="shared" si="33"/>
        <v>0.90606554475523682</v>
      </c>
      <c r="BR166">
        <f t="shared" si="33"/>
        <v>2.3963493683471873</v>
      </c>
      <c r="BS166" s="43">
        <f t="shared" ref="BS166:BU167" si="43">AC166</f>
        <v>0.90064018398260037</v>
      </c>
      <c r="BT166" s="43">
        <f t="shared" si="43"/>
        <v>0.49762064978128773</v>
      </c>
      <c r="BU166" s="133">
        <f t="shared" si="43"/>
        <v>1.4483595341228261</v>
      </c>
      <c r="BV166">
        <f t="shared" si="30"/>
        <v>0.40360089751828065</v>
      </c>
      <c r="BW166">
        <f t="shared" si="34"/>
        <v>0.24865974304833577</v>
      </c>
      <c r="BX166">
        <f t="shared" si="34"/>
        <v>-0.42970816191082856</v>
      </c>
      <c r="BY166">
        <f t="shared" si="35"/>
        <v>6.1753967805932904E-2</v>
      </c>
      <c r="BZ166">
        <f t="shared" si="35"/>
        <v>-0.11193288659256305</v>
      </c>
      <c r="CA166">
        <f t="shared" si="35"/>
        <v>-0.8565371546762327</v>
      </c>
    </row>
    <row r="167" spans="1:79" x14ac:dyDescent="0.25">
      <c r="A167" s="61"/>
      <c r="B167" t="s">
        <v>17</v>
      </c>
      <c r="C167" s="85">
        <f t="shared" si="36"/>
        <v>0.95556749709886424</v>
      </c>
      <c r="D167" s="80">
        <f t="shared" si="36"/>
        <v>0.46945381376712669</v>
      </c>
      <c r="E167" s="80">
        <f t="shared" si="36"/>
        <v>1.0866836508867526</v>
      </c>
      <c r="H167">
        <f>LOG(H8)</f>
        <v>1.5291991507628191</v>
      </c>
      <c r="I167" s="85">
        <f t="shared" si="41"/>
        <v>0.47964727876938684</v>
      </c>
      <c r="J167">
        <f t="shared" si="41"/>
        <v>1.5988105384130355E-2</v>
      </c>
      <c r="K167">
        <f t="shared" si="41"/>
        <v>0.20493352235414483</v>
      </c>
      <c r="L167" s="47"/>
      <c r="M167" s="61">
        <f>I167/C167</f>
        <v>0.5019501816727886</v>
      </c>
      <c r="N167" s="100">
        <f>LOG(N8)</f>
        <v>1.6345516872479842</v>
      </c>
      <c r="O167" s="85"/>
      <c r="Q167" s="47"/>
      <c r="R167" s="47"/>
      <c r="S167" s="61"/>
      <c r="U167" s="80"/>
      <c r="V167" t="s">
        <v>17</v>
      </c>
      <c r="W167" s="203">
        <f t="shared" si="37"/>
        <v>1.5912316112515539</v>
      </c>
      <c r="X167">
        <f t="shared" si="37"/>
        <v>1.0589950935254164</v>
      </c>
      <c r="Y167" s="196">
        <f t="shared" si="37"/>
        <v>3.0056268553270411</v>
      </c>
      <c r="AC167" s="85">
        <f t="shared" si="42"/>
        <v>1.125968963092556</v>
      </c>
      <c r="AD167">
        <f t="shared" si="42"/>
        <v>0.68078861150668235</v>
      </c>
      <c r="AE167" s="47">
        <f t="shared" si="42"/>
        <v>1.9739348956352636</v>
      </c>
      <c r="AF167" s="47"/>
      <c r="AG167" s="59">
        <f>LOG(AG8)</f>
        <v>-0.46526264815899798</v>
      </c>
      <c r="AI167" s="44"/>
      <c r="AK167" s="47"/>
      <c r="AL167" s="47"/>
      <c r="AM167" s="61"/>
      <c r="AP167" t="s">
        <v>17</v>
      </c>
      <c r="AQ167" s="200">
        <f t="shared" si="38"/>
        <v>0.69221219192535022</v>
      </c>
      <c r="AR167">
        <f t="shared" si="38"/>
        <v>0.25353184352700486</v>
      </c>
      <c r="AS167" s="196">
        <f t="shared" si="38"/>
        <v>0.17561827204222119</v>
      </c>
      <c r="AV167" s="225">
        <f>LOG(AV8)</f>
        <v>-1.7781512503836436</v>
      </c>
      <c r="AW167" s="85">
        <f t="shared" si="39"/>
        <v>2.2345876269880344E-2</v>
      </c>
      <c r="AX167">
        <f t="shared" si="39"/>
        <v>-0.2734357838377553</v>
      </c>
      <c r="AY167" s="197">
        <f t="shared" si="39"/>
        <v>-0.99740576217212273</v>
      </c>
      <c r="AZ167" s="47"/>
      <c r="BA167" s="61">
        <f t="shared" si="40"/>
        <v>-0.66986631565546984</v>
      </c>
      <c r="BC167" s="85"/>
      <c r="BE167" s="47"/>
      <c r="BF167" s="47"/>
      <c r="BG167" s="61"/>
      <c r="BI167" t="s">
        <v>17</v>
      </c>
      <c r="BJ167">
        <f t="shared" si="29"/>
        <v>0.95556749709886424</v>
      </c>
      <c r="BK167">
        <f t="shared" si="31"/>
        <v>0.46945381376712669</v>
      </c>
      <c r="BL167">
        <f t="shared" si="31"/>
        <v>1.0866836508867526</v>
      </c>
      <c r="BM167">
        <f>I167</f>
        <v>0.47964727876938684</v>
      </c>
      <c r="BN167">
        <f>J167</f>
        <v>1.5988105384130355E-2</v>
      </c>
      <c r="BO167" s="133">
        <f>K167</f>
        <v>0.20493352235414483</v>
      </c>
      <c r="BP167">
        <f>W167</f>
        <v>1.5912316112515539</v>
      </c>
      <c r="BQ167">
        <f t="shared" si="33"/>
        <v>1.0589950935254164</v>
      </c>
      <c r="BR167">
        <f t="shared" si="33"/>
        <v>3.0056268553270411</v>
      </c>
      <c r="BS167" s="43">
        <f t="shared" si="43"/>
        <v>1.125968963092556</v>
      </c>
      <c r="BT167" s="43">
        <f t="shared" si="43"/>
        <v>0.68078861150668235</v>
      </c>
      <c r="BU167" s="133">
        <f t="shared" si="43"/>
        <v>1.9739348956352636</v>
      </c>
      <c r="BV167">
        <f t="shared" si="30"/>
        <v>0.69221219192535022</v>
      </c>
      <c r="BW167">
        <f t="shared" si="34"/>
        <v>0.25353184352700486</v>
      </c>
      <c r="BX167">
        <f t="shared" si="34"/>
        <v>0.17561827204222119</v>
      </c>
      <c r="BY167">
        <f t="shared" si="35"/>
        <v>2.2345876269880344E-2</v>
      </c>
      <c r="BZ167">
        <f t="shared" si="35"/>
        <v>-0.2734357838377553</v>
      </c>
      <c r="CA167">
        <f t="shared" si="35"/>
        <v>-0.99740576217212273</v>
      </c>
    </row>
    <row r="168" spans="1:79" x14ac:dyDescent="0.25">
      <c r="A168" s="61"/>
      <c r="B168" t="s">
        <v>18</v>
      </c>
      <c r="C168" s="85">
        <f t="shared" si="36"/>
        <v>1.0575710202790383</v>
      </c>
      <c r="D168" s="80">
        <f t="shared" si="36"/>
        <v>0.40440605092126936</v>
      </c>
      <c r="E168" s="80">
        <f t="shared" si="36"/>
        <v>1.3298593897836957</v>
      </c>
      <c r="H168"/>
      <c r="I168" s="85">
        <f t="shared" si="41"/>
        <v>0.3555472957321329</v>
      </c>
      <c r="J168">
        <f t="shared" si="41"/>
        <v>-3.7393927075873058E-2</v>
      </c>
      <c r="K168">
        <f t="shared" si="41"/>
        <v>-6.3019039175512076E-2</v>
      </c>
      <c r="L168" s="47"/>
      <c r="M168" s="61">
        <f>I168/C168</f>
        <v>0.33619235863547242</v>
      </c>
      <c r="N168" s="80"/>
      <c r="O168" s="85"/>
      <c r="Q168" s="47"/>
      <c r="R168" s="47"/>
      <c r="S168" s="61"/>
      <c r="U168" s="80"/>
      <c r="V168" t="s">
        <v>18</v>
      </c>
      <c r="W168" s="85"/>
      <c r="Y168" s="47"/>
      <c r="AC168" s="85"/>
      <c r="AE168" s="47"/>
      <c r="AF168" s="47"/>
      <c r="AG168" s="59"/>
      <c r="AI168" s="44"/>
      <c r="AK168" s="47"/>
      <c r="AL168" s="47"/>
      <c r="AM168" s="61"/>
      <c r="AP168" t="s">
        <v>18</v>
      </c>
      <c r="AQ168" s="200">
        <f t="shared" si="38"/>
        <v>0.61624438882924204</v>
      </c>
      <c r="AR168">
        <f t="shared" si="38"/>
        <v>0.15618557284097515</v>
      </c>
      <c r="AS168" s="196">
        <f t="shared" si="38"/>
        <v>0.12059753052161133</v>
      </c>
      <c r="AW168" s="85">
        <f t="shared" si="39"/>
        <v>-0.2734357838377553</v>
      </c>
      <c r="AX168">
        <f t="shared" si="39"/>
        <v>-0.50473325561218962</v>
      </c>
      <c r="AY168" s="197">
        <f t="shared" si="39"/>
        <v>-1.6358881379072208</v>
      </c>
      <c r="AZ168" s="47"/>
      <c r="BA168" s="61">
        <f t="shared" si="40"/>
        <v>-0.88968017266699739</v>
      </c>
      <c r="BC168" s="85"/>
      <c r="BE168" s="47"/>
      <c r="BF168" s="47"/>
      <c r="BG168" s="61"/>
      <c r="BI168" t="s">
        <v>18</v>
      </c>
      <c r="BJ168">
        <f t="shared" si="29"/>
        <v>1.0575710202790383</v>
      </c>
      <c r="BK168">
        <f t="shared" si="31"/>
        <v>0.40440605092126936</v>
      </c>
      <c r="BL168">
        <f t="shared" si="31"/>
        <v>1.3298593897836957</v>
      </c>
      <c r="BM168">
        <f>I168</f>
        <v>0.3555472957321329</v>
      </c>
      <c r="BO168" s="133">
        <f>K168</f>
        <v>-6.3019039175512076E-2</v>
      </c>
      <c r="BS168" s="43"/>
      <c r="BT168" s="43"/>
      <c r="BU168" s="133"/>
      <c r="BV168">
        <f t="shared" si="30"/>
        <v>0.61624438882924204</v>
      </c>
      <c r="BW168">
        <f t="shared" si="34"/>
        <v>0.15618557284097515</v>
      </c>
      <c r="BX168">
        <f t="shared" si="34"/>
        <v>0.12059753052161133</v>
      </c>
      <c r="BY168">
        <f t="shared" si="35"/>
        <v>-0.2734357838377553</v>
      </c>
      <c r="BZ168">
        <f t="shared" si="35"/>
        <v>-0.50473325561218962</v>
      </c>
      <c r="CA168">
        <f t="shared" si="35"/>
        <v>-1.6358881379072208</v>
      </c>
    </row>
    <row r="169" spans="1:79" x14ac:dyDescent="0.25">
      <c r="A169" s="61"/>
      <c r="B169" t="s">
        <v>71</v>
      </c>
      <c r="C169" s="203">
        <f t="shared" si="36"/>
        <v>0.89306788991497088</v>
      </c>
      <c r="D169" s="80">
        <f t="shared" si="36"/>
        <v>0.41622431709856844</v>
      </c>
      <c r="E169" s="80">
        <f t="shared" si="36"/>
        <v>0.86463209708468536</v>
      </c>
      <c r="F169" s="1"/>
      <c r="H169"/>
      <c r="I169" s="85">
        <f t="shared" si="41"/>
        <v>0.4514026135974929</v>
      </c>
      <c r="J169">
        <f t="shared" si="41"/>
        <v>0.13909160752382263</v>
      </c>
      <c r="K169">
        <f t="shared" si="41"/>
        <v>7.8453192875542241E-2</v>
      </c>
      <c r="L169"/>
      <c r="M169" s="61">
        <f>I169/C169</f>
        <v>0.50545162209389372</v>
      </c>
      <c r="N169" s="80"/>
      <c r="O169" s="190">
        <f>LOG(O10)</f>
        <v>-0.42308304403479297</v>
      </c>
      <c r="P169" s="305">
        <f>LOG(P10)</f>
        <v>-0.92996213339224487</v>
      </c>
      <c r="Q169" s="87">
        <f>LOG(Q10)</f>
        <v>-1.8212244279545893</v>
      </c>
      <c r="R169"/>
      <c r="S169" s="59">
        <f>O169/I169</f>
        <v>-0.93726316882172078</v>
      </c>
      <c r="U169" s="80"/>
      <c r="V169" t="s">
        <v>71</v>
      </c>
      <c r="W169" s="85">
        <f>LOG(W10)</f>
        <v>1.5753610661552064</v>
      </c>
      <c r="X169">
        <f>LOG(X10)</f>
        <v>0.93676499760994136</v>
      </c>
      <c r="Y169" s="47">
        <f>LOG(Y10)</f>
        <v>2.9321719349232134</v>
      </c>
      <c r="Z169" s="1"/>
      <c r="AC169" s="85">
        <f>LOG(AC10)</f>
        <v>0.813247300897605</v>
      </c>
      <c r="AD169">
        <f>LOG(AD10)</f>
        <v>0.47202469770028144</v>
      </c>
      <c r="AE169" s="47">
        <f>LOG(AE10)</f>
        <v>1.4475979968900548</v>
      </c>
      <c r="AG169" s="59">
        <f>LOG(AG10)</f>
        <v>-0.76211376525760133</v>
      </c>
      <c r="AI169" s="83"/>
      <c r="AK169" s="87"/>
      <c r="AM169" s="61"/>
      <c r="AN169" s="43"/>
      <c r="AP169" t="s">
        <v>71</v>
      </c>
      <c r="AQ169" s="192">
        <f t="shared" si="38"/>
        <v>0.66207753385956292</v>
      </c>
      <c r="AR169">
        <f t="shared" si="38"/>
        <v>0.24620304183788136</v>
      </c>
      <c r="AS169" s="47">
        <f t="shared" si="38"/>
        <v>8.3154198862533599E-2</v>
      </c>
      <c r="AT169" s="1"/>
      <c r="AW169" s="85">
        <f t="shared" si="39"/>
        <v>-3.1382315093265779E-3</v>
      </c>
      <c r="AX169">
        <f t="shared" si="39"/>
        <v>-0.24964591123729193</v>
      </c>
      <c r="AY169" s="197">
        <f t="shared" si="39"/>
        <v>-1.0550624847199626</v>
      </c>
      <c r="BA169" s="61">
        <f t="shared" si="40"/>
        <v>-0.66521576536888949</v>
      </c>
      <c r="BC169" s="83"/>
      <c r="BE169" s="87"/>
      <c r="BG169" s="61"/>
      <c r="BI169" t="s">
        <v>71</v>
      </c>
      <c r="BJ169">
        <f t="shared" si="29"/>
        <v>0.89306788991497088</v>
      </c>
      <c r="BK169">
        <f t="shared" si="31"/>
        <v>0.41622431709856844</v>
      </c>
      <c r="BL169">
        <f t="shared" si="31"/>
        <v>0.86463209708468536</v>
      </c>
      <c r="BM169">
        <f>I169</f>
        <v>0.4514026135974929</v>
      </c>
      <c r="BN169">
        <f>J169</f>
        <v>0.13909160752382263</v>
      </c>
      <c r="BO169" s="133">
        <f>K169</f>
        <v>7.8453192875542241E-2</v>
      </c>
      <c r="BP169">
        <f>W169</f>
        <v>1.5753610661552064</v>
      </c>
      <c r="BQ169">
        <f>X169</f>
        <v>0.93676499760994136</v>
      </c>
      <c r="BR169">
        <f>Y169</f>
        <v>2.9321719349232134</v>
      </c>
      <c r="BS169" s="43">
        <f>AC169</f>
        <v>0.813247300897605</v>
      </c>
      <c r="BT169" s="43">
        <f>AD169</f>
        <v>0.47202469770028144</v>
      </c>
      <c r="BU169" s="133">
        <f>AE169</f>
        <v>1.4475979968900548</v>
      </c>
      <c r="BV169">
        <f t="shared" si="30"/>
        <v>0.66207753385956292</v>
      </c>
      <c r="BW169">
        <f t="shared" si="34"/>
        <v>0.24620304183788136</v>
      </c>
      <c r="BX169">
        <f t="shared" si="34"/>
        <v>8.3154198862533599E-2</v>
      </c>
      <c r="BY169">
        <f t="shared" si="35"/>
        <v>-3.1382315093265779E-3</v>
      </c>
      <c r="BZ169">
        <f t="shared" si="35"/>
        <v>-0.24964591123729193</v>
      </c>
      <c r="CA169">
        <f t="shared" si="35"/>
        <v>-1.0550624847199626</v>
      </c>
    </row>
    <row r="170" spans="1:79" x14ac:dyDescent="0.25">
      <c r="A170" s="61"/>
      <c r="E170" s="80"/>
      <c r="H170"/>
      <c r="I170" s="56"/>
      <c r="L170" s="58" t="s">
        <v>39</v>
      </c>
      <c r="M170" s="60">
        <f>(M165+M166+M167+M168+M169)/5</f>
        <v>0.39261279377487879</v>
      </c>
      <c r="N170" s="80"/>
      <c r="O170" s="47"/>
      <c r="Q170" s="47"/>
      <c r="R170" s="63" t="s">
        <v>39</v>
      </c>
      <c r="S170" s="59"/>
      <c r="U170" s="80"/>
      <c r="V170" s="1"/>
      <c r="W170" s="77"/>
      <c r="Y170" s="80"/>
      <c r="AC170" s="56"/>
      <c r="AE170" s="47"/>
      <c r="AF170" s="58" t="str">
        <f>AF11</f>
        <v>average</v>
      </c>
      <c r="AG170" s="60">
        <f>(AG166+AG167+AG169)/3</f>
        <v>-0.56447976210109507</v>
      </c>
      <c r="AI170" s="48"/>
      <c r="AK170" s="47"/>
      <c r="AL170" s="58" t="str">
        <f>AL11</f>
        <v>average</v>
      </c>
      <c r="AM170" s="61"/>
      <c r="AN170" s="43"/>
      <c r="AW170" s="56"/>
      <c r="AY170" s="47"/>
      <c r="AZ170" s="58" t="str">
        <f>AZ11</f>
        <v>average</v>
      </c>
      <c r="BA170" s="60">
        <f t="shared" si="40"/>
        <v>-0.66033962709469363</v>
      </c>
      <c r="BC170" s="57"/>
      <c r="BE170" s="47"/>
      <c r="BF170" s="63" t="str">
        <f>BF11</f>
        <v>average</v>
      </c>
      <c r="BG170" s="61"/>
      <c r="BI170" t="s">
        <v>15</v>
      </c>
      <c r="BJ170">
        <f t="shared" ref="BJ170:BJ184" si="44">C176</f>
        <v>0.90349694733585939</v>
      </c>
      <c r="BK170">
        <f t="shared" ref="BK170:BK184" si="45">D176</f>
        <v>0.41622431709856844</v>
      </c>
      <c r="BL170">
        <f t="shared" ref="BL170:BL184" si="46">E176</f>
        <v>0.88928208876423331</v>
      </c>
      <c r="BM170">
        <f t="shared" ref="BM170:BM184" si="47">I176</f>
        <v>0.30265555395071853</v>
      </c>
      <c r="BN170">
        <f t="shared" ref="BN170:BN184" si="48">J176</f>
        <v>-0.16909070045355667</v>
      </c>
      <c r="BO170" s="133">
        <f t="shared" ref="BO170:BO184" si="49">K176</f>
        <v>-0.2599185084952127</v>
      </c>
      <c r="BP170">
        <f t="shared" ref="BP170:BR177" si="50">W176</f>
        <v>1.4314441816172123</v>
      </c>
      <c r="BQ170">
        <f t="shared" si="50"/>
        <v>0.8576339851500081</v>
      </c>
      <c r="BR170">
        <f t="shared" si="50"/>
        <v>2.6346073618883636</v>
      </c>
      <c r="BS170" s="43">
        <f>AC176</f>
        <v>0.95351808144499262</v>
      </c>
      <c r="BT170" s="43">
        <f>AD176</f>
        <v>0.59273176639396219</v>
      </c>
      <c r="BU170" s="133">
        <f>AE176</f>
        <v>1.6413681416217163</v>
      </c>
      <c r="BV170">
        <f t="shared" ref="BV170:BV185" si="51">AQ175</f>
        <v>0.65827857260026867</v>
      </c>
      <c r="BW170">
        <f t="shared" ref="BW170:BW185" si="52">AR175</f>
        <v>0.22860565035509176</v>
      </c>
      <c r="BX170">
        <f t="shared" ref="BX170:BX185" si="53">AS175</f>
        <v>5.1824579573003973E-2</v>
      </c>
      <c r="BY170">
        <f t="shared" ref="BY170:BY182" si="54">AW175</f>
        <v>-0.15939212099070979</v>
      </c>
      <c r="BZ170">
        <f t="shared" ref="BZ170:BZ182" si="55">AX175</f>
        <v>-0.32532253212680107</v>
      </c>
      <c r="CA170">
        <f t="shared" ref="CA170:CA182" si="56">AY175</f>
        <v>-1.3192247843524421</v>
      </c>
    </row>
    <row r="171" spans="1:79" x14ac:dyDescent="0.25">
      <c r="A171" s="61"/>
      <c r="E171" s="80"/>
      <c r="H171"/>
      <c r="L171"/>
      <c r="N171" s="80"/>
      <c r="Q171" s="80"/>
      <c r="R171"/>
      <c r="U171" s="80"/>
      <c r="Y171" s="80"/>
      <c r="BI171" t="s">
        <v>16</v>
      </c>
      <c r="BJ171">
        <f t="shared" si="44"/>
        <v>0.86257856776707054</v>
      </c>
      <c r="BK171">
        <f t="shared" si="45"/>
        <v>0.54746702242638545</v>
      </c>
      <c r="BL171">
        <f t="shared" si="46"/>
        <v>0.8817446124443622</v>
      </c>
      <c r="BM171">
        <f t="shared" si="47"/>
        <v>0.76324075731002494</v>
      </c>
      <c r="BN171">
        <f t="shared" si="48"/>
        <v>0.30265555395071853</v>
      </c>
      <c r="BO171" s="133">
        <f t="shared" si="49"/>
        <v>0.72743958443488044</v>
      </c>
      <c r="BP171">
        <f t="shared" si="50"/>
        <v>1.3185850100788252</v>
      </c>
      <c r="BQ171">
        <f t="shared" si="50"/>
        <v>7.3718350346122688E-2</v>
      </c>
      <c r="BR171">
        <f t="shared" si="50"/>
        <v>0.31300494604139101</v>
      </c>
      <c r="BS171" s="43"/>
      <c r="BT171" s="43"/>
      <c r="BU171" s="133"/>
      <c r="BV171">
        <f t="shared" si="51"/>
        <v>0.6256005128828166</v>
      </c>
      <c r="BW171">
        <f t="shared" si="52"/>
        <v>0.38610640713607575</v>
      </c>
      <c r="BX171">
        <f t="shared" si="53"/>
        <v>0.18688385193673701</v>
      </c>
      <c r="BY171">
        <f t="shared" si="54"/>
        <v>0.25594754939893993</v>
      </c>
      <c r="BZ171">
        <f t="shared" si="55"/>
        <v>-2.099825152527892E-2</v>
      </c>
      <c r="CA171">
        <f t="shared" si="56"/>
        <v>-0.53646251682029245</v>
      </c>
    </row>
    <row r="172" spans="1:79" x14ac:dyDescent="0.25">
      <c r="A172" s="61"/>
      <c r="E172" s="80"/>
      <c r="H172"/>
      <c r="L172"/>
      <c r="N172" s="80"/>
      <c r="Q172" s="80"/>
      <c r="R172"/>
      <c r="U172" s="80"/>
      <c r="Y172" s="80"/>
      <c r="AP172" s="40" t="s">
        <v>19</v>
      </c>
      <c r="AS172" s="63"/>
      <c r="AT172" s="43" t="s">
        <v>33</v>
      </c>
      <c r="AU172" s="1"/>
      <c r="AV172" s="1"/>
      <c r="AW172" s="63"/>
      <c r="AY172" s="1"/>
      <c r="BB172" s="80"/>
      <c r="BI172" t="s">
        <v>17</v>
      </c>
      <c r="BJ172">
        <f t="shared" si="44"/>
        <v>1.089816831231369</v>
      </c>
      <c r="BK172">
        <f t="shared" si="45"/>
        <v>0.46945381376712669</v>
      </c>
      <c r="BL172">
        <f t="shared" si="46"/>
        <v>1.4795997808352261</v>
      </c>
      <c r="BM172">
        <f t="shared" si="47"/>
        <v>0.51949985285953859</v>
      </c>
      <c r="BN172">
        <f t="shared" si="48"/>
        <v>1.5988105384130355E-2</v>
      </c>
      <c r="BO172" s="133">
        <f t="shared" si="49"/>
        <v>0.31086105140841591</v>
      </c>
      <c r="BP172">
        <f t="shared" si="50"/>
        <v>1.6275194713376828</v>
      </c>
      <c r="BQ172">
        <f t="shared" si="50"/>
        <v>0.73679475492436064</v>
      </c>
      <c r="BR172">
        <f t="shared" si="50"/>
        <v>3.1058259844164309</v>
      </c>
      <c r="BS172" s="43"/>
      <c r="BT172" s="43"/>
      <c r="BU172" s="133"/>
      <c r="BV172">
        <f t="shared" si="51"/>
        <v>0.80090944462041314</v>
      </c>
      <c r="BW172">
        <f t="shared" si="52"/>
        <v>0.25353184352700486</v>
      </c>
      <c r="BX172">
        <f t="shared" si="53"/>
        <v>0.4463011160741388</v>
      </c>
      <c r="BY172">
        <f t="shared" si="54"/>
        <v>4.2496757433736092E-2</v>
      </c>
      <c r="BZ172">
        <f t="shared" si="55"/>
        <v>-0.21982675635740581</v>
      </c>
      <c r="CA172">
        <f t="shared" si="56"/>
        <v>-0.85984436866824221</v>
      </c>
    </row>
    <row r="173" spans="1:79" x14ac:dyDescent="0.25">
      <c r="A173" s="61"/>
      <c r="B173" s="40" t="s">
        <v>19</v>
      </c>
      <c r="C173" s="1"/>
      <c r="E173" s="80"/>
      <c r="F173" s="43" t="s">
        <v>33</v>
      </c>
      <c r="G173" s="1"/>
      <c r="H173"/>
      <c r="I173" s="1"/>
      <c r="L173" s="1"/>
      <c r="N173" s="80"/>
      <c r="Q173" s="80"/>
      <c r="R173"/>
      <c r="U173" s="80"/>
      <c r="V173" s="40" t="s">
        <v>19</v>
      </c>
      <c r="W173" s="1"/>
      <c r="Y173" s="63"/>
      <c r="Z173" s="43" t="s">
        <v>33</v>
      </c>
      <c r="AA173" s="1"/>
      <c r="AC173" s="1"/>
      <c r="AE173" s="63"/>
      <c r="AF173" s="1"/>
      <c r="AK173" s="80"/>
      <c r="AP173" t="s">
        <v>79</v>
      </c>
      <c r="AQ173" t="s">
        <v>34</v>
      </c>
      <c r="AS173" s="80"/>
      <c r="AT173" s="1"/>
      <c r="AW173" t="s">
        <v>13</v>
      </c>
      <c r="AY173" s="80"/>
      <c r="AZ173" s="41"/>
      <c r="BC173" t="s">
        <v>14</v>
      </c>
      <c r="BE173" s="80"/>
      <c r="BI173" t="s">
        <v>18</v>
      </c>
      <c r="BJ173">
        <f t="shared" si="44"/>
        <v>0.99945679232204787</v>
      </c>
      <c r="BK173">
        <f t="shared" si="45"/>
        <v>0.42119246830574913</v>
      </c>
      <c r="BL173">
        <f t="shared" si="46"/>
        <v>1.2720482536692328</v>
      </c>
      <c r="BM173">
        <f t="shared" si="47"/>
        <v>0.21418130866382065</v>
      </c>
      <c r="BN173">
        <f t="shared" si="48"/>
        <v>-0.31202537996544444</v>
      </c>
      <c r="BO173" s="133">
        <f t="shared" si="49"/>
        <v>-0.32934788191538888</v>
      </c>
      <c r="BP173">
        <f t="shared" si="50"/>
        <v>1.7958452723957066</v>
      </c>
      <c r="BQ173">
        <f t="shared" si="50"/>
        <v>1.1046577910087962</v>
      </c>
      <c r="BR173">
        <f t="shared" si="50"/>
        <v>3.699681067620578</v>
      </c>
      <c r="BS173" s="43"/>
      <c r="BT173" s="43"/>
      <c r="BU173" s="133"/>
      <c r="BV173">
        <f t="shared" si="51"/>
        <v>0.69044417742566533</v>
      </c>
      <c r="BW173">
        <f t="shared" si="52"/>
        <v>0.40015792339044837</v>
      </c>
      <c r="BX173">
        <f t="shared" si="53"/>
        <v>0.47402121039952178</v>
      </c>
      <c r="BY173">
        <f t="shared" si="54"/>
        <v>0.44759210882153788</v>
      </c>
      <c r="BZ173">
        <f t="shared" si="55"/>
        <v>8.7355430054051261E-2</v>
      </c>
      <c r="CA173">
        <f t="shared" si="56"/>
        <v>-5.2311550395371512E-2</v>
      </c>
    </row>
    <row r="174" spans="1:79" x14ac:dyDescent="0.25">
      <c r="A174" s="61"/>
      <c r="B174" t="s">
        <v>41</v>
      </c>
      <c r="C174" t="s">
        <v>34</v>
      </c>
      <c r="E174" s="80"/>
      <c r="F174" s="1"/>
      <c r="H174"/>
      <c r="I174" t="s">
        <v>13</v>
      </c>
      <c r="L174" s="41"/>
      <c r="N174" s="80"/>
      <c r="O174" t="s">
        <v>14</v>
      </c>
      <c r="Q174" s="80"/>
      <c r="R174"/>
      <c r="U174" s="80"/>
      <c r="V174" t="s">
        <v>78</v>
      </c>
      <c r="W174" t="s">
        <v>34</v>
      </c>
      <c r="Y174" s="80"/>
      <c r="Z174" s="1"/>
      <c r="AC174" t="s">
        <v>13</v>
      </c>
      <c r="AE174" s="80"/>
      <c r="AF174" s="41"/>
      <c r="AI174" t="s">
        <v>14</v>
      </c>
      <c r="AK174" s="80"/>
      <c r="AQ174" t="s">
        <v>274</v>
      </c>
      <c r="AR174" s="104" t="s">
        <v>93</v>
      </c>
      <c r="AS174" s="80" t="s">
        <v>77</v>
      </c>
      <c r="AT174" s="41" t="s">
        <v>37</v>
      </c>
      <c r="AU174" s="5" t="s">
        <v>36</v>
      </c>
      <c r="AV174" t="s">
        <v>87</v>
      </c>
      <c r="AW174" t="s">
        <v>274</v>
      </c>
      <c r="AX174" s="104" t="s">
        <v>93</v>
      </c>
      <c r="AY174" s="80" t="s">
        <v>77</v>
      </c>
      <c r="AZ174" s="41" t="s">
        <v>37</v>
      </c>
      <c r="BA174" s="5" t="s">
        <v>36</v>
      </c>
      <c r="BB174" t="s">
        <v>87</v>
      </c>
      <c r="BC174" s="42" t="s">
        <v>274</v>
      </c>
      <c r="BD174" s="104" t="s">
        <v>93</v>
      </c>
      <c r="BE174" s="61" t="s">
        <v>77</v>
      </c>
      <c r="BF174" s="41" t="s">
        <v>37</v>
      </c>
      <c r="BG174" s="10" t="s">
        <v>76</v>
      </c>
      <c r="BI174" t="s">
        <v>20</v>
      </c>
      <c r="BJ174">
        <f t="shared" si="44"/>
        <v>1.0487330483239683</v>
      </c>
      <c r="BK174">
        <f t="shared" si="45"/>
        <v>0.44986392471814413</v>
      </c>
      <c r="BL174">
        <f t="shared" si="46"/>
        <v>1.3576147225850406</v>
      </c>
      <c r="BM174">
        <f t="shared" si="47"/>
        <v>0.38336648275503926</v>
      </c>
      <c r="BN174">
        <f t="shared" si="48"/>
        <v>-3.2686081712916516E-2</v>
      </c>
      <c r="BO174" s="133">
        <f t="shared" si="49"/>
        <v>-1.4420853558087521E-2</v>
      </c>
      <c r="BP174">
        <f t="shared" si="50"/>
        <v>1.546604348654274</v>
      </c>
      <c r="BQ174">
        <f t="shared" si="50"/>
        <v>0.77995705124690606</v>
      </c>
      <c r="BR174">
        <f t="shared" si="50"/>
        <v>2.9240617089218395</v>
      </c>
      <c r="BS174" s="43"/>
      <c r="BT174" s="43"/>
      <c r="BU174" s="133"/>
      <c r="BV174">
        <f t="shared" si="51"/>
        <v>0.76884521106339532</v>
      </c>
      <c r="BW174">
        <f t="shared" si="52"/>
        <v>0.26311507618134117</v>
      </c>
      <c r="BX174">
        <f t="shared" si="53"/>
        <v>0.48274288702096557</v>
      </c>
      <c r="BY174">
        <f t="shared" si="54"/>
        <v>-4.9245818406496451E-2</v>
      </c>
      <c r="BZ174">
        <f t="shared" si="55"/>
        <v>-0.29860473098607981</v>
      </c>
      <c r="CA174">
        <f t="shared" si="56"/>
        <v>-1.1488691078867892</v>
      </c>
    </row>
    <row r="175" spans="1:79" x14ac:dyDescent="0.25">
      <c r="A175" s="61"/>
      <c r="C175" t="s">
        <v>274</v>
      </c>
      <c r="D175" s="104" t="s">
        <v>93</v>
      </c>
      <c r="E175" s="300" t="s">
        <v>77</v>
      </c>
      <c r="F175" s="41" t="s">
        <v>37</v>
      </c>
      <c r="G175" s="10" t="s">
        <v>76</v>
      </c>
      <c r="H175" t="s">
        <v>87</v>
      </c>
      <c r="I175" t="s">
        <v>274</v>
      </c>
      <c r="J175" s="104" t="s">
        <v>93</v>
      </c>
      <c r="K175" s="107" t="s">
        <v>77</v>
      </c>
      <c r="L175" s="41" t="s">
        <v>37</v>
      </c>
      <c r="M175" s="10" t="s">
        <v>76</v>
      </c>
      <c r="N175" t="s">
        <v>87</v>
      </c>
      <c r="O175" s="42" t="s">
        <v>274</v>
      </c>
      <c r="P175" s="104" t="s">
        <v>93</v>
      </c>
      <c r="Q175" s="61" t="s">
        <v>77</v>
      </c>
      <c r="R175" s="41" t="s">
        <v>37</v>
      </c>
      <c r="S175" s="10" t="s">
        <v>76</v>
      </c>
      <c r="T175" t="s">
        <v>87</v>
      </c>
      <c r="U175" s="80"/>
      <c r="W175" t="s">
        <v>274</v>
      </c>
      <c r="X175" s="104" t="s">
        <v>93</v>
      </c>
      <c r="Y175" s="80" t="s">
        <v>77</v>
      </c>
      <c r="Z175" s="41" t="s">
        <v>37</v>
      </c>
      <c r="AA175" s="10" t="s">
        <v>36</v>
      </c>
      <c r="AC175" t="s">
        <v>274</v>
      </c>
      <c r="AD175" s="104" t="s">
        <v>93</v>
      </c>
      <c r="AE175" s="80" t="s">
        <v>77</v>
      </c>
      <c r="AF175" s="41" t="s">
        <v>37</v>
      </c>
      <c r="AG175" s="10" t="s">
        <v>36</v>
      </c>
      <c r="AI175" s="42" t="s">
        <v>274</v>
      </c>
      <c r="AJ175" s="104" t="s">
        <v>93</v>
      </c>
      <c r="AK175" s="61" t="s">
        <v>77</v>
      </c>
      <c r="AL175" s="41" t="s">
        <v>37</v>
      </c>
      <c r="AM175" s="10" t="s">
        <v>76</v>
      </c>
      <c r="AP175" t="s">
        <v>15</v>
      </c>
      <c r="AQ175" s="187">
        <f t="shared" ref="AQ175:AS190" si="57">LOG(AQ16)</f>
        <v>0.65827857260026867</v>
      </c>
      <c r="AR175">
        <f t="shared" si="57"/>
        <v>0.22860565035509176</v>
      </c>
      <c r="AS175" s="56">
        <f t="shared" si="57"/>
        <v>5.1824579573003973E-2</v>
      </c>
      <c r="AT175" s="56"/>
      <c r="AU175" s="55"/>
      <c r="AV175" s="99"/>
      <c r="AW175" s="187">
        <f t="shared" ref="AW175:AY187" si="58">LOG(AW16)</f>
        <v>-0.15939212099070979</v>
      </c>
      <c r="AX175">
        <f t="shared" si="58"/>
        <v>-0.32532253212680107</v>
      </c>
      <c r="AY175" s="56">
        <f t="shared" si="58"/>
        <v>-1.3192247843524421</v>
      </c>
      <c r="AZ175" s="46"/>
      <c r="BA175" s="46">
        <f t="shared" ref="BA175:BA187" si="59">LOG(BA16)</f>
        <v>-0.81767069359097844</v>
      </c>
      <c r="BB175" s="99"/>
      <c r="BC175" s="85"/>
      <c r="BE175" s="56"/>
      <c r="BI175" t="s">
        <v>21</v>
      </c>
      <c r="BJ175">
        <f t="shared" si="44"/>
        <v>0.98396439105901345</v>
      </c>
      <c r="BK175">
        <f t="shared" si="45"/>
        <v>0.52081093153647307</v>
      </c>
      <c r="BL175">
        <f t="shared" si="46"/>
        <v>1.2174181370341601</v>
      </c>
      <c r="BM175">
        <f t="shared" si="47"/>
        <v>0.49519731836545755</v>
      </c>
      <c r="BN175">
        <f t="shared" si="48"/>
        <v>0.13273983826088454</v>
      </c>
      <c r="BO175" s="133">
        <f t="shared" si="49"/>
        <v>0.3306511498404196</v>
      </c>
      <c r="BP175">
        <f t="shared" si="50"/>
        <v>1.5008537114612583</v>
      </c>
      <c r="BQ175">
        <f t="shared" si="50"/>
        <v>0.94571471405986018</v>
      </c>
      <c r="BR175">
        <f t="shared" si="50"/>
        <v>2.8742797351063296</v>
      </c>
      <c r="BS175" s="43">
        <f t="shared" ref="BS175:BU177" si="60">AC181</f>
        <v>0.87302981206104424</v>
      </c>
      <c r="BT175" s="43">
        <f t="shared" si="60"/>
        <v>0.31281182621208803</v>
      </c>
      <c r="BU175" s="133">
        <f t="shared" si="60"/>
        <v>1.7362947937407609</v>
      </c>
      <c r="BV175">
        <f t="shared" si="51"/>
        <v>0.60668225702874512</v>
      </c>
      <c r="BW175">
        <f t="shared" si="52"/>
        <v>0.34099902253144199</v>
      </c>
      <c r="BX175">
        <f t="shared" si="53"/>
        <v>0.15078870842955969</v>
      </c>
      <c r="BY175">
        <f t="shared" si="54"/>
        <v>0.26547820358064211</v>
      </c>
      <c r="BZ175">
        <f t="shared" si="55"/>
        <v>-3.021146258506115E-2</v>
      </c>
      <c r="CA175">
        <f t="shared" si="56"/>
        <v>-0.43880784158797015</v>
      </c>
    </row>
    <row r="176" spans="1:79" x14ac:dyDescent="0.25">
      <c r="A176" s="61"/>
      <c r="B176" s="80" t="s">
        <v>15</v>
      </c>
      <c r="C176" s="85">
        <f t="shared" ref="C176:E190" si="61">LOG(C17)</f>
        <v>0.90349694733585939</v>
      </c>
      <c r="D176" s="80">
        <f t="shared" si="61"/>
        <v>0.41622431709856844</v>
      </c>
      <c r="E176" s="80">
        <f t="shared" si="61"/>
        <v>0.88928208876423331</v>
      </c>
      <c r="F176" s="56"/>
      <c r="G176" s="55"/>
      <c r="H176" s="99"/>
      <c r="I176" s="85">
        <f t="shared" ref="I176:K190" si="62">LOG(I17)</f>
        <v>0.30265555395071853</v>
      </c>
      <c r="J176">
        <f t="shared" si="62"/>
        <v>-0.16909070045355667</v>
      </c>
      <c r="K176">
        <f t="shared" si="62"/>
        <v>-0.2599185084952127</v>
      </c>
      <c r="L176" s="46"/>
      <c r="M176" s="46">
        <f t="shared" ref="M176:M190" si="63">I176/C176</f>
        <v>0.33498237580454332</v>
      </c>
      <c r="N176" s="99"/>
      <c r="O176" s="85"/>
      <c r="Q176" s="88"/>
      <c r="R176" s="46"/>
      <c r="S176" s="46"/>
      <c r="T176" s="46"/>
      <c r="U176" s="80"/>
      <c r="V176" t="s">
        <v>15</v>
      </c>
      <c r="W176" s="189">
        <f t="shared" ref="W176:Y183" si="64">LOG(W17)</f>
        <v>1.4314441816172123</v>
      </c>
      <c r="X176" s="204">
        <f t="shared" si="64"/>
        <v>0.8576339851500081</v>
      </c>
      <c r="Y176" s="198">
        <f t="shared" si="64"/>
        <v>2.6346073618883636</v>
      </c>
      <c r="Z176" s="56"/>
      <c r="AA176" s="55"/>
      <c r="AC176" s="187">
        <f>LOG(AC17)</f>
        <v>0.95351808144499262</v>
      </c>
      <c r="AD176">
        <f>LOG(AD17)</f>
        <v>0.59273176639396219</v>
      </c>
      <c r="AE176" s="56">
        <f>LOG(AE17)</f>
        <v>1.6413681416217163</v>
      </c>
      <c r="AF176" s="46"/>
      <c r="AG176" s="46">
        <f>LOG(AG17)</f>
        <v>-0.4779261001722197</v>
      </c>
      <c r="AI176" s="85">
        <f>LOG(AI17)</f>
        <v>-4.8176964684088018E-2</v>
      </c>
      <c r="AJ176">
        <f>LOG(AJ17)</f>
        <v>-0.24033215531036956</v>
      </c>
      <c r="AK176" s="201">
        <f>LOG(AK17)</f>
        <v>-0.34738007498392864</v>
      </c>
      <c r="AL176" s="55"/>
      <c r="AM176" s="55">
        <f>LOG(AM17)</f>
        <v>-1.0016950461290806</v>
      </c>
      <c r="AP176" t="s">
        <v>16</v>
      </c>
      <c r="AQ176" s="190">
        <f t="shared" si="57"/>
        <v>0.6256005128828166</v>
      </c>
      <c r="AR176">
        <f t="shared" si="57"/>
        <v>0.38610640713607575</v>
      </c>
      <c r="AS176" s="196">
        <f t="shared" si="57"/>
        <v>0.18688385193673701</v>
      </c>
      <c r="AT176" s="47"/>
      <c r="AW176" s="187">
        <f t="shared" si="58"/>
        <v>0.25594754939893993</v>
      </c>
      <c r="AX176">
        <f t="shared" si="58"/>
        <v>-2.099825152527892E-2</v>
      </c>
      <c r="AY176" s="47">
        <f t="shared" si="58"/>
        <v>-0.53646251682029245</v>
      </c>
      <c r="AZ176" s="47"/>
      <c r="BA176" s="61">
        <f t="shared" si="59"/>
        <v>-0.36965296348387661</v>
      </c>
      <c r="BC176" s="83"/>
      <c r="BE176" s="87"/>
      <c r="BG176" s="61"/>
      <c r="BI176" s="45" t="s">
        <v>22</v>
      </c>
      <c r="BJ176">
        <f t="shared" si="44"/>
        <v>0.91632232421738147</v>
      </c>
      <c r="BK176">
        <f t="shared" si="45"/>
        <v>0.36501974281653465</v>
      </c>
      <c r="BL176">
        <f t="shared" si="46"/>
        <v>0.96474646493804395</v>
      </c>
      <c r="BM176">
        <f t="shared" si="47"/>
        <v>9.2545207605606347E-2</v>
      </c>
      <c r="BN176">
        <f t="shared" si="48"/>
        <v>-0.2309921290562261</v>
      </c>
      <c r="BO176" s="133">
        <f t="shared" si="49"/>
        <v>-0.50810906968579139</v>
      </c>
      <c r="BP176">
        <f t="shared" si="50"/>
        <v>1.4546162237926987</v>
      </c>
      <c r="BQ176">
        <f t="shared" si="50"/>
        <v>0.79413935576777395</v>
      </c>
      <c r="BR176">
        <f t="shared" si="50"/>
        <v>2.7139208106392951</v>
      </c>
      <c r="BS176" s="43">
        <f t="shared" si="60"/>
        <v>0.47784447633875837</v>
      </c>
      <c r="BT176" s="43">
        <f t="shared" si="60"/>
        <v>0.25163822044821199</v>
      </c>
      <c r="BU176" s="133">
        <f t="shared" si="60"/>
        <v>0.71596575047965183</v>
      </c>
      <c r="BV176">
        <f t="shared" si="51"/>
        <v>0.60775517244647281</v>
      </c>
      <c r="BW176">
        <f t="shared" si="52"/>
        <v>0.31445712273467719</v>
      </c>
      <c r="BX176">
        <f t="shared" si="53"/>
        <v>0.11930120402489604</v>
      </c>
      <c r="BY176">
        <f t="shared" si="54"/>
        <v>-0.14703230897118164</v>
      </c>
      <c r="BZ176">
        <f t="shared" si="55"/>
        <v>-0.37386502136461131</v>
      </c>
      <c r="CA176">
        <f t="shared" si="56"/>
        <v>-1.1644097462680472</v>
      </c>
    </row>
    <row r="177" spans="1:79" x14ac:dyDescent="0.25">
      <c r="A177" s="61"/>
      <c r="B177" s="80" t="s">
        <v>16</v>
      </c>
      <c r="C177" s="203">
        <f t="shared" si="61"/>
        <v>0.86257856776707054</v>
      </c>
      <c r="D177" s="80">
        <f t="shared" si="61"/>
        <v>0.54746702242638545</v>
      </c>
      <c r="E177" s="80">
        <f t="shared" si="61"/>
        <v>0.8817446124443622</v>
      </c>
      <c r="F177" s="47"/>
      <c r="H177"/>
      <c r="I177" s="85">
        <f t="shared" si="62"/>
        <v>0.76324075731002494</v>
      </c>
      <c r="J177">
        <f t="shared" si="62"/>
        <v>0.30265555395071853</v>
      </c>
      <c r="K177">
        <f t="shared" si="62"/>
        <v>0.72743958443488044</v>
      </c>
      <c r="L177" s="47"/>
      <c r="M177" s="61">
        <f t="shared" si="63"/>
        <v>0.88483621762803799</v>
      </c>
      <c r="N177" s="80"/>
      <c r="O177" s="190">
        <f>LOG(O18)</f>
        <v>3.2450548131470851E-3</v>
      </c>
      <c r="P177" s="305">
        <f>LOG(P18)</f>
        <v>-0.48478869567219818</v>
      </c>
      <c r="Q177" s="87">
        <f>LOG(Q18)</f>
        <v>-0.79737820013280469</v>
      </c>
      <c r="R177"/>
      <c r="S177" s="61">
        <f>O177/I177</f>
        <v>4.2516791485087821E-3</v>
      </c>
      <c r="U177" s="80"/>
      <c r="V177" t="s">
        <v>16</v>
      </c>
      <c r="W177" s="83">
        <f t="shared" si="64"/>
        <v>1.3185850100788252</v>
      </c>
      <c r="X177">
        <f t="shared" si="64"/>
        <v>7.3718350346122688E-2</v>
      </c>
      <c r="Y177" s="195">
        <f t="shared" si="64"/>
        <v>0.31300494604139101</v>
      </c>
      <c r="Z177" s="47"/>
      <c r="AC177" s="187"/>
      <c r="AE177" s="47"/>
      <c r="AF177" s="47"/>
      <c r="AG177" s="61"/>
      <c r="AI177" s="83"/>
      <c r="AK177" s="87"/>
      <c r="AM177" s="61"/>
      <c r="AP177" t="s">
        <v>17</v>
      </c>
      <c r="AQ177" s="193">
        <f t="shared" si="57"/>
        <v>0.80090944462041314</v>
      </c>
      <c r="AR177">
        <f t="shared" si="57"/>
        <v>0.25353184352700486</v>
      </c>
      <c r="AS177" s="47">
        <f t="shared" si="57"/>
        <v>0.4463011160741388</v>
      </c>
      <c r="AT177" s="47"/>
      <c r="AW177" s="187">
        <f t="shared" si="58"/>
        <v>4.2496757433736092E-2</v>
      </c>
      <c r="AX177">
        <f t="shared" si="58"/>
        <v>-0.21982675635740581</v>
      </c>
      <c r="AY177" s="47">
        <f t="shared" si="58"/>
        <v>-0.85984436866824221</v>
      </c>
      <c r="AZ177" s="47"/>
      <c r="BA177" s="61">
        <f t="shared" si="59"/>
        <v>-0.75841268718667698</v>
      </c>
      <c r="BC177" s="85"/>
      <c r="BE177" s="47"/>
      <c r="BI177" t="s">
        <v>23</v>
      </c>
      <c r="BJ177">
        <f t="shared" si="44"/>
        <v>0.95748756425247195</v>
      </c>
      <c r="BK177">
        <f t="shared" si="45"/>
        <v>0.43735412784817473</v>
      </c>
      <c r="BL177">
        <f t="shared" si="46"/>
        <v>1.1711909324380816</v>
      </c>
      <c r="BM177">
        <f t="shared" si="47"/>
        <v>0.44208762955076042</v>
      </c>
      <c r="BN177">
        <f t="shared" si="48"/>
        <v>0.10974723771322865</v>
      </c>
      <c r="BO177" s="133">
        <f t="shared" si="49"/>
        <v>0.25013688667748102</v>
      </c>
      <c r="BP177">
        <f t="shared" si="50"/>
        <v>1.4968604873943676</v>
      </c>
      <c r="BQ177">
        <f t="shared" si="50"/>
        <v>0.79344113297766361</v>
      </c>
      <c r="BR177">
        <f t="shared" si="50"/>
        <v>2.8232834162451175</v>
      </c>
      <c r="BS177" s="43">
        <f t="shared" si="60"/>
        <v>9.1666957595684495E-2</v>
      </c>
      <c r="BT177" s="43">
        <f t="shared" si="60"/>
        <v>-1.9996628416253725E-2</v>
      </c>
      <c r="BU177" s="133">
        <f t="shared" si="60"/>
        <v>0.12951897593582354</v>
      </c>
      <c r="BV177">
        <f t="shared" si="51"/>
        <v>0.49175378277214765</v>
      </c>
      <c r="BW177">
        <f t="shared" si="52"/>
        <v>0.32279796834638758</v>
      </c>
      <c r="BX177">
        <f t="shared" si="53"/>
        <v>9.0907829978478391E-2</v>
      </c>
      <c r="BY177">
        <f t="shared" si="54"/>
        <v>0.32485838819886764</v>
      </c>
      <c r="BZ177">
        <f t="shared" si="55"/>
        <v>2.6451545738239983E-2</v>
      </c>
      <c r="CA177">
        <f t="shared" si="56"/>
        <v>-0.25992742924220252</v>
      </c>
    </row>
    <row r="178" spans="1:79" x14ac:dyDescent="0.25">
      <c r="A178" s="61"/>
      <c r="B178" s="80" t="s">
        <v>17</v>
      </c>
      <c r="C178" s="85">
        <f t="shared" si="61"/>
        <v>1.089816831231369</v>
      </c>
      <c r="D178" s="80">
        <f t="shared" si="61"/>
        <v>0.46945381376712669</v>
      </c>
      <c r="E178" s="80">
        <f t="shared" si="61"/>
        <v>1.4795997808352261</v>
      </c>
      <c r="F178" s="47"/>
      <c r="H178"/>
      <c r="I178" s="85">
        <f t="shared" si="62"/>
        <v>0.51949985285953859</v>
      </c>
      <c r="J178">
        <f t="shared" si="62"/>
        <v>1.5988105384130355E-2</v>
      </c>
      <c r="K178">
        <f t="shared" si="62"/>
        <v>0.31086105140841591</v>
      </c>
      <c r="L178" s="47"/>
      <c r="M178" s="61">
        <f t="shared" si="63"/>
        <v>0.47668547408334933</v>
      </c>
      <c r="N178" s="80"/>
      <c r="O178" s="245"/>
      <c r="Q178" s="47"/>
      <c r="R178"/>
      <c r="U178" s="80"/>
      <c r="V178" t="s">
        <v>17</v>
      </c>
      <c r="W178" s="189">
        <f t="shared" si="64"/>
        <v>1.6275194713376828</v>
      </c>
      <c r="X178" s="204">
        <f t="shared" si="64"/>
        <v>0.73679475492436064</v>
      </c>
      <c r="Y178" s="194">
        <f t="shared" si="64"/>
        <v>3.1058259844164309</v>
      </c>
      <c r="Z178" s="47"/>
      <c r="AC178" s="187"/>
      <c r="AE178" s="47"/>
      <c r="AF178" s="47"/>
      <c r="AG178" s="61"/>
      <c r="AI178" s="85"/>
      <c r="AK178" s="47"/>
      <c r="AP178" t="s">
        <v>18</v>
      </c>
      <c r="AQ178" s="191">
        <f t="shared" si="57"/>
        <v>0.69044417742566533</v>
      </c>
      <c r="AR178">
        <f t="shared" si="57"/>
        <v>0.40015792339044837</v>
      </c>
      <c r="AS178" s="196">
        <f t="shared" si="57"/>
        <v>0.47402121039952178</v>
      </c>
      <c r="AT178" s="47"/>
      <c r="AW178" s="186">
        <f t="shared" si="58"/>
        <v>0.44759210882153788</v>
      </c>
      <c r="AX178">
        <f t="shared" si="58"/>
        <v>8.7355430054051261E-2</v>
      </c>
      <c r="AY178" s="47">
        <f t="shared" si="58"/>
        <v>-5.2311550395371512E-2</v>
      </c>
      <c r="AZ178" s="47"/>
      <c r="BA178" s="61">
        <f t="shared" si="59"/>
        <v>-0.2428520686041275</v>
      </c>
      <c r="BC178" s="85"/>
      <c r="BE178" s="47"/>
      <c r="BI178" t="s">
        <v>24</v>
      </c>
      <c r="BJ178">
        <f t="shared" si="44"/>
        <v>0.94780119714398037</v>
      </c>
      <c r="BK178">
        <f t="shared" si="45"/>
        <v>0.36125552005814887</v>
      </c>
      <c r="BL178">
        <f t="shared" si="46"/>
        <v>1.0812572705939203</v>
      </c>
      <c r="BM178">
        <f t="shared" si="47"/>
        <v>0.10636090880675036</v>
      </c>
      <c r="BN178">
        <f t="shared" si="48"/>
        <v>-0.25375512827980173</v>
      </c>
      <c r="BO178" s="133">
        <f t="shared" si="49"/>
        <v>-0.49723295230954412</v>
      </c>
      <c r="BS178" s="43"/>
      <c r="BT178" s="43"/>
      <c r="BU178" s="133"/>
      <c r="BV178">
        <f t="shared" si="51"/>
        <v>0.67786234495478825</v>
      </c>
      <c r="BW178">
        <f t="shared" si="52"/>
        <v>0.35846786387692053</v>
      </c>
      <c r="BX178">
        <f t="shared" si="53"/>
        <v>0.30576624924305934</v>
      </c>
      <c r="BY178">
        <f t="shared" si="54"/>
        <v>1.2143252861789634E-3</v>
      </c>
      <c r="BZ178">
        <f t="shared" si="55"/>
        <v>-0.21268124337545247</v>
      </c>
      <c r="CA178">
        <f t="shared" si="56"/>
        <v>-0.92811777186622813</v>
      </c>
    </row>
    <row r="179" spans="1:79" x14ac:dyDescent="0.25">
      <c r="A179" s="61"/>
      <c r="B179" s="80" t="s">
        <v>18</v>
      </c>
      <c r="C179" s="85">
        <f t="shared" si="61"/>
        <v>0.99945679232204787</v>
      </c>
      <c r="D179" s="80">
        <f t="shared" si="61"/>
        <v>0.42119246830574913</v>
      </c>
      <c r="E179" s="80">
        <f t="shared" si="61"/>
        <v>1.2720482536692328</v>
      </c>
      <c r="F179" s="47"/>
      <c r="I179" s="203">
        <f t="shared" si="62"/>
        <v>0.21418130866382065</v>
      </c>
      <c r="J179">
        <f t="shared" si="62"/>
        <v>-0.31202537996544444</v>
      </c>
      <c r="K179">
        <f t="shared" si="62"/>
        <v>-0.32934788191538888</v>
      </c>
      <c r="L179" s="47"/>
      <c r="M179" s="61">
        <f t="shared" si="63"/>
        <v>0.21429771682896975</v>
      </c>
      <c r="N179" s="80"/>
      <c r="O179" s="245"/>
      <c r="Q179" s="47"/>
      <c r="R179"/>
      <c r="U179" s="80"/>
      <c r="V179" t="s">
        <v>18</v>
      </c>
      <c r="W179" s="189">
        <f t="shared" si="64"/>
        <v>1.7958452723957066</v>
      </c>
      <c r="X179" s="204">
        <f t="shared" si="64"/>
        <v>1.1046577910087962</v>
      </c>
      <c r="Y179" s="194">
        <f t="shared" si="64"/>
        <v>3.699681067620578</v>
      </c>
      <c r="Z179" s="47"/>
      <c r="AC179" s="186"/>
      <c r="AE179" s="47"/>
      <c r="AF179" s="47"/>
      <c r="AG179" s="61"/>
      <c r="AI179" s="85"/>
      <c r="AK179" s="47"/>
      <c r="AP179" t="s">
        <v>20</v>
      </c>
      <c r="AQ179" s="191">
        <f t="shared" si="57"/>
        <v>0.76884521106339532</v>
      </c>
      <c r="AR179">
        <f t="shared" si="57"/>
        <v>0.26311507618134117</v>
      </c>
      <c r="AS179" s="196">
        <f t="shared" si="57"/>
        <v>0.48274288702096557</v>
      </c>
      <c r="AT179" s="47"/>
      <c r="AW179" s="186">
        <f t="shared" si="58"/>
        <v>-4.9245818406496451E-2</v>
      </c>
      <c r="AX179">
        <f t="shared" si="58"/>
        <v>-0.29860473098607981</v>
      </c>
      <c r="AY179" s="47">
        <f t="shared" si="58"/>
        <v>-1.1488691078867892</v>
      </c>
      <c r="AZ179" s="47"/>
      <c r="BA179" s="61">
        <f t="shared" si="59"/>
        <v>-0.81809102946989176</v>
      </c>
      <c r="BC179" s="85"/>
      <c r="BE179" s="47"/>
      <c r="BI179" t="s">
        <v>25</v>
      </c>
      <c r="BJ179">
        <f t="shared" si="44"/>
        <v>1.0131533434733961</v>
      </c>
      <c r="BK179">
        <f t="shared" si="45"/>
        <v>0.51288442438462223</v>
      </c>
      <c r="BL179">
        <f t="shared" si="46"/>
        <v>1.4152572169542355</v>
      </c>
      <c r="BM179">
        <f t="shared" si="47"/>
        <v>0.46052199290020074</v>
      </c>
      <c r="BN179">
        <f t="shared" si="48"/>
        <v>9.2545207605606347E-2</v>
      </c>
      <c r="BO179" s="133">
        <f t="shared" si="49"/>
        <v>0.31086105140841591</v>
      </c>
      <c r="BP179">
        <f t="shared" ref="BP179:BR184" si="65">W185</f>
        <v>1.6253639046057011</v>
      </c>
      <c r="BQ179">
        <f t="shared" si="65"/>
        <v>1.0184924534014728</v>
      </c>
      <c r="BR179">
        <f t="shared" si="65"/>
        <v>3.2981685726801429</v>
      </c>
      <c r="BS179" s="43">
        <f t="shared" ref="BS179:BU182" si="66">AC185</f>
        <v>1.0646451447919365</v>
      </c>
      <c r="BT179" s="43">
        <f t="shared" si="66"/>
        <v>0.62582671328571116</v>
      </c>
      <c r="BU179" s="133">
        <f t="shared" si="66"/>
        <v>2.1182081318134922</v>
      </c>
      <c r="BV179">
        <f t="shared" si="51"/>
        <v>0.59470186120636004</v>
      </c>
      <c r="BW179">
        <f t="shared" si="52"/>
        <v>0.13123359458968534</v>
      </c>
      <c r="BX179">
        <f t="shared" si="53"/>
        <v>0.2710516607471356</v>
      </c>
      <c r="BY179">
        <f t="shared" si="54"/>
        <v>-0.33460664972028809</v>
      </c>
      <c r="BZ179">
        <f t="shared" si="55"/>
        <v>-0.54852059487513816</v>
      </c>
      <c r="CA179">
        <f t="shared" si="56"/>
        <v>-1.6188085660170859</v>
      </c>
    </row>
    <row r="180" spans="1:79" x14ac:dyDescent="0.25">
      <c r="A180" s="61"/>
      <c r="B180" s="80" t="s">
        <v>20</v>
      </c>
      <c r="C180" s="85">
        <f t="shared" si="61"/>
        <v>1.0487330483239683</v>
      </c>
      <c r="D180" s="80">
        <f t="shared" si="61"/>
        <v>0.44986392471814413</v>
      </c>
      <c r="E180" s="80">
        <f t="shared" si="61"/>
        <v>1.3576147225850406</v>
      </c>
      <c r="F180" s="47"/>
      <c r="I180" s="203">
        <f t="shared" si="62"/>
        <v>0.38336648275503926</v>
      </c>
      <c r="J180">
        <f t="shared" si="62"/>
        <v>-3.2686081712916516E-2</v>
      </c>
      <c r="K180">
        <f t="shared" si="62"/>
        <v>-1.4420853558087521E-2</v>
      </c>
      <c r="L180" s="47"/>
      <c r="M180" s="61">
        <f t="shared" si="63"/>
        <v>0.36555201856918312</v>
      </c>
      <c r="N180" s="80"/>
      <c r="O180" s="245"/>
      <c r="Q180" s="47"/>
      <c r="R180"/>
      <c r="U180" s="80"/>
      <c r="V180" t="s">
        <v>20</v>
      </c>
      <c r="W180" s="188">
        <f t="shared" si="64"/>
        <v>1.546604348654274</v>
      </c>
      <c r="X180" s="204">
        <f t="shared" si="64"/>
        <v>0.77995705124690606</v>
      </c>
      <c r="Y180" s="196">
        <f t="shared" si="64"/>
        <v>2.9240617089218395</v>
      </c>
      <c r="Z180" s="47"/>
      <c r="AC180" s="186"/>
      <c r="AE180" s="47"/>
      <c r="AF180" s="47"/>
      <c r="AG180" s="61"/>
      <c r="AI180" s="85"/>
      <c r="AK180" s="47"/>
      <c r="AP180" t="s">
        <v>21</v>
      </c>
      <c r="AQ180" s="190">
        <f t="shared" si="57"/>
        <v>0.60668225702874512</v>
      </c>
      <c r="AR180">
        <f t="shared" si="57"/>
        <v>0.34099902253144199</v>
      </c>
      <c r="AS180" s="196">
        <f t="shared" si="57"/>
        <v>0.15078870842955969</v>
      </c>
      <c r="AT180" s="47"/>
      <c r="AV180" s="227">
        <f>LOG(AV21)</f>
        <v>-1.8973376581028523</v>
      </c>
      <c r="AW180" s="187">
        <f t="shared" si="58"/>
        <v>0.26547820358064211</v>
      </c>
      <c r="AX180">
        <f t="shared" si="58"/>
        <v>-3.021146258506115E-2</v>
      </c>
      <c r="AY180" s="47">
        <f t="shared" si="58"/>
        <v>-0.43880784158797015</v>
      </c>
      <c r="AZ180" s="47"/>
      <c r="BA180" s="61">
        <f t="shared" si="59"/>
        <v>-0.34120405344810306</v>
      </c>
      <c r="BC180" s="85"/>
      <c r="BE180" s="47"/>
      <c r="BG180" s="61"/>
      <c r="BI180" t="s">
        <v>26</v>
      </c>
      <c r="BJ180">
        <f t="shared" si="44"/>
        <v>0.839320893588549</v>
      </c>
      <c r="BK180">
        <f t="shared" si="45"/>
        <v>0.36125552005814887</v>
      </c>
      <c r="BL180">
        <f t="shared" si="46"/>
        <v>1.0663706572538498</v>
      </c>
      <c r="BM180">
        <f t="shared" si="47"/>
        <v>-0.1092996023011249</v>
      </c>
      <c r="BN180">
        <f t="shared" si="48"/>
        <v>-0.6064247967304125</v>
      </c>
      <c r="BO180" s="133">
        <f t="shared" si="49"/>
        <v>-1.0753269253852076</v>
      </c>
      <c r="BP180">
        <f t="shared" si="65"/>
        <v>1.6256724985186637</v>
      </c>
      <c r="BQ180">
        <f t="shared" si="65"/>
        <v>0.83600745912553154</v>
      </c>
      <c r="BR180">
        <f t="shared" si="65"/>
        <v>3.164208047898518</v>
      </c>
      <c r="BS180" s="43">
        <f t="shared" si="66"/>
        <v>0.33745926129065618</v>
      </c>
      <c r="BT180" s="43">
        <f t="shared" si="66"/>
        <v>0.15685190107001115</v>
      </c>
      <c r="BU180" s="133">
        <f t="shared" si="66"/>
        <v>0.80690611091233366</v>
      </c>
      <c r="BV180">
        <f t="shared" si="51"/>
        <v>0.67511815231679839</v>
      </c>
      <c r="BW180">
        <f t="shared" si="52"/>
        <v>0.36225622078309638</v>
      </c>
      <c r="BX180">
        <f t="shared" si="53"/>
        <v>0.44316794873284959</v>
      </c>
      <c r="BY180">
        <f t="shared" si="54"/>
        <v>0.14388875810927479</v>
      </c>
      <c r="BZ180">
        <f t="shared" si="55"/>
        <v>-0.12332038958079949</v>
      </c>
      <c r="CA180">
        <f t="shared" si="56"/>
        <v>-0.49152280353725231</v>
      </c>
    </row>
    <row r="181" spans="1:79" x14ac:dyDescent="0.25">
      <c r="A181" s="61"/>
      <c r="B181" s="80" t="s">
        <v>21</v>
      </c>
      <c r="C181" s="203">
        <f t="shared" si="61"/>
        <v>0.98396439105901345</v>
      </c>
      <c r="D181" s="80">
        <f t="shared" si="61"/>
        <v>0.52081093153647307</v>
      </c>
      <c r="E181" s="80">
        <f t="shared" si="61"/>
        <v>1.2174181370341601</v>
      </c>
      <c r="F181" s="47"/>
      <c r="H181">
        <f>LOG(H22)</f>
        <v>1.3817819286794799</v>
      </c>
      <c r="I181" s="85">
        <f t="shared" si="62"/>
        <v>0.49519731836545755</v>
      </c>
      <c r="J181">
        <f t="shared" si="62"/>
        <v>0.13273983826088454</v>
      </c>
      <c r="K181">
        <f t="shared" si="62"/>
        <v>0.3306511498404196</v>
      </c>
      <c r="L181" s="47"/>
      <c r="M181" s="61">
        <f t="shared" si="63"/>
        <v>0.50326751950087389</v>
      </c>
      <c r="N181" s="100">
        <f>LOG(N22)</f>
        <v>1.4673614173811544</v>
      </c>
      <c r="O181" s="245">
        <f>LOG(O22)</f>
        <v>-0.51215487988856445</v>
      </c>
      <c r="P181" s="87">
        <f>LOG(P22)</f>
        <v>-1.2403321553103694</v>
      </c>
      <c r="Q181" s="87">
        <f>LOG(Q22)</f>
        <v>-1.7757337595428933</v>
      </c>
      <c r="R181"/>
      <c r="S181" s="61">
        <f>O181/I181</f>
        <v>-1.034244049582256</v>
      </c>
      <c r="U181" s="80"/>
      <c r="V181" t="s">
        <v>21</v>
      </c>
      <c r="W181" s="186">
        <f t="shared" si="64"/>
        <v>1.5008537114612583</v>
      </c>
      <c r="X181">
        <f t="shared" si="64"/>
        <v>0.94571471405986018</v>
      </c>
      <c r="Y181" s="87">
        <f t="shared" si="64"/>
        <v>2.8742797351063296</v>
      </c>
      <c r="Z181" s="47"/>
      <c r="AC181" s="187">
        <f t="shared" ref="AC181:AE183" si="67">LOG(AC22)</f>
        <v>0.87302981206104424</v>
      </c>
      <c r="AD181" s="100">
        <f t="shared" si="67"/>
        <v>0.31281182621208803</v>
      </c>
      <c r="AE181" s="47">
        <f t="shared" si="67"/>
        <v>1.7362947937407609</v>
      </c>
      <c r="AF181" s="47"/>
      <c r="AG181" s="61">
        <f>LOG(AG22)</f>
        <v>-0.62782389940021421</v>
      </c>
      <c r="AI181" s="85"/>
      <c r="AK181" s="47"/>
      <c r="AM181" s="61"/>
      <c r="AP181" s="45" t="s">
        <v>22</v>
      </c>
      <c r="AQ181" s="193">
        <f t="shared" si="57"/>
        <v>0.60775517244647281</v>
      </c>
      <c r="AR181">
        <f t="shared" si="57"/>
        <v>0.31445712273467719</v>
      </c>
      <c r="AS181" s="47">
        <f t="shared" si="57"/>
        <v>0.11930120402489604</v>
      </c>
      <c r="AT181" s="47"/>
      <c r="AV181" s="227">
        <f>LOG(AV22)</f>
        <v>-1.8143634230380883</v>
      </c>
      <c r="AW181" s="187">
        <f t="shared" si="58"/>
        <v>-0.14703230897118164</v>
      </c>
      <c r="AX181">
        <f t="shared" si="58"/>
        <v>-0.37386502136461131</v>
      </c>
      <c r="AY181" s="47">
        <f t="shared" si="58"/>
        <v>-1.1644097462680472</v>
      </c>
      <c r="AZ181" s="47"/>
      <c r="BA181" s="61">
        <f t="shared" si="59"/>
        <v>-0.75478748141765439</v>
      </c>
      <c r="BC181" s="85"/>
      <c r="BE181" s="47"/>
      <c r="BI181" t="s">
        <v>27</v>
      </c>
      <c r="BJ181">
        <f t="shared" si="44"/>
        <v>0.93939443741962658</v>
      </c>
      <c r="BK181">
        <f t="shared" si="45"/>
        <v>0.47964727876938684</v>
      </c>
      <c r="BL181">
        <f t="shared" si="46"/>
        <v>1.3164107107258094</v>
      </c>
      <c r="BM181">
        <f t="shared" si="47"/>
        <v>0.22206584258858658</v>
      </c>
      <c r="BN181">
        <f t="shared" si="48"/>
        <v>-8.7512238667676309E-2</v>
      </c>
      <c r="BO181" s="133">
        <f t="shared" si="49"/>
        <v>-4.9605933973008685E-2</v>
      </c>
      <c r="BP181">
        <f t="shared" si="65"/>
        <v>1.5009907561079947</v>
      </c>
      <c r="BQ181">
        <f t="shared" si="65"/>
        <v>0.89014146006457739</v>
      </c>
      <c r="BR181">
        <f t="shared" si="65"/>
        <v>3.0030931926175981</v>
      </c>
      <c r="BS181" s="43">
        <f t="shared" si="66"/>
        <v>0.72631961211077534</v>
      </c>
      <c r="BT181" s="43">
        <f t="shared" si="66"/>
        <v>0.46314613672634958</v>
      </c>
      <c r="BU181" s="133">
        <f t="shared" si="66"/>
        <v>1.663240828906509</v>
      </c>
      <c r="BV181">
        <f t="shared" si="51"/>
        <v>0.65923143287522845</v>
      </c>
      <c r="BW181">
        <f t="shared" si="52"/>
        <v>0.19390340255274691</v>
      </c>
      <c r="BX181">
        <f t="shared" si="53"/>
        <v>0.37263549757009429</v>
      </c>
      <c r="BY181">
        <f t="shared" si="54"/>
        <v>-0.44033272161194231</v>
      </c>
      <c r="BZ181">
        <f t="shared" si="55"/>
        <v>-0.69293204933870167</v>
      </c>
      <c r="CA181">
        <f t="shared" si="56"/>
        <v>-1.8165080423076967</v>
      </c>
    </row>
    <row r="182" spans="1:79" x14ac:dyDescent="0.25">
      <c r="A182" s="61"/>
      <c r="B182" s="301" t="s">
        <v>22</v>
      </c>
      <c r="C182" s="85">
        <f t="shared" si="61"/>
        <v>0.91632232421738147</v>
      </c>
      <c r="D182" s="80">
        <f t="shared" si="61"/>
        <v>0.36501974281653465</v>
      </c>
      <c r="E182" s="80">
        <f t="shared" si="61"/>
        <v>0.96474646493804395</v>
      </c>
      <c r="F182" s="47"/>
      <c r="H182">
        <f>LOG(H23)</f>
        <v>1.5932860670204574</v>
      </c>
      <c r="I182" s="85">
        <f t="shared" si="62"/>
        <v>9.2545207605606347E-2</v>
      </c>
      <c r="J182">
        <f t="shared" si="62"/>
        <v>-0.2309921290562261</v>
      </c>
      <c r="K182">
        <f t="shared" si="62"/>
        <v>-0.50810906968579139</v>
      </c>
      <c r="L182" s="47"/>
      <c r="M182" s="61">
        <f t="shared" si="63"/>
        <v>0.10099634720200444</v>
      </c>
      <c r="N182" s="80"/>
      <c r="O182" s="245"/>
      <c r="Q182" s="47"/>
      <c r="R182"/>
      <c r="U182" s="80"/>
      <c r="V182" s="45" t="s">
        <v>22</v>
      </c>
      <c r="W182" s="187">
        <f t="shared" si="64"/>
        <v>1.4546162237926987</v>
      </c>
      <c r="X182">
        <f t="shared" si="64"/>
        <v>0.79413935576777395</v>
      </c>
      <c r="Y182" s="47">
        <f t="shared" si="64"/>
        <v>2.7139208106392951</v>
      </c>
      <c r="Z182" s="47"/>
      <c r="AC182" s="188">
        <f t="shared" si="67"/>
        <v>0.47784447633875837</v>
      </c>
      <c r="AD182">
        <f t="shared" si="67"/>
        <v>0.25163822044821199</v>
      </c>
      <c r="AE182" s="196">
        <f t="shared" si="67"/>
        <v>0.71596575047965183</v>
      </c>
      <c r="AF182" s="47"/>
      <c r="AG182" s="61">
        <f>LOG(AG23)</f>
        <v>-0.97677174745394046</v>
      </c>
      <c r="AI182" s="85"/>
      <c r="AK182" s="47"/>
      <c r="AP182" t="s">
        <v>23</v>
      </c>
      <c r="AQ182" s="190">
        <f t="shared" si="57"/>
        <v>0.49175378277214765</v>
      </c>
      <c r="AR182">
        <f t="shared" si="57"/>
        <v>0.32279796834638758</v>
      </c>
      <c r="AS182" s="196">
        <f t="shared" si="57"/>
        <v>9.0907829978478391E-2</v>
      </c>
      <c r="AT182" s="47"/>
      <c r="AW182" s="187">
        <f t="shared" si="58"/>
        <v>0.32485838819886764</v>
      </c>
      <c r="AX182">
        <f t="shared" si="58"/>
        <v>2.6451545738239983E-2</v>
      </c>
      <c r="AY182" s="47">
        <f t="shared" si="58"/>
        <v>-0.25992742924220252</v>
      </c>
      <c r="AZ182" s="47"/>
      <c r="BA182" s="61">
        <f t="shared" si="59"/>
        <v>-0.16689539457328004</v>
      </c>
      <c r="BC182" s="85">
        <f>LOG(BC23)</f>
        <v>-0.78834559944681759</v>
      </c>
      <c r="BD182" s="204">
        <f>LOG(BD23)</f>
        <v>-0.78834559944681759</v>
      </c>
      <c r="BE182" s="47">
        <f>LOG(BE23)</f>
        <v>-2.5656074840805778</v>
      </c>
      <c r="BG182" s="61">
        <f>LOG(BG23)</f>
        <v>-1.1132039876456852</v>
      </c>
      <c r="BI182" t="s">
        <v>29</v>
      </c>
      <c r="BJ182">
        <f t="shared" si="44"/>
        <v>0.87142697873660602</v>
      </c>
      <c r="BK182">
        <f t="shared" si="45"/>
        <v>0.44986392471814413</v>
      </c>
      <c r="BL182">
        <f t="shared" si="46"/>
        <v>1.1363717234923232</v>
      </c>
      <c r="BM182">
        <f t="shared" si="47"/>
        <v>0.31544551822458428</v>
      </c>
      <c r="BN182">
        <f t="shared" si="48"/>
        <v>4.4343734895107144E-2</v>
      </c>
      <c r="BO182" s="133">
        <f t="shared" si="49"/>
        <v>0.18325560428602955</v>
      </c>
      <c r="BP182">
        <f t="shared" si="65"/>
        <v>1.4215216663369772</v>
      </c>
      <c r="BQ182">
        <f t="shared" si="65"/>
        <v>0.80719666071094731</v>
      </c>
      <c r="BR182">
        <f t="shared" si="65"/>
        <v>2.7886314823941545</v>
      </c>
      <c r="BS182" s="43">
        <f t="shared" si="66"/>
        <v>0.34340859380385735</v>
      </c>
      <c r="BT182" s="43">
        <f t="shared" si="66"/>
        <v>0.22659990520735745</v>
      </c>
      <c r="BU182" s="133">
        <f t="shared" si="66"/>
        <v>0.82977618904184869</v>
      </c>
      <c r="BV182">
        <f t="shared" si="51"/>
        <v>0.58914502095208432</v>
      </c>
      <c r="BW182">
        <f t="shared" si="52"/>
        <v>0.3123466390308533</v>
      </c>
      <c r="BX182">
        <f t="shared" si="53"/>
        <v>0.22477703286331482</v>
      </c>
      <c r="BY182">
        <f t="shared" si="54"/>
        <v>-0.14098185611110575</v>
      </c>
      <c r="BZ182">
        <f t="shared" si="55"/>
        <v>-0.344093581819785</v>
      </c>
      <c r="CA182">
        <f t="shared" si="56"/>
        <v>-0.9517035268400782</v>
      </c>
    </row>
    <row r="183" spans="1:79" x14ac:dyDescent="0.25">
      <c r="A183" s="61"/>
      <c r="B183" s="80" t="s">
        <v>23</v>
      </c>
      <c r="C183" s="203">
        <f t="shared" si="61"/>
        <v>0.95748756425247195</v>
      </c>
      <c r="D183" s="80">
        <f t="shared" si="61"/>
        <v>0.43735412784817473</v>
      </c>
      <c r="E183" s="80">
        <f t="shared" si="61"/>
        <v>1.1711909324380816</v>
      </c>
      <c r="F183" s="47"/>
      <c r="I183" s="85">
        <f t="shared" si="62"/>
        <v>0.44208762955076042</v>
      </c>
      <c r="J183">
        <f t="shared" si="62"/>
        <v>0.10974723771322865</v>
      </c>
      <c r="K183">
        <f t="shared" si="62"/>
        <v>0.25013688667748102</v>
      </c>
      <c r="L183" s="47"/>
      <c r="M183" s="61">
        <f t="shared" si="63"/>
        <v>0.46171631471360813</v>
      </c>
      <c r="N183" s="80"/>
      <c r="O183" s="85"/>
      <c r="Q183" s="47"/>
      <c r="R183"/>
      <c r="U183" s="80"/>
      <c r="V183" t="s">
        <v>23</v>
      </c>
      <c r="W183" s="186">
        <f t="shared" si="64"/>
        <v>1.4968604873943676</v>
      </c>
      <c r="X183">
        <f t="shared" si="64"/>
        <v>0.79344113297766361</v>
      </c>
      <c r="Y183" s="87">
        <f t="shared" si="64"/>
        <v>2.8232834162451175</v>
      </c>
      <c r="Z183" s="47"/>
      <c r="AC183" s="187">
        <f t="shared" si="67"/>
        <v>9.1666957595684495E-2</v>
      </c>
      <c r="AD183">
        <f t="shared" si="67"/>
        <v>-1.9996628416253725E-2</v>
      </c>
      <c r="AE183" s="47">
        <f t="shared" si="67"/>
        <v>0.12951897593582354</v>
      </c>
      <c r="AF183" s="47"/>
      <c r="AG183" s="61">
        <f>LOG(AG24)</f>
        <v>-1.4051935297986833</v>
      </c>
      <c r="AI183" s="85"/>
      <c r="AK183" s="47"/>
      <c r="AP183" t="s">
        <v>24</v>
      </c>
      <c r="AQ183" s="193">
        <f t="shared" si="57"/>
        <v>0.67786234495478825</v>
      </c>
      <c r="AR183">
        <f t="shared" si="57"/>
        <v>0.35846786387692053</v>
      </c>
      <c r="AS183" s="47">
        <f t="shared" si="57"/>
        <v>0.30576624924305934</v>
      </c>
      <c r="AT183" s="47"/>
      <c r="AW183" s="186">
        <f t="shared" si="58"/>
        <v>1.2143252861789634E-3</v>
      </c>
      <c r="AX183">
        <f t="shared" si="58"/>
        <v>-0.21268124337545247</v>
      </c>
      <c r="AY183" s="47">
        <f t="shared" si="58"/>
        <v>-0.92811777186622813</v>
      </c>
      <c r="AZ183" s="47"/>
      <c r="BA183" s="61">
        <f t="shared" si="59"/>
        <v>-0.67664801966860932</v>
      </c>
      <c r="BC183" s="85"/>
      <c r="BE183" s="47"/>
      <c r="BI183" t="s">
        <v>30</v>
      </c>
      <c r="BJ183">
        <f t="shared" si="44"/>
        <v>0.79010915816177363</v>
      </c>
      <c r="BK183">
        <f t="shared" si="45"/>
        <v>0.34192888374580949</v>
      </c>
      <c r="BL183">
        <f t="shared" si="46"/>
        <v>0.90092452510427479</v>
      </c>
      <c r="BM183">
        <f t="shared" si="47"/>
        <v>-0.1092996023011249</v>
      </c>
      <c r="BN183">
        <f t="shared" si="48"/>
        <v>-0.37934352018037915</v>
      </c>
      <c r="BO183" s="133">
        <f t="shared" si="49"/>
        <v>-0.83147010765027396</v>
      </c>
      <c r="BP183">
        <f t="shared" si="65"/>
        <v>1.325618272810029</v>
      </c>
      <c r="BQ183">
        <f t="shared" si="65"/>
        <v>0.7906369619317033</v>
      </c>
      <c r="BR183">
        <f t="shared" si="65"/>
        <v>2.6316890445847587</v>
      </c>
      <c r="BS183" s="43"/>
      <c r="BT183" s="43"/>
      <c r="BU183" s="133"/>
      <c r="BV183">
        <f t="shared" si="51"/>
        <v>0.50823335497201105</v>
      </c>
      <c r="BW183">
        <f t="shared" si="52"/>
        <v>0.13123359458968534</v>
      </c>
      <c r="BX183">
        <f t="shared" si="53"/>
        <v>3.3877440613381132E-2</v>
      </c>
    </row>
    <row r="184" spans="1:79" x14ac:dyDescent="0.25">
      <c r="A184" s="61"/>
      <c r="B184" s="80" t="s">
        <v>24</v>
      </c>
      <c r="C184" s="85">
        <f t="shared" si="61"/>
        <v>0.94780119714398037</v>
      </c>
      <c r="D184" s="80">
        <f t="shared" si="61"/>
        <v>0.36125552005814887</v>
      </c>
      <c r="E184" s="80">
        <f t="shared" si="61"/>
        <v>1.0812572705939203</v>
      </c>
      <c r="F184" s="47"/>
      <c r="I184" s="203">
        <f t="shared" si="62"/>
        <v>0.10636090880675036</v>
      </c>
      <c r="J184">
        <f t="shared" si="62"/>
        <v>-0.25375512827980173</v>
      </c>
      <c r="K184">
        <f t="shared" si="62"/>
        <v>-0.49723295230954412</v>
      </c>
      <c r="L184" s="47"/>
      <c r="M184" s="61">
        <f t="shared" si="63"/>
        <v>0.11221858458002464</v>
      </c>
      <c r="N184" s="80"/>
      <c r="O184" s="85"/>
      <c r="Q184" s="47"/>
      <c r="R184"/>
      <c r="U184" s="80"/>
      <c r="V184" t="s">
        <v>24</v>
      </c>
      <c r="W184" s="187"/>
      <c r="Y184" s="47"/>
      <c r="Z184" s="47"/>
      <c r="AC184" s="186"/>
      <c r="AE184" s="47"/>
      <c r="AF184" s="47"/>
      <c r="AG184" s="61"/>
      <c r="AI184" s="85"/>
      <c r="AK184" s="47"/>
      <c r="AP184" t="s">
        <v>25</v>
      </c>
      <c r="AQ184" s="192">
        <f t="shared" si="57"/>
        <v>0.59470186120636004</v>
      </c>
      <c r="AR184">
        <f t="shared" si="57"/>
        <v>0.13123359458968534</v>
      </c>
      <c r="AS184" s="47">
        <f t="shared" si="57"/>
        <v>0.2710516607471356</v>
      </c>
      <c r="AT184" s="47"/>
      <c r="AW184" s="187">
        <f t="shared" si="58"/>
        <v>-0.33460664972028809</v>
      </c>
      <c r="AX184">
        <f t="shared" si="58"/>
        <v>-0.54852059487513816</v>
      </c>
      <c r="AY184" s="47">
        <f t="shared" si="58"/>
        <v>-1.6188085660170859</v>
      </c>
      <c r="AZ184" s="47"/>
      <c r="BA184" s="61">
        <f t="shared" si="59"/>
        <v>-0.92930851092664812</v>
      </c>
      <c r="BC184" s="85"/>
      <c r="BE184" s="47"/>
      <c r="BI184" t="s">
        <v>31</v>
      </c>
      <c r="BJ184">
        <f t="shared" si="44"/>
        <v>0.76173995415114704</v>
      </c>
      <c r="BK184">
        <f t="shared" si="45"/>
        <v>0.48678457139904185</v>
      </c>
      <c r="BL184">
        <f t="shared" si="46"/>
        <v>0.71277761449610377</v>
      </c>
      <c r="BM184">
        <f t="shared" si="47"/>
        <v>0.20615098159625966</v>
      </c>
      <c r="BN184">
        <f t="shared" si="48"/>
        <v>-0.37934352018037915</v>
      </c>
      <c r="BO184" s="133">
        <f t="shared" si="49"/>
        <v>-0.20205487909180156</v>
      </c>
      <c r="BP184">
        <f t="shared" si="65"/>
        <v>1.229041573173397</v>
      </c>
      <c r="BQ184">
        <f t="shared" si="65"/>
        <v>0.6584883813090171</v>
      </c>
      <c r="BR184">
        <f t="shared" si="65"/>
        <v>2.3214465802181801</v>
      </c>
      <c r="BS184" s="43"/>
      <c r="BT184" s="43"/>
      <c r="BU184" s="133"/>
      <c r="BV184">
        <f t="shared" si="51"/>
        <v>0.45830539211801669</v>
      </c>
      <c r="BW184">
        <f t="shared" si="52"/>
        <v>0.24373236455264893</v>
      </c>
      <c r="BX184">
        <f t="shared" si="53"/>
        <v>-0.11755623808472601</v>
      </c>
      <c r="BY184">
        <f>AW189</f>
        <v>-0.4778166823813137</v>
      </c>
      <c r="BZ184">
        <f>AX189</f>
        <v>-0.4778166823813137</v>
      </c>
      <c r="CA184">
        <f>AY189</f>
        <v>-1.9221548257457488</v>
      </c>
    </row>
    <row r="185" spans="1:79" x14ac:dyDescent="0.25">
      <c r="A185" s="61"/>
      <c r="B185" s="80" t="s">
        <v>25</v>
      </c>
      <c r="C185" s="203">
        <f t="shared" si="61"/>
        <v>1.0131533434733961</v>
      </c>
      <c r="D185" s="80">
        <f t="shared" si="61"/>
        <v>0.51288442438462223</v>
      </c>
      <c r="E185" s="80">
        <f t="shared" si="61"/>
        <v>1.4152572169542355</v>
      </c>
      <c r="F185" s="47"/>
      <c r="I185" s="85">
        <f t="shared" si="62"/>
        <v>0.46052199290020074</v>
      </c>
      <c r="J185">
        <f t="shared" si="62"/>
        <v>9.2545207605606347E-2</v>
      </c>
      <c r="K185">
        <f t="shared" si="62"/>
        <v>0.31086105140841591</v>
      </c>
      <c r="L185" s="47"/>
      <c r="M185" s="61">
        <f t="shared" si="63"/>
        <v>0.45454322967675559</v>
      </c>
      <c r="N185" s="80"/>
      <c r="O185" s="85"/>
      <c r="Q185" s="47"/>
      <c r="R185"/>
      <c r="U185" s="80"/>
      <c r="V185" t="s">
        <v>25</v>
      </c>
      <c r="W185" s="186">
        <f t="shared" ref="W185:Y190" si="68">LOG(W26)</f>
        <v>1.6253639046057011</v>
      </c>
      <c r="X185">
        <f t="shared" si="68"/>
        <v>1.0184924534014728</v>
      </c>
      <c r="Y185" s="87">
        <f t="shared" si="68"/>
        <v>3.2981685726801429</v>
      </c>
      <c r="Z185" s="47"/>
      <c r="AC185" s="187">
        <f t="shared" ref="AC185:AE188" si="69">LOG(AC26)</f>
        <v>1.0646451447919365</v>
      </c>
      <c r="AD185">
        <f t="shared" si="69"/>
        <v>0.62582671328571116</v>
      </c>
      <c r="AE185" s="47">
        <f t="shared" si="69"/>
        <v>2.1182081318134922</v>
      </c>
      <c r="AF185" s="47"/>
      <c r="AG185" s="61">
        <f>LOG(AG26)</f>
        <v>-0.56071875981376462</v>
      </c>
      <c r="AI185" s="85"/>
      <c r="AK185" s="47"/>
      <c r="AP185" t="s">
        <v>26</v>
      </c>
      <c r="AQ185" s="191">
        <f t="shared" si="57"/>
        <v>0.67511815231679839</v>
      </c>
      <c r="AR185">
        <f t="shared" si="57"/>
        <v>0.36225622078309638</v>
      </c>
      <c r="AS185" s="196">
        <f t="shared" si="57"/>
        <v>0.44316794873284959</v>
      </c>
      <c r="AT185" s="47"/>
      <c r="AW185" s="186">
        <f t="shared" si="58"/>
        <v>0.14388875810927479</v>
      </c>
      <c r="AX185">
        <f t="shared" si="58"/>
        <v>-0.12332038958079949</v>
      </c>
      <c r="AY185" s="47">
        <f t="shared" si="58"/>
        <v>-0.49152280353725231</v>
      </c>
      <c r="AZ185" s="47"/>
      <c r="BA185" s="61">
        <f t="shared" si="59"/>
        <v>-0.53122939420752369</v>
      </c>
      <c r="BC185" s="85"/>
      <c r="BE185" s="47"/>
      <c r="BI185" t="s">
        <v>32</v>
      </c>
      <c r="BO185" s="133"/>
      <c r="BV185">
        <f t="shared" si="51"/>
        <v>6.1753967805932904E-2</v>
      </c>
      <c r="BW185">
        <f t="shared" si="52"/>
        <v>-0.16570648755730402</v>
      </c>
      <c r="BX185">
        <f t="shared" si="53"/>
        <v>-0.87167375641244005</v>
      </c>
    </row>
    <row r="186" spans="1:79" x14ac:dyDescent="0.25">
      <c r="A186" s="61"/>
      <c r="B186" s="80" t="s">
        <v>26</v>
      </c>
      <c r="C186" s="85">
        <f t="shared" si="61"/>
        <v>0.839320893588549</v>
      </c>
      <c r="D186" s="80">
        <f t="shared" si="61"/>
        <v>0.36125552005814887</v>
      </c>
      <c r="E186" s="80">
        <f t="shared" si="61"/>
        <v>1.0663706572538498</v>
      </c>
      <c r="F186" s="47"/>
      <c r="I186" s="203">
        <f t="shared" si="62"/>
        <v>-0.1092996023011249</v>
      </c>
      <c r="J186">
        <f t="shared" si="62"/>
        <v>-0.6064247967304125</v>
      </c>
      <c r="K186">
        <f t="shared" si="62"/>
        <v>-1.0753269253852076</v>
      </c>
      <c r="L186" s="47"/>
      <c r="M186" s="61">
        <f t="shared" si="63"/>
        <v>-0.13022385494755195</v>
      </c>
      <c r="N186" s="80"/>
      <c r="O186" s="85"/>
      <c r="Q186" s="47"/>
      <c r="R186"/>
      <c r="U186" s="80"/>
      <c r="V186" t="s">
        <v>26</v>
      </c>
      <c r="W186" s="187">
        <f t="shared" si="68"/>
        <v>1.6256724985186637</v>
      </c>
      <c r="X186">
        <f t="shared" si="68"/>
        <v>0.83600745912553154</v>
      </c>
      <c r="Y186" s="47">
        <f t="shared" si="68"/>
        <v>3.164208047898518</v>
      </c>
      <c r="Z186" s="47"/>
      <c r="AC186" s="186">
        <f t="shared" si="69"/>
        <v>0.33745926129065618</v>
      </c>
      <c r="AD186">
        <f t="shared" si="69"/>
        <v>0.15685190107001115</v>
      </c>
      <c r="AE186" s="47">
        <f t="shared" si="69"/>
        <v>0.80690611091233366</v>
      </c>
      <c r="AF186" s="47"/>
      <c r="AG186" s="61">
        <f>LOG(AG27)</f>
        <v>-1.2882132372280075</v>
      </c>
      <c r="AI186" s="85"/>
      <c r="AK186" s="47"/>
      <c r="AP186" t="s">
        <v>27</v>
      </c>
      <c r="AQ186" s="193">
        <f t="shared" si="57"/>
        <v>0.65923143287522845</v>
      </c>
      <c r="AR186">
        <f t="shared" si="57"/>
        <v>0.19390340255274691</v>
      </c>
      <c r="AS186" s="47">
        <f t="shared" si="57"/>
        <v>0.37263549757009429</v>
      </c>
      <c r="AT186" s="47"/>
      <c r="AV186" s="227">
        <f>LOG(AV27)</f>
        <v>-1.9208187539523751</v>
      </c>
      <c r="AW186" s="187">
        <f t="shared" si="58"/>
        <v>-0.44033272161194231</v>
      </c>
      <c r="AX186">
        <f t="shared" si="58"/>
        <v>-0.69293204933870167</v>
      </c>
      <c r="AY186" s="47">
        <f t="shared" si="58"/>
        <v>-1.8165080423076967</v>
      </c>
      <c r="AZ186" s="47"/>
      <c r="BA186" s="61">
        <f t="shared" si="59"/>
        <v>-1.0995641544871708</v>
      </c>
      <c r="BB186">
        <f>LOG(BB27)</f>
        <v>-1.9393021596463884</v>
      </c>
      <c r="BC186" s="85"/>
      <c r="BE186" s="47"/>
      <c r="BI186" t="s">
        <v>15</v>
      </c>
      <c r="BJ186">
        <f t="shared" ref="BJ186:BJ205" si="70">C196</f>
        <v>0.97254995001222488</v>
      </c>
      <c r="BK186">
        <f t="shared" ref="BK186:BK205" si="71">D196</f>
        <v>0.32582341900274453</v>
      </c>
      <c r="BL186">
        <f t="shared" ref="BL186:BL205" si="72">E196</f>
        <v>1.1600721728935142</v>
      </c>
      <c r="BM186">
        <f t="shared" ref="BM186:BM205" si="73">I196</f>
        <v>0.50071662355547897</v>
      </c>
      <c r="BO186" s="133">
        <f t="shared" ref="BO186:BO205" si="74">K196</f>
        <v>0.17476028050371811</v>
      </c>
      <c r="BS186" s="43"/>
      <c r="BT186" s="43"/>
      <c r="BU186" s="133"/>
      <c r="BV186">
        <f t="shared" ref="BV186:BV205" si="75">AQ195</f>
        <v>0.71288530138292716</v>
      </c>
      <c r="BW186">
        <f t="shared" ref="BW186:BW205" si="76">AR195</f>
        <v>0.33098163770082173</v>
      </c>
      <c r="BX186">
        <f t="shared" ref="BX186:BX205" si="77">AS195</f>
        <v>0.37971046490519639</v>
      </c>
      <c r="BY186">
        <f t="shared" ref="BY186:BY205" si="78">AW195</f>
        <v>0.17108257735752611</v>
      </c>
      <c r="BZ186">
        <f t="shared" ref="BZ186:BZ205" si="79">AX195</f>
        <v>-0.1786175002527009</v>
      </c>
      <c r="CA186">
        <f t="shared" ref="CA186:CA205" si="80">AY195</f>
        <v>-0.64144986425074768</v>
      </c>
    </row>
    <row r="187" spans="1:79" x14ac:dyDescent="0.25">
      <c r="A187" s="61"/>
      <c r="B187" s="80" t="s">
        <v>27</v>
      </c>
      <c r="C187" s="85">
        <f t="shared" si="61"/>
        <v>0.93939443741962658</v>
      </c>
      <c r="D187" s="80">
        <f t="shared" si="61"/>
        <v>0.47964727876938684</v>
      </c>
      <c r="E187" s="80">
        <f t="shared" si="61"/>
        <v>1.3164107107258094</v>
      </c>
      <c r="F187" s="47"/>
      <c r="H187">
        <f>LOG(H28)</f>
        <v>1.4892812372686548</v>
      </c>
      <c r="I187" s="85">
        <f t="shared" si="62"/>
        <v>0.22206584258858658</v>
      </c>
      <c r="J187">
        <f t="shared" si="62"/>
        <v>-8.7512238667676309E-2</v>
      </c>
      <c r="K187">
        <f t="shared" si="62"/>
        <v>-4.9605933973008685E-2</v>
      </c>
      <c r="L187" s="47"/>
      <c r="M187" s="61">
        <f t="shared" si="63"/>
        <v>0.23639254581767338</v>
      </c>
      <c r="N187" s="80"/>
      <c r="O187" s="85"/>
      <c r="Q187" s="47"/>
      <c r="R187"/>
      <c r="U187" s="80"/>
      <c r="V187" t="s">
        <v>27</v>
      </c>
      <c r="W187" s="187">
        <f t="shared" si="68"/>
        <v>1.5009907561079947</v>
      </c>
      <c r="X187">
        <f t="shared" si="68"/>
        <v>0.89014146006457739</v>
      </c>
      <c r="Y187" s="47">
        <f t="shared" si="68"/>
        <v>3.0030931926175981</v>
      </c>
      <c r="Z187" s="47"/>
      <c r="AC187" s="187">
        <f t="shared" si="69"/>
        <v>0.72631961211077534</v>
      </c>
      <c r="AD187">
        <f t="shared" si="69"/>
        <v>0.46314613672634958</v>
      </c>
      <c r="AE187" s="47">
        <f t="shared" si="69"/>
        <v>1.663240828906509</v>
      </c>
      <c r="AF187" s="47"/>
      <c r="AG187" s="61">
        <f>LOG(AG28)</f>
        <v>-0.77467114399721926</v>
      </c>
      <c r="AI187" s="85"/>
      <c r="AK187" s="47"/>
      <c r="AP187" t="s">
        <v>29</v>
      </c>
      <c r="AQ187" s="190">
        <f t="shared" si="57"/>
        <v>0.58914502095208432</v>
      </c>
      <c r="AR187">
        <f t="shared" si="57"/>
        <v>0.3123466390308533</v>
      </c>
      <c r="AS187" s="196">
        <f t="shared" si="57"/>
        <v>0.22477703286331482</v>
      </c>
      <c r="AT187" s="1"/>
      <c r="AU187" s="1"/>
      <c r="AV187" s="227">
        <f>LOG(AV28)</f>
        <v>-1.9330532103693869</v>
      </c>
      <c r="AW187" s="187">
        <f t="shared" si="58"/>
        <v>-0.14098185611110575</v>
      </c>
      <c r="AX187">
        <f t="shared" si="58"/>
        <v>-0.344093581819785</v>
      </c>
      <c r="AY187" s="47">
        <f t="shared" si="58"/>
        <v>-0.9517035268400782</v>
      </c>
      <c r="BA187" s="61">
        <f t="shared" si="59"/>
        <v>-0.73012687706319013</v>
      </c>
      <c r="BC187" s="85"/>
      <c r="BE187" s="47"/>
      <c r="BI187" t="s">
        <v>16</v>
      </c>
      <c r="BJ187">
        <f t="shared" si="70"/>
        <v>0.90995697816816434</v>
      </c>
      <c r="BK187">
        <f t="shared" si="71"/>
        <v>0.377943380255784</v>
      </c>
      <c r="BL187">
        <f t="shared" si="72"/>
        <v>0.97870309114145737</v>
      </c>
      <c r="BM187">
        <f t="shared" si="73"/>
        <v>0.23489674573158806</v>
      </c>
      <c r="BN187">
        <f t="shared" ref="BN187:BN205" si="81">J197</f>
        <v>-0.36906388093580855</v>
      </c>
      <c r="BO187" s="133">
        <f t="shared" si="74"/>
        <v>-0.43846811466069729</v>
      </c>
      <c r="BP187">
        <f>W197</f>
        <v>1.5128844243846222</v>
      </c>
      <c r="BQ187">
        <f>X197</f>
        <v>0.66511173707505145</v>
      </c>
      <c r="BR187">
        <f>Y197</f>
        <v>2.6209931525255046</v>
      </c>
      <c r="BS187" s="43">
        <f>AC197</f>
        <v>0.28668096935493015</v>
      </c>
      <c r="BT187" s="43">
        <f>AD197</f>
        <v>7.0037866607755087E-2</v>
      </c>
      <c r="BU187" s="133">
        <f>AE197</f>
        <v>0.66953854666420143</v>
      </c>
      <c r="BV187">
        <f t="shared" si="75"/>
        <v>0.33701975260040767</v>
      </c>
      <c r="BW187">
        <f t="shared" si="76"/>
        <v>0.21026499903228857</v>
      </c>
      <c r="BX187">
        <f t="shared" si="77"/>
        <v>-0.16693236295832034</v>
      </c>
      <c r="BY187">
        <f t="shared" si="78"/>
        <v>0.31655739997776838</v>
      </c>
      <c r="BZ187">
        <f t="shared" si="79"/>
        <v>-8.4705716977313605E-2</v>
      </c>
      <c r="CA187">
        <f t="shared" si="80"/>
        <v>-0.32975242088713425</v>
      </c>
    </row>
    <row r="188" spans="1:79" x14ac:dyDescent="0.25">
      <c r="A188" s="61"/>
      <c r="B188" s="80" t="s">
        <v>29</v>
      </c>
      <c r="C188" s="203">
        <f t="shared" si="61"/>
        <v>0.87142697873660602</v>
      </c>
      <c r="D188" s="80">
        <f t="shared" si="61"/>
        <v>0.44986392471814413</v>
      </c>
      <c r="E188" s="80">
        <f t="shared" si="61"/>
        <v>1.1363717234923232</v>
      </c>
      <c r="F188" s="1"/>
      <c r="G188" s="1"/>
      <c r="H188">
        <f>LOG(H29)</f>
        <v>1.3455029880446918</v>
      </c>
      <c r="I188" s="85">
        <f t="shared" si="62"/>
        <v>0.31544551822458428</v>
      </c>
      <c r="J188">
        <f t="shared" si="62"/>
        <v>4.4343734895107144E-2</v>
      </c>
      <c r="K188">
        <f t="shared" si="62"/>
        <v>0.18325560428602955</v>
      </c>
      <c r="L188"/>
      <c r="M188" s="61">
        <f t="shared" si="63"/>
        <v>0.36198732185445631</v>
      </c>
      <c r="N188" s="80">
        <f>LOG(N29)</f>
        <v>1.3313234542044283</v>
      </c>
      <c r="O188" s="85"/>
      <c r="Q188" s="47"/>
      <c r="R188"/>
      <c r="U188" s="80"/>
      <c r="V188" t="s">
        <v>29</v>
      </c>
      <c r="W188" s="186">
        <f t="shared" si="68"/>
        <v>1.4215216663369772</v>
      </c>
      <c r="X188">
        <f t="shared" si="68"/>
        <v>0.80719666071094731</v>
      </c>
      <c r="Y188" s="87">
        <f t="shared" si="68"/>
        <v>2.7886314823941545</v>
      </c>
      <c r="Z188" s="1"/>
      <c r="AA188" s="1"/>
      <c r="AC188" s="187">
        <f t="shared" si="69"/>
        <v>0.34340859380385735</v>
      </c>
      <c r="AD188">
        <f t="shared" si="69"/>
        <v>0.22659990520735745</v>
      </c>
      <c r="AE188" s="47">
        <f t="shared" si="69"/>
        <v>0.82977618904184869</v>
      </c>
      <c r="AG188" s="61">
        <f>LOG(AG29)</f>
        <v>-1.0781130725331198</v>
      </c>
      <c r="AI188" s="85"/>
      <c r="AK188" s="47"/>
      <c r="AP188" t="s">
        <v>30</v>
      </c>
      <c r="AQ188" s="191">
        <f t="shared" si="57"/>
        <v>0.50823335497201105</v>
      </c>
      <c r="AR188">
        <f t="shared" si="57"/>
        <v>0.13123359458968534</v>
      </c>
      <c r="AS188" s="196">
        <f t="shared" si="57"/>
        <v>3.3877440613381132E-2</v>
      </c>
      <c r="AW188" s="187"/>
      <c r="AY188" s="47"/>
      <c r="BA188" s="61"/>
      <c r="BC188" s="85"/>
      <c r="BE188" s="47"/>
      <c r="BI188" t="s">
        <v>17</v>
      </c>
      <c r="BJ188">
        <f t="shared" si="70"/>
        <v>0.93031214223991499</v>
      </c>
      <c r="BK188">
        <f t="shared" si="71"/>
        <v>0.49934335922736839</v>
      </c>
      <c r="BL188">
        <f t="shared" si="72"/>
        <v>0.8752117927218499</v>
      </c>
      <c r="BM188">
        <f t="shared" si="73"/>
        <v>0.65489816123296951</v>
      </c>
      <c r="BN188">
        <f t="shared" si="81"/>
        <v>0.169527489553293</v>
      </c>
      <c r="BO188" s="133">
        <f t="shared" si="74"/>
        <v>0.37660432769496116</v>
      </c>
      <c r="BS188" s="43"/>
      <c r="BT188" s="43"/>
      <c r="BU188" s="133"/>
      <c r="BV188">
        <f t="shared" si="75"/>
        <v>0.64765676319554122</v>
      </c>
      <c r="BW188">
        <f t="shared" si="76"/>
        <v>0.26547820358064211</v>
      </c>
      <c r="BX188">
        <f t="shared" si="77"/>
        <v>0.10995520737750569</v>
      </c>
      <c r="BY188">
        <f t="shared" si="78"/>
        <v>3.8540686337457428E-2</v>
      </c>
      <c r="BZ188">
        <f t="shared" si="79"/>
        <v>-0.26536016101230059</v>
      </c>
      <c r="CA188">
        <f t="shared" si="80"/>
        <v>-1.0374472905906862</v>
      </c>
    </row>
    <row r="189" spans="1:79" x14ac:dyDescent="0.25">
      <c r="A189" s="61"/>
      <c r="B189" s="80" t="s">
        <v>30</v>
      </c>
      <c r="C189" s="85">
        <f t="shared" si="61"/>
        <v>0.79010915816177363</v>
      </c>
      <c r="D189" s="80">
        <f t="shared" si="61"/>
        <v>0.34192888374580949</v>
      </c>
      <c r="E189" s="80">
        <f t="shared" si="61"/>
        <v>0.90092452510427479</v>
      </c>
      <c r="H189"/>
      <c r="I189" s="85">
        <f t="shared" si="62"/>
        <v>-0.1092996023011249</v>
      </c>
      <c r="J189">
        <f t="shared" si="62"/>
        <v>-0.37934352018037915</v>
      </c>
      <c r="K189">
        <f t="shared" si="62"/>
        <v>-0.83147010765027396</v>
      </c>
      <c r="L189"/>
      <c r="M189" s="61">
        <f t="shared" si="63"/>
        <v>-0.138334812566172</v>
      </c>
      <c r="N189" s="80"/>
      <c r="O189" s="85"/>
      <c r="Q189" s="47"/>
      <c r="R189"/>
      <c r="U189" s="80"/>
      <c r="V189" t="s">
        <v>30</v>
      </c>
      <c r="W189" s="188">
        <f t="shared" si="68"/>
        <v>1.325618272810029</v>
      </c>
      <c r="X189">
        <f t="shared" si="68"/>
        <v>0.7906369619317033</v>
      </c>
      <c r="Y189" s="196">
        <f t="shared" si="68"/>
        <v>2.6316890445847587</v>
      </c>
      <c r="AC189" s="187"/>
      <c r="AE189" s="47"/>
      <c r="AG189" s="61"/>
      <c r="AI189" s="85"/>
      <c r="AK189" s="47"/>
      <c r="AP189" t="s">
        <v>31</v>
      </c>
      <c r="AQ189" s="193">
        <f t="shared" si="57"/>
        <v>0.45830539211801669</v>
      </c>
      <c r="AR189">
        <f t="shared" si="57"/>
        <v>0.24373236455264893</v>
      </c>
      <c r="AS189" s="47">
        <f t="shared" si="57"/>
        <v>-0.11755623808472601</v>
      </c>
      <c r="AW189" s="187">
        <f>LOG(AW30)</f>
        <v>-0.4778166823813137</v>
      </c>
      <c r="AX189">
        <f>LOG(AX30)</f>
        <v>-0.4778166823813137</v>
      </c>
      <c r="AY189" s="47">
        <f>LOG(AY30)</f>
        <v>-1.9221548257457488</v>
      </c>
      <c r="BA189" s="61">
        <f>LOG(BA30)</f>
        <v>-0.93612207449933038</v>
      </c>
      <c r="BC189" s="86"/>
      <c r="BE189" s="47"/>
      <c r="BI189" t="s">
        <v>18</v>
      </c>
      <c r="BJ189">
        <f t="shared" si="70"/>
        <v>1.0463976029545601</v>
      </c>
      <c r="BK189">
        <f t="shared" si="71"/>
        <v>0.4244732731953344</v>
      </c>
      <c r="BL189">
        <f t="shared" si="72"/>
        <v>1.3039451631555095</v>
      </c>
      <c r="BM189">
        <f t="shared" si="73"/>
        <v>0.3555472957321329</v>
      </c>
      <c r="BN189">
        <f t="shared" si="81"/>
        <v>-0.11492161585077593</v>
      </c>
      <c r="BO189" s="133">
        <f t="shared" si="74"/>
        <v>-7.0096978109371016E-2</v>
      </c>
      <c r="BP189">
        <f t="shared" ref="BP189:BP201" si="82">W199</f>
        <v>1.6406304827244111</v>
      </c>
      <c r="BQ189">
        <f t="shared" ref="BQ189:BQ201" si="83">X199</f>
        <v>1.1094097905463653</v>
      </c>
      <c r="BR189">
        <f t="shared" ref="BR189:BR201" si="84">Y199</f>
        <v>2.9850281732058392</v>
      </c>
      <c r="BS189" s="43">
        <f t="shared" ref="BS189:BU195" si="85">AC199</f>
        <v>1.4572004127937683</v>
      </c>
      <c r="BT189" s="43">
        <f t="shared" si="85"/>
        <v>0.65944078187031774</v>
      </c>
      <c r="BU189" s="133">
        <f t="shared" si="85"/>
        <v>2.6720921972860689</v>
      </c>
      <c r="BV189">
        <f t="shared" si="75"/>
        <v>0.57435541993910189</v>
      </c>
      <c r="BW189">
        <f t="shared" si="76"/>
        <v>9.089262571036294E-2</v>
      </c>
      <c r="BX189">
        <f t="shared" si="77"/>
        <v>5.2181976755590775E-2</v>
      </c>
      <c r="BY189">
        <f t="shared" si="78"/>
        <v>-0.44033272161194231</v>
      </c>
      <c r="BZ189">
        <f t="shared" si="79"/>
        <v>-0.714892970433188</v>
      </c>
      <c r="CA189">
        <f t="shared" si="80"/>
        <v>-1.9584679799926099</v>
      </c>
    </row>
    <row r="190" spans="1:79" x14ac:dyDescent="0.25">
      <c r="A190" s="61"/>
      <c r="B190" s="80" t="s">
        <v>31</v>
      </c>
      <c r="C190" s="85">
        <f t="shared" si="61"/>
        <v>0.76173995415114704</v>
      </c>
      <c r="D190" s="80">
        <f t="shared" si="61"/>
        <v>0.48678457139904185</v>
      </c>
      <c r="E190" s="80">
        <f t="shared" si="61"/>
        <v>0.71277761449610377</v>
      </c>
      <c r="H190"/>
      <c r="I190" s="85">
        <f t="shared" si="62"/>
        <v>0.20615098159625966</v>
      </c>
      <c r="J190">
        <f t="shared" si="62"/>
        <v>-0.37934352018037915</v>
      </c>
      <c r="K190">
        <f t="shared" si="62"/>
        <v>-0.20205487909180156</v>
      </c>
      <c r="L190"/>
      <c r="M190" s="61">
        <f t="shared" si="63"/>
        <v>0.27063170373672496</v>
      </c>
      <c r="N190" s="80"/>
      <c r="O190" s="86"/>
      <c r="Q190" s="47"/>
      <c r="R190"/>
      <c r="U190" s="80"/>
      <c r="V190" t="s">
        <v>31</v>
      </c>
      <c r="W190" s="188">
        <f t="shared" si="68"/>
        <v>1.229041573173397</v>
      </c>
      <c r="X190">
        <f t="shared" si="68"/>
        <v>0.6584883813090171</v>
      </c>
      <c r="Y190" s="196">
        <f t="shared" si="68"/>
        <v>2.3214465802181801</v>
      </c>
      <c r="AC190" s="187"/>
      <c r="AE190" s="47"/>
      <c r="AG190" s="61"/>
      <c r="AI190" s="86"/>
      <c r="AK190" s="47"/>
      <c r="AP190" t="s">
        <v>32</v>
      </c>
      <c r="AQ190" s="193">
        <f t="shared" si="57"/>
        <v>6.1753967805932904E-2</v>
      </c>
      <c r="AR190">
        <f t="shared" si="57"/>
        <v>-0.16570648755730402</v>
      </c>
      <c r="AS190" s="47">
        <f t="shared" si="57"/>
        <v>-0.87167375641244005</v>
      </c>
      <c r="AY190" s="80"/>
      <c r="AZ190" s="58" t="str">
        <f>AZ31</f>
        <v>avarage</v>
      </c>
      <c r="BA190" s="60">
        <f>LOG(BA31)</f>
        <v>-0.58051434395628909</v>
      </c>
      <c r="BC190" s="55"/>
      <c r="BE190" s="61"/>
      <c r="BG190" s="60">
        <f>LOG(BG31)</f>
        <v>-1.1132039876456852</v>
      </c>
      <c r="BI190" t="s">
        <v>20</v>
      </c>
      <c r="BJ190">
        <f t="shared" si="70"/>
        <v>0.87895242962861064</v>
      </c>
      <c r="BK190">
        <f t="shared" si="71"/>
        <v>0.33595910614824792</v>
      </c>
      <c r="BL190">
        <f t="shared" si="72"/>
        <v>0.87814478378445626</v>
      </c>
      <c r="BM190">
        <f t="shared" si="73"/>
        <v>0.31544551822458428</v>
      </c>
      <c r="BN190">
        <f t="shared" si="81"/>
        <v>-2.3420781359890043E-2</v>
      </c>
      <c r="BO190" s="133">
        <f t="shared" si="74"/>
        <v>-0.21637651668386815</v>
      </c>
      <c r="BP190">
        <f t="shared" si="82"/>
        <v>1.4773383476918927</v>
      </c>
      <c r="BQ190">
        <f t="shared" si="83"/>
        <v>0.87069645798924999</v>
      </c>
      <c r="BR190">
        <f t="shared" si="84"/>
        <v>2.6646281728565349</v>
      </c>
      <c r="BS190" s="43">
        <f t="shared" si="85"/>
        <v>0.76380222407459264</v>
      </c>
      <c r="BT190" s="43">
        <f t="shared" si="85"/>
        <v>0.3988077302032646</v>
      </c>
      <c r="BU190" s="133">
        <f t="shared" si="85"/>
        <v>1.0587364947504392</v>
      </c>
      <c r="BV190">
        <f t="shared" si="75"/>
        <v>0.62146709934684574</v>
      </c>
      <c r="BW190">
        <f t="shared" si="76"/>
        <v>0.19667350048806045</v>
      </c>
      <c r="BX190">
        <f t="shared" si="77"/>
        <v>4.4626665467837646E-2</v>
      </c>
      <c r="BY190">
        <f t="shared" si="78"/>
        <v>-0.19873352951037984</v>
      </c>
      <c r="BZ190">
        <f t="shared" si="79"/>
        <v>-0.49106647394996722</v>
      </c>
      <c r="CA190">
        <f t="shared" si="80"/>
        <v>-1.346423757711481</v>
      </c>
    </row>
    <row r="191" spans="1:79" x14ac:dyDescent="0.25">
      <c r="A191" s="61"/>
      <c r="E191" s="80"/>
      <c r="H191"/>
      <c r="L191" s="58" t="s">
        <v>39</v>
      </c>
      <c r="M191" s="60">
        <f>(M176+M177+M178+M179+M180+M181+M182+M183+M184+M185+M186+M187+M188+M189+M190)/15</f>
        <v>0.30063658016549871</v>
      </c>
      <c r="N191" s="80"/>
      <c r="O191" s="55"/>
      <c r="Q191" s="61"/>
      <c r="R191"/>
      <c r="S191" s="60">
        <f>(S177+S181)/2</f>
        <v>-0.51499618521687363</v>
      </c>
      <c r="U191" s="80"/>
      <c r="Y191" s="80"/>
      <c r="AE191" s="80"/>
      <c r="AF191" s="58" t="str">
        <f>AF32</f>
        <v>average</v>
      </c>
      <c r="AG191" s="60">
        <f>(AG176+AG160+AG181+AG182+AG183+AG185+AG186+AG187+AG188)/9</f>
        <v>-0.79882572115524098</v>
      </c>
      <c r="AI191" s="55"/>
      <c r="AK191" s="61"/>
      <c r="AM191" s="60">
        <f>LOG(AM32)</f>
        <v>-1.0016950461290806</v>
      </c>
      <c r="BI191" t="s">
        <v>21</v>
      </c>
      <c r="BJ191">
        <f t="shared" si="70"/>
        <v>0.82656068134397664</v>
      </c>
      <c r="BK191">
        <f t="shared" si="71"/>
        <v>0.28273537262101855</v>
      </c>
      <c r="BL191">
        <f t="shared" si="72"/>
        <v>0.65364369884088869</v>
      </c>
      <c r="BM191">
        <f t="shared" si="73"/>
        <v>-5.6752874862138335E-2</v>
      </c>
      <c r="BN191">
        <f t="shared" si="81"/>
        <v>-0.41172829315767095</v>
      </c>
      <c r="BO191" s="133">
        <f t="shared" si="74"/>
        <v>-0.90890661938702055</v>
      </c>
      <c r="BP191">
        <f t="shared" si="82"/>
        <v>1.385874273904196</v>
      </c>
      <c r="BQ191">
        <f t="shared" si="83"/>
        <v>0.7454651686707271</v>
      </c>
      <c r="BR191">
        <f t="shared" si="84"/>
        <v>2.4277484209804991</v>
      </c>
      <c r="BS191" s="43">
        <f t="shared" si="85"/>
        <v>0.79413935576777395</v>
      </c>
      <c r="BT191" s="43">
        <f t="shared" si="85"/>
        <v>0.49345805099518847</v>
      </c>
      <c r="BU191" s="133">
        <f t="shared" si="85"/>
        <v>1.0680637113103484</v>
      </c>
      <c r="BV191">
        <f t="shared" si="75"/>
        <v>0.5109201643452389</v>
      </c>
      <c r="BW191">
        <f t="shared" si="76"/>
        <v>0.28393411345660929</v>
      </c>
      <c r="BX191">
        <f t="shared" si="77"/>
        <v>-0.10808179566352391</v>
      </c>
      <c r="BY191">
        <f t="shared" si="78"/>
        <v>-2.099825152527892E-2</v>
      </c>
      <c r="BZ191">
        <f t="shared" si="79"/>
        <v>-0.24964591123729193</v>
      </c>
      <c r="CA191">
        <f t="shared" si="80"/>
        <v>-0.89470709175047103</v>
      </c>
    </row>
    <row r="192" spans="1:79" x14ac:dyDescent="0.25">
      <c r="A192" s="61"/>
      <c r="E192" s="80"/>
      <c r="H192"/>
      <c r="L192"/>
      <c r="N192" s="80"/>
      <c r="Q192" s="80"/>
      <c r="R192"/>
      <c r="U192" s="80"/>
      <c r="AP192" s="49" t="s">
        <v>28</v>
      </c>
      <c r="AS192" s="61"/>
      <c r="AT192" s="43" t="s">
        <v>33</v>
      </c>
      <c r="AU192" s="43"/>
      <c r="AV192" s="43"/>
      <c r="AW192" s="61"/>
      <c r="AZ192" s="5"/>
      <c r="BB192" s="80"/>
      <c r="BI192" s="45" t="s">
        <v>22</v>
      </c>
      <c r="BJ192">
        <f t="shared" si="70"/>
        <v>0.71829404148970943</v>
      </c>
      <c r="BK192">
        <f t="shared" si="71"/>
        <v>0.24735942246893702</v>
      </c>
      <c r="BL192">
        <f t="shared" si="72"/>
        <v>0.60198072535177471</v>
      </c>
      <c r="BM192">
        <f t="shared" si="73"/>
        <v>0.34390071224960622</v>
      </c>
      <c r="BN192">
        <f t="shared" si="81"/>
        <v>2.0154031638332869E-2</v>
      </c>
      <c r="BO192" s="133">
        <f t="shared" si="74"/>
        <v>-0.10624766717110015</v>
      </c>
      <c r="BP192">
        <f t="shared" si="82"/>
        <v>1.3262334209042399</v>
      </c>
      <c r="BQ192">
        <f t="shared" si="83"/>
        <v>0.6419695977020593</v>
      </c>
      <c r="BR192">
        <f t="shared" si="84"/>
        <v>2.2263809011431848</v>
      </c>
      <c r="BS192" s="43">
        <f t="shared" si="85"/>
        <v>0.30427505047712827</v>
      </c>
      <c r="BT192" s="43">
        <f t="shared" si="85"/>
        <v>5.4995861529141529E-2</v>
      </c>
      <c r="BU192" s="133">
        <f t="shared" si="85"/>
        <v>7.6969076218533758E-2</v>
      </c>
      <c r="BV192">
        <f t="shared" si="75"/>
        <v>0.50417171477596689</v>
      </c>
      <c r="BW192">
        <f t="shared" si="76"/>
        <v>3.454824709846889E-2</v>
      </c>
      <c r="BX192">
        <f t="shared" si="77"/>
        <v>-0.25079879893556767</v>
      </c>
      <c r="BY192">
        <f t="shared" si="78"/>
        <v>-0.76245626185712545</v>
      </c>
      <c r="BZ192">
        <f t="shared" si="79"/>
        <v>-0.76245626185712545</v>
      </c>
      <c r="CA192">
        <f t="shared" si="80"/>
        <v>-2.6561773162796682</v>
      </c>
    </row>
    <row r="193" spans="1:79" x14ac:dyDescent="0.25">
      <c r="A193" s="61"/>
      <c r="B193" s="49" t="s">
        <v>28</v>
      </c>
      <c r="C193" s="43"/>
      <c r="E193" s="80"/>
      <c r="F193" s="43" t="s">
        <v>33</v>
      </c>
      <c r="G193" s="43"/>
      <c r="H193"/>
      <c r="I193" s="43"/>
      <c r="L193"/>
      <c r="M193" s="5"/>
      <c r="N193" s="80"/>
      <c r="Q193" s="80"/>
      <c r="R193"/>
      <c r="U193" s="80"/>
      <c r="V193" s="49" t="s">
        <v>28</v>
      </c>
      <c r="W193" s="43"/>
      <c r="Y193" s="61"/>
      <c r="Z193" s="43" t="s">
        <v>33</v>
      </c>
      <c r="AA193" s="43"/>
      <c r="AC193" s="43"/>
      <c r="AE193" s="61"/>
      <c r="AG193" s="5"/>
      <c r="AK193" s="80"/>
      <c r="AP193" t="s">
        <v>79</v>
      </c>
      <c r="AQ193" t="s">
        <v>34</v>
      </c>
      <c r="AS193" s="80"/>
      <c r="AT193" s="41"/>
      <c r="AW193" t="s">
        <v>13</v>
      </c>
      <c r="AY193" s="80"/>
      <c r="AZ193" s="43"/>
      <c r="BA193" s="5"/>
      <c r="BC193" t="s">
        <v>14</v>
      </c>
      <c r="BE193" s="80"/>
      <c r="BF193" s="43"/>
      <c r="BI193" t="s">
        <v>23</v>
      </c>
      <c r="BJ193">
        <f t="shared" si="70"/>
        <v>0.77941609894706765</v>
      </c>
      <c r="BK193">
        <f t="shared" si="71"/>
        <v>0.35745838564503585</v>
      </c>
      <c r="BL193">
        <f t="shared" si="72"/>
        <v>0.64447699476466835</v>
      </c>
      <c r="BM193">
        <f t="shared" si="73"/>
        <v>5.9752694209298837E-2</v>
      </c>
      <c r="BN193">
        <f t="shared" si="81"/>
        <v>-0.22366209037982468</v>
      </c>
      <c r="BO193" s="133">
        <f t="shared" si="74"/>
        <v>-0.62297255927997641</v>
      </c>
      <c r="BP193">
        <f t="shared" si="82"/>
        <v>1.3020060605865404</v>
      </c>
      <c r="BQ193">
        <f t="shared" si="83"/>
        <v>0.62479757896076116</v>
      </c>
      <c r="BR193">
        <f t="shared" si="84"/>
        <v>2.2663446903070747</v>
      </c>
      <c r="BS193" s="43">
        <f t="shared" si="85"/>
        <v>0.54961623951908545</v>
      </c>
      <c r="BT193" s="43">
        <f t="shared" si="85"/>
        <v>0.27300127206373759</v>
      </c>
      <c r="BU193" s="133">
        <f t="shared" si="85"/>
        <v>0.73854720517082706</v>
      </c>
      <c r="BV193">
        <f t="shared" si="75"/>
        <v>0.4832734075829816</v>
      </c>
      <c r="BW193">
        <f t="shared" si="76"/>
        <v>0.23116364150509885</v>
      </c>
      <c r="BX193">
        <f t="shared" si="77"/>
        <v>-0.29780101112164015</v>
      </c>
      <c r="BY193">
        <f t="shared" si="78"/>
        <v>-2.099825152527892E-2</v>
      </c>
      <c r="BZ193">
        <f t="shared" si="79"/>
        <v>-0.344093581819785</v>
      </c>
      <c r="CA193">
        <f t="shared" si="80"/>
        <v>-1.1666468033564719</v>
      </c>
    </row>
    <row r="194" spans="1:79" x14ac:dyDescent="0.25">
      <c r="A194" s="61"/>
      <c r="B194" t="s">
        <v>41</v>
      </c>
      <c r="C194" t="s">
        <v>34</v>
      </c>
      <c r="E194" s="80"/>
      <c r="F194" s="41"/>
      <c r="H194"/>
      <c r="I194" t="s">
        <v>13</v>
      </c>
      <c r="L194" s="43"/>
      <c r="M194" s="5"/>
      <c r="N194" s="80"/>
      <c r="O194" t="s">
        <v>14</v>
      </c>
      <c r="Q194" s="80"/>
      <c r="R194" s="43"/>
      <c r="U194" s="80"/>
      <c r="V194" t="s">
        <v>78</v>
      </c>
      <c r="W194" t="s">
        <v>34</v>
      </c>
      <c r="Y194" s="80"/>
      <c r="Z194" s="41"/>
      <c r="AC194" t="s">
        <v>13</v>
      </c>
      <c r="AE194" s="80"/>
      <c r="AF194" s="43"/>
      <c r="AG194" s="5"/>
      <c r="AI194" t="s">
        <v>14</v>
      </c>
      <c r="AK194" s="80"/>
      <c r="AL194" s="43"/>
      <c r="AQ194" t="s">
        <v>274</v>
      </c>
      <c r="AR194" s="104" t="s">
        <v>93</v>
      </c>
      <c r="AS194" s="80" t="s">
        <v>77</v>
      </c>
      <c r="AT194" s="41" t="s">
        <v>37</v>
      </c>
      <c r="AU194" s="5" t="s">
        <v>36</v>
      </c>
      <c r="AV194" t="s">
        <v>87</v>
      </c>
      <c r="AW194" s="42" t="s">
        <v>274</v>
      </c>
      <c r="AX194" s="104" t="s">
        <v>93</v>
      </c>
      <c r="AY194" s="61" t="s">
        <v>77</v>
      </c>
      <c r="AZ194" s="41" t="s">
        <v>37</v>
      </c>
      <c r="BA194" s="5" t="s">
        <v>36</v>
      </c>
      <c r="BB194" t="s">
        <v>87</v>
      </c>
      <c r="BC194" s="42" t="s">
        <v>274</v>
      </c>
      <c r="BD194" s="104" t="s">
        <v>93</v>
      </c>
      <c r="BE194" s="61" t="s">
        <v>77</v>
      </c>
      <c r="BF194" s="41" t="s">
        <v>37</v>
      </c>
      <c r="BG194" s="5" t="s">
        <v>76</v>
      </c>
      <c r="BI194" t="s">
        <v>24</v>
      </c>
      <c r="BJ194">
        <f t="shared" si="70"/>
        <v>0.65297117201758903</v>
      </c>
      <c r="BK194">
        <f t="shared" si="71"/>
        <v>-1.8861217359339641E-2</v>
      </c>
      <c r="BL194">
        <f t="shared" si="72"/>
        <v>0.44934724250743169</v>
      </c>
      <c r="BM194">
        <f t="shared" si="73"/>
        <v>-0.5413621509743507</v>
      </c>
      <c r="BN194">
        <f t="shared" si="81"/>
        <v>-0.77598518862713606</v>
      </c>
      <c r="BO194" s="133">
        <f t="shared" si="74"/>
        <v>-1.7501122124119375</v>
      </c>
      <c r="BP194">
        <f t="shared" si="82"/>
        <v>1.2616196765479355</v>
      </c>
      <c r="BQ194">
        <f t="shared" si="83"/>
        <v>0.7454651686707271</v>
      </c>
      <c r="BR194">
        <f t="shared" si="84"/>
        <v>2.2170214560554009</v>
      </c>
      <c r="BS194" s="43">
        <f t="shared" si="85"/>
        <v>0.86835049964796829</v>
      </c>
      <c r="BT194" s="43">
        <f t="shared" si="85"/>
        <v>0.52698506855999572</v>
      </c>
      <c r="BU194" s="133">
        <f t="shared" si="85"/>
        <v>1.399709743935718</v>
      </c>
      <c r="BV194">
        <f t="shared" si="75"/>
        <v>0.49175378277214765</v>
      </c>
      <c r="BW194">
        <f t="shared" si="76"/>
        <v>4.6417116983990002E-2</v>
      </c>
      <c r="BX194">
        <f t="shared" si="77"/>
        <v>-0.32119938485645549</v>
      </c>
      <c r="BY194">
        <f t="shared" si="78"/>
        <v>-0.78834559944681759</v>
      </c>
      <c r="BZ194">
        <f t="shared" si="79"/>
        <v>-0.78834559944681759</v>
      </c>
      <c r="CA194">
        <f t="shared" si="80"/>
        <v>-2.643768064450414</v>
      </c>
    </row>
    <row r="195" spans="1:79" x14ac:dyDescent="0.25">
      <c r="A195" s="61"/>
      <c r="C195" t="s">
        <v>274</v>
      </c>
      <c r="D195" s="104" t="s">
        <v>93</v>
      </c>
      <c r="E195" s="300" t="s">
        <v>77</v>
      </c>
      <c r="F195" s="41" t="s">
        <v>37</v>
      </c>
      <c r="G195" s="10" t="s">
        <v>36</v>
      </c>
      <c r="H195" t="s">
        <v>87</v>
      </c>
      <c r="I195" s="42" t="s">
        <v>274</v>
      </c>
      <c r="J195" s="104" t="s">
        <v>93</v>
      </c>
      <c r="K195" s="107" t="s">
        <v>77</v>
      </c>
      <c r="L195" s="41" t="s">
        <v>37</v>
      </c>
      <c r="M195" s="5" t="s">
        <v>76</v>
      </c>
      <c r="N195" t="s">
        <v>87</v>
      </c>
      <c r="O195" s="42" t="s">
        <v>274</v>
      </c>
      <c r="P195" s="104" t="s">
        <v>93</v>
      </c>
      <c r="Q195" s="61" t="s">
        <v>77</v>
      </c>
      <c r="R195" s="41" t="s">
        <v>37</v>
      </c>
      <c r="S195" s="5" t="s">
        <v>76</v>
      </c>
      <c r="T195" t="s">
        <v>87</v>
      </c>
      <c r="U195" s="80"/>
      <c r="W195" t="s">
        <v>274</v>
      </c>
      <c r="X195" s="104" t="s">
        <v>93</v>
      </c>
      <c r="Y195" s="80" t="s">
        <v>77</v>
      </c>
      <c r="Z195" s="41" t="s">
        <v>37</v>
      </c>
      <c r="AA195" s="10" t="s">
        <v>36</v>
      </c>
      <c r="AC195" s="42" t="s">
        <v>274</v>
      </c>
      <c r="AD195" s="104" t="s">
        <v>93</v>
      </c>
      <c r="AE195" s="61" t="s">
        <v>77</v>
      </c>
      <c r="AF195" s="41" t="s">
        <v>37</v>
      </c>
      <c r="AG195" s="5" t="s">
        <v>36</v>
      </c>
      <c r="AI195" s="42" t="s">
        <v>274</v>
      </c>
      <c r="AJ195" s="104" t="s">
        <v>93</v>
      </c>
      <c r="AK195" s="61" t="s">
        <v>77</v>
      </c>
      <c r="AL195" s="41" t="s">
        <v>37</v>
      </c>
      <c r="AM195" s="5" t="s">
        <v>76</v>
      </c>
      <c r="AP195" t="s">
        <v>15</v>
      </c>
      <c r="AQ195" s="187">
        <f t="shared" ref="AQ195:AS214" si="86">LOG(AQ36)</f>
        <v>0.71288530138292716</v>
      </c>
      <c r="AR195">
        <f t="shared" si="86"/>
        <v>0.33098163770082173</v>
      </c>
      <c r="AS195" s="56">
        <f t="shared" si="86"/>
        <v>0.37971046490519639</v>
      </c>
      <c r="AT195" s="56"/>
      <c r="AU195" s="55"/>
      <c r="AV195" s="99"/>
      <c r="AW195" s="187">
        <f t="shared" ref="AW195:AY214" si="87">LOG(AW36)</f>
        <v>0.17108257735752611</v>
      </c>
      <c r="AX195">
        <f t="shared" si="87"/>
        <v>-0.1786175002527009</v>
      </c>
      <c r="AY195" s="281">
        <f t="shared" si="87"/>
        <v>-0.64144986425074768</v>
      </c>
      <c r="AZ195" s="56"/>
      <c r="BA195" s="46">
        <f t="shared" ref="BA195:BA214" si="88">LOG(BA36)</f>
        <v>-0.54180272402540108</v>
      </c>
      <c r="BB195" s="99"/>
      <c r="BC195" s="77"/>
      <c r="BE195" s="89"/>
      <c r="BF195" s="55"/>
      <c r="BG195" s="55"/>
      <c r="BI195" t="s">
        <v>25</v>
      </c>
      <c r="BJ195">
        <f t="shared" si="70"/>
        <v>0.76473639195876764</v>
      </c>
      <c r="BK195">
        <f t="shared" si="71"/>
        <v>0.36314170969794968</v>
      </c>
      <c r="BL195">
        <f t="shared" si="72"/>
        <v>0.65887054481000262</v>
      </c>
      <c r="BM195">
        <f t="shared" si="73"/>
        <v>0.14535181655846088</v>
      </c>
      <c r="BN195">
        <f t="shared" si="81"/>
        <v>-0.17554872996338719</v>
      </c>
      <c r="BO195" s="133">
        <f t="shared" si="74"/>
        <v>-0.45787822696112501</v>
      </c>
      <c r="BP195">
        <f t="shared" si="82"/>
        <v>1.3286853369831511</v>
      </c>
      <c r="BQ195">
        <f t="shared" si="83"/>
        <v>0.6584883813090171</v>
      </c>
      <c r="BR195">
        <f t="shared" si="84"/>
        <v>2.2646222851118369</v>
      </c>
      <c r="BS195" s="43">
        <f t="shared" si="85"/>
        <v>0.3988077302032646</v>
      </c>
      <c r="BT195" s="43">
        <f t="shared" si="85"/>
        <v>0.18892848376085342</v>
      </c>
      <c r="BU195" s="133">
        <f t="shared" si="85"/>
        <v>0.47031865312374083</v>
      </c>
      <c r="BV195">
        <f t="shared" si="75"/>
        <v>0.50280934938904187</v>
      </c>
      <c r="BW195">
        <f t="shared" si="76"/>
        <v>0.25834989251932206</v>
      </c>
      <c r="BX195">
        <f t="shared" si="77"/>
        <v>-0.23689219198250039</v>
      </c>
      <c r="BY195">
        <f t="shared" si="78"/>
        <v>-0.14098185611110575</v>
      </c>
      <c r="BZ195">
        <f t="shared" si="79"/>
        <v>-0.33460664972028809</v>
      </c>
      <c r="CA195">
        <f t="shared" si="80"/>
        <v>-1.1843330976467814</v>
      </c>
    </row>
    <row r="196" spans="1:79" x14ac:dyDescent="0.25">
      <c r="A196" s="61"/>
      <c r="B196" t="s">
        <v>15</v>
      </c>
      <c r="C196" s="51">
        <f t="shared" ref="C196:E215" si="89">LOG(C37)</f>
        <v>0.97254995001222488</v>
      </c>
      <c r="D196" s="100">
        <f t="shared" si="89"/>
        <v>0.32582341900274453</v>
      </c>
      <c r="E196" s="80">
        <f t="shared" si="89"/>
        <v>1.1600721728935142</v>
      </c>
      <c r="F196" s="56"/>
      <c r="G196" s="55"/>
      <c r="H196" s="84"/>
      <c r="I196" s="51">
        <f t="shared" ref="I196:I215" si="90">LOG(I37)</f>
        <v>0.50071662355547897</v>
      </c>
      <c r="K196">
        <f t="shared" ref="K196:K215" si="91">LOG(K37)</f>
        <v>0.17476028050371811</v>
      </c>
      <c r="L196" s="56"/>
      <c r="M196" s="46">
        <f t="shared" ref="M196:M215" si="92">I196/C196</f>
        <v>0.51484926152038257</v>
      </c>
      <c r="N196" s="99"/>
      <c r="O196" s="77"/>
      <c r="Q196" s="89"/>
      <c r="R196" s="55"/>
      <c r="S196" s="55"/>
      <c r="T196" s="55"/>
      <c r="U196" s="80"/>
      <c r="V196" t="s">
        <v>15</v>
      </c>
      <c r="W196" s="50"/>
      <c r="Y196" s="202"/>
      <c r="Z196" s="56"/>
      <c r="AA196" s="55"/>
      <c r="AC196" s="187"/>
      <c r="AE196" s="56"/>
      <c r="AF196" s="56"/>
      <c r="AG196" s="84"/>
      <c r="AI196" s="85"/>
      <c r="AK196" s="46"/>
      <c r="AL196" s="55"/>
      <c r="AM196" s="55"/>
      <c r="AN196" s="55"/>
      <c r="AP196" t="s">
        <v>16</v>
      </c>
      <c r="AQ196" s="188">
        <f t="shared" si="86"/>
        <v>0.33701975260040767</v>
      </c>
      <c r="AR196">
        <f t="shared" si="86"/>
        <v>0.21026499903228857</v>
      </c>
      <c r="AS196" s="196">
        <f t="shared" si="86"/>
        <v>-0.16693236295832034</v>
      </c>
      <c r="AT196" s="47"/>
      <c r="AV196" s="227">
        <f>LOG(AV37)</f>
        <v>-1.8750612633917001</v>
      </c>
      <c r="AW196" s="187">
        <f t="shared" si="87"/>
        <v>0.31655739997776838</v>
      </c>
      <c r="AX196">
        <f t="shared" si="87"/>
        <v>-8.4705716977313605E-2</v>
      </c>
      <c r="AY196" s="222">
        <f t="shared" si="87"/>
        <v>-0.32975242088713425</v>
      </c>
      <c r="AZ196" s="47"/>
      <c r="BA196" s="61">
        <f t="shared" si="88"/>
        <v>-2.0462352622639287E-2</v>
      </c>
      <c r="BC196" s="77"/>
      <c r="BE196" s="61"/>
      <c r="BI196" t="s">
        <v>26</v>
      </c>
      <c r="BJ196">
        <f t="shared" si="70"/>
        <v>0.74566022570607582</v>
      </c>
      <c r="BK196">
        <f t="shared" si="71"/>
        <v>0.22206584258858658</v>
      </c>
      <c r="BL196">
        <f t="shared" si="72"/>
        <v>0.61961709118549158</v>
      </c>
      <c r="BM196">
        <f t="shared" si="73"/>
        <v>-0.12061736282565741</v>
      </c>
      <c r="BN196">
        <f t="shared" si="81"/>
        <v>-0.48478869567219818</v>
      </c>
      <c r="BO196" s="133">
        <f t="shared" si="74"/>
        <v>-1.2198317996205523</v>
      </c>
      <c r="BP196">
        <f t="shared" si="82"/>
        <v>1.4147227211588782</v>
      </c>
      <c r="BQ196">
        <f t="shared" si="83"/>
        <v>0.70113606609252654</v>
      </c>
      <c r="BR196">
        <f t="shared" si="84"/>
        <v>2.4719431200775071</v>
      </c>
      <c r="BS196" s="43"/>
      <c r="BT196" s="43"/>
      <c r="BU196" s="133"/>
      <c r="BV196">
        <f t="shared" si="75"/>
        <v>0.58914502095208432</v>
      </c>
      <c r="BW196">
        <f t="shared" si="76"/>
        <v>0.17400162640242475</v>
      </c>
      <c r="BX196">
        <f t="shared" si="77"/>
        <v>-2.4248535144647681E-2</v>
      </c>
      <c r="BY196">
        <f t="shared" si="78"/>
        <v>-0.344093581819785</v>
      </c>
      <c r="BZ196">
        <f t="shared" si="79"/>
        <v>-0.54852059487513816</v>
      </c>
      <c r="CA196">
        <f t="shared" si="80"/>
        <v>-1.5676560624269489</v>
      </c>
    </row>
    <row r="197" spans="1:79" x14ac:dyDescent="0.25">
      <c r="A197" s="61"/>
      <c r="B197" t="s">
        <v>16</v>
      </c>
      <c r="C197" s="51">
        <f t="shared" si="89"/>
        <v>0.90995697816816434</v>
      </c>
      <c r="D197" s="100">
        <f t="shared" si="89"/>
        <v>0.377943380255784</v>
      </c>
      <c r="E197" s="80">
        <f t="shared" si="89"/>
        <v>0.97870309114145737</v>
      </c>
      <c r="F197" s="47"/>
      <c r="H197">
        <f>LOG(H38)</f>
        <v>1.0511525224473812</v>
      </c>
      <c r="I197" s="51">
        <f t="shared" si="90"/>
        <v>0.23489674573158806</v>
      </c>
      <c r="J197">
        <f t="shared" ref="J197:J215" si="93">LOG(J38)</f>
        <v>-0.36906388093580855</v>
      </c>
      <c r="K197">
        <f t="shared" si="91"/>
        <v>-0.43846811466069729</v>
      </c>
      <c r="L197" s="47"/>
      <c r="M197" s="61">
        <f t="shared" si="92"/>
        <v>0.25814049605340578</v>
      </c>
      <c r="N197" s="80">
        <f>LOG(N38)</f>
        <v>1.0086001717619175</v>
      </c>
      <c r="O197" s="77"/>
      <c r="Q197" s="61"/>
      <c r="R197"/>
      <c r="U197" s="80"/>
      <c r="V197" t="s">
        <v>16</v>
      </c>
      <c r="W197" s="50">
        <f>LOG(W38)</f>
        <v>1.5128844243846222</v>
      </c>
      <c r="X197">
        <f>LOG(X38)</f>
        <v>0.66511173707505145</v>
      </c>
      <c r="Y197" s="199">
        <f>LOG(Y38)</f>
        <v>2.6209931525255046</v>
      </c>
      <c r="Z197" s="47"/>
      <c r="AC197" s="187">
        <f>LOG(AC38)</f>
        <v>0.28668096935493015</v>
      </c>
      <c r="AD197">
        <f>LOG(AD38)</f>
        <v>7.0037866607755087E-2</v>
      </c>
      <c r="AE197" s="47">
        <f>LOG(AE38)</f>
        <v>0.66953854666420143</v>
      </c>
      <c r="AF197" s="47"/>
      <c r="AG197" s="59">
        <f>LOG(AG38)</f>
        <v>-1.2262034550296921</v>
      </c>
      <c r="AI197" s="85"/>
      <c r="AK197" s="61"/>
      <c r="AP197" t="s">
        <v>17</v>
      </c>
      <c r="AQ197" s="186">
        <f t="shared" si="86"/>
        <v>0.64765676319554122</v>
      </c>
      <c r="AR197">
        <f t="shared" si="86"/>
        <v>0.26547820358064211</v>
      </c>
      <c r="AS197" s="47">
        <f t="shared" si="86"/>
        <v>0.10995520737750569</v>
      </c>
      <c r="AT197" s="47"/>
      <c r="AW197" s="186">
        <f t="shared" si="87"/>
        <v>3.8540686337457428E-2</v>
      </c>
      <c r="AX197">
        <f t="shared" si="87"/>
        <v>-0.26536016101230059</v>
      </c>
      <c r="AY197" s="222">
        <f t="shared" si="87"/>
        <v>-1.0374472905906862</v>
      </c>
      <c r="AZ197" s="47"/>
      <c r="BA197" s="61">
        <f t="shared" si="88"/>
        <v>-0.60911607685808378</v>
      </c>
      <c r="BC197" s="52"/>
      <c r="BE197" s="47"/>
      <c r="BG197" s="61"/>
      <c r="BI197" t="s">
        <v>27</v>
      </c>
      <c r="BJ197">
        <f t="shared" si="70"/>
        <v>0.93234690780991469</v>
      </c>
      <c r="BK197">
        <f t="shared" si="71"/>
        <v>0.44677009520038763</v>
      </c>
      <c r="BL197">
        <f t="shared" si="72"/>
        <v>1.140093033873357</v>
      </c>
      <c r="BM197">
        <f t="shared" si="73"/>
        <v>0.41288035846497417</v>
      </c>
      <c r="BN197">
        <f t="shared" si="81"/>
        <v>7.4633618296904181E-2</v>
      </c>
      <c r="BO197" s="133">
        <f t="shared" si="74"/>
        <v>0.16232240064143277</v>
      </c>
      <c r="BP197">
        <f t="shared" si="82"/>
        <v>1.5633030593694119</v>
      </c>
      <c r="BQ197">
        <f t="shared" si="83"/>
        <v>0.97657921864010988</v>
      </c>
      <c r="BR197">
        <f t="shared" si="84"/>
        <v>2.9691588612492965</v>
      </c>
      <c r="BS197" s="43">
        <f t="shared" ref="BS197:BU198" si="94">AC207</f>
        <v>0.72875947516787443</v>
      </c>
      <c r="BT197" s="43">
        <f t="shared" si="94"/>
        <v>0.37014284705110212</v>
      </c>
      <c r="BU197" s="133">
        <f t="shared" si="94"/>
        <v>1.2128335617872565</v>
      </c>
      <c r="BV197">
        <f t="shared" si="75"/>
        <v>0.55179144364366939</v>
      </c>
      <c r="BW197">
        <f t="shared" si="76"/>
        <v>0.32895013206978402</v>
      </c>
      <c r="BX197">
        <f t="shared" si="77"/>
        <v>8.4379864506007984E-2</v>
      </c>
      <c r="BY197">
        <f t="shared" si="78"/>
        <v>0.20758051476543127</v>
      </c>
      <c r="BZ197">
        <f t="shared" si="79"/>
        <v>-3.4892414150944157E-2</v>
      </c>
      <c r="CA197">
        <f t="shared" si="80"/>
        <v>-0.45565197561041565</v>
      </c>
    </row>
    <row r="198" spans="1:79" x14ac:dyDescent="0.25">
      <c r="A198" s="61"/>
      <c r="B198" s="100" t="s">
        <v>17</v>
      </c>
      <c r="C198" s="303">
        <f t="shared" si="89"/>
        <v>0.93031214223991499</v>
      </c>
      <c r="D198" s="80">
        <f t="shared" si="89"/>
        <v>0.49934335922736839</v>
      </c>
      <c r="E198" s="80">
        <f t="shared" si="89"/>
        <v>0.8752117927218499</v>
      </c>
      <c r="F198" s="47"/>
      <c r="I198" s="304">
        <f t="shared" si="90"/>
        <v>0.65489816123296951</v>
      </c>
      <c r="J198">
        <f t="shared" si="93"/>
        <v>0.169527489553293</v>
      </c>
      <c r="K198">
        <f t="shared" si="91"/>
        <v>0.37660432769496116</v>
      </c>
      <c r="L198" s="47"/>
      <c r="M198" s="61">
        <f t="shared" si="92"/>
        <v>0.70395529790266897</v>
      </c>
      <c r="N198" s="80"/>
      <c r="O198" s="50">
        <f>LOG(O39)</f>
        <v>-0.28608964587104468</v>
      </c>
      <c r="P198" s="199">
        <f>LOG(P39)</f>
        <v>-0.96859153574837586</v>
      </c>
      <c r="Q198" s="199">
        <f>LOG(Q39)</f>
        <v>-1.4164124627302446</v>
      </c>
      <c r="R198"/>
      <c r="S198" s="61">
        <f>O198/I198</f>
        <v>-0.43684600569411719</v>
      </c>
      <c r="U198" s="80"/>
      <c r="V198" t="s">
        <v>17</v>
      </c>
      <c r="W198" s="186"/>
      <c r="Y198" s="87"/>
      <c r="Z198" s="47"/>
      <c r="AC198" s="187"/>
      <c r="AE198" s="47"/>
      <c r="AF198" s="47"/>
      <c r="AG198" s="59"/>
      <c r="AI198" s="85"/>
      <c r="AK198" s="47"/>
      <c r="AM198" s="61"/>
      <c r="AP198" t="s">
        <v>18</v>
      </c>
      <c r="AQ198" s="187">
        <f t="shared" si="86"/>
        <v>0.57435541993910189</v>
      </c>
      <c r="AR198">
        <f t="shared" si="86"/>
        <v>9.089262571036294E-2</v>
      </c>
      <c r="AS198" s="47">
        <f t="shared" si="86"/>
        <v>5.2181976755590775E-2</v>
      </c>
      <c r="AT198" s="47"/>
      <c r="AV198" s="227">
        <f>LOG(AV39)</f>
        <v>-1.7569619513137056</v>
      </c>
      <c r="AW198" s="188">
        <f t="shared" si="87"/>
        <v>-0.44033272161194231</v>
      </c>
      <c r="AX198">
        <f t="shared" si="87"/>
        <v>-0.714892970433188</v>
      </c>
      <c r="AY198" s="282">
        <f t="shared" si="87"/>
        <v>-1.9584679799926099</v>
      </c>
      <c r="AZ198" s="47"/>
      <c r="BA198" s="61">
        <f t="shared" si="88"/>
        <v>-1.0146881415510443</v>
      </c>
      <c r="BB198" s="226">
        <f>LOG(BB39)</f>
        <v>-1.9208187539523751</v>
      </c>
      <c r="BC198" s="77"/>
      <c r="BE198" s="61"/>
      <c r="BI198" t="s">
        <v>29</v>
      </c>
      <c r="BJ198">
        <f t="shared" si="70"/>
        <v>0.87837815584985468</v>
      </c>
      <c r="BK198">
        <f t="shared" si="71"/>
        <v>0.32582341900274453</v>
      </c>
      <c r="BL198">
        <f t="shared" si="72"/>
        <v>0.96799654664521173</v>
      </c>
      <c r="BM198">
        <f t="shared" si="73"/>
        <v>-0.24603413413483965</v>
      </c>
      <c r="BN198">
        <f t="shared" si="81"/>
        <v>-0.7044329000375209</v>
      </c>
      <c r="BO198" s="133">
        <f t="shared" si="74"/>
        <v>-1.1571948728674715</v>
      </c>
      <c r="BP198">
        <f t="shared" si="82"/>
        <v>1.653453721491571</v>
      </c>
      <c r="BQ198">
        <f t="shared" si="83"/>
        <v>1.0782755220866007</v>
      </c>
      <c r="BR198">
        <f t="shared" si="84"/>
        <v>3.3627083640727835</v>
      </c>
      <c r="BS198" s="43">
        <f t="shared" si="94"/>
        <v>1.1154440834362396</v>
      </c>
      <c r="BT198" s="43">
        <f t="shared" si="94"/>
        <v>0.59383966108127129</v>
      </c>
      <c r="BU198" s="133">
        <f t="shared" si="94"/>
        <v>2.116714893264648</v>
      </c>
      <c r="BV198">
        <f t="shared" si="75"/>
        <v>0.73181431413073494</v>
      </c>
      <c r="BW198">
        <f t="shared" si="76"/>
        <v>0.25834989251932206</v>
      </c>
      <c r="BX198">
        <f t="shared" si="77"/>
        <v>0.37567590020656316</v>
      </c>
      <c r="BY198">
        <f t="shared" si="78"/>
        <v>-9.5392636184552085E-2</v>
      </c>
      <c r="BZ198">
        <f t="shared" si="79"/>
        <v>-0.344093581819785</v>
      </c>
      <c r="CA198">
        <f t="shared" si="80"/>
        <v>-1.1654251777405831</v>
      </c>
    </row>
    <row r="199" spans="1:79" x14ac:dyDescent="0.25">
      <c r="A199" s="61"/>
      <c r="B199" t="s">
        <v>18</v>
      </c>
      <c r="C199" s="51">
        <f t="shared" si="89"/>
        <v>1.0463976029545601</v>
      </c>
      <c r="D199" s="80">
        <f t="shared" si="89"/>
        <v>0.4244732731953344</v>
      </c>
      <c r="E199" s="80">
        <f t="shared" si="89"/>
        <v>1.3039451631555095</v>
      </c>
      <c r="F199" s="47"/>
      <c r="H199">
        <f>LOG(H40)</f>
        <v>1.3102379974811753</v>
      </c>
      <c r="I199" s="51">
        <f t="shared" si="90"/>
        <v>0.3555472957321329</v>
      </c>
      <c r="J199">
        <f t="shared" si="93"/>
        <v>-0.11492161585077593</v>
      </c>
      <c r="K199">
        <f t="shared" si="91"/>
        <v>-7.0096978109371016E-2</v>
      </c>
      <c r="L199" s="47"/>
      <c r="M199" s="61">
        <f t="shared" si="92"/>
        <v>0.33978221541049591</v>
      </c>
      <c r="N199" s="80"/>
      <c r="O199" s="77"/>
      <c r="Q199" s="61"/>
      <c r="R199"/>
      <c r="U199" s="80"/>
      <c r="V199" t="s">
        <v>18</v>
      </c>
      <c r="W199" s="187">
        <f t="shared" ref="W199:Y211" si="95">LOG(W40)</f>
        <v>1.6406304827244111</v>
      </c>
      <c r="X199" s="204">
        <f t="shared" si="95"/>
        <v>1.1094097905463653</v>
      </c>
      <c r="Y199" s="47">
        <f t="shared" si="95"/>
        <v>2.9850281732058392</v>
      </c>
      <c r="Z199" s="47"/>
      <c r="AC199" s="187">
        <f t="shared" ref="AC199:AE205" si="96">LOG(AC40)</f>
        <v>1.4572004127937683</v>
      </c>
      <c r="AD199" s="204">
        <f t="shared" si="96"/>
        <v>0.65944078187031774</v>
      </c>
      <c r="AE199" s="47">
        <f t="shared" si="96"/>
        <v>2.6720921972860689</v>
      </c>
      <c r="AF199" s="47"/>
      <c r="AG199" s="59">
        <f t="shared" ref="AG199:AG205" si="97">LOG(AG40)</f>
        <v>-0.1834300699306429</v>
      </c>
      <c r="AI199" s="85">
        <f>LOG(AI40)</f>
        <v>0.54961623951908545</v>
      </c>
      <c r="AJ199" s="204">
        <f>LOG(AJ40)</f>
        <v>0.20276068739319991</v>
      </c>
      <c r="AK199" s="197">
        <f>LOG(AK40)</f>
        <v>0.31939740544628614</v>
      </c>
      <c r="AM199" s="43">
        <f>LOG(AM40)</f>
        <v>-0.90758417327468288</v>
      </c>
      <c r="AP199" t="s">
        <v>20</v>
      </c>
      <c r="AQ199" s="187">
        <f t="shared" si="86"/>
        <v>0.62146709934684574</v>
      </c>
      <c r="AR199">
        <f t="shared" si="86"/>
        <v>0.19667350048806045</v>
      </c>
      <c r="AS199" s="47">
        <f t="shared" si="86"/>
        <v>4.4626665467837646E-2</v>
      </c>
      <c r="AT199" s="47"/>
      <c r="AW199" s="187">
        <f t="shared" si="87"/>
        <v>-0.19873352951037984</v>
      </c>
      <c r="AX199">
        <f t="shared" si="87"/>
        <v>-0.49106647394996722</v>
      </c>
      <c r="AY199" s="222">
        <f t="shared" si="87"/>
        <v>-1.346423757711481</v>
      </c>
      <c r="AZ199" s="47"/>
      <c r="BA199" s="61">
        <f t="shared" si="88"/>
        <v>-0.82020062885722567</v>
      </c>
      <c r="BC199" s="77"/>
      <c r="BE199" s="61"/>
      <c r="BI199" t="s">
        <v>30</v>
      </c>
      <c r="BJ199">
        <f t="shared" si="70"/>
        <v>0.93689057068639914</v>
      </c>
      <c r="BK199">
        <f t="shared" si="71"/>
        <v>0.4244732731953344</v>
      </c>
      <c r="BL199">
        <f t="shared" si="72"/>
        <v>1.251647952428401</v>
      </c>
      <c r="BM199">
        <f t="shared" si="73"/>
        <v>0.20884428934073798</v>
      </c>
      <c r="BN199">
        <f t="shared" si="81"/>
        <v>-8.7512238667676309E-2</v>
      </c>
      <c r="BO199" s="133">
        <f t="shared" si="74"/>
        <v>-0.12514203400113205</v>
      </c>
      <c r="BP199">
        <f t="shared" si="82"/>
        <v>1.5822338639209927</v>
      </c>
      <c r="BQ199">
        <f t="shared" si="83"/>
        <v>0.88677264305443815</v>
      </c>
      <c r="BR199">
        <f t="shared" si="84"/>
        <v>3.1245715286203777</v>
      </c>
      <c r="BS199" s="43"/>
      <c r="BT199" s="43"/>
      <c r="BU199" s="133"/>
      <c r="BV199">
        <f t="shared" si="75"/>
        <v>0.61519226737396582</v>
      </c>
      <c r="BW199">
        <f t="shared" si="76"/>
        <v>0.35846786387692053</v>
      </c>
      <c r="BX199">
        <f t="shared" si="77"/>
        <v>0.24755732965395974</v>
      </c>
      <c r="BY199">
        <f t="shared" si="78"/>
        <v>0.22860565035509176</v>
      </c>
      <c r="BZ199">
        <f t="shared" si="79"/>
        <v>-7.9459283497520267E-2</v>
      </c>
      <c r="CA199">
        <f t="shared" si="80"/>
        <v>-0.4213447248709245</v>
      </c>
    </row>
    <row r="200" spans="1:79" x14ac:dyDescent="0.25">
      <c r="A200" s="61"/>
      <c r="B200" t="s">
        <v>20</v>
      </c>
      <c r="C200" s="51">
        <f t="shared" si="89"/>
        <v>0.87895242962861064</v>
      </c>
      <c r="D200" s="80">
        <f t="shared" si="89"/>
        <v>0.33595910614824792</v>
      </c>
      <c r="E200" s="80">
        <f t="shared" si="89"/>
        <v>0.87814478378445626</v>
      </c>
      <c r="F200" s="47"/>
      <c r="I200" s="51">
        <f t="shared" si="90"/>
        <v>0.31544551822458428</v>
      </c>
      <c r="J200">
        <f t="shared" si="93"/>
        <v>-2.3420781359890043E-2</v>
      </c>
      <c r="K200">
        <f t="shared" si="91"/>
        <v>-0.21637651668386815</v>
      </c>
      <c r="L200" s="47"/>
      <c r="M200" s="61">
        <f t="shared" si="92"/>
        <v>0.35888804398421364</v>
      </c>
      <c r="N200" s="80"/>
      <c r="O200" s="77"/>
      <c r="Q200" s="61"/>
      <c r="R200"/>
      <c r="U200" s="80"/>
      <c r="V200" t="s">
        <v>20</v>
      </c>
      <c r="W200" s="187">
        <f t="shared" si="95"/>
        <v>1.4773383476918927</v>
      </c>
      <c r="X200">
        <f t="shared" si="95"/>
        <v>0.87069645798924999</v>
      </c>
      <c r="Y200" s="47">
        <f t="shared" si="95"/>
        <v>2.6646281728565349</v>
      </c>
      <c r="Z200" s="47"/>
      <c r="AC200" s="187">
        <f t="shared" si="96"/>
        <v>0.76380222407459264</v>
      </c>
      <c r="AD200" s="204">
        <f t="shared" si="96"/>
        <v>0.3988077302032646</v>
      </c>
      <c r="AE200" s="47">
        <f t="shared" si="96"/>
        <v>1.0587364947504392</v>
      </c>
      <c r="AF200" s="47"/>
      <c r="AG200" s="59">
        <f t="shared" si="97"/>
        <v>-0.71353612361730001</v>
      </c>
      <c r="AI200" s="85"/>
      <c r="AK200" s="61"/>
      <c r="AM200" s="43"/>
      <c r="AP200" t="s">
        <v>21</v>
      </c>
      <c r="AQ200" s="187">
        <f t="shared" si="86"/>
        <v>0.5109201643452389</v>
      </c>
      <c r="AR200">
        <f t="shared" si="86"/>
        <v>0.28393411345660929</v>
      </c>
      <c r="AS200" s="47">
        <f t="shared" si="86"/>
        <v>-0.10808179566352391</v>
      </c>
      <c r="AT200" s="47"/>
      <c r="AW200" s="187">
        <f t="shared" si="87"/>
        <v>-2.099825152527892E-2</v>
      </c>
      <c r="AX200">
        <f t="shared" si="87"/>
        <v>-0.24964591123729193</v>
      </c>
      <c r="AY200" s="222">
        <f t="shared" si="87"/>
        <v>-0.89470709175047103</v>
      </c>
      <c r="AZ200" s="47"/>
      <c r="BA200" s="61">
        <f t="shared" si="88"/>
        <v>-0.5319184158705178</v>
      </c>
      <c r="BC200" s="77"/>
      <c r="BE200" s="61"/>
      <c r="BI200" t="s">
        <v>31</v>
      </c>
      <c r="BJ200">
        <f t="shared" si="70"/>
        <v>0.8601882240270351</v>
      </c>
      <c r="BK200">
        <f t="shared" si="71"/>
        <v>0.48536646570832309</v>
      </c>
      <c r="BL200">
        <f t="shared" si="72"/>
        <v>1.0551221138184892</v>
      </c>
      <c r="BM200">
        <f t="shared" si="73"/>
        <v>0.41954272470027981</v>
      </c>
      <c r="BN200">
        <f t="shared" si="81"/>
        <v>0.13592733500546836</v>
      </c>
      <c r="BO200" s="133">
        <f t="shared" si="74"/>
        <v>0.40043782245396109</v>
      </c>
      <c r="BP200">
        <f t="shared" si="82"/>
        <v>1.4477005604345132</v>
      </c>
      <c r="BQ200">
        <f t="shared" si="83"/>
        <v>0.84354421194563523</v>
      </c>
      <c r="BR200">
        <f t="shared" si="84"/>
        <v>2.8396505304732744</v>
      </c>
      <c r="BS200" s="43">
        <f t="shared" ref="BS200:BU201" si="98">AC210</f>
        <v>0.94767873993693652</v>
      </c>
      <c r="BT200" s="43">
        <f t="shared" si="98"/>
        <v>0.54095480892613268</v>
      </c>
      <c r="BU200" s="133">
        <f t="shared" si="98"/>
        <v>1.9594389095446108</v>
      </c>
      <c r="BV200">
        <f t="shared" si="75"/>
        <v>0.62867495926263806</v>
      </c>
      <c r="BW200">
        <f t="shared" si="76"/>
        <v>0.19667350048806045</v>
      </c>
      <c r="BX200">
        <f t="shared" si="77"/>
        <v>0.21696628581287231</v>
      </c>
      <c r="BY200">
        <f t="shared" si="78"/>
        <v>-0.51884412917196487</v>
      </c>
      <c r="BZ200">
        <f t="shared" si="79"/>
        <v>-0.6330170240221491</v>
      </c>
      <c r="CA200">
        <f t="shared" si="80"/>
        <v>-1.8676605466094278</v>
      </c>
    </row>
    <row r="201" spans="1:79" x14ac:dyDescent="0.25">
      <c r="A201" s="61"/>
      <c r="B201" t="s">
        <v>21</v>
      </c>
      <c r="C201" s="51">
        <f t="shared" si="89"/>
        <v>0.82656068134397664</v>
      </c>
      <c r="D201" s="80">
        <f t="shared" si="89"/>
        <v>0.28273537262101855</v>
      </c>
      <c r="E201" s="80">
        <f t="shared" si="89"/>
        <v>0.65364369884088869</v>
      </c>
      <c r="F201" s="47"/>
      <c r="I201" s="51">
        <f t="shared" si="90"/>
        <v>-5.6752874862138335E-2</v>
      </c>
      <c r="J201">
        <f t="shared" si="93"/>
        <v>-0.41172829315767095</v>
      </c>
      <c r="K201">
        <f t="shared" si="91"/>
        <v>-0.90890661938702055</v>
      </c>
      <c r="L201" s="47"/>
      <c r="M201" s="61">
        <f t="shared" si="92"/>
        <v>-6.8661474158024205E-2</v>
      </c>
      <c r="N201" s="80"/>
      <c r="O201" s="77"/>
      <c r="Q201" s="61"/>
      <c r="R201"/>
      <c r="U201" s="80"/>
      <c r="V201" t="s">
        <v>21</v>
      </c>
      <c r="W201" s="187">
        <f t="shared" si="95"/>
        <v>1.385874273904196</v>
      </c>
      <c r="X201">
        <f t="shared" si="95"/>
        <v>0.7454651686707271</v>
      </c>
      <c r="Y201" s="47">
        <f t="shared" si="95"/>
        <v>2.4277484209804991</v>
      </c>
      <c r="Z201" s="47"/>
      <c r="AC201" s="187">
        <f t="shared" si="96"/>
        <v>0.79413935576777395</v>
      </c>
      <c r="AD201">
        <f t="shared" si="96"/>
        <v>0.49345805099518847</v>
      </c>
      <c r="AE201" s="47">
        <f t="shared" si="96"/>
        <v>1.0680637113103484</v>
      </c>
      <c r="AF201" s="47"/>
      <c r="AG201" s="59">
        <f t="shared" si="97"/>
        <v>-0.59173491813642221</v>
      </c>
      <c r="AI201" s="85"/>
      <c r="AK201" s="61"/>
      <c r="AM201" s="43"/>
      <c r="AP201" s="45" t="s">
        <v>22</v>
      </c>
      <c r="AQ201" s="186">
        <f t="shared" si="86"/>
        <v>0.50417171477596689</v>
      </c>
      <c r="AR201">
        <f t="shared" si="86"/>
        <v>3.454824709846889E-2</v>
      </c>
      <c r="AS201" s="47">
        <f t="shared" si="86"/>
        <v>-0.25079879893556767</v>
      </c>
      <c r="AT201" s="47"/>
      <c r="AW201" s="187">
        <f t="shared" si="87"/>
        <v>-0.76245626185712545</v>
      </c>
      <c r="AX201" s="204">
        <f t="shared" si="87"/>
        <v>-0.76245626185712545</v>
      </c>
      <c r="AY201" s="222">
        <f t="shared" si="87"/>
        <v>-2.6561773162796682</v>
      </c>
      <c r="AZ201" s="47"/>
      <c r="BA201" s="61">
        <f t="shared" si="88"/>
        <v>-1.2666279766330923</v>
      </c>
      <c r="BC201" s="77"/>
      <c r="BE201" s="61"/>
      <c r="BI201" t="s">
        <v>32</v>
      </c>
      <c r="BJ201">
        <f t="shared" si="70"/>
        <v>0.77213826660112039</v>
      </c>
      <c r="BK201">
        <f t="shared" si="71"/>
        <v>0.33395080438724722</v>
      </c>
      <c r="BL201">
        <f t="shared" si="72"/>
        <v>0.9850090454373398</v>
      </c>
      <c r="BM201">
        <f t="shared" si="73"/>
        <v>-0.2093630380682967</v>
      </c>
      <c r="BN201">
        <f t="shared" si="81"/>
        <v>-0.40066286700751097</v>
      </c>
      <c r="BO201" s="133">
        <f t="shared" si="74"/>
        <v>-0.92013889168388885</v>
      </c>
      <c r="BP201">
        <f t="shared" si="82"/>
        <v>1.4170562991191105</v>
      </c>
      <c r="BQ201">
        <f t="shared" si="83"/>
        <v>0.72139837552150532</v>
      </c>
      <c r="BR201">
        <f t="shared" si="84"/>
        <v>2.755855479396903</v>
      </c>
      <c r="BS201" s="43">
        <f t="shared" si="98"/>
        <v>0.17172645365323111</v>
      </c>
      <c r="BT201" s="43">
        <f t="shared" si="98"/>
        <v>-6.5637695023883225E-3</v>
      </c>
      <c r="BU201" s="133">
        <f t="shared" si="98"/>
        <v>0.4243207081245175</v>
      </c>
      <c r="BV201">
        <f t="shared" si="75"/>
        <v>0.56970155541097356</v>
      </c>
      <c r="BW201">
        <f t="shared" si="76"/>
        <v>0.31022584918350238</v>
      </c>
      <c r="BX201">
        <f t="shared" si="77"/>
        <v>0.17255724616437479</v>
      </c>
      <c r="BY201">
        <f t="shared" si="78"/>
        <v>-7.4275473063937419E-2</v>
      </c>
      <c r="BZ201">
        <f t="shared" si="79"/>
        <v>-0.2734357838377553</v>
      </c>
      <c r="CA201">
        <f t="shared" si="80"/>
        <v>-0.76993191744108858</v>
      </c>
    </row>
    <row r="202" spans="1:79" x14ac:dyDescent="0.25">
      <c r="A202" s="61"/>
      <c r="B202" s="302" t="s">
        <v>22</v>
      </c>
      <c r="C202" s="303">
        <f t="shared" si="89"/>
        <v>0.71829404148970943</v>
      </c>
      <c r="D202" s="80">
        <f t="shared" si="89"/>
        <v>0.24735942246893702</v>
      </c>
      <c r="E202" s="80">
        <f t="shared" si="89"/>
        <v>0.60198072535177471</v>
      </c>
      <c r="F202" s="47"/>
      <c r="I202" s="51">
        <f t="shared" si="90"/>
        <v>0.34390071224960622</v>
      </c>
      <c r="J202">
        <f t="shared" si="93"/>
        <v>2.0154031638332869E-2</v>
      </c>
      <c r="K202">
        <f t="shared" si="91"/>
        <v>-0.10624766717110015</v>
      </c>
      <c r="L202" s="47"/>
      <c r="M202" s="61">
        <f t="shared" si="92"/>
        <v>0.47877427959220109</v>
      </c>
      <c r="N202" s="80"/>
      <c r="O202" s="77"/>
      <c r="Q202" s="61"/>
      <c r="R202"/>
      <c r="U202" s="80"/>
      <c r="V202" s="45" t="s">
        <v>22</v>
      </c>
      <c r="W202" s="186">
        <f t="shared" si="95"/>
        <v>1.3262334209042399</v>
      </c>
      <c r="X202">
        <f t="shared" si="95"/>
        <v>0.6419695977020593</v>
      </c>
      <c r="Y202" s="87">
        <f t="shared" si="95"/>
        <v>2.2263809011431848</v>
      </c>
      <c r="Z202" s="47"/>
      <c r="AC202" s="187">
        <f t="shared" si="96"/>
        <v>0.30427505047712827</v>
      </c>
      <c r="AD202">
        <f t="shared" si="96"/>
        <v>5.4995861529141529E-2</v>
      </c>
      <c r="AE202" s="47">
        <f t="shared" si="96"/>
        <v>7.6969076218533758E-2</v>
      </c>
      <c r="AF202" s="47"/>
      <c r="AG202" s="59">
        <f t="shared" si="97"/>
        <v>-1.0219583704271116</v>
      </c>
      <c r="AI202" s="85"/>
      <c r="AK202" s="61"/>
      <c r="AM202" s="43"/>
      <c r="AP202" t="s">
        <v>23</v>
      </c>
      <c r="AQ202" s="186">
        <f t="shared" si="86"/>
        <v>0.4832734075829816</v>
      </c>
      <c r="AR202">
        <f t="shared" si="86"/>
        <v>0.23116364150509885</v>
      </c>
      <c r="AS202" s="47">
        <f t="shared" si="86"/>
        <v>-0.29780101112164015</v>
      </c>
      <c r="AT202" s="47"/>
      <c r="AW202" s="188">
        <f t="shared" si="87"/>
        <v>-2.099825152527892E-2</v>
      </c>
      <c r="AX202">
        <f t="shared" si="87"/>
        <v>-0.344093581819785</v>
      </c>
      <c r="AY202" s="282">
        <f t="shared" si="87"/>
        <v>-1.1666468033564719</v>
      </c>
      <c r="AZ202" s="47"/>
      <c r="BA202" s="61">
        <f t="shared" si="88"/>
        <v>-0.50427165910826044</v>
      </c>
      <c r="BC202" s="77"/>
      <c r="BE202" s="61"/>
      <c r="BI202" t="s">
        <v>72</v>
      </c>
      <c r="BJ202">
        <f t="shared" si="70"/>
        <v>0.81073643738858103</v>
      </c>
      <c r="BK202">
        <f t="shared" si="71"/>
        <v>0.44051552111222819</v>
      </c>
      <c r="BL202">
        <f t="shared" si="72"/>
        <v>1.049950276942472</v>
      </c>
      <c r="BM202">
        <f t="shared" si="73"/>
        <v>7.4633618296904181E-2</v>
      </c>
      <c r="BN202">
        <f t="shared" si="81"/>
        <v>-0.13816700234205509</v>
      </c>
      <c r="BO202" s="133">
        <f t="shared" si="74"/>
        <v>-0.26789264725410683</v>
      </c>
      <c r="BV202">
        <f t="shared" si="75"/>
        <v>0.52411039349513622</v>
      </c>
      <c r="BW202">
        <f t="shared" si="76"/>
        <v>0.15008068623349338</v>
      </c>
      <c r="BX202">
        <f t="shared" si="77"/>
        <v>8.8988019026343984E-2</v>
      </c>
      <c r="BY202">
        <f t="shared" si="78"/>
        <v>-0.81587664576032892</v>
      </c>
      <c r="BZ202">
        <f t="shared" si="79"/>
        <v>-0.81587664576032892</v>
      </c>
      <c r="CA202">
        <f t="shared" si="80"/>
        <v>-2.3131828391894218</v>
      </c>
    </row>
    <row r="203" spans="1:79" x14ac:dyDescent="0.25">
      <c r="A203" s="61"/>
      <c r="B203" s="100" t="s">
        <v>23</v>
      </c>
      <c r="C203" s="303">
        <f t="shared" si="89"/>
        <v>0.77941609894706765</v>
      </c>
      <c r="D203" s="80">
        <f t="shared" si="89"/>
        <v>0.35745838564503585</v>
      </c>
      <c r="E203" s="80">
        <f t="shared" si="89"/>
        <v>0.64447699476466835</v>
      </c>
      <c r="F203" s="47"/>
      <c r="I203" s="51">
        <f t="shared" si="90"/>
        <v>5.9752694209298837E-2</v>
      </c>
      <c r="J203">
        <f t="shared" si="93"/>
        <v>-0.22366209037982468</v>
      </c>
      <c r="K203">
        <f t="shared" si="91"/>
        <v>-0.62297255927997641</v>
      </c>
      <c r="L203" s="47"/>
      <c r="M203" s="61">
        <f t="shared" si="92"/>
        <v>7.6663407761297486E-2</v>
      </c>
      <c r="N203" s="80"/>
      <c r="O203" s="77"/>
      <c r="Q203" s="61"/>
      <c r="R203"/>
      <c r="U203" s="80"/>
      <c r="V203" t="s">
        <v>23</v>
      </c>
      <c r="W203" s="186">
        <f t="shared" si="95"/>
        <v>1.3020060605865404</v>
      </c>
      <c r="X203">
        <f t="shared" si="95"/>
        <v>0.62479757896076116</v>
      </c>
      <c r="Y203" s="87">
        <f t="shared" si="95"/>
        <v>2.2663446903070747</v>
      </c>
      <c r="Z203" s="47"/>
      <c r="AC203" s="187">
        <f t="shared" si="96"/>
        <v>0.54961623951908545</v>
      </c>
      <c r="AD203">
        <f t="shared" si="96"/>
        <v>0.27300127206373759</v>
      </c>
      <c r="AE203" s="47">
        <f t="shared" si="96"/>
        <v>0.73854720517082706</v>
      </c>
      <c r="AF203" s="47"/>
      <c r="AG203" s="59">
        <f t="shared" si="97"/>
        <v>-0.752389821067455</v>
      </c>
      <c r="AI203" s="85"/>
      <c r="AK203" s="61"/>
      <c r="AM203" s="43"/>
      <c r="AP203" t="s">
        <v>24</v>
      </c>
      <c r="AQ203" s="187">
        <f t="shared" si="86"/>
        <v>0.49175378277214765</v>
      </c>
      <c r="AR203">
        <f t="shared" si="86"/>
        <v>4.6417116983990002E-2</v>
      </c>
      <c r="AS203" s="47">
        <f t="shared" si="86"/>
        <v>-0.32119938485645549</v>
      </c>
      <c r="AT203" s="47"/>
      <c r="AW203" s="187">
        <f t="shared" si="87"/>
        <v>-0.78834559944681759</v>
      </c>
      <c r="AX203" s="204">
        <f t="shared" si="87"/>
        <v>-0.78834559944681759</v>
      </c>
      <c r="AY203" s="222">
        <f t="shared" si="87"/>
        <v>-2.643768064450414</v>
      </c>
      <c r="AZ203" s="47"/>
      <c r="BA203" s="61">
        <f t="shared" si="88"/>
        <v>-1.2800993822189652</v>
      </c>
      <c r="BC203" s="77"/>
      <c r="BE203" s="61"/>
      <c r="BI203" t="s">
        <v>73</v>
      </c>
      <c r="BJ203">
        <f t="shared" si="70"/>
        <v>0.78657397802382689</v>
      </c>
      <c r="BK203">
        <f t="shared" si="71"/>
        <v>0.39576308941776306</v>
      </c>
      <c r="BL203">
        <f t="shared" si="72"/>
        <v>0.88927648467522347</v>
      </c>
      <c r="BM203">
        <f t="shared" si="73"/>
        <v>0.43256846529735798</v>
      </c>
      <c r="BN203">
        <f t="shared" si="81"/>
        <v>0.12303452975350664</v>
      </c>
      <c r="BO203" s="133">
        <f t="shared" si="74"/>
        <v>0.36114397853454455</v>
      </c>
      <c r="BV203">
        <f t="shared" si="75"/>
        <v>0.52927632191922713</v>
      </c>
      <c r="BW203">
        <f t="shared" si="76"/>
        <v>0.27016622926069372</v>
      </c>
      <c r="BX203">
        <f t="shared" si="77"/>
        <v>7.9109071165097883E-2</v>
      </c>
      <c r="BY203">
        <f t="shared" si="78"/>
        <v>-0.16570648755730402</v>
      </c>
      <c r="BZ203">
        <f t="shared" si="79"/>
        <v>-0.36371274790148694</v>
      </c>
      <c r="CA203">
        <f t="shared" si="80"/>
        <v>-0.95708146348652279</v>
      </c>
    </row>
    <row r="204" spans="1:79" x14ac:dyDescent="0.25">
      <c r="A204" s="61"/>
      <c r="B204" t="s">
        <v>24</v>
      </c>
      <c r="C204" s="51">
        <f t="shared" si="89"/>
        <v>0.65297117201758903</v>
      </c>
      <c r="D204" s="80">
        <f t="shared" si="89"/>
        <v>-1.8861217359339641E-2</v>
      </c>
      <c r="E204" s="80">
        <f t="shared" si="89"/>
        <v>0.44934724250743169</v>
      </c>
      <c r="F204" s="47"/>
      <c r="I204" s="51">
        <f t="shared" si="90"/>
        <v>-0.5413621509743507</v>
      </c>
      <c r="J204">
        <f t="shared" si="93"/>
        <v>-0.77598518862713606</v>
      </c>
      <c r="K204">
        <f t="shared" si="91"/>
        <v>-1.7501122124119375</v>
      </c>
      <c r="L204" s="47"/>
      <c r="M204" s="61">
        <f t="shared" si="92"/>
        <v>-0.82907511720864768</v>
      </c>
      <c r="N204" s="80"/>
      <c r="O204" s="77"/>
      <c r="Q204" s="61"/>
      <c r="R204"/>
      <c r="U204" s="80"/>
      <c r="V204" t="s">
        <v>24</v>
      </c>
      <c r="W204" s="188">
        <f t="shared" si="95"/>
        <v>1.2616196765479355</v>
      </c>
      <c r="X204">
        <f t="shared" si="95"/>
        <v>0.7454651686707271</v>
      </c>
      <c r="Y204" s="196">
        <f t="shared" si="95"/>
        <v>2.2170214560554009</v>
      </c>
      <c r="Z204" s="47"/>
      <c r="AC204" s="187">
        <f t="shared" si="96"/>
        <v>0.86835049964796829</v>
      </c>
      <c r="AD204">
        <f t="shared" si="96"/>
        <v>0.52698506855999572</v>
      </c>
      <c r="AE204" s="47">
        <f t="shared" si="96"/>
        <v>1.399709743935718</v>
      </c>
      <c r="AF204" s="47"/>
      <c r="AG204" s="59">
        <f t="shared" si="97"/>
        <v>-0.39326917689996721</v>
      </c>
      <c r="AI204" s="85">
        <f>LOG(AI45)</f>
        <v>-0.23284413391781958</v>
      </c>
      <c r="AJ204">
        <f>LOG(AJ45)</f>
        <v>-0.37161106994968846</v>
      </c>
      <c r="AK204" s="197">
        <f>LOG(AK45)</f>
        <v>-0.7513948975155571</v>
      </c>
      <c r="AM204" s="43">
        <f>LOG(AM45)</f>
        <v>-1.1011946335657878</v>
      </c>
      <c r="AP204" t="s">
        <v>25</v>
      </c>
      <c r="AQ204" s="83">
        <f t="shared" si="86"/>
        <v>0.50280934938904187</v>
      </c>
      <c r="AR204">
        <f t="shared" si="86"/>
        <v>0.25834989251932206</v>
      </c>
      <c r="AS204" s="196">
        <f t="shared" si="86"/>
        <v>-0.23689219198250039</v>
      </c>
      <c r="AT204" s="47"/>
      <c r="AW204" s="186">
        <f t="shared" si="87"/>
        <v>-0.14098185611110575</v>
      </c>
      <c r="AX204">
        <f t="shared" si="87"/>
        <v>-0.33460664972028809</v>
      </c>
      <c r="AY204" s="222">
        <f t="shared" si="87"/>
        <v>-1.1843330976467814</v>
      </c>
      <c r="AZ204" s="47"/>
      <c r="BA204" s="61">
        <f t="shared" si="88"/>
        <v>-0.64379120550014768</v>
      </c>
      <c r="BC204" s="77"/>
      <c r="BE204" s="61"/>
      <c r="BI204" t="s">
        <v>74</v>
      </c>
      <c r="BJ204">
        <f t="shared" si="70"/>
        <v>0.78157587703391729</v>
      </c>
      <c r="BK204">
        <f t="shared" si="71"/>
        <v>0.41288035846497417</v>
      </c>
      <c r="BL204">
        <f t="shared" si="72"/>
        <v>0.91960729513929118</v>
      </c>
      <c r="BM204">
        <f t="shared" si="73"/>
        <v>-4.2153366291849882E-2</v>
      </c>
      <c r="BN204">
        <f t="shared" si="81"/>
        <v>-0.28608964587104468</v>
      </c>
      <c r="BO204" s="133">
        <f t="shared" si="74"/>
        <v>-0.47266918226642868</v>
      </c>
      <c r="BV204">
        <f t="shared" si="75"/>
        <v>0.54192853578747202</v>
      </c>
      <c r="BW204">
        <f t="shared" si="76"/>
        <v>0.21558469418161483</v>
      </c>
      <c r="BX204">
        <f t="shared" si="77"/>
        <v>7.9739063416729133E-3</v>
      </c>
      <c r="BY204">
        <f t="shared" si="78"/>
        <v>-0.94769090035267645</v>
      </c>
      <c r="BZ204">
        <f t="shared" si="79"/>
        <v>-0.94769090035267645</v>
      </c>
      <c r="CA204">
        <f t="shared" si="80"/>
        <v>-2.5505437326530784</v>
      </c>
    </row>
    <row r="205" spans="1:79" x14ac:dyDescent="0.25">
      <c r="A205" s="61"/>
      <c r="B205" s="100" t="s">
        <v>25</v>
      </c>
      <c r="C205" s="303">
        <f t="shared" si="89"/>
        <v>0.76473639195876764</v>
      </c>
      <c r="D205" s="80">
        <f t="shared" si="89"/>
        <v>0.36314170969794968</v>
      </c>
      <c r="E205" s="80">
        <f t="shared" si="89"/>
        <v>0.65887054481000262</v>
      </c>
      <c r="F205" s="47"/>
      <c r="I205" s="51">
        <f t="shared" si="90"/>
        <v>0.14535181655846088</v>
      </c>
      <c r="J205">
        <f t="shared" si="93"/>
        <v>-0.17554872996338719</v>
      </c>
      <c r="K205">
        <f t="shared" si="91"/>
        <v>-0.45787822696112501</v>
      </c>
      <c r="L205" s="47"/>
      <c r="M205" s="61">
        <f t="shared" si="92"/>
        <v>0.19006786925120966</v>
      </c>
      <c r="N205" s="80"/>
      <c r="O205" s="77"/>
      <c r="Q205" s="61"/>
      <c r="R205"/>
      <c r="U205" s="80"/>
      <c r="V205" t="s">
        <v>25</v>
      </c>
      <c r="W205" s="186">
        <f t="shared" si="95"/>
        <v>1.3286853369831511</v>
      </c>
      <c r="X205">
        <f t="shared" si="95"/>
        <v>0.6584883813090171</v>
      </c>
      <c r="Y205" s="87">
        <f t="shared" si="95"/>
        <v>2.2646222851118369</v>
      </c>
      <c r="Z205" s="47"/>
      <c r="AC205" s="187">
        <f t="shared" si="96"/>
        <v>0.3988077302032646</v>
      </c>
      <c r="AD205">
        <f t="shared" si="96"/>
        <v>0.18892848376085342</v>
      </c>
      <c r="AE205" s="47">
        <f t="shared" si="96"/>
        <v>0.47031865312374083</v>
      </c>
      <c r="AF205" s="47"/>
      <c r="AG205" s="59">
        <f t="shared" si="97"/>
        <v>-0.9298776067798864</v>
      </c>
      <c r="AI205" s="85"/>
      <c r="AK205" s="61"/>
      <c r="AP205" t="s">
        <v>26</v>
      </c>
      <c r="AQ205" s="83">
        <f t="shared" si="86"/>
        <v>0.58914502095208432</v>
      </c>
      <c r="AR205">
        <f t="shared" si="86"/>
        <v>0.17400162640242475</v>
      </c>
      <c r="AS205" s="196">
        <f t="shared" si="86"/>
        <v>-2.4248535144647681E-2</v>
      </c>
      <c r="AT205" s="47"/>
      <c r="AW205" s="186">
        <f t="shared" si="87"/>
        <v>-0.344093581819785</v>
      </c>
      <c r="AX205">
        <f t="shared" si="87"/>
        <v>-0.54852059487513816</v>
      </c>
      <c r="AY205" s="222">
        <f t="shared" si="87"/>
        <v>-1.5676560624269489</v>
      </c>
      <c r="AZ205" s="21"/>
      <c r="BA205" s="61">
        <f t="shared" si="88"/>
        <v>-0.93323860277186943</v>
      </c>
      <c r="BC205" s="77"/>
      <c r="BE205" s="61"/>
      <c r="BI205" t="s">
        <v>75</v>
      </c>
      <c r="BJ205">
        <f t="shared" si="70"/>
        <v>0.73539926996269378</v>
      </c>
      <c r="BK205">
        <f t="shared" si="71"/>
        <v>0.40096947922565562</v>
      </c>
      <c r="BL205">
        <f t="shared" si="72"/>
        <v>0.68224799467908182</v>
      </c>
      <c r="BM205">
        <f t="shared" si="73"/>
        <v>0.21152099724022955</v>
      </c>
      <c r="BN205">
        <f t="shared" si="81"/>
        <v>1.178183054810685E-2</v>
      </c>
      <c r="BO205" s="133">
        <f t="shared" si="74"/>
        <v>3.0971930476568637E-2</v>
      </c>
      <c r="BV205">
        <f t="shared" si="75"/>
        <v>0.4522159137500546</v>
      </c>
      <c r="BW205">
        <f t="shared" si="76"/>
        <v>0.4522159137500546</v>
      </c>
      <c r="BX205">
        <f t="shared" si="77"/>
        <v>-0.18071669301488436</v>
      </c>
      <c r="BY205">
        <f t="shared" si="78"/>
        <v>-0.37386502136461131</v>
      </c>
      <c r="BZ205">
        <f t="shared" si="79"/>
        <v>-0.51884412917196487</v>
      </c>
      <c r="CA205">
        <f t="shared" si="80"/>
        <v>-1.3637286328538407</v>
      </c>
    </row>
    <row r="206" spans="1:79" x14ac:dyDescent="0.25">
      <c r="A206" s="61"/>
      <c r="B206" t="s">
        <v>26</v>
      </c>
      <c r="C206" s="51">
        <f t="shared" si="89"/>
        <v>0.74566022570607582</v>
      </c>
      <c r="D206" s="80">
        <f t="shared" si="89"/>
        <v>0.22206584258858658</v>
      </c>
      <c r="E206" s="80">
        <f t="shared" si="89"/>
        <v>0.61961709118549158</v>
      </c>
      <c r="F206" s="47"/>
      <c r="H206">
        <f>LOG(H47)</f>
        <v>1.6838347211528768</v>
      </c>
      <c r="I206" s="303">
        <f t="shared" si="90"/>
        <v>-0.12061736282565741</v>
      </c>
      <c r="J206">
        <f t="shared" si="93"/>
        <v>-0.48478869567219818</v>
      </c>
      <c r="K206">
        <f t="shared" si="91"/>
        <v>-1.2198317996205523</v>
      </c>
      <c r="L206" s="21"/>
      <c r="M206" s="61">
        <f t="shared" si="92"/>
        <v>-0.16175914802407917</v>
      </c>
      <c r="N206" s="80">
        <f>LOG(N47)</f>
        <v>1.1957793657797922</v>
      </c>
      <c r="O206" s="77"/>
      <c r="Q206" s="61"/>
      <c r="R206"/>
      <c r="U206" s="80"/>
      <c r="V206" t="s">
        <v>26</v>
      </c>
      <c r="W206" s="186">
        <f t="shared" si="95"/>
        <v>1.4147227211588782</v>
      </c>
      <c r="X206">
        <f t="shared" si="95"/>
        <v>0.70113606609252654</v>
      </c>
      <c r="Y206" s="87">
        <f t="shared" si="95"/>
        <v>2.4719431200775071</v>
      </c>
      <c r="Z206" s="47"/>
      <c r="AC206" s="187"/>
      <c r="AE206" s="47"/>
      <c r="AF206" s="21"/>
      <c r="AG206" s="59"/>
      <c r="AI206" s="85"/>
      <c r="AK206" s="61"/>
      <c r="AP206" t="s">
        <v>27</v>
      </c>
      <c r="AQ206" s="83">
        <f t="shared" si="86"/>
        <v>0.55179144364366939</v>
      </c>
      <c r="AR206">
        <f t="shared" si="86"/>
        <v>0.32895013206978402</v>
      </c>
      <c r="AS206" s="196">
        <f t="shared" si="86"/>
        <v>8.4379864506007984E-2</v>
      </c>
      <c r="AT206" s="21"/>
      <c r="AV206" s="227">
        <f>LOG(AV47)</f>
        <v>-1.8416375079047504</v>
      </c>
      <c r="AW206" s="186">
        <f t="shared" si="87"/>
        <v>0.20758051476543127</v>
      </c>
      <c r="AX206">
        <f t="shared" si="87"/>
        <v>-3.4892414150944157E-2</v>
      </c>
      <c r="AY206" s="222">
        <f t="shared" si="87"/>
        <v>-0.45565197561041565</v>
      </c>
      <c r="AZ206" s="47"/>
      <c r="BA206" s="61">
        <f t="shared" si="88"/>
        <v>-0.34421092887823818</v>
      </c>
      <c r="BB206" s="226">
        <f>LOG(BB47)</f>
        <v>-1.8860566476931633</v>
      </c>
      <c r="BC206" s="77"/>
      <c r="BE206" s="61"/>
      <c r="BO206" s="133"/>
    </row>
    <row r="207" spans="1:79" x14ac:dyDescent="0.25">
      <c r="A207" s="61"/>
      <c r="B207" s="100" t="s">
        <v>27</v>
      </c>
      <c r="C207" s="303">
        <f t="shared" si="89"/>
        <v>0.93234690780991469</v>
      </c>
      <c r="D207" s="80">
        <f t="shared" si="89"/>
        <v>0.44677009520038763</v>
      </c>
      <c r="E207" s="80">
        <f t="shared" si="89"/>
        <v>1.140093033873357</v>
      </c>
      <c r="F207" s="21"/>
      <c r="H207">
        <f>LOG(H48)</f>
        <v>1.5235047970557032</v>
      </c>
      <c r="I207" s="51">
        <f t="shared" si="90"/>
        <v>0.41288035846497417</v>
      </c>
      <c r="J207">
        <f t="shared" si="93"/>
        <v>7.4633618296904181E-2</v>
      </c>
      <c r="K207">
        <f t="shared" si="91"/>
        <v>0.16232240064143277</v>
      </c>
      <c r="L207" s="47"/>
      <c r="M207" s="61">
        <f t="shared" si="92"/>
        <v>0.44283984320260278</v>
      </c>
      <c r="N207" s="80"/>
      <c r="O207" s="77"/>
      <c r="Q207" s="61"/>
      <c r="R207"/>
      <c r="U207" s="80"/>
      <c r="V207" t="s">
        <v>27</v>
      </c>
      <c r="W207" s="186">
        <f t="shared" si="95"/>
        <v>1.5633030593694119</v>
      </c>
      <c r="X207" s="204">
        <f t="shared" si="95"/>
        <v>0.97657921864010988</v>
      </c>
      <c r="Y207" s="87">
        <f t="shared" si="95"/>
        <v>2.9691588612492965</v>
      </c>
      <c r="Z207" s="21"/>
      <c r="AC207" s="187">
        <f t="shared" ref="AC207:AE208" si="99">LOG(AC48)</f>
        <v>0.72875947516787443</v>
      </c>
      <c r="AD207">
        <f t="shared" si="99"/>
        <v>0.37014284705110212</v>
      </c>
      <c r="AE207" s="47">
        <f t="shared" si="99"/>
        <v>1.2128335617872565</v>
      </c>
      <c r="AF207" s="47"/>
      <c r="AG207" s="59">
        <f>LOG(AG48)</f>
        <v>-0.8345435842015374</v>
      </c>
      <c r="AI207" s="85"/>
      <c r="AK207" s="61"/>
      <c r="AP207" t="s">
        <v>29</v>
      </c>
      <c r="AQ207" s="83">
        <f t="shared" si="86"/>
        <v>0.73181431413073494</v>
      </c>
      <c r="AR207">
        <f t="shared" si="86"/>
        <v>0.25834989251932206</v>
      </c>
      <c r="AS207" s="196">
        <f t="shared" si="86"/>
        <v>0.37567590020656316</v>
      </c>
      <c r="AT207" s="47"/>
      <c r="AW207" s="186">
        <f t="shared" si="87"/>
        <v>-9.5392636184552085E-2</v>
      </c>
      <c r="AX207">
        <f t="shared" si="87"/>
        <v>-0.344093581819785</v>
      </c>
      <c r="AY207" s="222">
        <f t="shared" si="87"/>
        <v>-1.1654251777405831</v>
      </c>
      <c r="AZ207" s="47"/>
      <c r="BA207" s="61">
        <f t="shared" si="88"/>
        <v>-0.82720695031528702</v>
      </c>
      <c r="BC207" s="77"/>
      <c r="BE207" s="61"/>
    </row>
    <row r="208" spans="1:79" x14ac:dyDescent="0.25">
      <c r="A208" s="61"/>
      <c r="B208" t="s">
        <v>29</v>
      </c>
      <c r="C208" s="51">
        <f t="shared" si="89"/>
        <v>0.87837815584985468</v>
      </c>
      <c r="D208" s="80">
        <f t="shared" si="89"/>
        <v>0.32582341900274453</v>
      </c>
      <c r="E208" s="80">
        <f t="shared" si="89"/>
        <v>0.96799654664521173</v>
      </c>
      <c r="F208" s="47"/>
      <c r="I208" s="51">
        <f t="shared" si="90"/>
        <v>-0.24603413413483965</v>
      </c>
      <c r="J208">
        <f t="shared" si="93"/>
        <v>-0.7044329000375209</v>
      </c>
      <c r="K208">
        <f t="shared" si="91"/>
        <v>-1.1571948728674715</v>
      </c>
      <c r="L208" s="47"/>
      <c r="M208" s="61">
        <f t="shared" si="92"/>
        <v>-0.28010046982190145</v>
      </c>
      <c r="N208" s="80"/>
      <c r="O208" s="77"/>
      <c r="Q208" s="61"/>
      <c r="R208"/>
      <c r="U208" s="80"/>
      <c r="V208" t="s">
        <v>29</v>
      </c>
      <c r="W208" s="186">
        <f t="shared" si="95"/>
        <v>1.653453721491571</v>
      </c>
      <c r="X208" s="204">
        <f t="shared" si="95"/>
        <v>1.0782755220866007</v>
      </c>
      <c r="Y208" s="87">
        <f t="shared" si="95"/>
        <v>3.3627083640727835</v>
      </c>
      <c r="Z208" s="47"/>
      <c r="AC208" s="189">
        <f t="shared" si="99"/>
        <v>1.1154440834362396</v>
      </c>
      <c r="AD208" s="204">
        <f t="shared" si="99"/>
        <v>0.59383966108127129</v>
      </c>
      <c r="AE208" s="194">
        <f t="shared" si="99"/>
        <v>2.116714893264648</v>
      </c>
      <c r="AF208" s="47"/>
      <c r="AG208" s="59">
        <f>LOG(AG49)</f>
        <v>-0.53800963805533142</v>
      </c>
      <c r="AI208" s="85"/>
      <c r="AK208" s="61"/>
      <c r="AP208" t="s">
        <v>30</v>
      </c>
      <c r="AQ208" s="83">
        <f t="shared" si="86"/>
        <v>0.61519226737396582</v>
      </c>
      <c r="AR208">
        <f t="shared" si="86"/>
        <v>0.35846786387692053</v>
      </c>
      <c r="AS208" s="196">
        <f t="shared" si="86"/>
        <v>0.24755732965395974</v>
      </c>
      <c r="AT208" s="21"/>
      <c r="AW208" s="186">
        <f t="shared" si="87"/>
        <v>0.22860565035509176</v>
      </c>
      <c r="AX208">
        <f t="shared" si="87"/>
        <v>-7.9459283497520267E-2</v>
      </c>
      <c r="AY208" s="222">
        <f t="shared" si="87"/>
        <v>-0.4213447248709245</v>
      </c>
      <c r="AZ208" s="47"/>
      <c r="BA208" s="61">
        <f t="shared" si="88"/>
        <v>-0.38658661701887398</v>
      </c>
      <c r="BC208" s="77"/>
      <c r="BE208" s="61"/>
    </row>
    <row r="209" spans="1:57" x14ac:dyDescent="0.25">
      <c r="A209" s="61"/>
      <c r="B209" s="100" t="s">
        <v>30</v>
      </c>
      <c r="C209" s="303">
        <f t="shared" si="89"/>
        <v>0.93689057068639914</v>
      </c>
      <c r="D209" s="80">
        <f t="shared" si="89"/>
        <v>0.4244732731953344</v>
      </c>
      <c r="E209" s="80">
        <f t="shared" si="89"/>
        <v>1.251647952428401</v>
      </c>
      <c r="F209" s="21"/>
      <c r="I209" s="51">
        <f t="shared" si="90"/>
        <v>0.20884428934073798</v>
      </c>
      <c r="J209">
        <f t="shared" si="93"/>
        <v>-8.7512238667676309E-2</v>
      </c>
      <c r="K209">
        <f t="shared" si="91"/>
        <v>-0.12514203400113205</v>
      </c>
      <c r="L209" s="47"/>
      <c r="M209" s="61">
        <f t="shared" si="92"/>
        <v>0.22291214777381235</v>
      </c>
      <c r="N209" s="80"/>
      <c r="O209" s="77"/>
      <c r="Q209" s="61"/>
      <c r="R209"/>
      <c r="U209" s="80"/>
      <c r="V209" t="s">
        <v>30</v>
      </c>
      <c r="W209" s="186">
        <f t="shared" si="95"/>
        <v>1.5822338639209927</v>
      </c>
      <c r="X209" s="204">
        <f t="shared" si="95"/>
        <v>0.88677264305443815</v>
      </c>
      <c r="Y209" s="87">
        <f t="shared" si="95"/>
        <v>3.1245715286203777</v>
      </c>
      <c r="Z209" s="21"/>
      <c r="AC209" s="187"/>
      <c r="AE209" s="47"/>
      <c r="AF209" s="47"/>
      <c r="AG209" s="59"/>
      <c r="AI209" s="85"/>
      <c r="AK209" s="61"/>
      <c r="AP209" t="s">
        <v>31</v>
      </c>
      <c r="AQ209" s="83">
        <f t="shared" si="86"/>
        <v>0.62867495926263806</v>
      </c>
      <c r="AR209">
        <f t="shared" si="86"/>
        <v>0.19667350048806045</v>
      </c>
      <c r="AS209" s="196">
        <f t="shared" si="86"/>
        <v>0.21696628581287231</v>
      </c>
      <c r="AT209" s="21"/>
      <c r="AW209" s="186">
        <f t="shared" si="87"/>
        <v>-0.51884412917196487</v>
      </c>
      <c r="AX209">
        <f t="shared" si="87"/>
        <v>-0.6330170240221491</v>
      </c>
      <c r="AY209" s="222">
        <f t="shared" si="87"/>
        <v>-1.8676605466094278</v>
      </c>
      <c r="AZ209" s="21"/>
      <c r="BA209" s="61">
        <f t="shared" si="88"/>
        <v>-1.1475190884346029</v>
      </c>
      <c r="BC209" s="77"/>
      <c r="BE209" s="61"/>
    </row>
    <row r="210" spans="1:57" x14ac:dyDescent="0.25">
      <c r="A210" s="61"/>
      <c r="B210" s="100" t="s">
        <v>31</v>
      </c>
      <c r="C210" s="303">
        <f t="shared" si="89"/>
        <v>0.8601882240270351</v>
      </c>
      <c r="D210" s="80">
        <f t="shared" si="89"/>
        <v>0.48536646570832309</v>
      </c>
      <c r="E210" s="80">
        <f t="shared" si="89"/>
        <v>1.0551221138184892</v>
      </c>
      <c r="F210" s="21"/>
      <c r="I210" s="304">
        <f t="shared" si="90"/>
        <v>0.41954272470027981</v>
      </c>
      <c r="J210">
        <f t="shared" si="93"/>
        <v>0.13592733500546836</v>
      </c>
      <c r="K210">
        <f t="shared" si="91"/>
        <v>0.40043782245396109</v>
      </c>
      <c r="L210" s="21"/>
      <c r="M210" s="61">
        <f t="shared" si="92"/>
        <v>0.48773362966556244</v>
      </c>
      <c r="N210" s="80"/>
      <c r="O210" s="77"/>
      <c r="Q210" s="61"/>
      <c r="R210"/>
      <c r="U210" s="80"/>
      <c r="V210" t="s">
        <v>31</v>
      </c>
      <c r="W210" s="83">
        <f t="shared" si="95"/>
        <v>1.4477005604345132</v>
      </c>
      <c r="X210">
        <f t="shared" si="95"/>
        <v>0.84354421194563523</v>
      </c>
      <c r="Y210" s="195">
        <f t="shared" si="95"/>
        <v>2.8396505304732744</v>
      </c>
      <c r="Z210" s="21"/>
      <c r="AC210" s="187">
        <f t="shared" ref="AC210:AE211" si="100">LOG(AC51)</f>
        <v>0.94767873993693652</v>
      </c>
      <c r="AD210">
        <f t="shared" si="100"/>
        <v>0.54095480892613268</v>
      </c>
      <c r="AE210" s="47">
        <f t="shared" si="100"/>
        <v>1.9594389095446108</v>
      </c>
      <c r="AF210" s="21"/>
      <c r="AG210" s="59">
        <f>LOG(AG51)</f>
        <v>-0.50002182049757682</v>
      </c>
      <c r="AI210" s="85"/>
      <c r="AK210" s="61"/>
      <c r="AP210" t="s">
        <v>32</v>
      </c>
      <c r="AQ210" s="83">
        <f t="shared" si="86"/>
        <v>0.56970155541097356</v>
      </c>
      <c r="AR210">
        <f t="shared" si="86"/>
        <v>0.31022584918350238</v>
      </c>
      <c r="AS210" s="196">
        <f t="shared" si="86"/>
        <v>0.17255724616437479</v>
      </c>
      <c r="AT210" s="47"/>
      <c r="AW210" s="186">
        <f t="shared" si="87"/>
        <v>-7.4275473063937419E-2</v>
      </c>
      <c r="AX210">
        <f t="shared" si="87"/>
        <v>-0.2734357838377553</v>
      </c>
      <c r="AY210" s="222">
        <f t="shared" si="87"/>
        <v>-0.76993191744108858</v>
      </c>
      <c r="AZ210" s="47"/>
      <c r="BA210" s="61">
        <f t="shared" si="88"/>
        <v>-0.64397702847491101</v>
      </c>
      <c r="BC210" s="77"/>
      <c r="BE210" s="61"/>
    </row>
    <row r="211" spans="1:57" x14ac:dyDescent="0.25">
      <c r="A211" s="61"/>
      <c r="B211" t="s">
        <v>32</v>
      </c>
      <c r="C211" s="51">
        <f t="shared" si="89"/>
        <v>0.77213826660112039</v>
      </c>
      <c r="D211" s="80">
        <f t="shared" si="89"/>
        <v>0.33395080438724722</v>
      </c>
      <c r="E211" s="80">
        <f t="shared" si="89"/>
        <v>0.9850090454373398</v>
      </c>
      <c r="F211" s="47"/>
      <c r="I211" s="51">
        <f t="shared" si="90"/>
        <v>-0.2093630380682967</v>
      </c>
      <c r="J211">
        <f t="shared" si="93"/>
        <v>-0.40066286700751097</v>
      </c>
      <c r="K211">
        <f t="shared" si="91"/>
        <v>-0.92013889168388885</v>
      </c>
      <c r="L211" s="47"/>
      <c r="M211" s="61">
        <f t="shared" si="92"/>
        <v>-0.27114708223164874</v>
      </c>
      <c r="N211" s="80"/>
      <c r="O211" s="77"/>
      <c r="Q211" s="61"/>
      <c r="R211"/>
      <c r="U211" s="80"/>
      <c r="V211" t="s">
        <v>32</v>
      </c>
      <c r="W211" s="186">
        <f t="shared" si="95"/>
        <v>1.4170562991191105</v>
      </c>
      <c r="X211">
        <f t="shared" si="95"/>
        <v>0.72139837552150532</v>
      </c>
      <c r="Y211" s="87">
        <f t="shared" si="95"/>
        <v>2.755855479396903</v>
      </c>
      <c r="Z211" s="47"/>
      <c r="AC211" s="187">
        <f t="shared" si="100"/>
        <v>0.17172645365323111</v>
      </c>
      <c r="AD211">
        <f t="shared" si="100"/>
        <v>-6.5637695023883225E-3</v>
      </c>
      <c r="AE211" s="47">
        <f t="shared" si="100"/>
        <v>0.4243207081245175</v>
      </c>
      <c r="AF211" s="47"/>
      <c r="AG211" s="59">
        <f>LOG(AG52)</f>
        <v>-1.2453298454658792</v>
      </c>
      <c r="AI211" s="85"/>
      <c r="AK211" s="61"/>
      <c r="AP211" t="s">
        <v>72</v>
      </c>
      <c r="AQ211" s="186">
        <f t="shared" si="86"/>
        <v>0.52411039349513622</v>
      </c>
      <c r="AR211">
        <f t="shared" si="86"/>
        <v>0.15008068623349338</v>
      </c>
      <c r="AS211" s="47">
        <f t="shared" si="86"/>
        <v>8.8988019026343984E-2</v>
      </c>
      <c r="AT211" s="61"/>
      <c r="AW211" s="186">
        <f t="shared" si="87"/>
        <v>-0.81587664576032892</v>
      </c>
      <c r="AX211" s="204">
        <f t="shared" si="87"/>
        <v>-0.81587664576032892</v>
      </c>
      <c r="AY211" s="222">
        <f t="shared" si="87"/>
        <v>-2.3131828391894218</v>
      </c>
      <c r="AZ211" s="61"/>
      <c r="BA211" s="61">
        <f t="shared" si="88"/>
        <v>-1.3399870392554651</v>
      </c>
      <c r="BC211" s="52"/>
      <c r="BE211" s="47"/>
    </row>
    <row r="212" spans="1:57" x14ac:dyDescent="0.25">
      <c r="A212" s="61"/>
      <c r="B212" t="s">
        <v>72</v>
      </c>
      <c r="C212" s="51">
        <f t="shared" si="89"/>
        <v>0.81073643738858103</v>
      </c>
      <c r="D212" s="80">
        <f t="shared" si="89"/>
        <v>0.44051552111222819</v>
      </c>
      <c r="E212" s="80">
        <f t="shared" si="89"/>
        <v>1.049950276942472</v>
      </c>
      <c r="F212" s="61"/>
      <c r="I212" s="51">
        <f t="shared" si="90"/>
        <v>7.4633618296904181E-2</v>
      </c>
      <c r="J212">
        <f t="shared" si="93"/>
        <v>-0.13816700234205509</v>
      </c>
      <c r="K212">
        <f t="shared" si="91"/>
        <v>-0.26789264725410683</v>
      </c>
      <c r="L212" s="61"/>
      <c r="M212" s="61">
        <f t="shared" si="92"/>
        <v>9.2056573326471505E-2</v>
      </c>
      <c r="N212" s="80"/>
      <c r="O212" s="52"/>
      <c r="Q212" s="47"/>
      <c r="R212"/>
      <c r="U212" s="80"/>
      <c r="V212" t="s">
        <v>72</v>
      </c>
      <c r="W212" s="82"/>
      <c r="Y212" s="87"/>
      <c r="Z212" s="61"/>
      <c r="AC212" s="187"/>
      <c r="AE212" s="47"/>
      <c r="AF212" s="61"/>
      <c r="AG212" s="59"/>
      <c r="AI212" s="85"/>
      <c r="AK212" s="47"/>
      <c r="AP212" t="s">
        <v>73</v>
      </c>
      <c r="AQ212" s="83">
        <f t="shared" si="86"/>
        <v>0.52927632191922713</v>
      </c>
      <c r="AR212">
        <f t="shared" si="86"/>
        <v>0.27016622926069372</v>
      </c>
      <c r="AS212" s="196">
        <f t="shared" si="86"/>
        <v>7.9109071165097883E-2</v>
      </c>
      <c r="AT212" s="21"/>
      <c r="AV212">
        <f>LOG(AV53)</f>
        <v>-1.8386319977650252</v>
      </c>
      <c r="AW212" s="186">
        <f t="shared" si="87"/>
        <v>-0.16570648755730402</v>
      </c>
      <c r="AX212">
        <f t="shared" si="87"/>
        <v>-0.36371274790148694</v>
      </c>
      <c r="AY212" s="222">
        <f t="shared" si="87"/>
        <v>-0.95708146348652279</v>
      </c>
      <c r="AZ212" s="61"/>
      <c r="BA212" s="61">
        <f t="shared" si="88"/>
        <v>-0.69498280947653113</v>
      </c>
      <c r="BC212" s="79"/>
      <c r="BE212" s="47"/>
    </row>
    <row r="213" spans="1:57" x14ac:dyDescent="0.25">
      <c r="A213" s="61"/>
      <c r="B213" s="100" t="s">
        <v>73</v>
      </c>
      <c r="C213" s="303">
        <f t="shared" si="89"/>
        <v>0.78657397802382689</v>
      </c>
      <c r="D213" s="80">
        <f t="shared" si="89"/>
        <v>0.39576308941776306</v>
      </c>
      <c r="E213" s="80">
        <f t="shared" si="89"/>
        <v>0.88927648467522347</v>
      </c>
      <c r="F213" s="21"/>
      <c r="H213">
        <f>LOG(H54)</f>
        <v>1.5067114388269238</v>
      </c>
      <c r="I213" s="51">
        <f t="shared" si="90"/>
        <v>0.43256846529735798</v>
      </c>
      <c r="J213">
        <f t="shared" si="93"/>
        <v>0.12303452975350664</v>
      </c>
      <c r="K213">
        <f t="shared" si="91"/>
        <v>0.36114397853454455</v>
      </c>
      <c r="L213" s="61"/>
      <c r="M213" s="61">
        <f t="shared" si="92"/>
        <v>0.54993996417747582</v>
      </c>
      <c r="N213" s="80"/>
      <c r="O213" s="79"/>
      <c r="Q213" s="47"/>
      <c r="R213"/>
      <c r="U213" s="80"/>
      <c r="V213" t="s">
        <v>73</v>
      </c>
      <c r="W213" s="186"/>
      <c r="Y213" s="87"/>
      <c r="Z213" s="21"/>
      <c r="AC213" s="187"/>
      <c r="AE213" s="47"/>
      <c r="AF213" s="61"/>
      <c r="AG213" s="59"/>
      <c r="AI213" s="85"/>
      <c r="AK213" s="47"/>
      <c r="AP213" t="s">
        <v>74</v>
      </c>
      <c r="AQ213" s="186">
        <f t="shared" si="86"/>
        <v>0.54192853578747202</v>
      </c>
      <c r="AR213">
        <f t="shared" si="86"/>
        <v>0.21558469418161483</v>
      </c>
      <c r="AS213" s="47">
        <f t="shared" si="86"/>
        <v>7.9739063416729133E-3</v>
      </c>
      <c r="AT213" s="61"/>
      <c r="AV213">
        <f>LOG(AV54)</f>
        <v>-1.9030899869919435</v>
      </c>
      <c r="AW213" s="186">
        <f t="shared" si="87"/>
        <v>-0.94769090035267645</v>
      </c>
      <c r="AX213" s="204">
        <f t="shared" si="87"/>
        <v>-0.94769090035267645</v>
      </c>
      <c r="AY213" s="222">
        <f t="shared" si="87"/>
        <v>-2.5505437326530784</v>
      </c>
      <c r="AZ213" s="61"/>
      <c r="BA213" s="61">
        <f t="shared" si="88"/>
        <v>-1.4896194361401485</v>
      </c>
      <c r="BC213" s="52"/>
      <c r="BE213" s="47"/>
    </row>
    <row r="214" spans="1:57" x14ac:dyDescent="0.25">
      <c r="A214" s="61"/>
      <c r="B214" t="s">
        <v>74</v>
      </c>
      <c r="C214" s="51">
        <f t="shared" si="89"/>
        <v>0.78157587703391729</v>
      </c>
      <c r="D214" s="80">
        <f t="shared" si="89"/>
        <v>0.41288035846497417</v>
      </c>
      <c r="E214" s="80">
        <f t="shared" si="89"/>
        <v>0.91960729513929118</v>
      </c>
      <c r="F214" s="61"/>
      <c r="H214">
        <f>LOG(H55)</f>
        <v>1.6831916593682086</v>
      </c>
      <c r="I214" s="51">
        <f t="shared" si="90"/>
        <v>-4.2153366291849882E-2</v>
      </c>
      <c r="J214">
        <f t="shared" si="93"/>
        <v>-0.28608964587104468</v>
      </c>
      <c r="K214">
        <f t="shared" si="91"/>
        <v>-0.47266918226642868</v>
      </c>
      <c r="L214" s="61"/>
      <c r="M214" s="61">
        <f t="shared" si="92"/>
        <v>-5.3933811841560451E-2</v>
      </c>
      <c r="N214" s="80">
        <f>LOG(N55)</f>
        <v>1.5277372799221394</v>
      </c>
      <c r="O214" s="52"/>
      <c r="Q214" s="47"/>
      <c r="R214"/>
      <c r="U214" s="80"/>
      <c r="V214" t="s">
        <v>74</v>
      </c>
      <c r="W214" s="82"/>
      <c r="Y214" s="87"/>
      <c r="Z214" s="61"/>
      <c r="AC214" s="187"/>
      <c r="AE214" s="47"/>
      <c r="AF214" s="61"/>
      <c r="AG214" s="59"/>
      <c r="AI214" s="85"/>
      <c r="AK214" s="47"/>
      <c r="AP214" t="s">
        <v>75</v>
      </c>
      <c r="AQ214" s="83">
        <f t="shared" si="86"/>
        <v>0.4522159137500546</v>
      </c>
      <c r="AR214">
        <f t="shared" si="86"/>
        <v>0.4522159137500546</v>
      </c>
      <c r="AS214" s="196">
        <f t="shared" si="86"/>
        <v>-0.18071669301488436</v>
      </c>
      <c r="AT214" s="61"/>
      <c r="AW214" s="186">
        <f t="shared" si="87"/>
        <v>-0.37386502136461131</v>
      </c>
      <c r="AX214">
        <f t="shared" si="87"/>
        <v>-0.51884412917196487</v>
      </c>
      <c r="AY214" s="222">
        <f t="shared" si="87"/>
        <v>-1.3637286328538407</v>
      </c>
      <c r="AZ214" s="61"/>
      <c r="BA214" s="61">
        <f t="shared" si="88"/>
        <v>-0.82608093511466596</v>
      </c>
      <c r="BC214" s="79"/>
      <c r="BE214" s="47"/>
    </row>
    <row r="215" spans="1:57" x14ac:dyDescent="0.25">
      <c r="A215" s="61"/>
      <c r="B215" t="s">
        <v>75</v>
      </c>
      <c r="C215" s="50">
        <f t="shared" si="89"/>
        <v>0.73539926996269378</v>
      </c>
      <c r="D215" s="80">
        <f t="shared" si="89"/>
        <v>0.40096947922565562</v>
      </c>
      <c r="E215" s="80">
        <f t="shared" si="89"/>
        <v>0.68224799467908182</v>
      </c>
      <c r="F215" s="61"/>
      <c r="I215" s="51">
        <f t="shared" si="90"/>
        <v>0.21152099724022955</v>
      </c>
      <c r="J215">
        <f t="shared" si="93"/>
        <v>1.178183054810685E-2</v>
      </c>
      <c r="K215">
        <f t="shared" si="91"/>
        <v>3.0971930476568637E-2</v>
      </c>
      <c r="L215" s="61"/>
      <c r="M215" s="61">
        <f t="shared" si="92"/>
        <v>0.28762742346883191</v>
      </c>
      <c r="N215" s="80"/>
      <c r="O215" s="79"/>
      <c r="Q215" s="47"/>
      <c r="R215"/>
      <c r="U215" s="80"/>
      <c r="V215" t="s">
        <v>75</v>
      </c>
      <c r="W215" s="82"/>
      <c r="Y215" s="87"/>
      <c r="Z215" s="61"/>
      <c r="AC215" s="187"/>
      <c r="AE215" s="47"/>
      <c r="AF215" s="61"/>
      <c r="AG215" s="59"/>
      <c r="AI215" s="85"/>
      <c r="AK215" s="47"/>
      <c r="AS215" s="80"/>
      <c r="AY215" s="80"/>
      <c r="AZ215" s="58" t="s">
        <v>39</v>
      </c>
      <c r="BA215" s="60">
        <f>(BA195+BA196+BA197+BA198+BA199+BA200+BA201+BA202+BA203+BA204+BA205+BA206+BA207+BA208+BA209+BA210+BA211+BA212+BA213+BA214)/20</f>
        <v>-0.79331939995629863</v>
      </c>
      <c r="BE215" s="80"/>
    </row>
    <row r="216" spans="1:57" x14ac:dyDescent="0.25">
      <c r="A216" s="61"/>
      <c r="B216" s="80" t="s">
        <v>39</v>
      </c>
      <c r="C216" s="285">
        <f>AVERAGE(C165:C215)</f>
        <v>0.87543489568824528</v>
      </c>
      <c r="D216" s="285">
        <f>AVERAGE(D165:D215)</f>
        <v>0.39294296793765426</v>
      </c>
      <c r="E216" s="80">
        <f>AVERAGE(E165:E215)</f>
        <v>0.96891190458463972</v>
      </c>
      <c r="H216"/>
      <c r="K216" s="80"/>
      <c r="L216" s="58" t="s">
        <v>39</v>
      </c>
      <c r="M216" s="60">
        <f>(M196+M197+M198+M199+M200+M201+M202+M203+M204+M205+M206+M207+M208+M209+M210+M211+M212+M213+M214+M215)/20</f>
        <v>0.16697766749023851</v>
      </c>
      <c r="N216" s="80"/>
      <c r="Q216" s="80"/>
      <c r="R216"/>
      <c r="U216" s="80"/>
      <c r="Y216" s="80"/>
      <c r="AE216" s="80"/>
      <c r="AF216" s="58" t="s">
        <v>39</v>
      </c>
      <c r="AG216" s="60">
        <f>(AG197+AG199+AG200+AG201+AG202+AG203+AG204+AG205+AG207+AG208+AG210+AG211)/12</f>
        <v>-0.74419203584240012</v>
      </c>
      <c r="AK216" s="80"/>
      <c r="AM216" s="60">
        <f>(AM199+AM204)/2</f>
        <v>-1.0043894034202354</v>
      </c>
      <c r="AP216" t="s">
        <v>39</v>
      </c>
      <c r="AQ216" s="286">
        <f>AVERAGE(AQ164:AQ210)</f>
        <v>0.57910588665170226</v>
      </c>
      <c r="AR216" s="286">
        <f>AVERAGE(AR164:AR210)</f>
        <v>0.23549667090085552</v>
      </c>
      <c r="AS216">
        <f>AVERAGE(AS164:AS210)</f>
        <v>7.2724417916124398E-2</v>
      </c>
    </row>
    <row r="217" spans="1:57" x14ac:dyDescent="0.25">
      <c r="A217" s="61"/>
      <c r="E217" s="80"/>
      <c r="H217"/>
      <c r="K217" s="80"/>
      <c r="L217"/>
      <c r="N217" s="80"/>
      <c r="Q217" s="80"/>
      <c r="R217"/>
      <c r="U217" s="80"/>
      <c r="V217" t="s">
        <v>39</v>
      </c>
      <c r="W217" s="286">
        <f>AVERAGE(W165:W211)</f>
        <v>1.4744694233795632</v>
      </c>
      <c r="X217" s="286">
        <f>AVERAGE(X165:X211)</f>
        <v>0.81282464610754945</v>
      </c>
      <c r="Y217">
        <f>AVERAGE(Y165:Y211)</f>
        <v>2.6965410031301462</v>
      </c>
    </row>
    <row r="218" spans="1:57" x14ac:dyDescent="0.25">
      <c r="A218" s="61"/>
      <c r="C218" t="s">
        <v>275</v>
      </c>
      <c r="E218" t="s">
        <v>247</v>
      </c>
      <c r="I218" t="s">
        <v>249</v>
      </c>
      <c r="K218" t="s">
        <v>275</v>
      </c>
      <c r="M218" t="s">
        <v>247</v>
      </c>
      <c r="V218" t="s">
        <v>248</v>
      </c>
      <c r="X218" t="s">
        <v>275</v>
      </c>
      <c r="Y218" s="80"/>
      <c r="Z218" t="s">
        <v>247</v>
      </c>
      <c r="AC218" t="s">
        <v>249</v>
      </c>
      <c r="AE218" t="s">
        <v>275</v>
      </c>
      <c r="AF218" s="80"/>
      <c r="AG218" t="s">
        <v>247</v>
      </c>
      <c r="AP218" t="s">
        <v>248</v>
      </c>
      <c r="AR218" t="s">
        <v>275</v>
      </c>
      <c r="AS218" s="80"/>
      <c r="AT218" t="s">
        <v>247</v>
      </c>
      <c r="AW218" t="s">
        <v>249</v>
      </c>
      <c r="AY218" t="s">
        <v>275</v>
      </c>
      <c r="AZ218" s="80"/>
      <c r="BA218" t="s">
        <v>247</v>
      </c>
    </row>
    <row r="219" spans="1:57" x14ac:dyDescent="0.25">
      <c r="A219" s="61"/>
      <c r="B219" t="s">
        <v>245</v>
      </c>
      <c r="C219" t="s">
        <v>244</v>
      </c>
      <c r="E219" t="s">
        <v>245</v>
      </c>
      <c r="F219" t="s">
        <v>244</v>
      </c>
      <c r="J219" t="s">
        <v>245</v>
      </c>
      <c r="K219" t="s">
        <v>244</v>
      </c>
      <c r="M219" t="s">
        <v>245</v>
      </c>
      <c r="N219" t="s">
        <v>244</v>
      </c>
      <c r="W219" t="s">
        <v>245</v>
      </c>
      <c r="X219" t="s">
        <v>244</v>
      </c>
      <c r="Y219" s="80"/>
      <c r="Z219" t="s">
        <v>245</v>
      </c>
      <c r="AA219" t="s">
        <v>244</v>
      </c>
      <c r="AD219" t="s">
        <v>245</v>
      </c>
      <c r="AE219" t="s">
        <v>244</v>
      </c>
      <c r="AF219" s="80"/>
      <c r="AG219" t="s">
        <v>245</v>
      </c>
      <c r="AH219" t="s">
        <v>244</v>
      </c>
      <c r="AQ219" t="s">
        <v>245</v>
      </c>
      <c r="AR219" t="s">
        <v>244</v>
      </c>
      <c r="AS219" s="80"/>
      <c r="AT219" t="s">
        <v>245</v>
      </c>
      <c r="AU219" t="s">
        <v>244</v>
      </c>
      <c r="AX219" t="s">
        <v>245</v>
      </c>
      <c r="AY219" t="s">
        <v>244</v>
      </c>
      <c r="AZ219" s="80"/>
      <c r="BA219" t="s">
        <v>245</v>
      </c>
      <c r="BB219" t="s">
        <v>244</v>
      </c>
    </row>
    <row r="220" spans="1:57" x14ac:dyDescent="0.25">
      <c r="A220" s="61"/>
      <c r="B220">
        <f>RSQ(BJ165:BJ205,BL165:BL205)</f>
        <v>0.78531247046768848</v>
      </c>
      <c r="C220">
        <f>FDIST(38*B220/(1-B220),1,38)</f>
        <v>2.904543943022556E-14</v>
      </c>
      <c r="E220">
        <f>RSQ(BK165:BK206,BL165:BL206)</f>
        <v>0.31722895429493991</v>
      </c>
      <c r="F220">
        <f>FDIST(38*E220/(1-E220),1,38)</f>
        <v>1.544501419127351E-4</v>
      </c>
      <c r="J220">
        <f>RSQ(BM165:BM205,BO165:BO205)</f>
        <v>0.91361620066830107</v>
      </c>
      <c r="K220">
        <f>FDIST(38*J220/(1-J220),1,38)</f>
        <v>8.3176817774018573E-22</v>
      </c>
      <c r="M220" s="100">
        <f>RSQ(BN165:BN205,BO165:BO205)</f>
        <v>0.89933518514308475</v>
      </c>
      <c r="N220">
        <f>FDIST(37*M220/(1-M220),1,37)</f>
        <v>4.8971526029006736E-20</v>
      </c>
      <c r="W220">
        <f>RSQ(BP165:BP201,BR165:BR201)</f>
        <v>0.55668045841114988</v>
      </c>
      <c r="X220">
        <f>FDIST(29*W220/(1-W220),1,29)</f>
        <v>1.4488827446063306E-6</v>
      </c>
      <c r="Y220" s="80"/>
      <c r="Z220">
        <f>RSQ(BQ165:BQ201,BR165:BR201)</f>
        <v>0.78765698670655948</v>
      </c>
      <c r="AA220">
        <f>FDIST(29*Z220/(1-Z220),1,29)</f>
        <v>2.8653428882982828E-11</v>
      </c>
      <c r="AD220">
        <f>RSQ(BS165:BS201,BU165:BU201)</f>
        <v>0.90041956599959905</v>
      </c>
      <c r="AE220">
        <f>FDIST(23*AD220/(1-AD220),1,23)</f>
        <v>5.2027570721436428E-13</v>
      </c>
      <c r="AF220" s="80"/>
      <c r="AG220">
        <f>RSQ(BT165:BT201,BU165:BU201)</f>
        <v>0.81885729218799452</v>
      </c>
      <c r="AH220">
        <f>FDIST(23*AG220/(1-AG220),1,23)</f>
        <v>5.2871861925452236E-10</v>
      </c>
      <c r="AQ220">
        <f>RSQ(BV165:BV205,BX165:BX205)</f>
        <v>0.80263824209092172</v>
      </c>
      <c r="AR220">
        <f>FDIST(39*AQ220/(1-AQ220),1,39)</f>
        <v>2.5493185183563989E-15</v>
      </c>
      <c r="AS220" s="80"/>
      <c r="AT220">
        <f>RSQ(BW165:BW205,BX165:BX205)</f>
        <v>0.32870131163496669</v>
      </c>
      <c r="AU220">
        <f>FDIST(39*AT220/(1-AT220),1,39)</f>
        <v>8.9239206651289387E-5</v>
      </c>
      <c r="AX220">
        <f>RSQ(BY165:BY205,CA165:CA205)</f>
        <v>0.95007785815167201</v>
      </c>
      <c r="AY220">
        <f>FDIST(38*AX220/(1-AX220),1,38)</f>
        <v>2.4395742208003466E-26</v>
      </c>
      <c r="AZ220" s="80"/>
      <c r="BA220">
        <f>RSQ(BZ165:BZ205,CA165:CA205)</f>
        <v>0.93548789406997834</v>
      </c>
      <c r="BB220">
        <f>FDIST(38*BA220/(1-BA220),1,38)</f>
        <v>3.2070797327931568E-24</v>
      </c>
    </row>
    <row r="221" spans="1:57" x14ac:dyDescent="0.25">
      <c r="A221" s="61"/>
    </row>
    <row r="222" spans="1:57" x14ac:dyDescent="0.25">
      <c r="D222"/>
      <c r="H222"/>
      <c r="L222"/>
      <c r="R222"/>
    </row>
    <row r="223" spans="1:57" x14ac:dyDescent="0.25">
      <c r="D223"/>
      <c r="H223"/>
      <c r="L223"/>
      <c r="R223"/>
    </row>
    <row r="224" spans="1:57" x14ac:dyDescent="0.25">
      <c r="D224"/>
      <c r="H224"/>
      <c r="L224"/>
      <c r="R224"/>
    </row>
    <row r="225" spans="2:18" x14ac:dyDescent="0.25">
      <c r="D225"/>
      <c r="H225"/>
      <c r="L225"/>
      <c r="R225"/>
    </row>
    <row r="226" spans="2:18" x14ac:dyDescent="0.25">
      <c r="D226"/>
      <c r="H226"/>
      <c r="L226"/>
      <c r="R226"/>
    </row>
    <row r="227" spans="2:18" x14ac:dyDescent="0.25">
      <c r="D227"/>
      <c r="H227"/>
      <c r="L227"/>
      <c r="R227"/>
    </row>
    <row r="228" spans="2:18" x14ac:dyDescent="0.25">
      <c r="D228"/>
      <c r="H228"/>
      <c r="L228"/>
      <c r="R228"/>
    </row>
    <row r="229" spans="2:18" x14ac:dyDescent="0.25">
      <c r="D229"/>
      <c r="H229"/>
      <c r="L229"/>
      <c r="R229"/>
    </row>
    <row r="230" spans="2:18" x14ac:dyDescent="0.25">
      <c r="D230"/>
      <c r="H230"/>
      <c r="L230"/>
      <c r="R230"/>
    </row>
    <row r="231" spans="2:18" x14ac:dyDescent="0.25">
      <c r="D231"/>
      <c r="H231"/>
      <c r="L231"/>
      <c r="R231"/>
    </row>
    <row r="232" spans="2:18" x14ac:dyDescent="0.25">
      <c r="D232"/>
      <c r="H232"/>
      <c r="L232"/>
      <c r="R232"/>
    </row>
    <row r="233" spans="2:18" x14ac:dyDescent="0.25">
      <c r="D233"/>
      <c r="H233"/>
      <c r="L233"/>
      <c r="R233"/>
    </row>
    <row r="234" spans="2:18" x14ac:dyDescent="0.25">
      <c r="D234"/>
      <c r="H234"/>
      <c r="L234"/>
      <c r="R234"/>
    </row>
    <row r="235" spans="2:18" x14ac:dyDescent="0.25">
      <c r="E235" t="s">
        <v>250</v>
      </c>
      <c r="N235" t="s">
        <v>250</v>
      </c>
    </row>
    <row r="236" spans="2:18" x14ac:dyDescent="0.25">
      <c r="C236" t="s">
        <v>274</v>
      </c>
      <c r="D236" s="80" t="s">
        <v>93</v>
      </c>
      <c r="E236" t="s">
        <v>274</v>
      </c>
      <c r="F236" s="80" t="s">
        <v>93</v>
      </c>
      <c r="H236" s="80" t="s">
        <v>276</v>
      </c>
      <c r="L236" t="s">
        <v>251</v>
      </c>
      <c r="M236" t="s">
        <v>284</v>
      </c>
      <c r="N236" t="s">
        <v>284</v>
      </c>
      <c r="P236" t="s">
        <v>216</v>
      </c>
      <c r="Q236" t="s">
        <v>289</v>
      </c>
    </row>
    <row r="237" spans="2:18" x14ac:dyDescent="0.25">
      <c r="B237" t="s">
        <v>15</v>
      </c>
      <c r="C237" s="373">
        <f t="shared" ref="C237:D241" si="101">C6</f>
        <v>5.7075000000000005</v>
      </c>
      <c r="D237" s="80">
        <f t="shared" si="101"/>
        <v>2.4474999999999998</v>
      </c>
      <c r="E237">
        <f t="shared" ref="E237:E268" si="102">LOG(C237)</f>
        <v>0.75644592016227286</v>
      </c>
      <c r="F237">
        <f t="shared" ref="F237:F268" si="103">LOG(D237)</f>
        <v>0.38872270047517538</v>
      </c>
      <c r="H237" s="80">
        <f t="shared" ref="H237:H268" si="104">C237/D237</f>
        <v>2.3319713993871303</v>
      </c>
      <c r="L237">
        <f>'Tooth measurements raw data'!U3</f>
        <v>1.0623423000000001</v>
      </c>
      <c r="M237">
        <f t="shared" ref="M237:M268" si="105">L237/1000</f>
        <v>1.0623423000000001E-3</v>
      </c>
      <c r="N237">
        <f t="shared" ref="N237:N268" si="106">LOG(M237)</f>
        <v>-2.9737355255815872</v>
      </c>
      <c r="P237">
        <v>0.9</v>
      </c>
      <c r="Q237">
        <v>115.6</v>
      </c>
    </row>
    <row r="238" spans="2:18" x14ac:dyDescent="0.25">
      <c r="B238" t="s">
        <v>16</v>
      </c>
      <c r="C238" s="373">
        <f t="shared" si="101"/>
        <v>5.1275000000000004</v>
      </c>
      <c r="D238" s="80">
        <f t="shared" si="101"/>
        <v>2.1575000000000002</v>
      </c>
      <c r="E238">
        <f t="shared" si="102"/>
        <v>0.70990566904040397</v>
      </c>
      <c r="F238">
        <f t="shared" si="103"/>
        <v>0.33395080438724722</v>
      </c>
      <c r="H238" s="80">
        <f t="shared" si="104"/>
        <v>2.376593279258401</v>
      </c>
      <c r="L238">
        <f>'Tooth measurements raw data'!U5</f>
        <v>1.4073511000000001</v>
      </c>
      <c r="M238">
        <f t="shared" si="105"/>
        <v>1.4073511000000001E-3</v>
      </c>
      <c r="N238">
        <f t="shared" si="106"/>
        <v>-2.8515975430976761</v>
      </c>
      <c r="P238">
        <v>0.9</v>
      </c>
      <c r="Q238">
        <v>115.6</v>
      </c>
    </row>
    <row r="239" spans="2:18" x14ac:dyDescent="0.25">
      <c r="B239" t="s">
        <v>17</v>
      </c>
      <c r="C239" s="373">
        <f t="shared" si="101"/>
        <v>9.0274999999999999</v>
      </c>
      <c r="D239" s="80">
        <f t="shared" si="101"/>
        <v>2.9474999999999998</v>
      </c>
      <c r="E239">
        <f t="shared" si="102"/>
        <v>0.95556749709886424</v>
      </c>
      <c r="F239">
        <f t="shared" si="103"/>
        <v>0.46945381376712669</v>
      </c>
      <c r="H239" s="80">
        <f t="shared" si="104"/>
        <v>3.0627650551314676</v>
      </c>
      <c r="L239">
        <f>'Tooth measurements raw data'!U7</f>
        <v>3.5724998000000001</v>
      </c>
      <c r="M239">
        <f t="shared" si="105"/>
        <v>3.5724998000000001E-3</v>
      </c>
      <c r="N239">
        <f t="shared" si="106"/>
        <v>-2.4470277868501897</v>
      </c>
      <c r="P239">
        <v>0.9</v>
      </c>
      <c r="Q239">
        <v>115.6</v>
      </c>
    </row>
    <row r="240" spans="2:18" x14ac:dyDescent="0.25">
      <c r="B240" t="s">
        <v>18</v>
      </c>
      <c r="C240" s="373">
        <f t="shared" si="101"/>
        <v>11.4175</v>
      </c>
      <c r="D240" s="80">
        <f t="shared" si="101"/>
        <v>2.5375000000000001</v>
      </c>
      <c r="E240">
        <f t="shared" si="102"/>
        <v>1.0575710202790383</v>
      </c>
      <c r="F240">
        <f t="shared" si="103"/>
        <v>0.40440605092126936</v>
      </c>
      <c r="H240" s="80">
        <f t="shared" si="104"/>
        <v>4.4995073891625612</v>
      </c>
      <c r="L240">
        <f>'Tooth measurements raw data'!U9</f>
        <v>2.7612751000000002</v>
      </c>
      <c r="M240">
        <f t="shared" si="105"/>
        <v>2.7612751000000001E-3</v>
      </c>
      <c r="N240">
        <f t="shared" si="106"/>
        <v>-2.5588903233642566</v>
      </c>
      <c r="P240">
        <v>0.9</v>
      </c>
      <c r="Q240">
        <v>115.6</v>
      </c>
    </row>
    <row r="241" spans="2:381" x14ac:dyDescent="0.25">
      <c r="B241" t="s">
        <v>20</v>
      </c>
      <c r="C241" s="373">
        <f t="shared" si="101"/>
        <v>7.8175000000000008</v>
      </c>
      <c r="D241" s="80">
        <f t="shared" si="101"/>
        <v>2.6074999999999999</v>
      </c>
      <c r="E241">
        <f t="shared" si="102"/>
        <v>0.89306788991497088</v>
      </c>
      <c r="F241">
        <f t="shared" si="103"/>
        <v>0.41622431709856844</v>
      </c>
      <c r="H241" s="80">
        <f t="shared" si="104"/>
        <v>2.9980824544582938</v>
      </c>
      <c r="L241">
        <f>'Tooth measurements raw data'!U11</f>
        <v>2.7214592</v>
      </c>
      <c r="M241">
        <f t="shared" si="105"/>
        <v>2.7214591999999999E-3</v>
      </c>
      <c r="N241">
        <f t="shared" si="106"/>
        <v>-2.5651981722224115</v>
      </c>
      <c r="P241">
        <v>0.9</v>
      </c>
      <c r="Q241">
        <v>115.6</v>
      </c>
    </row>
    <row r="242" spans="2:381" x14ac:dyDescent="0.25">
      <c r="B242" t="s">
        <v>15</v>
      </c>
      <c r="C242" s="373">
        <f t="shared" ref="C242:D256" si="107">C17</f>
        <v>8.0075000000000003</v>
      </c>
      <c r="D242" s="80">
        <f t="shared" si="107"/>
        <v>2.6074999999999999</v>
      </c>
      <c r="E242">
        <f t="shared" si="102"/>
        <v>0.90349694733585939</v>
      </c>
      <c r="F242">
        <f t="shared" si="103"/>
        <v>0.41622431709856844</v>
      </c>
      <c r="H242" s="80">
        <f t="shared" si="104"/>
        <v>3.070949185043145</v>
      </c>
      <c r="L242">
        <f>'Tooth measurements raw data'!U14</f>
        <v>1.9802363999999999</v>
      </c>
      <c r="M242">
        <f t="shared" si="105"/>
        <v>1.9802363999999999E-3</v>
      </c>
      <c r="N242">
        <f t="shared" si="106"/>
        <v>-2.7032829607045858</v>
      </c>
      <c r="P242">
        <v>0.9</v>
      </c>
      <c r="Q242">
        <v>115.6</v>
      </c>
    </row>
    <row r="243" spans="2:381" x14ac:dyDescent="0.25">
      <c r="B243" t="s">
        <v>16</v>
      </c>
      <c r="C243" s="373">
        <f t="shared" si="107"/>
        <v>7.2875000000000005</v>
      </c>
      <c r="D243" s="80">
        <f t="shared" si="107"/>
        <v>3.5274999999999999</v>
      </c>
      <c r="E243">
        <f t="shared" si="102"/>
        <v>0.86257856776707054</v>
      </c>
      <c r="F243">
        <f t="shared" si="103"/>
        <v>0.54746702242638545</v>
      </c>
      <c r="H243" s="80">
        <f t="shared" si="104"/>
        <v>2.0659107016300498</v>
      </c>
      <c r="L243">
        <f>'Tooth measurements raw data'!U16</f>
        <v>5.1345773000000001</v>
      </c>
      <c r="M243">
        <f t="shared" si="105"/>
        <v>5.1345773000000001E-3</v>
      </c>
      <c r="N243">
        <f t="shared" si="106"/>
        <v>-2.2894953035435637</v>
      </c>
      <c r="P243">
        <v>0.9</v>
      </c>
      <c r="Q243">
        <v>115.6</v>
      </c>
    </row>
    <row r="244" spans="2:381" x14ac:dyDescent="0.25">
      <c r="B244" t="s">
        <v>17</v>
      </c>
      <c r="C244" s="373">
        <f t="shared" si="107"/>
        <v>12.297500000000001</v>
      </c>
      <c r="D244" s="80">
        <f t="shared" si="107"/>
        <v>2.9474999999999998</v>
      </c>
      <c r="E244">
        <f t="shared" si="102"/>
        <v>1.089816831231369</v>
      </c>
      <c r="F244">
        <f t="shared" si="103"/>
        <v>0.46945381376712669</v>
      </c>
      <c r="H244" s="80">
        <f t="shared" si="104"/>
        <v>4.172179813401188</v>
      </c>
      <c r="L244">
        <f>'Tooth measurements raw data'!U19</f>
        <v>4.0562158000000004</v>
      </c>
      <c r="M244">
        <f t="shared" si="105"/>
        <v>4.0562158000000004E-3</v>
      </c>
      <c r="N244">
        <f t="shared" si="106"/>
        <v>-2.3918789475958073</v>
      </c>
      <c r="P244">
        <v>0.9</v>
      </c>
      <c r="Q244">
        <v>115.6</v>
      </c>
    </row>
    <row r="245" spans="2:381" x14ac:dyDescent="0.25">
      <c r="B245" t="s">
        <v>18</v>
      </c>
      <c r="C245" s="373">
        <f t="shared" si="107"/>
        <v>9.9875000000000007</v>
      </c>
      <c r="D245" s="80">
        <f t="shared" si="107"/>
        <v>2.6375000000000002</v>
      </c>
      <c r="E245">
        <f t="shared" si="102"/>
        <v>0.99945679232204787</v>
      </c>
      <c r="F245">
        <f t="shared" si="103"/>
        <v>0.42119246830574913</v>
      </c>
      <c r="H245" s="80">
        <f t="shared" si="104"/>
        <v>3.7867298578199051</v>
      </c>
      <c r="L245">
        <f>'Tooth measurements raw data'!U21</f>
        <v>3.3916615999999999</v>
      </c>
      <c r="M245">
        <f t="shared" si="105"/>
        <v>3.3916616E-3</v>
      </c>
      <c r="N245">
        <f t="shared" si="106"/>
        <v>-2.4695874855969557</v>
      </c>
      <c r="P245">
        <v>0.9</v>
      </c>
      <c r="Q245">
        <v>115.6</v>
      </c>
    </row>
    <row r="246" spans="2:381" x14ac:dyDescent="0.25">
      <c r="B246" t="s">
        <v>20</v>
      </c>
      <c r="C246" s="373">
        <f t="shared" si="107"/>
        <v>11.1875</v>
      </c>
      <c r="D246" s="80">
        <f t="shared" si="107"/>
        <v>2.8174999999999999</v>
      </c>
      <c r="E246">
        <f t="shared" si="102"/>
        <v>1.0487330483239683</v>
      </c>
      <c r="F246">
        <f t="shared" si="103"/>
        <v>0.44986392471814413</v>
      </c>
      <c r="H246" s="80">
        <f t="shared" si="104"/>
        <v>3.9707187222715175</v>
      </c>
      <c r="L246">
        <f>'Tooth measurements raw data'!U23</f>
        <v>3.3375862000000001</v>
      </c>
      <c r="M246">
        <f t="shared" si="105"/>
        <v>3.3375862000000001E-3</v>
      </c>
      <c r="N246">
        <f t="shared" si="106"/>
        <v>-2.4765675089379591</v>
      </c>
      <c r="P246">
        <v>0.9</v>
      </c>
      <c r="Q246">
        <v>115.6</v>
      </c>
    </row>
    <row r="247" spans="2:381" x14ac:dyDescent="0.25">
      <c r="B247" t="s">
        <v>21</v>
      </c>
      <c r="C247" s="373">
        <f t="shared" si="107"/>
        <v>9.6375000000000011</v>
      </c>
      <c r="D247" s="80">
        <f t="shared" si="107"/>
        <v>3.3174999999999999</v>
      </c>
      <c r="E247">
        <f t="shared" si="102"/>
        <v>0.98396439105901345</v>
      </c>
      <c r="F247">
        <f t="shared" si="103"/>
        <v>0.52081093153647307</v>
      </c>
      <c r="H247" s="80">
        <f t="shared" si="104"/>
        <v>2.905048982667672</v>
      </c>
      <c r="L247">
        <f>'Tooth measurements raw data'!U25</f>
        <v>5.2123569999999999</v>
      </c>
      <c r="M247">
        <f t="shared" si="105"/>
        <v>5.2123569999999999E-3</v>
      </c>
      <c r="N247">
        <f t="shared" si="106"/>
        <v>-2.2829658466393488</v>
      </c>
      <c r="P247">
        <v>0.9</v>
      </c>
      <c r="Q247">
        <v>115.6</v>
      </c>
      <c r="NI247" t="e">
        <f>((#REF!/#REF!)*100)-100</f>
        <v>#REF!</v>
      </c>
      <c r="NJ247" t="e">
        <f>((#REF!/#REF!)*100)-100</f>
        <v>#REF!</v>
      </c>
      <c r="NK247" s="248"/>
    </row>
    <row r="248" spans="2:381" x14ac:dyDescent="0.25">
      <c r="B248" s="45" t="s">
        <v>22</v>
      </c>
      <c r="C248" s="373">
        <f t="shared" si="107"/>
        <v>8.2475000000000005</v>
      </c>
      <c r="D248" s="80">
        <f t="shared" si="107"/>
        <v>2.3174999999999999</v>
      </c>
      <c r="E248">
        <f t="shared" si="102"/>
        <v>0.91632232421738147</v>
      </c>
      <c r="F248">
        <f t="shared" si="103"/>
        <v>0.36501974281653465</v>
      </c>
      <c r="H248" s="80">
        <f t="shared" si="104"/>
        <v>3.5587918015102487</v>
      </c>
      <c r="L248">
        <f>'Tooth measurements raw data'!U28</f>
        <v>2.5189539999999999</v>
      </c>
      <c r="M248">
        <f t="shared" si="105"/>
        <v>2.5189539999999999E-3</v>
      </c>
      <c r="N248">
        <f t="shared" si="106"/>
        <v>-2.598779763319107</v>
      </c>
      <c r="P248">
        <v>0.9</v>
      </c>
      <c r="Q248">
        <v>115.6</v>
      </c>
      <c r="NI248" t="e">
        <f>((#REF!/#REF!)*100)-100</f>
        <v>#REF!</v>
      </c>
      <c r="NJ248" t="e">
        <f>((#REF!/#REF!)*100)-100</f>
        <v>#REF!</v>
      </c>
      <c r="NK248" s="248" t="e">
        <f>#REF!-#REF!</f>
        <v>#REF!</v>
      </c>
      <c r="NL248" t="e">
        <f>#REF!-#REF!</f>
        <v>#REF!</v>
      </c>
      <c r="NM248" t="e">
        <f>#REF!-#REF!</f>
        <v>#REF!</v>
      </c>
      <c r="NN248" t="e">
        <f>#REF!-#REF!</f>
        <v>#REF!</v>
      </c>
      <c r="NO248" t="e">
        <f>#REF!-#REF!</f>
        <v>#REF!</v>
      </c>
      <c r="NP248" t="e">
        <f>((NL248/NK248)*100)-100</f>
        <v>#REF!</v>
      </c>
      <c r="NQ248" t="e">
        <f>((NM248/NK248)*100)-100</f>
        <v>#REF!</v>
      </c>
    </row>
    <row r="249" spans="2:381" x14ac:dyDescent="0.25">
      <c r="B249" t="s">
        <v>23</v>
      </c>
      <c r="C249" s="373">
        <f t="shared" si="107"/>
        <v>9.0675000000000008</v>
      </c>
      <c r="D249" s="80">
        <f t="shared" si="107"/>
        <v>2.7374999999999998</v>
      </c>
      <c r="E249">
        <f t="shared" si="102"/>
        <v>0.95748756425247195</v>
      </c>
      <c r="F249">
        <f t="shared" si="103"/>
        <v>0.43735412784817473</v>
      </c>
      <c r="H249" s="80">
        <f t="shared" si="104"/>
        <v>3.3123287671232884</v>
      </c>
      <c r="L249">
        <f>'Tooth measurements raw data'!U30</f>
        <v>4.0902909999999997</v>
      </c>
      <c r="M249">
        <f t="shared" si="105"/>
        <v>4.0902909999999994E-3</v>
      </c>
      <c r="N249">
        <f t="shared" si="106"/>
        <v>-2.3882457934111074</v>
      </c>
      <c r="P249">
        <v>0.9</v>
      </c>
      <c r="Q249">
        <v>115.6</v>
      </c>
      <c r="NI249" t="e">
        <f>((#REF!/#REF!)*100)-100</f>
        <v>#REF!</v>
      </c>
      <c r="NJ249" t="e">
        <f>((#REF!/#REF!)*100)-100</f>
        <v>#REF!</v>
      </c>
      <c r="NK249" s="248"/>
    </row>
    <row r="250" spans="2:381" x14ac:dyDescent="0.25">
      <c r="B250" t="s">
        <v>24</v>
      </c>
      <c r="C250" s="373">
        <f t="shared" si="107"/>
        <v>8.8674999999999997</v>
      </c>
      <c r="D250" s="80">
        <f t="shared" si="107"/>
        <v>2.2974999999999999</v>
      </c>
      <c r="E250">
        <f t="shared" si="102"/>
        <v>0.94780119714398037</v>
      </c>
      <c r="F250">
        <f t="shared" si="103"/>
        <v>0.36125552005814887</v>
      </c>
      <c r="H250" s="80">
        <f t="shared" si="104"/>
        <v>3.8596300326441786</v>
      </c>
      <c r="L250">
        <f>'Tooth measurements raw data'!U32</f>
        <v>3.2350835999999998</v>
      </c>
      <c r="M250">
        <f t="shared" si="105"/>
        <v>3.2350835999999999E-3</v>
      </c>
      <c r="N250">
        <f t="shared" si="106"/>
        <v>-2.4901144919505929</v>
      </c>
      <c r="P250">
        <v>0.9</v>
      </c>
      <c r="Q250">
        <v>115.6</v>
      </c>
    </row>
    <row r="251" spans="2:381" x14ac:dyDescent="0.25">
      <c r="B251" t="s">
        <v>25</v>
      </c>
      <c r="C251" s="373">
        <f t="shared" si="107"/>
        <v>10.307500000000001</v>
      </c>
      <c r="D251" s="80">
        <f t="shared" si="107"/>
        <v>3.2574999999999998</v>
      </c>
      <c r="E251">
        <f t="shared" si="102"/>
        <v>1.0131533434733961</v>
      </c>
      <c r="F251">
        <f t="shared" si="103"/>
        <v>0.51288442438462223</v>
      </c>
      <c r="H251" s="80">
        <f t="shared" si="104"/>
        <v>3.1642363775901772</v>
      </c>
      <c r="L251">
        <f>'Tooth measurements raw data'!U34</f>
        <v>6.7745271000000002</v>
      </c>
      <c r="M251">
        <f t="shared" si="105"/>
        <v>6.7745271000000003E-3</v>
      </c>
      <c r="N251">
        <f t="shared" si="106"/>
        <v>-2.1691210155869278</v>
      </c>
      <c r="P251">
        <v>0.9</v>
      </c>
      <c r="Q251">
        <v>115.6</v>
      </c>
    </row>
    <row r="252" spans="2:381" x14ac:dyDescent="0.25">
      <c r="B252" t="s">
        <v>26</v>
      </c>
      <c r="C252" s="373">
        <f t="shared" si="107"/>
        <v>6.9075000000000006</v>
      </c>
      <c r="D252" s="80">
        <f t="shared" si="107"/>
        <v>2.2974999999999999</v>
      </c>
      <c r="E252">
        <f t="shared" si="102"/>
        <v>0.839320893588549</v>
      </c>
      <c r="F252">
        <f t="shared" si="103"/>
        <v>0.36125552005814887</v>
      </c>
      <c r="H252" s="80">
        <f t="shared" si="104"/>
        <v>3.0065288356909687</v>
      </c>
      <c r="L252">
        <f>'Tooth measurements raw data'!U36</f>
        <v>4.0425119</v>
      </c>
      <c r="M252">
        <f t="shared" si="105"/>
        <v>4.0425119000000002E-3</v>
      </c>
      <c r="N252">
        <f t="shared" si="106"/>
        <v>-2.3933486929808123</v>
      </c>
      <c r="P252">
        <v>0.9</v>
      </c>
      <c r="Q252">
        <v>115.6</v>
      </c>
    </row>
    <row r="253" spans="2:381" x14ac:dyDescent="0.25">
      <c r="B253" t="s">
        <v>27</v>
      </c>
      <c r="C253" s="373">
        <f t="shared" si="107"/>
        <v>8.6974999999999998</v>
      </c>
      <c r="D253" s="80">
        <f t="shared" si="107"/>
        <v>3.0175000000000001</v>
      </c>
      <c r="E253">
        <f t="shared" si="102"/>
        <v>0.93939443741962658</v>
      </c>
      <c r="F253">
        <f t="shared" si="103"/>
        <v>0.47964727876938684</v>
      </c>
      <c r="H253" s="80">
        <f t="shared" si="104"/>
        <v>2.8823529411764706</v>
      </c>
      <c r="L253">
        <f>'Tooth measurements raw data'!U38</f>
        <v>6.9034190000000004</v>
      </c>
      <c r="M253">
        <f t="shared" si="105"/>
        <v>6.903419E-3</v>
      </c>
      <c r="N253">
        <f t="shared" si="106"/>
        <v>-2.1609357664978988</v>
      </c>
      <c r="P253">
        <v>0.9</v>
      </c>
      <c r="Q253">
        <v>115.6</v>
      </c>
    </row>
    <row r="254" spans="2:381" x14ac:dyDescent="0.25">
      <c r="B254" t="s">
        <v>29</v>
      </c>
      <c r="C254" s="373">
        <f t="shared" si="107"/>
        <v>7.4375</v>
      </c>
      <c r="D254" s="80">
        <f t="shared" si="107"/>
        <v>2.8174999999999999</v>
      </c>
      <c r="E254">
        <f t="shared" si="102"/>
        <v>0.87142697873660602</v>
      </c>
      <c r="F254">
        <f t="shared" si="103"/>
        <v>0.44986392471814413</v>
      </c>
      <c r="H254" s="80">
        <f t="shared" si="104"/>
        <v>2.639751552795031</v>
      </c>
      <c r="L254">
        <f>'Tooth measurements raw data'!U40</f>
        <v>6.1313624000000004</v>
      </c>
      <c r="M254">
        <f t="shared" si="105"/>
        <v>6.1313624000000006E-3</v>
      </c>
      <c r="N254">
        <f t="shared" si="106"/>
        <v>-2.212443013726157</v>
      </c>
      <c r="P254">
        <v>0.9</v>
      </c>
      <c r="Q254">
        <v>115.6</v>
      </c>
    </row>
    <row r="255" spans="2:381" x14ac:dyDescent="0.25">
      <c r="B255" t="s">
        <v>30</v>
      </c>
      <c r="C255" s="373">
        <f t="shared" si="107"/>
        <v>6.1675000000000004</v>
      </c>
      <c r="D255" s="80">
        <f t="shared" si="107"/>
        <v>2.1974999999999998</v>
      </c>
      <c r="E255">
        <f t="shared" si="102"/>
        <v>0.79010915816177363</v>
      </c>
      <c r="F255">
        <f t="shared" si="103"/>
        <v>0.34192888374580949</v>
      </c>
      <c r="H255" s="80">
        <f t="shared" si="104"/>
        <v>2.8065984072810015</v>
      </c>
      <c r="L255">
        <f>'Tooth measurements raw data'!U42</f>
        <v>2.9788733000000001</v>
      </c>
      <c r="M255">
        <f t="shared" si="105"/>
        <v>2.9788733E-3</v>
      </c>
      <c r="N255">
        <f t="shared" si="106"/>
        <v>-2.5259479681783863</v>
      </c>
      <c r="P255">
        <v>0.9</v>
      </c>
      <c r="Q255">
        <v>115.6</v>
      </c>
    </row>
    <row r="256" spans="2:381" x14ac:dyDescent="0.25">
      <c r="B256" t="s">
        <v>31</v>
      </c>
      <c r="C256" s="373">
        <f t="shared" si="107"/>
        <v>5.7775000000000007</v>
      </c>
      <c r="D256" s="80">
        <f t="shared" si="107"/>
        <v>3.0674999999999999</v>
      </c>
      <c r="E256">
        <f t="shared" si="102"/>
        <v>0.76173995415114704</v>
      </c>
      <c r="F256">
        <f t="shared" si="103"/>
        <v>0.48678457139904185</v>
      </c>
      <c r="H256" s="80">
        <f t="shared" si="104"/>
        <v>1.8834555827220867</v>
      </c>
      <c r="L256">
        <f>'Tooth measurements raw data'!U44</f>
        <v>3.1049875999999998</v>
      </c>
      <c r="M256">
        <f t="shared" si="105"/>
        <v>3.1049875999999998E-3</v>
      </c>
      <c r="N256">
        <f t="shared" si="106"/>
        <v>-2.5079401298714039</v>
      </c>
      <c r="P256">
        <v>0.9</v>
      </c>
      <c r="Q256">
        <v>115.6</v>
      </c>
    </row>
    <row r="257" spans="2:17" x14ac:dyDescent="0.25">
      <c r="B257" t="s">
        <v>15</v>
      </c>
      <c r="C257" s="373">
        <f t="shared" ref="C257:D276" si="108">C37</f>
        <v>9.3875000000000011</v>
      </c>
      <c r="D257" s="80">
        <f t="shared" si="108"/>
        <v>2.1175000000000002</v>
      </c>
      <c r="E257">
        <f t="shared" si="102"/>
        <v>0.97254995001222488</v>
      </c>
      <c r="F257">
        <f t="shared" si="103"/>
        <v>0.32582341900274453</v>
      </c>
      <c r="H257" s="80">
        <f t="shared" si="104"/>
        <v>4.4332939787485239</v>
      </c>
      <c r="L257">
        <f>'Tooth measurements raw data'!U46</f>
        <v>2.7904425000000002</v>
      </c>
      <c r="M257">
        <f t="shared" si="105"/>
        <v>2.7904425000000004E-3</v>
      </c>
      <c r="N257">
        <f t="shared" si="106"/>
        <v>-2.5543269221492895</v>
      </c>
      <c r="P257">
        <v>0.9</v>
      </c>
      <c r="Q257">
        <v>115.6</v>
      </c>
    </row>
    <row r="258" spans="2:17" x14ac:dyDescent="0.25">
      <c r="B258" t="s">
        <v>16</v>
      </c>
      <c r="C258" s="373">
        <f t="shared" si="108"/>
        <v>8.1275000000000013</v>
      </c>
      <c r="D258" s="80">
        <f t="shared" si="108"/>
        <v>2.3875000000000002</v>
      </c>
      <c r="E258">
        <f t="shared" si="102"/>
        <v>0.90995697816816434</v>
      </c>
      <c r="F258">
        <f t="shared" si="103"/>
        <v>0.377943380255784</v>
      </c>
      <c r="H258" s="80">
        <f t="shared" si="104"/>
        <v>3.4041884816753929</v>
      </c>
      <c r="L258">
        <f>'Tooth measurements raw data'!U48</f>
        <v>2.1546853000000001</v>
      </c>
      <c r="M258">
        <f t="shared" si="105"/>
        <v>2.1546853E-3</v>
      </c>
      <c r="N258">
        <f t="shared" si="106"/>
        <v>-2.6666161512358419</v>
      </c>
      <c r="P258">
        <v>0.9</v>
      </c>
      <c r="Q258">
        <v>115.6</v>
      </c>
    </row>
    <row r="259" spans="2:17" x14ac:dyDescent="0.25">
      <c r="B259" t="s">
        <v>17</v>
      </c>
      <c r="C259" s="373">
        <f t="shared" si="108"/>
        <v>8.5175000000000001</v>
      </c>
      <c r="D259" s="80">
        <f t="shared" si="108"/>
        <v>3.1575000000000002</v>
      </c>
      <c r="E259">
        <f t="shared" si="102"/>
        <v>0.93031214223991499</v>
      </c>
      <c r="F259">
        <f t="shared" si="103"/>
        <v>0.49934335922736839</v>
      </c>
      <c r="H259" s="80">
        <f t="shared" si="104"/>
        <v>2.6975455265241486</v>
      </c>
      <c r="L259">
        <f>'Tooth measurements raw data'!U50</f>
        <v>2.9638729000000001</v>
      </c>
      <c r="M259">
        <f t="shared" si="105"/>
        <v>2.9638729000000001E-3</v>
      </c>
      <c r="N259">
        <f t="shared" si="106"/>
        <v>-2.5281404241786003</v>
      </c>
      <c r="P259">
        <v>0.9</v>
      </c>
      <c r="Q259">
        <v>115.6</v>
      </c>
    </row>
    <row r="260" spans="2:17" x14ac:dyDescent="0.25">
      <c r="B260" t="s">
        <v>18</v>
      </c>
      <c r="C260" s="373">
        <f t="shared" si="108"/>
        <v>11.127500000000001</v>
      </c>
      <c r="D260" s="80">
        <f t="shared" si="108"/>
        <v>2.6575000000000002</v>
      </c>
      <c r="E260">
        <f t="shared" si="102"/>
        <v>1.0463976029545601</v>
      </c>
      <c r="F260">
        <f t="shared" si="103"/>
        <v>0.4244732731953344</v>
      </c>
      <c r="H260" s="80">
        <f t="shared" si="104"/>
        <v>4.1872060206961432</v>
      </c>
      <c r="L260">
        <f>'Tooth measurements raw data'!U53</f>
        <v>2.5698812000000002</v>
      </c>
      <c r="M260">
        <f t="shared" si="105"/>
        <v>2.5698812000000001E-3</v>
      </c>
      <c r="N260">
        <f t="shared" si="106"/>
        <v>-2.5900869526908745</v>
      </c>
      <c r="P260">
        <v>0.9</v>
      </c>
      <c r="Q260">
        <v>115.6</v>
      </c>
    </row>
    <row r="261" spans="2:17" x14ac:dyDescent="0.25">
      <c r="B261" t="s">
        <v>20</v>
      </c>
      <c r="C261" s="373">
        <f t="shared" si="108"/>
        <v>7.5675000000000008</v>
      </c>
      <c r="D261" s="80">
        <f t="shared" si="108"/>
        <v>2.1675</v>
      </c>
      <c r="E261">
        <f t="shared" si="102"/>
        <v>0.87895242962861064</v>
      </c>
      <c r="F261">
        <f t="shared" si="103"/>
        <v>0.33595910614824792</v>
      </c>
      <c r="H261" s="80">
        <f t="shared" si="104"/>
        <v>3.4913494809688586</v>
      </c>
      <c r="L261">
        <f>'Tooth measurements raw data'!U55</f>
        <v>2.1372773999999999</v>
      </c>
      <c r="M261">
        <f t="shared" si="105"/>
        <v>2.1372774000000001E-3</v>
      </c>
      <c r="N261">
        <f t="shared" si="106"/>
        <v>-2.6701391065346907</v>
      </c>
      <c r="P261">
        <v>0.9</v>
      </c>
      <c r="Q261">
        <v>115.6</v>
      </c>
    </row>
    <row r="262" spans="2:17" x14ac:dyDescent="0.25">
      <c r="B262" t="s">
        <v>21</v>
      </c>
      <c r="C262" s="373">
        <f t="shared" si="108"/>
        <v>6.7075000000000005</v>
      </c>
      <c r="D262" s="80">
        <f t="shared" si="108"/>
        <v>1.9175</v>
      </c>
      <c r="E262">
        <f t="shared" si="102"/>
        <v>0.82656068134397664</v>
      </c>
      <c r="F262">
        <f t="shared" si="103"/>
        <v>0.28273537262101855</v>
      </c>
      <c r="H262" s="80">
        <f t="shared" si="104"/>
        <v>3.4980443285528033</v>
      </c>
      <c r="L262">
        <f>'Tooth measurements raw data'!U57</f>
        <v>1.0774353000000001</v>
      </c>
      <c r="M262">
        <f t="shared" si="105"/>
        <v>1.0774353000000002E-3</v>
      </c>
      <c r="N262">
        <f t="shared" si="106"/>
        <v>-2.967608799771992</v>
      </c>
      <c r="P262">
        <v>0.9</v>
      </c>
      <c r="Q262">
        <v>115.6</v>
      </c>
    </row>
    <row r="263" spans="2:17" x14ac:dyDescent="0.25">
      <c r="B263" s="45" t="s">
        <v>22</v>
      </c>
      <c r="C263" s="373">
        <f t="shared" si="108"/>
        <v>5.2275</v>
      </c>
      <c r="D263" s="80">
        <f t="shared" si="108"/>
        <v>1.7675000000000001</v>
      </c>
      <c r="E263">
        <f t="shared" si="102"/>
        <v>0.71829404148970943</v>
      </c>
      <c r="F263">
        <f t="shared" si="103"/>
        <v>0.24735942246893702</v>
      </c>
      <c r="H263" s="80">
        <f t="shared" si="104"/>
        <v>2.9575671852899577</v>
      </c>
      <c r="L263">
        <f>'Tooth measurements raw data'!U59</f>
        <v>1.2658659999999999</v>
      </c>
      <c r="M263">
        <f t="shared" si="105"/>
        <v>1.265866E-3</v>
      </c>
      <c r="N263">
        <f t="shared" si="106"/>
        <v>-2.8976122647299172</v>
      </c>
      <c r="P263">
        <v>0.9</v>
      </c>
      <c r="Q263">
        <v>115.6</v>
      </c>
    </row>
    <row r="264" spans="2:17" x14ac:dyDescent="0.25">
      <c r="B264" t="s">
        <v>23</v>
      </c>
      <c r="C264" s="373">
        <f t="shared" si="108"/>
        <v>6.0175000000000001</v>
      </c>
      <c r="D264" s="80">
        <f t="shared" si="108"/>
        <v>2.2774999999999999</v>
      </c>
      <c r="E264">
        <f t="shared" si="102"/>
        <v>0.77941609894706765</v>
      </c>
      <c r="F264">
        <f t="shared" si="103"/>
        <v>0.35745838564503585</v>
      </c>
      <c r="H264" s="80">
        <f t="shared" si="104"/>
        <v>2.6421514818880354</v>
      </c>
      <c r="L264">
        <f>'Tooth measurements raw data'!U61</f>
        <v>1.5605959</v>
      </c>
      <c r="M264">
        <f t="shared" si="105"/>
        <v>1.5605959E-3</v>
      </c>
      <c r="N264">
        <f t="shared" si="106"/>
        <v>-2.8067095383981298</v>
      </c>
      <c r="P264">
        <v>0.9</v>
      </c>
      <c r="Q264">
        <v>115.6</v>
      </c>
    </row>
    <row r="265" spans="2:17" x14ac:dyDescent="0.25">
      <c r="B265" t="s">
        <v>24</v>
      </c>
      <c r="C265" s="373">
        <f t="shared" si="108"/>
        <v>4.4975000000000005</v>
      </c>
      <c r="D265" s="80">
        <f t="shared" si="108"/>
        <v>0.95750000000000002</v>
      </c>
      <c r="E265">
        <f t="shared" si="102"/>
        <v>0.65297117201758903</v>
      </c>
      <c r="F265">
        <f t="shared" si="103"/>
        <v>-1.8861217359339641E-2</v>
      </c>
      <c r="H265" s="80">
        <f t="shared" si="104"/>
        <v>4.6971279373368153</v>
      </c>
      <c r="L265">
        <f>'Tooth measurements raw data'!U63</f>
        <v>0.94039470000000003</v>
      </c>
      <c r="M265">
        <f t="shared" si="105"/>
        <v>9.4039470000000002E-4</v>
      </c>
      <c r="N265">
        <f t="shared" si="106"/>
        <v>-3.0266898271941001</v>
      </c>
      <c r="P265">
        <v>0.9</v>
      </c>
      <c r="Q265">
        <v>115.6</v>
      </c>
    </row>
    <row r="266" spans="2:17" x14ac:dyDescent="0.25">
      <c r="B266" t="s">
        <v>25</v>
      </c>
      <c r="C266" s="373">
        <f t="shared" si="108"/>
        <v>5.8175000000000008</v>
      </c>
      <c r="D266" s="80">
        <f t="shared" si="108"/>
        <v>2.3075000000000001</v>
      </c>
      <c r="E266">
        <f t="shared" si="102"/>
        <v>0.76473639195876764</v>
      </c>
      <c r="F266">
        <f t="shared" si="103"/>
        <v>0.36314170969794968</v>
      </c>
      <c r="H266" s="80">
        <f t="shared" si="104"/>
        <v>2.5211267605633805</v>
      </c>
      <c r="L266">
        <f>'Tooth measurements raw data'!U65</f>
        <v>1.8467144</v>
      </c>
      <c r="M266">
        <f t="shared" si="105"/>
        <v>1.8467143999999999E-3</v>
      </c>
      <c r="N266">
        <f t="shared" si="106"/>
        <v>-2.7336002643294899</v>
      </c>
      <c r="P266">
        <v>0.9</v>
      </c>
      <c r="Q266">
        <v>115.6</v>
      </c>
    </row>
    <row r="267" spans="2:17" x14ac:dyDescent="0.25">
      <c r="B267" t="s">
        <v>26</v>
      </c>
      <c r="C267" s="373">
        <f t="shared" si="108"/>
        <v>5.5675000000000008</v>
      </c>
      <c r="D267" s="80">
        <f t="shared" si="108"/>
        <v>1.6675</v>
      </c>
      <c r="E267">
        <f t="shared" si="102"/>
        <v>0.74566022570607582</v>
      </c>
      <c r="F267">
        <f t="shared" si="103"/>
        <v>0.22206584258858658</v>
      </c>
      <c r="H267" s="80">
        <f t="shared" si="104"/>
        <v>3.3388305847076465</v>
      </c>
      <c r="L267">
        <f>'Tooth measurements raw data'!U67</f>
        <v>1.3384605999999999</v>
      </c>
      <c r="M267">
        <f t="shared" si="105"/>
        <v>1.3384605999999999E-3</v>
      </c>
      <c r="N267">
        <f t="shared" si="106"/>
        <v>-2.8733944085296703</v>
      </c>
      <c r="P267">
        <v>0.9</v>
      </c>
      <c r="Q267">
        <v>115.6</v>
      </c>
    </row>
    <row r="268" spans="2:17" x14ac:dyDescent="0.25">
      <c r="B268" t="s">
        <v>27</v>
      </c>
      <c r="C268" s="373">
        <f t="shared" si="108"/>
        <v>8.557500000000001</v>
      </c>
      <c r="D268" s="80">
        <f t="shared" si="108"/>
        <v>2.7974999999999999</v>
      </c>
      <c r="E268">
        <f t="shared" si="102"/>
        <v>0.93234690780991469</v>
      </c>
      <c r="F268">
        <f t="shared" si="103"/>
        <v>0.44677009520038763</v>
      </c>
      <c r="H268" s="80">
        <f t="shared" si="104"/>
        <v>3.0589812332439683</v>
      </c>
      <c r="L268" s="80">
        <f>'Tooth measurements raw data'!U69</f>
        <v>4.0487156000000004</v>
      </c>
      <c r="M268">
        <f t="shared" si="105"/>
        <v>4.0487156000000007E-3</v>
      </c>
      <c r="N268">
        <f t="shared" si="106"/>
        <v>-2.3926827289585852</v>
      </c>
      <c r="P268">
        <v>0.9</v>
      </c>
      <c r="Q268">
        <v>115.6</v>
      </c>
    </row>
    <row r="269" spans="2:17" x14ac:dyDescent="0.25">
      <c r="B269" t="s">
        <v>29</v>
      </c>
      <c r="C269" s="373">
        <f t="shared" si="108"/>
        <v>7.5575000000000001</v>
      </c>
      <c r="D269" s="80">
        <f t="shared" si="108"/>
        <v>2.1175000000000002</v>
      </c>
      <c r="E269">
        <f t="shared" ref="E269:E296" si="109">LOG(C269)</f>
        <v>0.87837815584985468</v>
      </c>
      <c r="F269">
        <f t="shared" ref="F269:F296" si="110">LOG(D269)</f>
        <v>0.32582341900274453</v>
      </c>
      <c r="H269" s="80">
        <f t="shared" ref="H269:H296" si="111">C269/D269</f>
        <v>3.5690672963400232</v>
      </c>
      <c r="L269" s="80">
        <f>'Tooth measurements raw data'!U71</f>
        <v>2.3947842000000001</v>
      </c>
      <c r="M269">
        <f t="shared" ref="M269:M300" si="112">L269/1000</f>
        <v>2.3947842000000001E-3</v>
      </c>
      <c r="N269">
        <f t="shared" ref="N269:N300" si="113">LOG(M269)</f>
        <v>-2.6207336158493235</v>
      </c>
      <c r="P269">
        <v>0.9</v>
      </c>
      <c r="Q269">
        <v>115.6</v>
      </c>
    </row>
    <row r="270" spans="2:17" x14ac:dyDescent="0.25">
      <c r="B270" t="s">
        <v>30</v>
      </c>
      <c r="C270" s="373">
        <f t="shared" si="108"/>
        <v>8.6475000000000009</v>
      </c>
      <c r="D270" s="80">
        <f t="shared" si="108"/>
        <v>2.6575000000000002</v>
      </c>
      <c r="E270">
        <f t="shared" si="109"/>
        <v>0.93689057068639914</v>
      </c>
      <c r="F270">
        <f t="shared" si="110"/>
        <v>0.4244732731953344</v>
      </c>
      <c r="H270" s="80">
        <f t="shared" si="111"/>
        <v>3.2539981185324556</v>
      </c>
      <c r="L270" s="80">
        <f>'Tooth measurements raw data'!U73</f>
        <v>4.1031617999999996</v>
      </c>
      <c r="M270">
        <f t="shared" si="112"/>
        <v>4.1031617999999995E-3</v>
      </c>
      <c r="N270">
        <f t="shared" si="113"/>
        <v>-2.3868813571589227</v>
      </c>
      <c r="P270">
        <v>0.9</v>
      </c>
      <c r="Q270">
        <v>115.6</v>
      </c>
    </row>
    <row r="271" spans="2:17" x14ac:dyDescent="0.25">
      <c r="B271" t="s">
        <v>31</v>
      </c>
      <c r="C271" s="373">
        <f t="shared" si="108"/>
        <v>7.2475000000000005</v>
      </c>
      <c r="D271" s="80">
        <f t="shared" si="108"/>
        <v>3.0575000000000001</v>
      </c>
      <c r="E271">
        <f t="shared" si="109"/>
        <v>0.8601882240270351</v>
      </c>
      <c r="F271">
        <f t="shared" si="110"/>
        <v>0.48536646570832309</v>
      </c>
      <c r="H271" s="80">
        <f t="shared" si="111"/>
        <v>2.3704006541291904</v>
      </c>
      <c r="L271" s="80">
        <f>'Tooth measurements raw data'!U75</f>
        <v>5.1229100000000001</v>
      </c>
      <c r="M271">
        <f t="shared" si="112"/>
        <v>5.1229100000000005E-3</v>
      </c>
      <c r="N271">
        <f t="shared" si="113"/>
        <v>-2.2904832738028915</v>
      </c>
      <c r="P271">
        <v>0.9</v>
      </c>
      <c r="Q271">
        <v>115.6</v>
      </c>
    </row>
    <row r="272" spans="2:17" x14ac:dyDescent="0.25">
      <c r="B272" t="s">
        <v>32</v>
      </c>
      <c r="C272" s="373">
        <f t="shared" si="108"/>
        <v>5.9175000000000004</v>
      </c>
      <c r="D272" s="80">
        <f t="shared" si="108"/>
        <v>2.1575000000000002</v>
      </c>
      <c r="E272">
        <f t="shared" si="109"/>
        <v>0.77213826660112039</v>
      </c>
      <c r="F272">
        <f t="shared" si="110"/>
        <v>0.33395080438724722</v>
      </c>
      <c r="H272" s="80">
        <f t="shared" si="111"/>
        <v>2.7427578215527229</v>
      </c>
      <c r="L272" s="80">
        <f>'Tooth measurements raw data'!U77</f>
        <v>3.2459172999999999</v>
      </c>
      <c r="M272">
        <f t="shared" si="112"/>
        <v>3.2459172999999997E-3</v>
      </c>
      <c r="N272">
        <f t="shared" si="113"/>
        <v>-2.4886625493930858</v>
      </c>
      <c r="P272">
        <v>0.9</v>
      </c>
      <c r="Q272">
        <v>115.6</v>
      </c>
    </row>
    <row r="273" spans="2:17" x14ac:dyDescent="0.25">
      <c r="B273" t="s">
        <v>72</v>
      </c>
      <c r="C273" s="373">
        <f t="shared" si="108"/>
        <v>6.4675000000000002</v>
      </c>
      <c r="D273" s="80">
        <f t="shared" si="108"/>
        <v>2.7574999999999998</v>
      </c>
      <c r="E273">
        <f t="shared" si="109"/>
        <v>0.81073643738858103</v>
      </c>
      <c r="F273">
        <f t="shared" si="110"/>
        <v>0.44051552111222819</v>
      </c>
      <c r="H273" s="80">
        <f t="shared" si="111"/>
        <v>2.3454215775158662</v>
      </c>
      <c r="L273" s="80">
        <f>'Tooth measurements raw data'!U79</f>
        <v>4.7609563000000001</v>
      </c>
      <c r="M273">
        <f t="shared" si="112"/>
        <v>4.7609562999999999E-3</v>
      </c>
      <c r="N273">
        <f t="shared" si="113"/>
        <v>-2.3223058048216374</v>
      </c>
      <c r="P273">
        <v>0.9</v>
      </c>
      <c r="Q273">
        <v>115.6</v>
      </c>
    </row>
    <row r="274" spans="2:17" x14ac:dyDescent="0.25">
      <c r="B274" t="s">
        <v>73</v>
      </c>
      <c r="C274" s="373">
        <f t="shared" si="108"/>
        <v>6.1175000000000006</v>
      </c>
      <c r="D274" s="80">
        <f t="shared" si="108"/>
        <v>2.4874999999999998</v>
      </c>
      <c r="E274">
        <f t="shared" si="109"/>
        <v>0.78657397802382689</v>
      </c>
      <c r="F274">
        <f t="shared" si="110"/>
        <v>0.39576308941776306</v>
      </c>
      <c r="H274" s="80">
        <f t="shared" si="111"/>
        <v>2.4592964824120607</v>
      </c>
      <c r="L274" s="80">
        <f>'Tooth measurements raw data'!U81</f>
        <v>4.0214930000000004</v>
      </c>
      <c r="M274">
        <f t="shared" si="112"/>
        <v>4.0214930000000001E-3</v>
      </c>
      <c r="N274">
        <f t="shared" si="113"/>
        <v>-2.3956126829141979</v>
      </c>
      <c r="P274">
        <v>0.9</v>
      </c>
      <c r="Q274">
        <v>115.6</v>
      </c>
    </row>
    <row r="275" spans="2:17" x14ac:dyDescent="0.25">
      <c r="B275" t="s">
        <v>74</v>
      </c>
      <c r="C275" s="373">
        <f t="shared" si="108"/>
        <v>6.0475000000000003</v>
      </c>
      <c r="D275" s="80">
        <f t="shared" si="108"/>
        <v>2.5874999999999999</v>
      </c>
      <c r="E275">
        <f t="shared" si="109"/>
        <v>0.78157587703391729</v>
      </c>
      <c r="F275">
        <f t="shared" si="110"/>
        <v>0.41288035846497417</v>
      </c>
      <c r="H275" s="80">
        <f t="shared" si="111"/>
        <v>2.3371980676328503</v>
      </c>
      <c r="L275" s="80">
        <f>'Tooth measurements raw data'!U83</f>
        <v>3.9052861000000001</v>
      </c>
      <c r="M275">
        <f t="shared" si="112"/>
        <v>3.9052861E-3</v>
      </c>
      <c r="N275">
        <f t="shared" si="113"/>
        <v>-2.4083471443475406</v>
      </c>
      <c r="P275">
        <v>0.9</v>
      </c>
      <c r="Q275">
        <v>115.6</v>
      </c>
    </row>
    <row r="276" spans="2:17" x14ac:dyDescent="0.25">
      <c r="B276" t="s">
        <v>75</v>
      </c>
      <c r="C276" s="373">
        <f t="shared" si="108"/>
        <v>5.4375</v>
      </c>
      <c r="D276" s="80">
        <f t="shared" si="108"/>
        <v>2.5175000000000001</v>
      </c>
      <c r="E276">
        <f t="shared" si="109"/>
        <v>0.73539926996269378</v>
      </c>
      <c r="F276">
        <f t="shared" si="110"/>
        <v>0.40096947922565562</v>
      </c>
      <c r="H276" s="80">
        <f t="shared" si="111"/>
        <v>2.159880834160874</v>
      </c>
      <c r="I276">
        <f>AVERAGE(H237:H276)</f>
        <v>3.1129891247809129</v>
      </c>
      <c r="J276" t="s">
        <v>279</v>
      </c>
      <c r="L276" s="80">
        <f>'Tooth measurements raw data'!U85</f>
        <v>2.7476636999999999</v>
      </c>
      <c r="M276" s="105">
        <f t="shared" si="112"/>
        <v>2.7476636999999998E-3</v>
      </c>
      <c r="N276">
        <f t="shared" si="113"/>
        <v>-2.5610364237856982</v>
      </c>
      <c r="P276">
        <v>0.9</v>
      </c>
      <c r="Q276">
        <v>115.6</v>
      </c>
    </row>
    <row r="277" spans="2:17" x14ac:dyDescent="0.25">
      <c r="B277" s="55" t="s">
        <v>15</v>
      </c>
      <c r="C277" s="55">
        <f t="shared" ref="C277:D281" si="114">I6</f>
        <v>1.2775000000000001</v>
      </c>
      <c r="D277" s="55">
        <f t="shared" si="114"/>
        <v>0.62749999999999995</v>
      </c>
      <c r="E277" s="55">
        <f t="shared" si="109"/>
        <v>0.10636090880675036</v>
      </c>
      <c r="F277" s="55">
        <f t="shared" si="110"/>
        <v>-0.20238626984692429</v>
      </c>
      <c r="G277" s="55"/>
      <c r="H277" s="46">
        <f t="shared" si="111"/>
        <v>2.0358565737051797</v>
      </c>
      <c r="I277" s="55"/>
      <c r="J277" s="55"/>
      <c r="K277" s="55"/>
      <c r="L277" s="46">
        <f>'Tooth measurements raw data'!U4</f>
        <v>9.2780172999999994E-2</v>
      </c>
      <c r="M277">
        <f t="shared" si="112"/>
        <v>9.2780172999999989E-5</v>
      </c>
      <c r="N277" s="55">
        <f t="shared" si="113"/>
        <v>-4.032544822021233</v>
      </c>
      <c r="P277">
        <v>0.9</v>
      </c>
      <c r="Q277">
        <v>115.6</v>
      </c>
    </row>
    <row r="278" spans="2:17" x14ac:dyDescent="0.25">
      <c r="B278" s="43" t="s">
        <v>16</v>
      </c>
      <c r="C278" s="43">
        <f t="shared" si="114"/>
        <v>2.1875</v>
      </c>
      <c r="D278" s="43">
        <f t="shared" si="114"/>
        <v>0.91749999999999998</v>
      </c>
      <c r="E278" s="43">
        <f t="shared" si="109"/>
        <v>0.33994806169435088</v>
      </c>
      <c r="F278" s="43">
        <f t="shared" si="110"/>
        <v>-3.7393927075873058E-2</v>
      </c>
      <c r="G278" s="43"/>
      <c r="H278" s="61">
        <f t="shared" si="111"/>
        <v>2.3841961852861036</v>
      </c>
      <c r="I278" s="43"/>
      <c r="J278" s="43"/>
      <c r="K278" s="43"/>
      <c r="L278" s="61">
        <f>'Tooth measurements raw data'!U6</f>
        <v>0.24361742</v>
      </c>
      <c r="M278">
        <f t="shared" si="112"/>
        <v>2.4361742000000001E-4</v>
      </c>
      <c r="N278">
        <f t="shared" si="113"/>
        <v>-3.6132916604587688</v>
      </c>
      <c r="P278">
        <v>0.9</v>
      </c>
      <c r="Q278">
        <v>115.6</v>
      </c>
    </row>
    <row r="279" spans="2:17" x14ac:dyDescent="0.25">
      <c r="B279" t="s">
        <v>17</v>
      </c>
      <c r="C279">
        <f t="shared" si="114"/>
        <v>3.0175000000000001</v>
      </c>
      <c r="D279">
        <f t="shared" si="114"/>
        <v>1.0375000000000001</v>
      </c>
      <c r="E279">
        <f t="shared" si="109"/>
        <v>0.47964727876938684</v>
      </c>
      <c r="F279">
        <f t="shared" si="110"/>
        <v>1.5988105384130355E-2</v>
      </c>
      <c r="H279" s="80">
        <f t="shared" si="111"/>
        <v>2.9084337349397589</v>
      </c>
      <c r="L279" s="80">
        <f>'Tooth measurements raw data'!U8</f>
        <v>0.54066210999999997</v>
      </c>
      <c r="M279">
        <f t="shared" si="112"/>
        <v>5.4066211000000002E-4</v>
      </c>
      <c r="N279">
        <f t="shared" si="113"/>
        <v>-3.2670740650360082</v>
      </c>
      <c r="P279">
        <v>0.9</v>
      </c>
      <c r="Q279">
        <v>115.6</v>
      </c>
    </row>
    <row r="280" spans="2:17" x14ac:dyDescent="0.25">
      <c r="B280" t="s">
        <v>18</v>
      </c>
      <c r="C280">
        <f t="shared" si="114"/>
        <v>2.2675000000000001</v>
      </c>
      <c r="D280">
        <f t="shared" si="114"/>
        <v>0.91749999999999998</v>
      </c>
      <c r="E280">
        <f t="shared" si="109"/>
        <v>0.3555472957321329</v>
      </c>
      <c r="F280">
        <f t="shared" si="110"/>
        <v>-3.7393927075873058E-2</v>
      </c>
      <c r="H280" s="80">
        <f t="shared" si="111"/>
        <v>2.4713896457765667</v>
      </c>
      <c r="L280" s="80">
        <f>'Tooth measurements raw data'!U10</f>
        <v>0.32889739000000001</v>
      </c>
      <c r="M280">
        <f t="shared" si="112"/>
        <v>3.2889738999999999E-4</v>
      </c>
      <c r="N280">
        <f t="shared" si="113"/>
        <v>-3.4829395728934331</v>
      </c>
      <c r="P280">
        <v>0.9</v>
      </c>
      <c r="Q280">
        <v>115.6</v>
      </c>
    </row>
    <row r="281" spans="2:17" x14ac:dyDescent="0.25">
      <c r="B281" t="s">
        <v>20</v>
      </c>
      <c r="C281">
        <f t="shared" si="114"/>
        <v>2.8275000000000001</v>
      </c>
      <c r="D281">
        <f t="shared" si="114"/>
        <v>1.3774999999999999</v>
      </c>
      <c r="E281">
        <f t="shared" si="109"/>
        <v>0.4514026135974929</v>
      </c>
      <c r="F281">
        <f t="shared" si="110"/>
        <v>0.13909160752382263</v>
      </c>
      <c r="H281" s="80">
        <f t="shared" si="111"/>
        <v>2.0526315789473686</v>
      </c>
      <c r="L281" s="80">
        <f>'Tooth measurements raw data'!U12</f>
        <v>0.50001293000000002</v>
      </c>
      <c r="M281">
        <f t="shared" si="112"/>
        <v>5.0001293000000006E-4</v>
      </c>
      <c r="N281">
        <f t="shared" si="113"/>
        <v>-3.3010187649538918</v>
      </c>
      <c r="P281">
        <v>0.9</v>
      </c>
      <c r="Q281">
        <v>115.6</v>
      </c>
    </row>
    <row r="282" spans="2:17" x14ac:dyDescent="0.25">
      <c r="B282" t="s">
        <v>15</v>
      </c>
      <c r="C282">
        <f t="shared" ref="C282:C296" si="115">I17</f>
        <v>2.0074999999999998</v>
      </c>
      <c r="D282">
        <f t="shared" ref="D282:D296" si="116">J17</f>
        <v>0.67749999999999999</v>
      </c>
      <c r="E282">
        <f t="shared" si="109"/>
        <v>0.30265555395071853</v>
      </c>
      <c r="F282">
        <f t="shared" si="110"/>
        <v>-0.16909070045355667</v>
      </c>
      <c r="H282" s="80">
        <f t="shared" si="111"/>
        <v>2.9630996309963096</v>
      </c>
      <c r="L282" s="80">
        <f>'Tooth measurements raw data'!U15</f>
        <v>0.27185886999999997</v>
      </c>
      <c r="M282">
        <f t="shared" si="112"/>
        <v>2.7185886999999998E-4</v>
      </c>
      <c r="N282">
        <f t="shared" si="113"/>
        <v>-3.5656564926081575</v>
      </c>
      <c r="P282">
        <v>0.9</v>
      </c>
      <c r="Q282">
        <v>115.6</v>
      </c>
    </row>
    <row r="283" spans="2:17" x14ac:dyDescent="0.25">
      <c r="B283" t="s">
        <v>16</v>
      </c>
      <c r="C283">
        <f t="shared" si="115"/>
        <v>5.7975000000000003</v>
      </c>
      <c r="D283">
        <f t="shared" si="116"/>
        <v>2.0074999999999998</v>
      </c>
      <c r="E283">
        <f t="shared" si="109"/>
        <v>0.76324075731002494</v>
      </c>
      <c r="F283">
        <f t="shared" si="110"/>
        <v>0.30265555395071853</v>
      </c>
      <c r="H283" s="80">
        <f t="shared" si="111"/>
        <v>2.8879202988792034</v>
      </c>
      <c r="L283" s="80">
        <f>'Tooth measurements raw data'!U17</f>
        <v>1.7479155</v>
      </c>
      <c r="M283">
        <f t="shared" si="112"/>
        <v>1.7479155E-3</v>
      </c>
      <c r="N283">
        <f t="shared" si="113"/>
        <v>-2.7574795664217273</v>
      </c>
      <c r="P283">
        <v>0.9</v>
      </c>
      <c r="Q283">
        <v>115.6</v>
      </c>
    </row>
    <row r="284" spans="2:17" x14ac:dyDescent="0.25">
      <c r="B284" t="s">
        <v>17</v>
      </c>
      <c r="C284">
        <f t="shared" si="115"/>
        <v>3.3075000000000001</v>
      </c>
      <c r="D284">
        <f t="shared" si="116"/>
        <v>1.0375000000000001</v>
      </c>
      <c r="E284">
        <f t="shared" si="109"/>
        <v>0.51949985285953859</v>
      </c>
      <c r="F284">
        <f t="shared" si="110"/>
        <v>1.5988105384130355E-2</v>
      </c>
      <c r="H284" s="80">
        <f t="shared" si="111"/>
        <v>3.1879518072289157</v>
      </c>
      <c r="L284" s="80">
        <f>'Tooth measurements raw data'!U20</f>
        <v>0.75270462000000005</v>
      </c>
      <c r="M284">
        <f t="shared" si="112"/>
        <v>7.5270462E-4</v>
      </c>
      <c r="N284">
        <f t="shared" si="113"/>
        <v>-3.1233754183162667</v>
      </c>
      <c r="P284">
        <v>0.9</v>
      </c>
      <c r="Q284">
        <v>115.6</v>
      </c>
    </row>
    <row r="285" spans="2:17" x14ac:dyDescent="0.25">
      <c r="B285" t="s">
        <v>18</v>
      </c>
      <c r="C285">
        <f t="shared" si="115"/>
        <v>1.6375</v>
      </c>
      <c r="D285">
        <f t="shared" si="116"/>
        <v>0.48749999999999993</v>
      </c>
      <c r="E285">
        <f t="shared" si="109"/>
        <v>0.21418130866382065</v>
      </c>
      <c r="F285">
        <f t="shared" si="110"/>
        <v>-0.31202537996544444</v>
      </c>
      <c r="H285" s="80">
        <f t="shared" si="111"/>
        <v>3.3589743589743595</v>
      </c>
      <c r="L285" s="80">
        <f>'Tooth measurements raw data'!U22</f>
        <v>0.25269172000000001</v>
      </c>
      <c r="M285">
        <f t="shared" si="112"/>
        <v>2.5269172000000003E-4</v>
      </c>
      <c r="N285">
        <f t="shared" si="113"/>
        <v>-3.5974089884608698</v>
      </c>
      <c r="P285">
        <v>0.9</v>
      </c>
      <c r="Q285">
        <v>115.6</v>
      </c>
    </row>
    <row r="286" spans="2:17" x14ac:dyDescent="0.25">
      <c r="B286" t="s">
        <v>20</v>
      </c>
      <c r="C286">
        <f t="shared" si="115"/>
        <v>2.4175</v>
      </c>
      <c r="D286">
        <f t="shared" si="116"/>
        <v>0.92749999999999999</v>
      </c>
      <c r="E286">
        <f t="shared" si="109"/>
        <v>0.38336648275503926</v>
      </c>
      <c r="F286">
        <f t="shared" si="110"/>
        <v>-3.2686081712916516E-2</v>
      </c>
      <c r="H286" s="80">
        <f t="shared" si="111"/>
        <v>2.6064690026954178</v>
      </c>
      <c r="L286" s="80">
        <f>'Tooth measurements raw data'!U24</f>
        <v>0.42343688000000002</v>
      </c>
      <c r="M286">
        <f t="shared" si="112"/>
        <v>4.2343688000000002E-4</v>
      </c>
      <c r="N286">
        <f t="shared" si="113"/>
        <v>-3.373211319006812</v>
      </c>
      <c r="P286">
        <v>0.9</v>
      </c>
      <c r="Q286">
        <v>115.6</v>
      </c>
    </row>
    <row r="287" spans="2:17" x14ac:dyDescent="0.25">
      <c r="B287" t="s">
        <v>21</v>
      </c>
      <c r="C287">
        <f t="shared" si="115"/>
        <v>3.1274999999999999</v>
      </c>
      <c r="D287">
        <f t="shared" si="116"/>
        <v>1.3574999999999999</v>
      </c>
      <c r="E287">
        <f t="shared" si="109"/>
        <v>0.49519731836545755</v>
      </c>
      <c r="F287">
        <f t="shared" si="110"/>
        <v>0.13273983826088454</v>
      </c>
      <c r="H287" s="80">
        <f t="shared" si="111"/>
        <v>2.3038674033149174</v>
      </c>
      <c r="L287" s="80">
        <f>'Tooth measurements raw data'!U26</f>
        <v>0.91724592000000005</v>
      </c>
      <c r="M287">
        <f t="shared" si="112"/>
        <v>9.1724592000000003E-4</v>
      </c>
      <c r="N287">
        <f t="shared" si="113"/>
        <v>-3.0375142113522564</v>
      </c>
      <c r="P287">
        <v>0.9</v>
      </c>
      <c r="Q287">
        <v>115.6</v>
      </c>
    </row>
    <row r="288" spans="2:17" x14ac:dyDescent="0.25">
      <c r="B288" s="45" t="s">
        <v>22</v>
      </c>
      <c r="C288">
        <f t="shared" si="115"/>
        <v>1.2375</v>
      </c>
      <c r="D288">
        <f t="shared" si="116"/>
        <v>0.58750000000000002</v>
      </c>
      <c r="E288">
        <f t="shared" si="109"/>
        <v>9.2545207605606347E-2</v>
      </c>
      <c r="F288">
        <f t="shared" si="110"/>
        <v>-0.2309921290562261</v>
      </c>
      <c r="H288" s="80">
        <f t="shared" si="111"/>
        <v>2.1063829787234041</v>
      </c>
      <c r="L288" s="80">
        <f>'Tooth measurements raw data'!U29</f>
        <v>0.15296692000000001</v>
      </c>
      <c r="M288">
        <f t="shared" si="112"/>
        <v>1.5296692E-4</v>
      </c>
      <c r="N288">
        <f t="shared" si="113"/>
        <v>-3.8154024777756397</v>
      </c>
      <c r="P288">
        <v>0.9</v>
      </c>
      <c r="Q288">
        <v>115.6</v>
      </c>
    </row>
    <row r="289" spans="2:17" x14ac:dyDescent="0.25">
      <c r="B289" t="s">
        <v>23</v>
      </c>
      <c r="C289">
        <f t="shared" si="115"/>
        <v>2.7675000000000001</v>
      </c>
      <c r="D289">
        <f t="shared" si="116"/>
        <v>1.2875000000000001</v>
      </c>
      <c r="E289">
        <f t="shared" si="109"/>
        <v>0.44208762955076042</v>
      </c>
      <c r="F289">
        <f t="shared" si="110"/>
        <v>0.10974723771322865</v>
      </c>
      <c r="H289" s="80">
        <f t="shared" si="111"/>
        <v>2.1495145631067962</v>
      </c>
      <c r="L289" s="80">
        <f>'Tooth measurements raw data'!U31</f>
        <v>0.79853916000000003</v>
      </c>
      <c r="M289">
        <f t="shared" si="112"/>
        <v>7.9853916000000003E-4</v>
      </c>
      <c r="N289">
        <f t="shared" si="113"/>
        <v>-3.0977037813978874</v>
      </c>
      <c r="P289">
        <v>0.9</v>
      </c>
      <c r="Q289">
        <v>115.6</v>
      </c>
    </row>
    <row r="290" spans="2:17" x14ac:dyDescent="0.25">
      <c r="B290" t="s">
        <v>24</v>
      </c>
      <c r="C290">
        <f t="shared" si="115"/>
        <v>1.2775000000000001</v>
      </c>
      <c r="D290">
        <f t="shared" si="116"/>
        <v>0.5575</v>
      </c>
      <c r="E290">
        <f t="shared" si="109"/>
        <v>0.10636090880675036</v>
      </c>
      <c r="F290">
        <f t="shared" si="110"/>
        <v>-0.25375512827980173</v>
      </c>
      <c r="H290" s="80">
        <f t="shared" si="111"/>
        <v>2.2914798206278029</v>
      </c>
      <c r="L290" s="80">
        <f>'Tooth measurements raw data'!U33</f>
        <v>0.14444818000000001</v>
      </c>
      <c r="M290">
        <f t="shared" si="112"/>
        <v>1.4444818000000002E-4</v>
      </c>
      <c r="N290">
        <f t="shared" si="113"/>
        <v>-3.8402879257542706</v>
      </c>
      <c r="P290">
        <v>0.9</v>
      </c>
      <c r="Q290">
        <v>115.6</v>
      </c>
    </row>
    <row r="291" spans="2:17" x14ac:dyDescent="0.25">
      <c r="B291" t="s">
        <v>25</v>
      </c>
      <c r="C291">
        <f t="shared" si="115"/>
        <v>2.8875000000000002</v>
      </c>
      <c r="D291">
        <f t="shared" si="116"/>
        <v>1.2375</v>
      </c>
      <c r="E291">
        <f t="shared" si="109"/>
        <v>0.46052199290020074</v>
      </c>
      <c r="F291">
        <f t="shared" si="110"/>
        <v>9.2545207605606347E-2</v>
      </c>
      <c r="H291" s="80">
        <f t="shared" si="111"/>
        <v>2.3333333333333335</v>
      </c>
      <c r="L291" s="80">
        <f>'Tooth measurements raw data'!U35</f>
        <v>0.92715358999999997</v>
      </c>
      <c r="M291">
        <f t="shared" si="112"/>
        <v>9.2715358999999992E-4</v>
      </c>
      <c r="N291">
        <f t="shared" si="113"/>
        <v>-3.0328483157322901</v>
      </c>
      <c r="P291">
        <v>0.9</v>
      </c>
      <c r="Q291">
        <v>115.6</v>
      </c>
    </row>
    <row r="292" spans="2:17" x14ac:dyDescent="0.25">
      <c r="B292" t="s">
        <v>26</v>
      </c>
      <c r="C292">
        <f t="shared" si="115"/>
        <v>0.77749999999999997</v>
      </c>
      <c r="D292">
        <f t="shared" si="116"/>
        <v>0.2475</v>
      </c>
      <c r="E292">
        <f t="shared" si="109"/>
        <v>-0.1092996023011249</v>
      </c>
      <c r="F292">
        <f t="shared" si="110"/>
        <v>-0.6064247967304125</v>
      </c>
      <c r="H292" s="80">
        <f t="shared" si="111"/>
        <v>3.1414141414141414</v>
      </c>
      <c r="L292" s="80">
        <f>'Tooth measurements raw data'!U37</f>
        <v>2.8334066000000002E-2</v>
      </c>
      <c r="M292">
        <f t="shared" si="112"/>
        <v>2.8334066000000001E-5</v>
      </c>
      <c r="N292">
        <f t="shared" si="113"/>
        <v>-4.5476910988062018</v>
      </c>
      <c r="P292">
        <v>0.9</v>
      </c>
      <c r="Q292">
        <v>115.6</v>
      </c>
    </row>
    <row r="293" spans="2:17" x14ac:dyDescent="0.25">
      <c r="B293" t="s">
        <v>27</v>
      </c>
      <c r="C293">
        <f t="shared" si="115"/>
        <v>1.6675</v>
      </c>
      <c r="D293">
        <f t="shared" si="116"/>
        <v>0.8175</v>
      </c>
      <c r="E293">
        <f t="shared" si="109"/>
        <v>0.22206584258858658</v>
      </c>
      <c r="F293">
        <f t="shared" si="110"/>
        <v>-8.7512238667676309E-2</v>
      </c>
      <c r="H293" s="80">
        <f t="shared" si="111"/>
        <v>2.0397553516819573</v>
      </c>
      <c r="L293" s="80">
        <f>'Tooth measurements raw data'!U39</f>
        <v>0.48066059</v>
      </c>
      <c r="M293">
        <f t="shared" si="112"/>
        <v>4.8066059000000002E-4</v>
      </c>
      <c r="N293">
        <f t="shared" si="113"/>
        <v>-3.3181614847928755</v>
      </c>
      <c r="P293">
        <v>0.9</v>
      </c>
      <c r="Q293">
        <v>115.6</v>
      </c>
    </row>
    <row r="294" spans="2:17" x14ac:dyDescent="0.25">
      <c r="B294" t="s">
        <v>29</v>
      </c>
      <c r="C294">
        <f t="shared" si="115"/>
        <v>2.0674999999999999</v>
      </c>
      <c r="D294">
        <f t="shared" si="116"/>
        <v>1.1074999999999999</v>
      </c>
      <c r="E294">
        <f t="shared" si="109"/>
        <v>0.31544551822458428</v>
      </c>
      <c r="F294">
        <f t="shared" si="110"/>
        <v>4.4343734895107144E-2</v>
      </c>
      <c r="H294" s="80">
        <f t="shared" si="111"/>
        <v>1.8668171557562077</v>
      </c>
      <c r="L294">
        <f>'Tooth measurements raw data'!U41</f>
        <v>0.89113414000000002</v>
      </c>
      <c r="M294">
        <f t="shared" si="112"/>
        <v>8.9113414000000001E-4</v>
      </c>
      <c r="N294">
        <f t="shared" si="113"/>
        <v>-3.0500569178744561</v>
      </c>
      <c r="P294">
        <v>0.9</v>
      </c>
      <c r="Q294">
        <v>115.6</v>
      </c>
    </row>
    <row r="295" spans="2:17" x14ac:dyDescent="0.25">
      <c r="B295" t="s">
        <v>30</v>
      </c>
      <c r="C295">
        <f t="shared" si="115"/>
        <v>0.77749999999999997</v>
      </c>
      <c r="D295">
        <f t="shared" si="116"/>
        <v>0.41749999999999998</v>
      </c>
      <c r="E295">
        <f t="shared" si="109"/>
        <v>-0.1092996023011249</v>
      </c>
      <c r="F295">
        <f t="shared" si="110"/>
        <v>-0.37934352018037915</v>
      </c>
      <c r="H295" s="80">
        <f t="shared" si="111"/>
        <v>1.8622754491017963</v>
      </c>
      <c r="L295">
        <f>'Tooth measurements raw data'!U43</f>
        <v>8.1390991999999995E-2</v>
      </c>
      <c r="M295">
        <f t="shared" si="112"/>
        <v>8.1390991999999999E-5</v>
      </c>
      <c r="N295">
        <f t="shared" si="113"/>
        <v>-4.089423658270178</v>
      </c>
      <c r="P295">
        <v>0.9</v>
      </c>
      <c r="Q295">
        <v>115.6</v>
      </c>
    </row>
    <row r="296" spans="2:17" x14ac:dyDescent="0.25">
      <c r="B296" t="s">
        <v>31</v>
      </c>
      <c r="C296">
        <f t="shared" si="115"/>
        <v>1.6074999999999999</v>
      </c>
      <c r="D296">
        <f t="shared" si="116"/>
        <v>0.41749999999999998</v>
      </c>
      <c r="E296">
        <f t="shared" si="109"/>
        <v>0.20615098159625966</v>
      </c>
      <c r="F296">
        <f t="shared" si="110"/>
        <v>-0.37934352018037915</v>
      </c>
      <c r="H296" s="80">
        <f t="shared" si="111"/>
        <v>3.8502994011976046</v>
      </c>
      <c r="L296">
        <f>'Tooth measurements raw data'!U45</f>
        <v>0.44019657000000001</v>
      </c>
      <c r="M296">
        <f t="shared" si="112"/>
        <v>4.4019657000000001E-4</v>
      </c>
      <c r="N296">
        <f t="shared" si="113"/>
        <v>-3.356353345780573</v>
      </c>
      <c r="P296">
        <v>0.9</v>
      </c>
      <c r="Q296">
        <v>115.6</v>
      </c>
    </row>
    <row r="297" spans="2:17" x14ac:dyDescent="0.25">
      <c r="B297" t="s">
        <v>15</v>
      </c>
      <c r="C297">
        <f t="shared" ref="C297:C316" si="117">I37</f>
        <v>3.1675</v>
      </c>
      <c r="D297"/>
      <c r="E297">
        <f t="shared" ref="E297:E328" si="118">LOG(C297)</f>
        <v>0.50071662355547897</v>
      </c>
      <c r="L297">
        <f>'Tooth measurements raw data'!U47</f>
        <v>0.45103016000000001</v>
      </c>
      <c r="M297">
        <f t="shared" si="112"/>
        <v>4.5103016000000001E-4</v>
      </c>
      <c r="N297">
        <f t="shared" si="113"/>
        <v>-3.3457944162514681</v>
      </c>
      <c r="P297">
        <v>0.9</v>
      </c>
      <c r="Q297">
        <v>115.6</v>
      </c>
    </row>
    <row r="298" spans="2:17" x14ac:dyDescent="0.25">
      <c r="B298" t="s">
        <v>16</v>
      </c>
      <c r="C298">
        <f t="shared" si="117"/>
        <v>1.7175</v>
      </c>
      <c r="D298">
        <f t="shared" ref="D298:D316" si="119">J38</f>
        <v>0.42749999999999999</v>
      </c>
      <c r="E298">
        <f t="shared" si="118"/>
        <v>0.23489674573158806</v>
      </c>
      <c r="F298">
        <f t="shared" ref="F298:F329" si="120">LOG(D298)</f>
        <v>-0.36906388093580855</v>
      </c>
      <c r="H298" s="80">
        <f t="shared" ref="H298:H329" si="121">C298/D298</f>
        <v>4.0175438596491233</v>
      </c>
      <c r="L298">
        <f>'Tooth measurements raw data'!U49</f>
        <v>0.12731809999999999</v>
      </c>
      <c r="M298">
        <f t="shared" si="112"/>
        <v>1.273181E-4</v>
      </c>
      <c r="N298">
        <f t="shared" si="113"/>
        <v>-3.8951098510883626</v>
      </c>
      <c r="P298">
        <v>0.9</v>
      </c>
      <c r="Q298">
        <v>115.6</v>
      </c>
    </row>
    <row r="299" spans="2:17" x14ac:dyDescent="0.25">
      <c r="B299" t="s">
        <v>17</v>
      </c>
      <c r="C299">
        <f t="shared" si="117"/>
        <v>4.5175000000000001</v>
      </c>
      <c r="D299">
        <f t="shared" si="119"/>
        <v>1.4775</v>
      </c>
      <c r="E299">
        <f t="shared" si="118"/>
        <v>0.65489816123296951</v>
      </c>
      <c r="F299">
        <f t="shared" si="120"/>
        <v>0.169527489553293</v>
      </c>
      <c r="H299" s="80">
        <f t="shared" si="121"/>
        <v>3.057529610829103</v>
      </c>
      <c r="L299">
        <f>'Tooth measurements raw data'!U51</f>
        <v>0.81381731999999996</v>
      </c>
      <c r="M299">
        <f t="shared" si="112"/>
        <v>8.138173199999999E-4</v>
      </c>
      <c r="N299">
        <f t="shared" si="113"/>
        <v>-3.0894730715478809</v>
      </c>
      <c r="P299">
        <v>0.9</v>
      </c>
      <c r="Q299">
        <v>115.6</v>
      </c>
    </row>
    <row r="300" spans="2:17" x14ac:dyDescent="0.25">
      <c r="B300" t="s">
        <v>18</v>
      </c>
      <c r="C300">
        <f t="shared" si="117"/>
        <v>2.2675000000000001</v>
      </c>
      <c r="D300">
        <f t="shared" si="119"/>
        <v>0.76749999999999996</v>
      </c>
      <c r="E300">
        <f t="shared" si="118"/>
        <v>0.3555472957321329</v>
      </c>
      <c r="F300">
        <f t="shared" si="120"/>
        <v>-0.11492161585077593</v>
      </c>
      <c r="H300" s="80">
        <f t="shared" si="121"/>
        <v>2.9543973941368082</v>
      </c>
      <c r="L300" s="80">
        <f>'Tooth measurements raw data'!U54</f>
        <v>0.29593356999999998</v>
      </c>
      <c r="M300">
        <f t="shared" si="112"/>
        <v>2.9593356999999996E-4</v>
      </c>
      <c r="N300">
        <f t="shared" si="113"/>
        <v>-3.5288057667122712</v>
      </c>
      <c r="P300">
        <v>0.9</v>
      </c>
      <c r="Q300">
        <v>115.6</v>
      </c>
    </row>
    <row r="301" spans="2:17" x14ac:dyDescent="0.25">
      <c r="B301" t="s">
        <v>20</v>
      </c>
      <c r="C301">
        <f t="shared" si="117"/>
        <v>2.0674999999999999</v>
      </c>
      <c r="D301">
        <f t="shared" si="119"/>
        <v>0.94750000000000001</v>
      </c>
      <c r="E301">
        <f t="shared" si="118"/>
        <v>0.31544551822458428</v>
      </c>
      <c r="F301">
        <f t="shared" si="120"/>
        <v>-2.3420781359890043E-2</v>
      </c>
      <c r="H301" s="80">
        <f t="shared" si="121"/>
        <v>2.1820580474934035</v>
      </c>
      <c r="L301" s="80">
        <f>'Tooth measurements raw data'!U56</f>
        <v>0.25195095000000001</v>
      </c>
      <c r="M301">
        <f t="shared" ref="M301:M332" si="122">L301/1000</f>
        <v>2.5195095000000002E-4</v>
      </c>
      <c r="N301">
        <f t="shared" ref="N301:N332" si="123">LOG(M301)</f>
        <v>-3.5986839997651288</v>
      </c>
      <c r="P301">
        <v>0.9</v>
      </c>
      <c r="Q301">
        <v>115.6</v>
      </c>
    </row>
    <row r="302" spans="2:17" x14ac:dyDescent="0.25">
      <c r="B302" t="s">
        <v>21</v>
      </c>
      <c r="C302">
        <f t="shared" si="117"/>
        <v>0.87749999999999995</v>
      </c>
      <c r="D302">
        <f t="shared" si="119"/>
        <v>0.38749999999999996</v>
      </c>
      <c r="E302">
        <f t="shared" si="118"/>
        <v>-5.6752874862138335E-2</v>
      </c>
      <c r="F302">
        <f t="shared" si="120"/>
        <v>-0.41172829315767095</v>
      </c>
      <c r="H302" s="80">
        <f t="shared" si="121"/>
        <v>2.2645161290322582</v>
      </c>
      <c r="L302" s="80">
        <f>'Tooth measurements raw data'!U58</f>
        <v>5.3982875999999999E-2</v>
      </c>
      <c r="M302">
        <f t="shared" si="122"/>
        <v>5.3982876000000002E-5</v>
      </c>
      <c r="N302">
        <f t="shared" si="123"/>
        <v>-4.2677439816235632</v>
      </c>
      <c r="P302">
        <v>0.9</v>
      </c>
      <c r="Q302">
        <v>115.6</v>
      </c>
    </row>
    <row r="303" spans="2:17" x14ac:dyDescent="0.25">
      <c r="B303" s="45" t="s">
        <v>22</v>
      </c>
      <c r="C303">
        <f t="shared" si="117"/>
        <v>2.2075</v>
      </c>
      <c r="D303">
        <f t="shared" si="119"/>
        <v>1.0474999999999999</v>
      </c>
      <c r="E303">
        <f t="shared" si="118"/>
        <v>0.34390071224960622</v>
      </c>
      <c r="F303">
        <f t="shared" si="120"/>
        <v>2.0154031638332869E-2</v>
      </c>
      <c r="H303" s="80">
        <f t="shared" si="121"/>
        <v>2.1073985680190934</v>
      </c>
      <c r="L303" s="80">
        <f>'Tooth measurements raw data'!U60</f>
        <v>0.35528695999999999</v>
      </c>
      <c r="M303">
        <f t="shared" si="122"/>
        <v>3.5528695999999997E-4</v>
      </c>
      <c r="N303">
        <f t="shared" si="123"/>
        <v>-3.4494207320096031</v>
      </c>
      <c r="P303">
        <v>0.9</v>
      </c>
      <c r="Q303">
        <v>115.6</v>
      </c>
    </row>
    <row r="304" spans="2:17" x14ac:dyDescent="0.25">
      <c r="B304" t="s">
        <v>23</v>
      </c>
      <c r="C304">
        <f t="shared" si="117"/>
        <v>1.1475</v>
      </c>
      <c r="D304">
        <f t="shared" si="119"/>
        <v>0.59750000000000003</v>
      </c>
      <c r="E304">
        <f t="shared" si="118"/>
        <v>5.9752694209298837E-2</v>
      </c>
      <c r="F304">
        <f t="shared" si="120"/>
        <v>-0.22366209037982468</v>
      </c>
      <c r="H304" s="80">
        <f t="shared" si="121"/>
        <v>1.9205020920502089</v>
      </c>
      <c r="L304" s="80">
        <f>'Tooth measurements raw data'!U62</f>
        <v>9.5187648999999999E-2</v>
      </c>
      <c r="M304">
        <f t="shared" si="122"/>
        <v>9.5187649000000004E-5</v>
      </c>
      <c r="N304">
        <f t="shared" si="123"/>
        <v>-4.0214193995055458</v>
      </c>
      <c r="P304">
        <v>0.9</v>
      </c>
      <c r="Q304">
        <v>115.6</v>
      </c>
    </row>
    <row r="305" spans="2:17" x14ac:dyDescent="0.25">
      <c r="B305" t="s">
        <v>24</v>
      </c>
      <c r="C305">
        <f t="shared" si="117"/>
        <v>0.28749999999999998</v>
      </c>
      <c r="D305">
        <f t="shared" si="119"/>
        <v>0.16749999999999998</v>
      </c>
      <c r="E305">
        <f t="shared" si="118"/>
        <v>-0.5413621509743507</v>
      </c>
      <c r="F305">
        <f t="shared" si="120"/>
        <v>-0.77598518862713606</v>
      </c>
      <c r="H305" s="80">
        <f t="shared" si="121"/>
        <v>1.7164179104477613</v>
      </c>
      <c r="L305" s="80">
        <f>'Tooth measurements raw data'!U64</f>
        <v>7.500194E-3</v>
      </c>
      <c r="M305">
        <f t="shared" si="122"/>
        <v>7.500194E-6</v>
      </c>
      <c r="N305">
        <f t="shared" si="123"/>
        <v>-5.124927503002989</v>
      </c>
      <c r="P305">
        <v>0.9</v>
      </c>
      <c r="Q305">
        <v>115.6</v>
      </c>
    </row>
    <row r="306" spans="2:17" x14ac:dyDescent="0.25">
      <c r="B306" t="s">
        <v>25</v>
      </c>
      <c r="C306">
        <f t="shared" si="117"/>
        <v>1.3975</v>
      </c>
      <c r="D306">
        <f t="shared" si="119"/>
        <v>0.66749999999999998</v>
      </c>
      <c r="E306">
        <f t="shared" si="118"/>
        <v>0.14535181655846088</v>
      </c>
      <c r="F306">
        <f t="shared" si="120"/>
        <v>-0.17554872996338719</v>
      </c>
      <c r="H306" s="80">
        <f t="shared" si="121"/>
        <v>2.0936329588014981</v>
      </c>
      <c r="L306" s="80">
        <f>'Tooth measurements raw data'!U66</f>
        <v>0.15213357</v>
      </c>
      <c r="M306">
        <f t="shared" si="122"/>
        <v>1.5213356999999999E-4</v>
      </c>
      <c r="N306">
        <f t="shared" si="123"/>
        <v>-3.817774943362525</v>
      </c>
      <c r="P306">
        <v>0.9</v>
      </c>
      <c r="Q306">
        <v>115.6</v>
      </c>
    </row>
    <row r="307" spans="2:17" x14ac:dyDescent="0.25">
      <c r="B307" t="s">
        <v>26</v>
      </c>
      <c r="C307">
        <f t="shared" si="117"/>
        <v>0.75749999999999995</v>
      </c>
      <c r="D307">
        <f t="shared" si="119"/>
        <v>0.32749999999999996</v>
      </c>
      <c r="E307">
        <f t="shared" si="118"/>
        <v>-0.12061736282565741</v>
      </c>
      <c r="F307">
        <f t="shared" si="120"/>
        <v>-0.48478869567219818</v>
      </c>
      <c r="H307" s="80">
        <f t="shared" si="121"/>
        <v>2.3129770992366412</v>
      </c>
      <c r="L307" s="80">
        <f>'Tooth measurements raw data'!U68</f>
        <v>3.4074954999999997E-2</v>
      </c>
      <c r="M307">
        <f t="shared" si="122"/>
        <v>3.4074954999999998E-5</v>
      </c>
      <c r="N307">
        <f t="shared" si="123"/>
        <v>-4.4675647090300341</v>
      </c>
      <c r="P307">
        <v>0.9</v>
      </c>
      <c r="Q307">
        <v>115.6</v>
      </c>
    </row>
    <row r="308" spans="2:17" x14ac:dyDescent="0.25">
      <c r="B308" t="s">
        <v>27</v>
      </c>
      <c r="C308">
        <f t="shared" si="117"/>
        <v>2.5874999999999999</v>
      </c>
      <c r="D308">
        <f t="shared" si="119"/>
        <v>1.1875</v>
      </c>
      <c r="E308">
        <f t="shared" si="118"/>
        <v>0.41288035846497417</v>
      </c>
      <c r="F308">
        <f t="shared" si="120"/>
        <v>7.4633618296904181E-2</v>
      </c>
      <c r="H308" s="80">
        <f t="shared" si="121"/>
        <v>2.1789473684210527</v>
      </c>
      <c r="L308" s="80">
        <f>'Tooth measurements raw data'!U70</f>
        <v>0.58714478999999997</v>
      </c>
      <c r="M308">
        <f t="shared" si="122"/>
        <v>5.8714478999999993E-4</v>
      </c>
      <c r="N308">
        <f t="shared" si="123"/>
        <v>-3.2312547884557867</v>
      </c>
      <c r="P308">
        <v>0.9</v>
      </c>
      <c r="Q308">
        <v>115.6</v>
      </c>
    </row>
    <row r="309" spans="2:17" x14ac:dyDescent="0.25">
      <c r="B309" t="s">
        <v>29</v>
      </c>
      <c r="C309">
        <f t="shared" si="117"/>
        <v>0.5675</v>
      </c>
      <c r="D309">
        <f t="shared" si="119"/>
        <v>0.19750000000000001</v>
      </c>
      <c r="E309">
        <f t="shared" si="118"/>
        <v>-0.24603413413483965</v>
      </c>
      <c r="F309">
        <f t="shared" si="120"/>
        <v>-0.7044329000375209</v>
      </c>
      <c r="H309" s="80">
        <f t="shared" si="121"/>
        <v>2.8734177215189871</v>
      </c>
      <c r="L309" s="80">
        <f>'Tooth measurements raw data'!U72</f>
        <v>2.3333936999999999E-2</v>
      </c>
      <c r="M309">
        <f t="shared" si="122"/>
        <v>2.3333936999999998E-5</v>
      </c>
      <c r="N309">
        <f t="shared" si="123"/>
        <v>-4.6320119790320788</v>
      </c>
      <c r="P309">
        <v>0.9</v>
      </c>
      <c r="Q309">
        <v>115.6</v>
      </c>
    </row>
    <row r="310" spans="2:17" x14ac:dyDescent="0.25">
      <c r="B310" t="s">
        <v>30</v>
      </c>
      <c r="C310">
        <f t="shared" si="117"/>
        <v>1.6174999999999999</v>
      </c>
      <c r="D310">
        <f t="shared" si="119"/>
        <v>0.8175</v>
      </c>
      <c r="E310">
        <f t="shared" si="118"/>
        <v>0.20884428934073798</v>
      </c>
      <c r="F310">
        <f t="shared" si="120"/>
        <v>-8.7512238667676309E-2</v>
      </c>
      <c r="H310" s="80">
        <f t="shared" si="121"/>
        <v>1.9785932721712538</v>
      </c>
      <c r="L310" s="80">
        <f>'Tooth measurements raw data'!U74</f>
        <v>0.32380468000000001</v>
      </c>
      <c r="M310">
        <f t="shared" si="122"/>
        <v>3.2380468000000001E-4</v>
      </c>
      <c r="N310">
        <f t="shared" si="123"/>
        <v>-3.4897168786107882</v>
      </c>
      <c r="P310">
        <v>0.9</v>
      </c>
      <c r="Q310">
        <v>115.6</v>
      </c>
    </row>
    <row r="311" spans="2:17" x14ac:dyDescent="0.25">
      <c r="B311" t="s">
        <v>31</v>
      </c>
      <c r="C311">
        <f t="shared" si="117"/>
        <v>2.6274999999999999</v>
      </c>
      <c r="D311">
        <f t="shared" si="119"/>
        <v>1.3674999999999999</v>
      </c>
      <c r="E311">
        <f t="shared" si="118"/>
        <v>0.41954272470027981</v>
      </c>
      <c r="F311">
        <f t="shared" si="120"/>
        <v>0.13592733500546836</v>
      </c>
      <c r="H311" s="80">
        <f t="shared" si="121"/>
        <v>1.9213893967093236</v>
      </c>
      <c r="L311" s="80">
        <f>'Tooth measurements raw data'!U76</f>
        <v>1.2154944000000001</v>
      </c>
      <c r="M311">
        <f t="shared" si="122"/>
        <v>1.2154944E-3</v>
      </c>
      <c r="N311">
        <f t="shared" si="123"/>
        <v>-2.915247037688355</v>
      </c>
      <c r="P311">
        <v>0.9</v>
      </c>
      <c r="Q311">
        <v>115.6</v>
      </c>
    </row>
    <row r="312" spans="2:17" x14ac:dyDescent="0.25">
      <c r="B312" t="s">
        <v>32</v>
      </c>
      <c r="C312">
        <f t="shared" si="117"/>
        <v>0.61749999999999994</v>
      </c>
      <c r="D312">
        <f t="shared" si="119"/>
        <v>0.39749999999999996</v>
      </c>
      <c r="E312">
        <f t="shared" si="118"/>
        <v>-0.2093630380682967</v>
      </c>
      <c r="F312">
        <f t="shared" si="120"/>
        <v>-0.40066286700751097</v>
      </c>
      <c r="H312" s="80">
        <f t="shared" si="121"/>
        <v>1.5534591194968552</v>
      </c>
      <c r="L312" s="80">
        <f>'Tooth measurements raw data'!U78</f>
        <v>6.0927499000000003E-2</v>
      </c>
      <c r="M312">
        <f t="shared" si="122"/>
        <v>6.0927499000000006E-5</v>
      </c>
      <c r="N312">
        <f t="shared" si="123"/>
        <v>-4.2151866487718364</v>
      </c>
      <c r="P312">
        <v>0.9</v>
      </c>
      <c r="Q312">
        <v>115.6</v>
      </c>
    </row>
    <row r="313" spans="2:17" x14ac:dyDescent="0.25">
      <c r="B313" t="s">
        <v>72</v>
      </c>
      <c r="C313">
        <f t="shared" si="117"/>
        <v>1.1875</v>
      </c>
      <c r="D313">
        <f t="shared" si="119"/>
        <v>0.72750000000000004</v>
      </c>
      <c r="E313">
        <f t="shared" si="118"/>
        <v>7.4633618296904181E-2</v>
      </c>
      <c r="F313">
        <f t="shared" si="120"/>
        <v>-0.13816700234205509</v>
      </c>
      <c r="H313" s="80">
        <f t="shared" si="121"/>
        <v>1.6323024054982818</v>
      </c>
      <c r="L313" s="80">
        <f>'Tooth measurements raw data'!U80</f>
        <v>0.33028632000000002</v>
      </c>
      <c r="M313">
        <f t="shared" si="122"/>
        <v>3.3028632000000002E-4</v>
      </c>
      <c r="N313">
        <f t="shared" si="123"/>
        <v>-3.4811094138094871</v>
      </c>
      <c r="P313">
        <v>0.9</v>
      </c>
      <c r="Q313">
        <v>115.6</v>
      </c>
    </row>
    <row r="314" spans="2:17" x14ac:dyDescent="0.25">
      <c r="B314" t="s">
        <v>73</v>
      </c>
      <c r="C314">
        <f t="shared" si="117"/>
        <v>2.7075</v>
      </c>
      <c r="D314">
        <f t="shared" si="119"/>
        <v>1.3274999999999999</v>
      </c>
      <c r="E314">
        <f t="shared" si="118"/>
        <v>0.43256846529735798</v>
      </c>
      <c r="F314">
        <f t="shared" si="120"/>
        <v>0.12303452975350664</v>
      </c>
      <c r="H314" s="80">
        <f t="shared" si="121"/>
        <v>2.0395480225988702</v>
      </c>
      <c r="L314" s="80">
        <f>'Tooth measurements raw data'!U82</f>
        <v>1.3269788</v>
      </c>
      <c r="M314">
        <f t="shared" si="122"/>
        <v>1.3269788E-3</v>
      </c>
      <c r="N314">
        <f t="shared" si="123"/>
        <v>-2.8771360154298842</v>
      </c>
      <c r="P314">
        <v>0.9</v>
      </c>
      <c r="Q314">
        <v>115.6</v>
      </c>
    </row>
    <row r="315" spans="2:17" x14ac:dyDescent="0.25">
      <c r="B315" t="s">
        <v>74</v>
      </c>
      <c r="C315">
        <f t="shared" si="117"/>
        <v>0.90749999999999997</v>
      </c>
      <c r="D315">
        <f t="shared" si="119"/>
        <v>0.51749999999999996</v>
      </c>
      <c r="E315">
        <f t="shared" si="118"/>
        <v>-4.2153366291849882E-2</v>
      </c>
      <c r="F315">
        <f t="shared" si="120"/>
        <v>-0.28608964587104468</v>
      </c>
      <c r="H315" s="80">
        <f t="shared" si="121"/>
        <v>1.7536231884057971</v>
      </c>
      <c r="L315" s="80">
        <f>'Tooth measurements raw data'!U84</f>
        <v>0.20741276</v>
      </c>
      <c r="M315">
        <f t="shared" si="122"/>
        <v>2.0741276E-4</v>
      </c>
      <c r="N315">
        <f t="shared" si="123"/>
        <v>-3.6831645293976698</v>
      </c>
      <c r="P315">
        <v>0.9</v>
      </c>
      <c r="Q315">
        <v>115.6</v>
      </c>
    </row>
    <row r="316" spans="2:17" x14ac:dyDescent="0.25">
      <c r="B316" t="s">
        <v>75</v>
      </c>
      <c r="C316">
        <f t="shared" si="117"/>
        <v>1.6274999999999999</v>
      </c>
      <c r="D316">
        <f t="shared" si="119"/>
        <v>1.0275000000000001</v>
      </c>
      <c r="E316">
        <f t="shared" si="118"/>
        <v>0.21152099724022955</v>
      </c>
      <c r="F316">
        <f t="shared" si="120"/>
        <v>1.178183054810685E-2</v>
      </c>
      <c r="H316" s="80">
        <f t="shared" si="121"/>
        <v>1.5839416058394158</v>
      </c>
      <c r="I316">
        <f>AVERAGE(H277:H316)</f>
        <v>2.3831861073344327</v>
      </c>
      <c r="J316" t="s">
        <v>286</v>
      </c>
      <c r="L316" s="80">
        <f>'Tooth measurements raw data'!U86</f>
        <v>0.76798284000000006</v>
      </c>
      <c r="M316" s="105">
        <f t="shared" si="122"/>
        <v>7.6798284000000007E-4</v>
      </c>
      <c r="N316">
        <f t="shared" si="123"/>
        <v>-3.114648483844229</v>
      </c>
      <c r="P316">
        <v>0.9</v>
      </c>
      <c r="Q316">
        <v>115.6</v>
      </c>
    </row>
    <row r="317" spans="2:17" x14ac:dyDescent="0.25">
      <c r="B317" s="55" t="s">
        <v>285</v>
      </c>
      <c r="C317" s="55">
        <f>O10</f>
        <v>0.3775</v>
      </c>
      <c r="D317" s="55">
        <f>P10</f>
        <v>0.11750000000000001</v>
      </c>
      <c r="E317" s="55">
        <f t="shared" si="118"/>
        <v>-0.42308304403479297</v>
      </c>
      <c r="F317" s="55">
        <f t="shared" si="120"/>
        <v>-0.92996213339224487</v>
      </c>
      <c r="G317" s="55"/>
      <c r="H317" s="46">
        <f t="shared" si="121"/>
        <v>3.2127659574468082</v>
      </c>
      <c r="I317" s="55"/>
      <c r="J317" s="55"/>
      <c r="K317" s="55"/>
      <c r="L317" s="55">
        <f>'Tooth measurements raw data'!U13</f>
        <v>4.3519641999999999E-3</v>
      </c>
      <c r="M317">
        <f t="shared" si="122"/>
        <v>4.3519641999999997E-6</v>
      </c>
      <c r="N317" s="55">
        <f t="shared" si="123"/>
        <v>-5.3613146858756853</v>
      </c>
      <c r="P317">
        <v>0.9</v>
      </c>
      <c r="Q317">
        <v>115.6</v>
      </c>
    </row>
    <row r="318" spans="2:17" x14ac:dyDescent="0.25">
      <c r="B318" t="s">
        <v>285</v>
      </c>
      <c r="C318">
        <f>O18</f>
        <v>1.0075000000000001</v>
      </c>
      <c r="D318">
        <f>P18</f>
        <v>0.32749999999999996</v>
      </c>
      <c r="E318">
        <f t="shared" si="118"/>
        <v>3.2450548131470851E-3</v>
      </c>
      <c r="F318">
        <f t="shared" si="120"/>
        <v>-0.48478869567219818</v>
      </c>
      <c r="H318" s="80">
        <f t="shared" si="121"/>
        <v>3.0763358778625962</v>
      </c>
      <c r="L318">
        <f>'Tooth measurements raw data'!U18</f>
        <v>6.1112690999999997E-2</v>
      </c>
      <c r="M318">
        <f t="shared" si="122"/>
        <v>6.1112690999999997E-5</v>
      </c>
      <c r="N318">
        <f t="shared" si="123"/>
        <v>-4.2138685923934149</v>
      </c>
      <c r="P318">
        <v>0.9</v>
      </c>
      <c r="Q318">
        <v>115.6</v>
      </c>
    </row>
    <row r="319" spans="2:17" x14ac:dyDescent="0.25">
      <c r="B319" t="s">
        <v>285</v>
      </c>
      <c r="C319">
        <f>O22</f>
        <v>0.3075</v>
      </c>
      <c r="D319">
        <f>P22</f>
        <v>5.7500000000000009E-2</v>
      </c>
      <c r="E319">
        <f t="shared" si="118"/>
        <v>-0.51215487988856445</v>
      </c>
      <c r="F319">
        <f t="shared" si="120"/>
        <v>-1.2403321553103694</v>
      </c>
      <c r="H319" s="80">
        <f t="shared" si="121"/>
        <v>5.3478260869565206</v>
      </c>
      <c r="L319">
        <f>'Tooth measurements raw data'!U27</f>
        <v>5.7408893000000004E-3</v>
      </c>
      <c r="M319">
        <f t="shared" si="122"/>
        <v>5.7408893000000001E-6</v>
      </c>
      <c r="N319">
        <f t="shared" si="123"/>
        <v>-5.2410208274334895</v>
      </c>
      <c r="P319">
        <v>0.9</v>
      </c>
      <c r="Q319">
        <v>115.6</v>
      </c>
    </row>
    <row r="320" spans="2:17" ht="15.75" thickBot="1" x14ac:dyDescent="0.3">
      <c r="B320" s="382" t="s">
        <v>285</v>
      </c>
      <c r="C320" s="384">
        <f>O39</f>
        <v>0.51749999999999996</v>
      </c>
      <c r="D320" s="382">
        <f>P39</f>
        <v>0.1075</v>
      </c>
      <c r="E320" s="382">
        <f t="shared" si="118"/>
        <v>-0.28608964587104468</v>
      </c>
      <c r="F320" s="382">
        <f t="shared" si="120"/>
        <v>-0.96859153574837586</v>
      </c>
      <c r="G320" s="382"/>
      <c r="H320" s="383">
        <f t="shared" si="121"/>
        <v>4.8139534883720927</v>
      </c>
      <c r="I320" s="382">
        <f>AVERAGE(H237:H320)</f>
        <v>2.8182494528664757</v>
      </c>
      <c r="J320" s="382" t="s">
        <v>280</v>
      </c>
      <c r="K320" s="382"/>
      <c r="L320" s="382">
        <f>'Tooth measurements raw data'!U52</f>
        <v>2.1111655999999999E-2</v>
      </c>
      <c r="M320" s="382">
        <f t="shared" si="122"/>
        <v>2.1111655999999999E-5</v>
      </c>
      <c r="N320" s="382">
        <f t="shared" si="123"/>
        <v>-4.6754776992619993</v>
      </c>
      <c r="P320">
        <v>0.9</v>
      </c>
      <c r="Q320">
        <v>115.6</v>
      </c>
    </row>
    <row r="321" spans="1:19" ht="15.75" thickTop="1" x14ac:dyDescent="0.25">
      <c r="B321" s="43" t="s">
        <v>15</v>
      </c>
      <c r="C321" s="43">
        <f t="shared" ref="C321:D323" si="124">W6</f>
        <v>27.254999999999999</v>
      </c>
      <c r="D321" s="43">
        <f t="shared" si="124"/>
        <v>5.6550000000000002</v>
      </c>
      <c r="E321" s="43">
        <f t="shared" si="118"/>
        <v>1.4354461863637156</v>
      </c>
      <c r="F321" s="43">
        <f t="shared" si="120"/>
        <v>0.75243260926147415</v>
      </c>
      <c r="G321" s="43"/>
      <c r="H321" s="61">
        <f t="shared" si="121"/>
        <v>4.819628647214854</v>
      </c>
      <c r="I321" s="43"/>
      <c r="J321" s="43"/>
      <c r="K321" s="43"/>
      <c r="L321" s="61">
        <f>'Tooth measurements raw data'!U168</f>
        <v>30.514372000000002</v>
      </c>
      <c r="M321">
        <f t="shared" si="122"/>
        <v>3.0514372000000001E-2</v>
      </c>
      <c r="N321">
        <f t="shared" si="123"/>
        <v>-1.515495563598299</v>
      </c>
      <c r="P321">
        <v>3.95</v>
      </c>
      <c r="Q321">
        <v>428</v>
      </c>
      <c r="S321">
        <f t="shared" ref="S321:S352" si="125">L321/63</f>
        <v>0.48435511111111113</v>
      </c>
    </row>
    <row r="322" spans="1:19" x14ac:dyDescent="0.25">
      <c r="B322" s="43" t="s">
        <v>16</v>
      </c>
      <c r="C322" s="43">
        <f t="shared" si="124"/>
        <v>23.265000000000001</v>
      </c>
      <c r="D322" s="43">
        <f t="shared" si="124"/>
        <v>8.0549999999999997</v>
      </c>
      <c r="E322" s="43">
        <f t="shared" si="118"/>
        <v>1.3667030568692862</v>
      </c>
      <c r="F322" s="43">
        <f t="shared" si="120"/>
        <v>0.90606554475523682</v>
      </c>
      <c r="G322" s="43"/>
      <c r="H322" s="61">
        <f t="shared" si="121"/>
        <v>2.8882681564245813</v>
      </c>
      <c r="I322" s="43"/>
      <c r="J322" s="43"/>
      <c r="K322" s="43"/>
      <c r="L322" s="61">
        <f>'Tooth measurements raw data'!U169</f>
        <v>74.045319000000006</v>
      </c>
      <c r="M322">
        <f t="shared" si="122"/>
        <v>7.4045319000000012E-2</v>
      </c>
      <c r="N322">
        <f t="shared" si="123"/>
        <v>-1.130502391521266</v>
      </c>
      <c r="P322">
        <v>3.95</v>
      </c>
      <c r="Q322">
        <v>428</v>
      </c>
      <c r="S322">
        <f t="shared" si="125"/>
        <v>1.175322523809524</v>
      </c>
    </row>
    <row r="323" spans="1:19" x14ac:dyDescent="0.25">
      <c r="B323" t="s">
        <v>17</v>
      </c>
      <c r="C323">
        <f t="shared" si="124"/>
        <v>39.015000000000001</v>
      </c>
      <c r="D323">
        <f t="shared" si="124"/>
        <v>11.455</v>
      </c>
      <c r="E323">
        <f t="shared" si="118"/>
        <v>1.5912316112515539</v>
      </c>
      <c r="F323">
        <f t="shared" si="120"/>
        <v>1.0589950935254164</v>
      </c>
      <c r="H323" s="80">
        <f t="shared" si="121"/>
        <v>3.4059362723701443</v>
      </c>
      <c r="L323" s="80">
        <f>'Tooth measurements raw data'!U171</f>
        <v>228.07452000000001</v>
      </c>
      <c r="M323">
        <f t="shared" si="122"/>
        <v>0.22807452</v>
      </c>
      <c r="N323">
        <f t="shared" si="123"/>
        <v>-0.64192323046864297</v>
      </c>
      <c r="P323">
        <v>3.95</v>
      </c>
      <c r="Q323">
        <v>428</v>
      </c>
      <c r="S323">
        <f t="shared" si="125"/>
        <v>3.6202304761904762</v>
      </c>
    </row>
    <row r="324" spans="1:19" x14ac:dyDescent="0.25">
      <c r="B324" t="s">
        <v>20</v>
      </c>
      <c r="C324">
        <f>W10</f>
        <v>37.615000000000002</v>
      </c>
      <c r="D324">
        <f>X10</f>
        <v>8.6449999999999996</v>
      </c>
      <c r="E324">
        <f t="shared" si="118"/>
        <v>1.5753610661552064</v>
      </c>
      <c r="F324">
        <f t="shared" si="120"/>
        <v>0.93676499760994136</v>
      </c>
      <c r="H324" s="80">
        <f t="shared" si="121"/>
        <v>4.3510699826489301</v>
      </c>
      <c r="L324" s="80">
        <f>'Tooth measurements raw data'!U174</f>
        <v>118.48124</v>
      </c>
      <c r="M324">
        <f t="shared" si="122"/>
        <v>0.11848124</v>
      </c>
      <c r="N324">
        <f t="shared" si="123"/>
        <v>-0.92635040922739909</v>
      </c>
      <c r="P324">
        <v>3.95</v>
      </c>
      <c r="Q324">
        <v>428</v>
      </c>
      <c r="S324">
        <f t="shared" si="125"/>
        <v>1.8806546031746032</v>
      </c>
    </row>
    <row r="325" spans="1:19" x14ac:dyDescent="0.25">
      <c r="B325" t="s">
        <v>15</v>
      </c>
      <c r="C325">
        <f t="shared" ref="C325:D332" si="126">W17</f>
        <v>27.004999999999999</v>
      </c>
      <c r="D325">
        <f t="shared" si="126"/>
        <v>7.2050000000000001</v>
      </c>
      <c r="E325">
        <f t="shared" si="118"/>
        <v>1.4314441816172123</v>
      </c>
      <c r="F325">
        <f t="shared" si="120"/>
        <v>0.8576339851500081</v>
      </c>
      <c r="H325" s="80">
        <f t="shared" si="121"/>
        <v>3.7480916030534348</v>
      </c>
      <c r="L325" s="80">
        <f>'Tooth measurements raw data'!U176</f>
        <v>99.440819000000005</v>
      </c>
      <c r="M325">
        <f t="shared" si="122"/>
        <v>9.9440819E-2</v>
      </c>
      <c r="N325">
        <f t="shared" si="123"/>
        <v>-1.0024353074786809</v>
      </c>
      <c r="P325">
        <v>3.95</v>
      </c>
      <c r="Q325">
        <v>428</v>
      </c>
      <c r="S325">
        <f t="shared" si="125"/>
        <v>1.5784256984126985</v>
      </c>
    </row>
    <row r="326" spans="1:19" x14ac:dyDescent="0.25">
      <c r="B326" t="s">
        <v>16</v>
      </c>
      <c r="C326">
        <f t="shared" si="126"/>
        <v>20.824999999999999</v>
      </c>
      <c r="D326">
        <f t="shared" si="126"/>
        <v>1.1850000000000001</v>
      </c>
      <c r="E326">
        <f t="shared" si="118"/>
        <v>1.3185850100788252</v>
      </c>
      <c r="F326">
        <f t="shared" si="120"/>
        <v>7.3718350346122688E-2</v>
      </c>
      <c r="H326" s="80">
        <f t="shared" si="121"/>
        <v>17.573839662447256</v>
      </c>
      <c r="L326" s="80">
        <f>'Tooth measurements raw data'!U179</f>
        <v>1.089331</v>
      </c>
      <c r="M326">
        <f t="shared" si="122"/>
        <v>1.089331E-3</v>
      </c>
      <c r="N326">
        <f t="shared" si="123"/>
        <v>-2.9628401371116189</v>
      </c>
      <c r="P326">
        <v>3.95</v>
      </c>
      <c r="Q326">
        <v>428</v>
      </c>
      <c r="S326">
        <f t="shared" si="125"/>
        <v>1.7290968253968256E-2</v>
      </c>
    </row>
    <row r="327" spans="1:19" x14ac:dyDescent="0.25">
      <c r="B327" t="s">
        <v>17</v>
      </c>
      <c r="C327">
        <f t="shared" si="126"/>
        <v>42.415000000000006</v>
      </c>
      <c r="D327">
        <f t="shared" si="126"/>
        <v>5.4550000000000001</v>
      </c>
      <c r="E327">
        <f t="shared" si="118"/>
        <v>1.6275194713376828</v>
      </c>
      <c r="F327">
        <f t="shared" si="120"/>
        <v>0.73679475492436064</v>
      </c>
      <c r="H327" s="80">
        <f t="shared" si="121"/>
        <v>7.7754353803849687</v>
      </c>
      <c r="L327" s="80">
        <f>'Tooth measurements raw data'!U180</f>
        <v>125.27030999999999</v>
      </c>
      <c r="M327">
        <f t="shared" si="122"/>
        <v>0.12527031</v>
      </c>
      <c r="N327">
        <f t="shared" si="123"/>
        <v>-0.90215184784909241</v>
      </c>
      <c r="P327">
        <v>3.95</v>
      </c>
      <c r="Q327">
        <v>428</v>
      </c>
      <c r="S327">
        <f t="shared" si="125"/>
        <v>1.988417619047619</v>
      </c>
    </row>
    <row r="328" spans="1:19" x14ac:dyDescent="0.25">
      <c r="B328" t="s">
        <v>18</v>
      </c>
      <c r="C328">
        <f t="shared" si="126"/>
        <v>62.495000000000005</v>
      </c>
      <c r="D328">
        <f t="shared" si="126"/>
        <v>12.725</v>
      </c>
      <c r="E328">
        <f t="shared" si="118"/>
        <v>1.7958452723957066</v>
      </c>
      <c r="F328">
        <f t="shared" si="120"/>
        <v>1.1046577910087962</v>
      </c>
      <c r="H328" s="80">
        <f t="shared" si="121"/>
        <v>4.911198428290767</v>
      </c>
      <c r="L328" s="80">
        <f>'Tooth measurements raw data'!U181</f>
        <v>649.74792000000002</v>
      </c>
      <c r="M328">
        <f t="shared" si="122"/>
        <v>0.64974792000000003</v>
      </c>
      <c r="N328">
        <f t="shared" si="123"/>
        <v>-0.18725510210623911</v>
      </c>
      <c r="P328">
        <v>3.95</v>
      </c>
      <c r="Q328">
        <v>428</v>
      </c>
      <c r="S328">
        <f t="shared" si="125"/>
        <v>10.313459047619048</v>
      </c>
    </row>
    <row r="329" spans="1:19" x14ac:dyDescent="0.25">
      <c r="B329" t="s">
        <v>20</v>
      </c>
      <c r="C329">
        <f t="shared" si="126"/>
        <v>35.205000000000005</v>
      </c>
      <c r="D329">
        <f t="shared" si="126"/>
        <v>6.0250000000000004</v>
      </c>
      <c r="E329">
        <f t="shared" ref="E329:E360" si="127">LOG(C329)</f>
        <v>1.546604348654274</v>
      </c>
      <c r="F329">
        <f t="shared" si="120"/>
        <v>0.77995705124690606</v>
      </c>
      <c r="H329" s="80">
        <f t="shared" si="121"/>
        <v>5.8431535269709549</v>
      </c>
      <c r="L329" s="80">
        <f>'Tooth measurements raw data'!U182</f>
        <v>111.49426</v>
      </c>
      <c r="M329">
        <f t="shared" si="122"/>
        <v>0.11149426</v>
      </c>
      <c r="N329">
        <f t="shared" si="123"/>
        <v>-0.95274749059334585</v>
      </c>
      <c r="P329">
        <v>3.95</v>
      </c>
      <c r="Q329">
        <v>428</v>
      </c>
      <c r="S329">
        <f t="shared" si="125"/>
        <v>1.7697501587301587</v>
      </c>
    </row>
    <row r="330" spans="1:19" x14ac:dyDescent="0.25">
      <c r="B330" t="s">
        <v>21</v>
      </c>
      <c r="C330">
        <f t="shared" si="126"/>
        <v>31.684999999999999</v>
      </c>
      <c r="D330">
        <f t="shared" si="126"/>
        <v>8.8249999999999993</v>
      </c>
      <c r="E330">
        <f t="shared" si="127"/>
        <v>1.5008537114612583</v>
      </c>
      <c r="F330">
        <f t="shared" ref="F330:F361" si="128">LOG(D330)</f>
        <v>0.94571471405986018</v>
      </c>
      <c r="H330" s="80">
        <f t="shared" ref="H330:H361" si="129">C330/D330</f>
        <v>3.5903682719546746</v>
      </c>
      <c r="L330" s="80">
        <f>'Tooth measurements raw data'!U183</f>
        <v>175.93329</v>
      </c>
      <c r="M330">
        <f t="shared" si="122"/>
        <v>0.17593328999999999</v>
      </c>
      <c r="N330">
        <f t="shared" si="123"/>
        <v>-0.75465197580472898</v>
      </c>
      <c r="P330">
        <v>3.95</v>
      </c>
      <c r="Q330">
        <v>428</v>
      </c>
      <c r="S330">
        <f t="shared" si="125"/>
        <v>2.7925919047619048</v>
      </c>
    </row>
    <row r="331" spans="1:19" x14ac:dyDescent="0.25">
      <c r="B331" s="45" t="s">
        <v>22</v>
      </c>
      <c r="C331">
        <f t="shared" si="126"/>
        <v>28.484999999999999</v>
      </c>
      <c r="D331">
        <f t="shared" si="126"/>
        <v>6.2250000000000005</v>
      </c>
      <c r="E331">
        <f t="shared" si="127"/>
        <v>1.4546162237926987</v>
      </c>
      <c r="F331">
        <f t="shared" si="128"/>
        <v>0.79413935576777395</v>
      </c>
      <c r="H331" s="80">
        <f t="shared" si="129"/>
        <v>4.5759036144578307</v>
      </c>
      <c r="L331" s="80">
        <f>'Tooth measurements raw data'!U185</f>
        <v>100.27339000000001</v>
      </c>
      <c r="M331">
        <f t="shared" si="122"/>
        <v>0.10027339</v>
      </c>
      <c r="N331">
        <f t="shared" si="123"/>
        <v>-0.99881430236779811</v>
      </c>
      <c r="P331">
        <v>3.95</v>
      </c>
      <c r="Q331">
        <v>428</v>
      </c>
      <c r="S331">
        <f t="shared" si="125"/>
        <v>1.5916411111111113</v>
      </c>
    </row>
    <row r="332" spans="1:19" x14ac:dyDescent="0.25">
      <c r="B332" t="s">
        <v>23</v>
      </c>
      <c r="C332">
        <f t="shared" si="126"/>
        <v>31.395</v>
      </c>
      <c r="D332">
        <f t="shared" si="126"/>
        <v>6.2149999999999999</v>
      </c>
      <c r="E332">
        <f t="shared" si="127"/>
        <v>1.4968604873943676</v>
      </c>
      <c r="F332">
        <f t="shared" si="128"/>
        <v>0.79344113297766361</v>
      </c>
      <c r="H332" s="80">
        <f t="shared" si="129"/>
        <v>5.0514883346741755</v>
      </c>
      <c r="L332" s="80">
        <f>'Tooth measurements raw data'!U187</f>
        <v>113.51156</v>
      </c>
      <c r="M332">
        <f t="shared" si="122"/>
        <v>0.11351156</v>
      </c>
      <c r="N332">
        <f t="shared" si="123"/>
        <v>-0.9449599077346339</v>
      </c>
      <c r="P332">
        <v>3.95</v>
      </c>
      <c r="Q332">
        <v>428</v>
      </c>
      <c r="S332">
        <f t="shared" si="125"/>
        <v>1.8017707936507936</v>
      </c>
    </row>
    <row r="333" spans="1:19" x14ac:dyDescent="0.25">
      <c r="A333" t="s">
        <v>248</v>
      </c>
      <c r="B333" t="s">
        <v>25</v>
      </c>
      <c r="C333">
        <f t="shared" ref="C333:D338" si="130">W26</f>
        <v>42.205000000000005</v>
      </c>
      <c r="D333">
        <f t="shared" si="130"/>
        <v>10.434999999999999</v>
      </c>
      <c r="E333">
        <f t="shared" si="127"/>
        <v>1.6253639046057011</v>
      </c>
      <c r="F333">
        <f t="shared" si="128"/>
        <v>1.0184924534014728</v>
      </c>
      <c r="H333" s="80">
        <f t="shared" si="129"/>
        <v>4.0445615716339249</v>
      </c>
      <c r="L333" s="80">
        <f>'Tooth measurements raw data'!U190</f>
        <v>394.31738000000001</v>
      </c>
      <c r="M333">
        <f t="shared" ref="M333:M364" si="131">L333/1000</f>
        <v>0.39431738</v>
      </c>
      <c r="N333">
        <f t="shared" ref="N333:N364" si="132">LOG(M333)</f>
        <v>-0.40415408046735829</v>
      </c>
      <c r="P333">
        <v>3.95</v>
      </c>
      <c r="Q333">
        <v>428</v>
      </c>
      <c r="S333">
        <f t="shared" si="125"/>
        <v>6.2590060317460319</v>
      </c>
    </row>
    <row r="334" spans="1:19" x14ac:dyDescent="0.25">
      <c r="B334" t="s">
        <v>26</v>
      </c>
      <c r="C334">
        <f t="shared" si="130"/>
        <v>42.234999999999999</v>
      </c>
      <c r="D334">
        <f t="shared" si="130"/>
        <v>6.8550000000000004</v>
      </c>
      <c r="E334">
        <f t="shared" si="127"/>
        <v>1.6256724985186637</v>
      </c>
      <c r="F334">
        <f t="shared" si="128"/>
        <v>0.83600745912553154</v>
      </c>
      <c r="H334" s="80">
        <f t="shared" si="129"/>
        <v>6.161196207148067</v>
      </c>
      <c r="L334" s="80">
        <f>'Tooth measurements raw data'!U192</f>
        <v>180.21521000000001</v>
      </c>
      <c r="M334">
        <f t="shared" si="131"/>
        <v>0.18021521000000001</v>
      </c>
      <c r="N334">
        <f t="shared" si="132"/>
        <v>-0.74420855775036432</v>
      </c>
      <c r="P334">
        <v>3.95</v>
      </c>
      <c r="Q334">
        <v>428</v>
      </c>
      <c r="S334">
        <f t="shared" si="125"/>
        <v>2.8605588888888893</v>
      </c>
    </row>
    <row r="335" spans="1:19" x14ac:dyDescent="0.25">
      <c r="B335" t="s">
        <v>27</v>
      </c>
      <c r="C335">
        <f t="shared" si="130"/>
        <v>31.695</v>
      </c>
      <c r="D335">
        <f t="shared" si="130"/>
        <v>7.7650000000000006</v>
      </c>
      <c r="E335">
        <f t="shared" si="127"/>
        <v>1.5009907561079947</v>
      </c>
      <c r="F335">
        <f t="shared" si="128"/>
        <v>0.89014146006457739</v>
      </c>
      <c r="H335" s="80">
        <f t="shared" si="129"/>
        <v>4.0817772054088861</v>
      </c>
      <c r="L335" s="80">
        <f>'Tooth measurements raw data'!U194</f>
        <v>212.29611</v>
      </c>
      <c r="M335">
        <f t="shared" si="131"/>
        <v>0.21229611000000001</v>
      </c>
      <c r="N335">
        <f t="shared" si="132"/>
        <v>-0.67305796354013581</v>
      </c>
      <c r="P335">
        <v>3.95</v>
      </c>
      <c r="Q335">
        <v>428</v>
      </c>
      <c r="S335">
        <f t="shared" si="125"/>
        <v>3.3697795238095236</v>
      </c>
    </row>
    <row r="336" spans="1:19" x14ac:dyDescent="0.25">
      <c r="B336" t="s">
        <v>29</v>
      </c>
      <c r="C336">
        <f t="shared" si="130"/>
        <v>26.395</v>
      </c>
      <c r="D336">
        <f t="shared" si="130"/>
        <v>6.415</v>
      </c>
      <c r="E336">
        <f t="shared" si="127"/>
        <v>1.4215216663369772</v>
      </c>
      <c r="F336">
        <f t="shared" si="128"/>
        <v>0.80719666071094731</v>
      </c>
      <c r="H336" s="80">
        <f t="shared" si="129"/>
        <v>4.1145752143413876</v>
      </c>
      <c r="L336" s="80">
        <f>'Tooth measurements raw data'!U196</f>
        <v>125.80865</v>
      </c>
      <c r="M336">
        <f t="shared" si="131"/>
        <v>0.12580864999999999</v>
      </c>
      <c r="N336">
        <f t="shared" si="132"/>
        <v>-0.900289497856402</v>
      </c>
      <c r="P336">
        <v>3.95</v>
      </c>
      <c r="Q336">
        <v>428</v>
      </c>
      <c r="S336">
        <f t="shared" si="125"/>
        <v>1.9969626984126985</v>
      </c>
    </row>
    <row r="337" spans="2:19" x14ac:dyDescent="0.25">
      <c r="B337" t="s">
        <v>30</v>
      </c>
      <c r="C337">
        <f t="shared" si="130"/>
        <v>21.164999999999999</v>
      </c>
      <c r="D337">
        <f t="shared" si="130"/>
        <v>6.1749999999999998</v>
      </c>
      <c r="E337">
        <f t="shared" si="127"/>
        <v>1.325618272810029</v>
      </c>
      <c r="F337">
        <f t="shared" si="128"/>
        <v>0.7906369619317033</v>
      </c>
      <c r="H337" s="80">
        <f t="shared" si="129"/>
        <v>3.4275303643724695</v>
      </c>
      <c r="L337" s="80">
        <f>'Tooth measurements raw data'!U198</f>
        <v>116.10857</v>
      </c>
      <c r="M337">
        <f t="shared" si="131"/>
        <v>0.11610856999999999</v>
      </c>
      <c r="N337">
        <f t="shared" si="132"/>
        <v>-0.93513572370372378</v>
      </c>
      <c r="P337">
        <v>3.95</v>
      </c>
      <c r="Q337">
        <v>428</v>
      </c>
      <c r="S337">
        <f t="shared" si="125"/>
        <v>1.8429931746031747</v>
      </c>
    </row>
    <row r="338" spans="2:19" x14ac:dyDescent="0.25">
      <c r="B338" t="s">
        <v>31</v>
      </c>
      <c r="C338">
        <f t="shared" si="130"/>
        <v>16.945</v>
      </c>
      <c r="D338">
        <f t="shared" si="130"/>
        <v>4.5550000000000006</v>
      </c>
      <c r="E338">
        <f t="shared" si="127"/>
        <v>1.229041573173397</v>
      </c>
      <c r="F338">
        <f t="shared" si="128"/>
        <v>0.6584883813090171</v>
      </c>
      <c r="H338" s="80">
        <f t="shared" si="129"/>
        <v>3.7200878155872661</v>
      </c>
      <c r="L338" s="80">
        <f>'Tooth measurements raw data'!U199</f>
        <v>55.132469</v>
      </c>
      <c r="M338">
        <f t="shared" si="131"/>
        <v>5.5132469000000003E-2</v>
      </c>
      <c r="N338">
        <f t="shared" si="132"/>
        <v>-1.2585925580546393</v>
      </c>
      <c r="P338">
        <v>3.95</v>
      </c>
      <c r="Q338">
        <v>428</v>
      </c>
      <c r="S338">
        <f t="shared" si="125"/>
        <v>0.87511855555555551</v>
      </c>
    </row>
    <row r="339" spans="2:19" x14ac:dyDescent="0.25">
      <c r="B339" t="s">
        <v>16</v>
      </c>
      <c r="C339">
        <f>W38</f>
        <v>32.575000000000003</v>
      </c>
      <c r="D339">
        <f>X38</f>
        <v>4.625</v>
      </c>
      <c r="E339">
        <f t="shared" si="127"/>
        <v>1.5128844243846222</v>
      </c>
      <c r="F339">
        <f t="shared" si="128"/>
        <v>0.66511173707505145</v>
      </c>
      <c r="H339" s="80">
        <f t="shared" si="129"/>
        <v>7.0432432432432437</v>
      </c>
      <c r="L339" s="80">
        <f>'Tooth measurements raw data'!U201</f>
        <v>47.889238812000002</v>
      </c>
      <c r="M339">
        <f t="shared" si="131"/>
        <v>4.7889238812000003E-2</v>
      </c>
      <c r="N339">
        <f t="shared" si="132"/>
        <v>-1.3197620659094766</v>
      </c>
      <c r="P339">
        <v>3.95</v>
      </c>
      <c r="Q339">
        <v>428</v>
      </c>
      <c r="S339">
        <f t="shared" si="125"/>
        <v>0.76014664780952379</v>
      </c>
    </row>
    <row r="340" spans="2:19" x14ac:dyDescent="0.25">
      <c r="B340" t="s">
        <v>18</v>
      </c>
      <c r="C340">
        <f t="shared" ref="C340:C352" si="133">W40</f>
        <v>43.715000000000003</v>
      </c>
      <c r="D340">
        <f t="shared" ref="D340:D352" si="134">X40</f>
        <v>12.864999999999998</v>
      </c>
      <c r="E340">
        <f t="shared" si="127"/>
        <v>1.6406304827244111</v>
      </c>
      <c r="F340">
        <f t="shared" si="128"/>
        <v>1.1094097905463653</v>
      </c>
      <c r="H340" s="80">
        <f t="shared" si="129"/>
        <v>3.3979790128254961</v>
      </c>
      <c r="L340" s="80">
        <f>'Tooth measurements raw data'!U204</f>
        <v>357.18690990600004</v>
      </c>
      <c r="M340">
        <f t="shared" si="131"/>
        <v>0.35718690990600005</v>
      </c>
      <c r="N340">
        <f t="shared" si="132"/>
        <v>-0.44710446540432236</v>
      </c>
      <c r="P340">
        <v>3.95</v>
      </c>
      <c r="Q340">
        <v>428</v>
      </c>
      <c r="S340">
        <f t="shared" si="125"/>
        <v>5.669633490571429</v>
      </c>
    </row>
    <row r="341" spans="2:19" x14ac:dyDescent="0.25">
      <c r="B341" t="s">
        <v>20</v>
      </c>
      <c r="C341">
        <f t="shared" si="133"/>
        <v>30.015000000000001</v>
      </c>
      <c r="D341">
        <f t="shared" si="134"/>
        <v>7.4249999999999998</v>
      </c>
      <c r="E341">
        <f t="shared" si="127"/>
        <v>1.4773383476918927</v>
      </c>
      <c r="F341">
        <f t="shared" si="128"/>
        <v>0.87069645798924999</v>
      </c>
      <c r="H341" s="80">
        <f t="shared" si="129"/>
        <v>4.0424242424242429</v>
      </c>
      <c r="L341" s="80">
        <f>'Tooth measurements raw data'!U208</f>
        <v>86.294617000000002</v>
      </c>
      <c r="M341">
        <f t="shared" si="131"/>
        <v>8.6294617000000004E-2</v>
      </c>
      <c r="N341">
        <f t="shared" si="132"/>
        <v>-1.0640162944367022</v>
      </c>
      <c r="P341">
        <v>3.95</v>
      </c>
      <c r="Q341">
        <v>428</v>
      </c>
      <c r="S341">
        <f t="shared" si="125"/>
        <v>1.3697558253968254</v>
      </c>
    </row>
    <row r="342" spans="2:19" x14ac:dyDescent="0.25">
      <c r="B342" t="s">
        <v>21</v>
      </c>
      <c r="C342">
        <f t="shared" si="133"/>
        <v>24.314999999999998</v>
      </c>
      <c r="D342">
        <f t="shared" si="134"/>
        <v>5.5650000000000004</v>
      </c>
      <c r="E342">
        <f t="shared" si="127"/>
        <v>1.385874273904196</v>
      </c>
      <c r="F342">
        <f t="shared" si="128"/>
        <v>0.7454651686707271</v>
      </c>
      <c r="H342" s="80">
        <f t="shared" si="129"/>
        <v>4.3692722371967649</v>
      </c>
      <c r="L342" s="80">
        <f>'Tooth measurements raw data'!U211</f>
        <v>51.472327999999997</v>
      </c>
      <c r="M342">
        <f t="shared" si="131"/>
        <v>5.1472327999999998E-2</v>
      </c>
      <c r="N342">
        <f t="shared" si="132"/>
        <v>-1.2884261889542248</v>
      </c>
      <c r="P342">
        <v>3.95</v>
      </c>
      <c r="Q342">
        <v>428</v>
      </c>
      <c r="S342">
        <f t="shared" si="125"/>
        <v>0.81702107936507928</v>
      </c>
    </row>
    <row r="343" spans="2:19" x14ac:dyDescent="0.25">
      <c r="B343" s="45" t="s">
        <v>22</v>
      </c>
      <c r="C343">
        <f t="shared" si="133"/>
        <v>21.195</v>
      </c>
      <c r="D343">
        <f t="shared" si="134"/>
        <v>4.3849999999999998</v>
      </c>
      <c r="E343">
        <f t="shared" si="127"/>
        <v>1.3262334209042399</v>
      </c>
      <c r="F343">
        <f t="shared" si="128"/>
        <v>0.6419695977020593</v>
      </c>
      <c r="H343" s="80">
        <f t="shared" si="129"/>
        <v>4.8335233751425317</v>
      </c>
      <c r="L343" s="80">
        <f>'Tooth measurements raw data'!U213</f>
        <v>26.454160999999999</v>
      </c>
      <c r="M343">
        <f t="shared" si="131"/>
        <v>2.6454161E-2</v>
      </c>
      <c r="N343">
        <f t="shared" si="132"/>
        <v>-1.5775060076661653</v>
      </c>
      <c r="P343">
        <v>3.95</v>
      </c>
      <c r="Q343">
        <v>428</v>
      </c>
      <c r="S343">
        <f t="shared" si="125"/>
        <v>0.41990731746031745</v>
      </c>
    </row>
    <row r="344" spans="2:19" x14ac:dyDescent="0.25">
      <c r="B344" t="s">
        <v>23</v>
      </c>
      <c r="C344">
        <f t="shared" si="133"/>
        <v>20.044999999999998</v>
      </c>
      <c r="D344">
        <f t="shared" si="134"/>
        <v>4.2149999999999999</v>
      </c>
      <c r="E344">
        <f t="shared" si="127"/>
        <v>1.3020060605865404</v>
      </c>
      <c r="F344">
        <f t="shared" si="128"/>
        <v>0.62479757896076116</v>
      </c>
      <c r="H344" s="80">
        <f t="shared" si="129"/>
        <v>4.7556346381969155</v>
      </c>
      <c r="L344" s="80">
        <f>'Tooth measurements raw data'!U215</f>
        <v>35.124614999999999</v>
      </c>
      <c r="M344">
        <f t="shared" si="131"/>
        <v>3.5124614999999998E-2</v>
      </c>
      <c r="N344">
        <f t="shared" si="132"/>
        <v>-1.4543884273514014</v>
      </c>
      <c r="P344">
        <v>3.95</v>
      </c>
      <c r="Q344">
        <v>428</v>
      </c>
      <c r="S344">
        <f t="shared" si="125"/>
        <v>0.55753357142857141</v>
      </c>
    </row>
    <row r="345" spans="2:19" x14ac:dyDescent="0.25">
      <c r="B345" t="s">
        <v>24</v>
      </c>
      <c r="C345">
        <f t="shared" si="133"/>
        <v>18.265000000000001</v>
      </c>
      <c r="D345">
        <f t="shared" si="134"/>
        <v>5.5650000000000004</v>
      </c>
      <c r="E345">
        <f t="shared" si="127"/>
        <v>1.2616196765479355</v>
      </c>
      <c r="F345">
        <f t="shared" si="128"/>
        <v>0.7454651686707271</v>
      </c>
      <c r="H345" s="80">
        <f t="shared" si="129"/>
        <v>3.2821203953279423</v>
      </c>
      <c r="L345" s="80">
        <f>'Tooth measurements raw data'!U217</f>
        <v>47.515182000000003</v>
      </c>
      <c r="M345">
        <f t="shared" si="131"/>
        <v>4.7515182000000003E-2</v>
      </c>
      <c r="N345">
        <f t="shared" si="132"/>
        <v>-1.3231676028941945</v>
      </c>
      <c r="P345">
        <v>3.95</v>
      </c>
      <c r="Q345">
        <v>428</v>
      </c>
      <c r="S345">
        <f t="shared" si="125"/>
        <v>0.7542092380952381</v>
      </c>
    </row>
    <row r="346" spans="2:19" x14ac:dyDescent="0.25">
      <c r="B346" t="s">
        <v>25</v>
      </c>
      <c r="C346">
        <f t="shared" si="133"/>
        <v>21.314999999999998</v>
      </c>
      <c r="D346">
        <f t="shared" si="134"/>
        <v>4.5550000000000006</v>
      </c>
      <c r="E346">
        <f t="shared" si="127"/>
        <v>1.3286853369831511</v>
      </c>
      <c r="F346">
        <f t="shared" si="128"/>
        <v>0.6584883813090171</v>
      </c>
      <c r="H346" s="80">
        <f t="shared" si="129"/>
        <v>4.6794731064763981</v>
      </c>
      <c r="L346" s="80">
        <f>'Tooth measurements raw data'!U220</f>
        <v>34.611694</v>
      </c>
      <c r="M346">
        <f t="shared" si="131"/>
        <v>3.4611693999999998E-2</v>
      </c>
      <c r="N346">
        <f t="shared" si="132"/>
        <v>-1.460777144512619</v>
      </c>
      <c r="P346">
        <v>3.95</v>
      </c>
      <c r="Q346">
        <v>428</v>
      </c>
      <c r="S346">
        <f t="shared" si="125"/>
        <v>0.5493919682539683</v>
      </c>
    </row>
    <row r="347" spans="2:19" x14ac:dyDescent="0.25">
      <c r="B347" t="s">
        <v>26</v>
      </c>
      <c r="C347">
        <f t="shared" si="133"/>
        <v>25.984999999999999</v>
      </c>
      <c r="D347">
        <f t="shared" si="134"/>
        <v>5.0250000000000004</v>
      </c>
      <c r="E347">
        <f t="shared" si="127"/>
        <v>1.4147227211588782</v>
      </c>
      <c r="F347">
        <f t="shared" si="128"/>
        <v>0.70113606609252654</v>
      </c>
      <c r="H347" s="80">
        <f t="shared" si="129"/>
        <v>5.171144278606965</v>
      </c>
      <c r="L347" s="80">
        <f>'Tooth measurements raw data'!U222</f>
        <v>47.910850842999999</v>
      </c>
      <c r="M347">
        <f t="shared" si="131"/>
        <v>4.7910850843000001E-2</v>
      </c>
      <c r="N347">
        <f t="shared" si="132"/>
        <v>-1.3195661164902424</v>
      </c>
      <c r="P347">
        <v>3.95</v>
      </c>
      <c r="Q347">
        <v>428</v>
      </c>
      <c r="S347">
        <f t="shared" si="125"/>
        <v>0.76048969592063487</v>
      </c>
    </row>
    <row r="348" spans="2:19" x14ac:dyDescent="0.25">
      <c r="B348" t="s">
        <v>27</v>
      </c>
      <c r="C348">
        <f t="shared" si="133"/>
        <v>36.585000000000001</v>
      </c>
      <c r="D348">
        <f t="shared" si="134"/>
        <v>9.4749999999999996</v>
      </c>
      <c r="E348">
        <f t="shared" si="127"/>
        <v>1.5633030593694119</v>
      </c>
      <c r="F348">
        <f t="shared" si="128"/>
        <v>0.97657921864010988</v>
      </c>
      <c r="H348" s="80">
        <f t="shared" si="129"/>
        <v>3.861213720316623</v>
      </c>
      <c r="L348" s="80">
        <f>'Tooth measurements raw data'!U223</f>
        <v>198.082379156</v>
      </c>
      <c r="M348">
        <f t="shared" si="131"/>
        <v>0.19808237915599999</v>
      </c>
      <c r="N348">
        <f t="shared" si="132"/>
        <v>-0.7031541563427447</v>
      </c>
      <c r="P348">
        <v>3.95</v>
      </c>
      <c r="Q348">
        <v>428</v>
      </c>
      <c r="S348">
        <f t="shared" si="125"/>
        <v>3.1441647485079365</v>
      </c>
    </row>
    <row r="349" spans="2:19" x14ac:dyDescent="0.25">
      <c r="B349" t="s">
        <v>29</v>
      </c>
      <c r="C349">
        <f t="shared" si="133"/>
        <v>45.025000000000006</v>
      </c>
      <c r="D349">
        <f t="shared" si="134"/>
        <v>11.975</v>
      </c>
      <c r="E349">
        <f t="shared" si="127"/>
        <v>1.653453721491571</v>
      </c>
      <c r="F349">
        <f t="shared" si="128"/>
        <v>1.0782755220866007</v>
      </c>
      <c r="H349" s="80">
        <f t="shared" si="129"/>
        <v>3.7599164926931112</v>
      </c>
      <c r="L349" s="80">
        <f>'Tooth measurements raw data'!U225</f>
        <v>477.43478981200002</v>
      </c>
      <c r="M349">
        <f t="shared" si="131"/>
        <v>0.47743478981199999</v>
      </c>
      <c r="N349">
        <f t="shared" si="132"/>
        <v>-0.321085937920632</v>
      </c>
      <c r="P349">
        <v>3.95</v>
      </c>
      <c r="Q349">
        <v>428</v>
      </c>
      <c r="S349">
        <f t="shared" si="125"/>
        <v>7.5783299970158735</v>
      </c>
    </row>
    <row r="350" spans="2:19" x14ac:dyDescent="0.25">
      <c r="B350" t="s">
        <v>30</v>
      </c>
      <c r="C350">
        <f t="shared" si="133"/>
        <v>38.215000000000003</v>
      </c>
      <c r="D350">
        <f t="shared" si="134"/>
        <v>7.7050000000000001</v>
      </c>
      <c r="E350">
        <f t="shared" si="127"/>
        <v>1.5822338639209927</v>
      </c>
      <c r="F350">
        <f t="shared" si="128"/>
        <v>0.88677264305443815</v>
      </c>
      <c r="H350" s="80">
        <f t="shared" si="129"/>
        <v>4.9597663854639844</v>
      </c>
      <c r="L350" s="80">
        <f>'Tooth measurements raw data'!U227</f>
        <v>157.094239625</v>
      </c>
      <c r="M350">
        <f t="shared" si="131"/>
        <v>0.15709423962499999</v>
      </c>
      <c r="N350">
        <f t="shared" si="132"/>
        <v>-0.80383973949816878</v>
      </c>
      <c r="P350">
        <v>3.95</v>
      </c>
      <c r="Q350">
        <v>428</v>
      </c>
      <c r="S350">
        <f t="shared" si="125"/>
        <v>2.493559359126984</v>
      </c>
    </row>
    <row r="351" spans="2:19" x14ac:dyDescent="0.25">
      <c r="B351" t="s">
        <v>31</v>
      </c>
      <c r="C351">
        <f t="shared" si="133"/>
        <v>28.035</v>
      </c>
      <c r="D351">
        <f t="shared" si="134"/>
        <v>6.9750000000000005</v>
      </c>
      <c r="E351">
        <f t="shared" si="127"/>
        <v>1.4477005604345132</v>
      </c>
      <c r="F351">
        <f t="shared" si="128"/>
        <v>0.84354421194563523</v>
      </c>
      <c r="H351" s="80">
        <f t="shared" si="129"/>
        <v>4.0193548387096767</v>
      </c>
      <c r="L351" s="80">
        <f>'Tooth measurements raw data'!U228</f>
        <v>164.40663000000001</v>
      </c>
      <c r="M351">
        <f t="shared" si="131"/>
        <v>0.16440663</v>
      </c>
      <c r="N351">
        <f t="shared" si="132"/>
        <v>-0.78408067271837567</v>
      </c>
      <c r="P351">
        <v>3.95</v>
      </c>
      <c r="Q351">
        <v>428</v>
      </c>
      <c r="S351">
        <f t="shared" si="125"/>
        <v>2.6096290476190478</v>
      </c>
    </row>
    <row r="352" spans="2:19" x14ac:dyDescent="0.25">
      <c r="B352" t="s">
        <v>32</v>
      </c>
      <c r="C352">
        <f t="shared" si="133"/>
        <v>26.125</v>
      </c>
      <c r="D352">
        <f t="shared" si="134"/>
        <v>5.2650000000000006</v>
      </c>
      <c r="E352">
        <f t="shared" si="127"/>
        <v>1.4170562991191105</v>
      </c>
      <c r="F352">
        <f t="shared" si="128"/>
        <v>0.72139837552150532</v>
      </c>
      <c r="H352" s="80">
        <f t="shared" si="129"/>
        <v>4.9620132953466278</v>
      </c>
      <c r="I352">
        <f>AVERAGE(H321:H352)</f>
        <v>4.9131621725423464</v>
      </c>
      <c r="J352" t="s">
        <v>278</v>
      </c>
      <c r="L352" s="80">
        <f>'Tooth measurements raw data'!U230</f>
        <v>104.78389971899999</v>
      </c>
      <c r="M352" s="105">
        <f t="shared" si="131"/>
        <v>0.10478389971899998</v>
      </c>
      <c r="N352">
        <f t="shared" si="132"/>
        <v>-0.97970544254653202</v>
      </c>
      <c r="P352">
        <v>3.95</v>
      </c>
      <c r="Q352">
        <v>428</v>
      </c>
      <c r="S352">
        <f t="shared" si="125"/>
        <v>1.6632365034761902</v>
      </c>
    </row>
    <row r="353" spans="2:17" x14ac:dyDescent="0.25">
      <c r="B353" s="55" t="s">
        <v>16</v>
      </c>
      <c r="C353" s="55">
        <f>AC7</f>
        <v>7.955000000000001</v>
      </c>
      <c r="D353" s="55">
        <f>AD7</f>
        <v>3.145</v>
      </c>
      <c r="E353" s="55">
        <f t="shared" si="127"/>
        <v>0.90064018398260037</v>
      </c>
      <c r="F353" s="55">
        <f t="shared" si="128"/>
        <v>0.49762064978128773</v>
      </c>
      <c r="G353" s="55"/>
      <c r="H353" s="46">
        <f t="shared" si="129"/>
        <v>2.5294117647058827</v>
      </c>
      <c r="I353" s="55"/>
      <c r="J353" s="55"/>
      <c r="K353" s="55"/>
      <c r="L353" s="46">
        <f>'Tooth measurements raw data'!U170</f>
        <v>10.671950000000001</v>
      </c>
      <c r="M353">
        <f t="shared" si="131"/>
        <v>1.0671950000000001E-2</v>
      </c>
      <c r="N353" s="55">
        <f t="shared" si="132"/>
        <v>-1.9717562181703077</v>
      </c>
      <c r="P353">
        <v>3.95</v>
      </c>
      <c r="Q353">
        <v>428</v>
      </c>
    </row>
    <row r="354" spans="2:17" x14ac:dyDescent="0.25">
      <c r="B354" t="s">
        <v>17</v>
      </c>
      <c r="C354">
        <f>AC8</f>
        <v>13.364999999999998</v>
      </c>
      <c r="D354">
        <f>AD8</f>
        <v>4.7949999999999999</v>
      </c>
      <c r="E354">
        <f t="shared" si="127"/>
        <v>1.125968963092556</v>
      </c>
      <c r="F354">
        <f t="shared" si="128"/>
        <v>0.68078861150668235</v>
      </c>
      <c r="H354" s="80">
        <f t="shared" si="129"/>
        <v>2.7872784150156411</v>
      </c>
      <c r="L354" s="80">
        <f>'Tooth measurements raw data'!U172</f>
        <v>31.703924000000001</v>
      </c>
      <c r="M354">
        <f t="shared" si="131"/>
        <v>3.1703924000000001E-2</v>
      </c>
      <c r="N354">
        <f t="shared" si="132"/>
        <v>-1.4988869817544934</v>
      </c>
      <c r="P354">
        <v>3.95</v>
      </c>
      <c r="Q354">
        <v>428</v>
      </c>
    </row>
    <row r="355" spans="2:17" x14ac:dyDescent="0.25">
      <c r="B355" t="s">
        <v>20</v>
      </c>
      <c r="C355">
        <f>AC10</f>
        <v>6.5049999999999999</v>
      </c>
      <c r="D355">
        <f>AD10</f>
        <v>2.9650000000000003</v>
      </c>
      <c r="E355">
        <f t="shared" si="127"/>
        <v>0.813247300897605</v>
      </c>
      <c r="F355">
        <f t="shared" si="128"/>
        <v>0.47202469770028144</v>
      </c>
      <c r="H355" s="80">
        <f t="shared" si="129"/>
        <v>2.1939291736930859</v>
      </c>
      <c r="L355" s="80">
        <f>'Tooth measurements raw data'!U175</f>
        <v>13.864777999999999</v>
      </c>
      <c r="M355">
        <f t="shared" si="131"/>
        <v>1.3864777999999999E-2</v>
      </c>
      <c r="N355">
        <f t="shared" si="132"/>
        <v>-1.8580870798651929</v>
      </c>
      <c r="P355">
        <v>3.95</v>
      </c>
      <c r="Q355">
        <v>428</v>
      </c>
    </row>
    <row r="356" spans="2:17" x14ac:dyDescent="0.25">
      <c r="B356" t="s">
        <v>15</v>
      </c>
      <c r="C356">
        <f>AC17</f>
        <v>8.9849999999999994</v>
      </c>
      <c r="D356">
        <f>AD17</f>
        <v>3.915</v>
      </c>
      <c r="E356">
        <f t="shared" si="127"/>
        <v>0.95351808144499262</v>
      </c>
      <c r="F356">
        <f t="shared" si="128"/>
        <v>0.59273176639396219</v>
      </c>
      <c r="H356" s="80">
        <f t="shared" si="129"/>
        <v>2.2950191570881224</v>
      </c>
      <c r="L356" s="80">
        <f>'Tooth measurements raw data'!U177</f>
        <v>19.694617999999998</v>
      </c>
      <c r="M356">
        <f t="shared" si="131"/>
        <v>1.9694617999999997E-2</v>
      </c>
      <c r="N356">
        <f t="shared" si="132"/>
        <v>-1.7056524384192464</v>
      </c>
      <c r="P356">
        <v>3.95</v>
      </c>
      <c r="Q356">
        <v>428</v>
      </c>
    </row>
    <row r="357" spans="2:17" x14ac:dyDescent="0.25">
      <c r="B357" t="s">
        <v>21</v>
      </c>
      <c r="C357">
        <f t="shared" ref="C357:D359" si="135">AC22</f>
        <v>7.4649999999999999</v>
      </c>
      <c r="D357">
        <f t="shared" si="135"/>
        <v>2.0550000000000002</v>
      </c>
      <c r="E357">
        <f t="shared" si="127"/>
        <v>0.87302981206104424</v>
      </c>
      <c r="F357">
        <f t="shared" si="128"/>
        <v>0.31281182621208803</v>
      </c>
      <c r="H357" s="80">
        <f t="shared" si="129"/>
        <v>3.6326034063260337</v>
      </c>
      <c r="L357" s="80">
        <f>'Tooth measurements raw data'!U184</f>
        <v>18.769639999999999</v>
      </c>
      <c r="M357">
        <f t="shared" si="131"/>
        <v>1.8769640000000001E-2</v>
      </c>
      <c r="N357">
        <f t="shared" si="132"/>
        <v>-1.7265440570277122</v>
      </c>
      <c r="P357">
        <v>3.95</v>
      </c>
      <c r="Q357">
        <v>428</v>
      </c>
    </row>
    <row r="358" spans="2:17" x14ac:dyDescent="0.25">
      <c r="B358" t="s">
        <v>22</v>
      </c>
      <c r="C358">
        <f t="shared" si="135"/>
        <v>3.0050000000000003</v>
      </c>
      <c r="D358">
        <f t="shared" si="135"/>
        <v>1.7849999999999999</v>
      </c>
      <c r="E358">
        <f t="shared" si="127"/>
        <v>0.47784447633875837</v>
      </c>
      <c r="F358">
        <f t="shared" si="128"/>
        <v>0.25163822044821199</v>
      </c>
      <c r="H358" s="80">
        <f t="shared" si="129"/>
        <v>1.6834733893557425</v>
      </c>
      <c r="L358" s="80">
        <f>'Tooth measurements raw data'!U186</f>
        <v>2.6671255</v>
      </c>
      <c r="M358">
        <f t="shared" si="131"/>
        <v>2.6671255E-3</v>
      </c>
      <c r="N358">
        <f t="shared" si="132"/>
        <v>-2.5739565483614424</v>
      </c>
      <c r="P358">
        <v>3.95</v>
      </c>
      <c r="Q358">
        <v>428</v>
      </c>
    </row>
    <row r="359" spans="2:17" x14ac:dyDescent="0.25">
      <c r="B359" t="s">
        <v>23</v>
      </c>
      <c r="C359">
        <f t="shared" si="135"/>
        <v>1.2349999999999999</v>
      </c>
      <c r="D359">
        <f t="shared" si="135"/>
        <v>0.95499999999999985</v>
      </c>
      <c r="E359">
        <f t="shared" si="127"/>
        <v>9.1666957595684495E-2</v>
      </c>
      <c r="F359">
        <f t="shared" si="128"/>
        <v>-1.9996628416253725E-2</v>
      </c>
      <c r="H359" s="80">
        <f t="shared" si="129"/>
        <v>1.293193717277487</v>
      </c>
      <c r="L359" s="80">
        <f>'Tooth measurements raw data'!U188</f>
        <v>0.84958166000000002</v>
      </c>
      <c r="M359">
        <f t="shared" si="131"/>
        <v>8.4958166000000004E-4</v>
      </c>
      <c r="N359">
        <f t="shared" si="132"/>
        <v>-3.0707948713176529</v>
      </c>
      <c r="P359">
        <v>3.95</v>
      </c>
      <c r="Q359">
        <v>428</v>
      </c>
    </row>
    <row r="360" spans="2:17" x14ac:dyDescent="0.25">
      <c r="B360" t="s">
        <v>25</v>
      </c>
      <c r="C360">
        <f t="shared" ref="C360:D363" si="136">AC26</f>
        <v>11.604999999999999</v>
      </c>
      <c r="D360">
        <f t="shared" si="136"/>
        <v>4.2250000000000005</v>
      </c>
      <c r="E360">
        <f t="shared" si="127"/>
        <v>1.0646451447919365</v>
      </c>
      <c r="F360">
        <f t="shared" si="128"/>
        <v>0.62582671328571116</v>
      </c>
      <c r="H360" s="80">
        <f t="shared" si="129"/>
        <v>2.7467455621301768</v>
      </c>
      <c r="L360" s="80">
        <f>'Tooth measurements raw data'!U191</f>
        <v>45.362282</v>
      </c>
      <c r="M360">
        <f t="shared" si="131"/>
        <v>4.5362282000000004E-2</v>
      </c>
      <c r="N360">
        <f t="shared" si="132"/>
        <v>-1.3433051058991203</v>
      </c>
      <c r="P360">
        <v>3.95</v>
      </c>
      <c r="Q360">
        <v>428</v>
      </c>
    </row>
    <row r="361" spans="2:17" x14ac:dyDescent="0.25">
      <c r="B361" t="s">
        <v>26</v>
      </c>
      <c r="C361">
        <f t="shared" si="136"/>
        <v>2.1750000000000003</v>
      </c>
      <c r="D361">
        <f t="shared" si="136"/>
        <v>1.4350000000000001</v>
      </c>
      <c r="E361">
        <f t="shared" ref="E361:E392" si="137">LOG(C361)</f>
        <v>0.33745926129065618</v>
      </c>
      <c r="F361">
        <f t="shared" si="128"/>
        <v>0.15685190107001115</v>
      </c>
      <c r="H361" s="80">
        <f t="shared" si="129"/>
        <v>1.515679442508711</v>
      </c>
      <c r="L361" s="80">
        <f>'Tooth measurements raw data'!U193</f>
        <v>3.0601950000000002</v>
      </c>
      <c r="M361">
        <f t="shared" si="131"/>
        <v>3.0601950000000004E-3</v>
      </c>
      <c r="N361">
        <f t="shared" si="132"/>
        <v>-2.5142508987714551</v>
      </c>
      <c r="P361">
        <v>3.95</v>
      </c>
      <c r="Q361">
        <v>428</v>
      </c>
    </row>
    <row r="362" spans="2:17" x14ac:dyDescent="0.25">
      <c r="B362" t="s">
        <v>27</v>
      </c>
      <c r="C362">
        <f t="shared" si="136"/>
        <v>5.3250000000000002</v>
      </c>
      <c r="D362">
        <f t="shared" si="136"/>
        <v>2.9050000000000002</v>
      </c>
      <c r="E362">
        <f t="shared" si="137"/>
        <v>0.72631961211077534</v>
      </c>
      <c r="F362">
        <f t="shared" ref="F362:F393" si="138">LOG(D362)</f>
        <v>0.46314613672634958</v>
      </c>
      <c r="H362" s="80">
        <f t="shared" ref="H362:H393" si="139">C362/D362</f>
        <v>1.8330464716006885</v>
      </c>
      <c r="L362" s="80">
        <f>'Tooth measurements raw data'!U195</f>
        <v>25.843971</v>
      </c>
      <c r="M362">
        <f t="shared" si="131"/>
        <v>2.5843971E-2</v>
      </c>
      <c r="N362">
        <f t="shared" si="132"/>
        <v>-1.5876407549615019</v>
      </c>
      <c r="P362">
        <v>3.95</v>
      </c>
      <c r="Q362">
        <v>428</v>
      </c>
    </row>
    <row r="363" spans="2:17" x14ac:dyDescent="0.25">
      <c r="B363" t="s">
        <v>29</v>
      </c>
      <c r="C363">
        <f t="shared" si="136"/>
        <v>2.2050000000000001</v>
      </c>
      <c r="D363">
        <f t="shared" si="136"/>
        <v>1.6850000000000001</v>
      </c>
      <c r="E363">
        <f t="shared" si="137"/>
        <v>0.34340859380385735</v>
      </c>
      <c r="F363">
        <f t="shared" si="138"/>
        <v>0.22659990520735745</v>
      </c>
      <c r="H363" s="80">
        <f t="shared" si="139"/>
        <v>1.3086053412462908</v>
      </c>
      <c r="L363" s="80">
        <f>'Tooth measurements raw data'!U197</f>
        <v>5.0469198000000004</v>
      </c>
      <c r="M363">
        <f t="shared" si="131"/>
        <v>5.0469198000000007E-3</v>
      </c>
      <c r="N363">
        <f t="shared" si="132"/>
        <v>-2.2969735965332432</v>
      </c>
      <c r="P363">
        <v>3.95</v>
      </c>
      <c r="Q363">
        <v>428</v>
      </c>
    </row>
    <row r="364" spans="2:17" x14ac:dyDescent="0.25">
      <c r="B364" t="s">
        <v>16</v>
      </c>
      <c r="C364">
        <f>AC38</f>
        <v>1.9349999999999998</v>
      </c>
      <c r="D364">
        <f>AD38</f>
        <v>1.175</v>
      </c>
      <c r="E364">
        <f t="shared" si="137"/>
        <v>0.28668096935493015</v>
      </c>
      <c r="F364">
        <f t="shared" si="138"/>
        <v>7.0037866607755087E-2</v>
      </c>
      <c r="H364" s="80">
        <f t="shared" si="139"/>
        <v>1.6468085106382977</v>
      </c>
      <c r="L364" s="80">
        <f>'Tooth measurements raw data'!U202</f>
        <v>2.6772580000000001</v>
      </c>
      <c r="M364">
        <f t="shared" si="131"/>
        <v>2.6772580000000001E-3</v>
      </c>
      <c r="N364">
        <f t="shared" si="132"/>
        <v>-2.5723097750299968</v>
      </c>
      <c r="P364">
        <v>3.95</v>
      </c>
      <c r="Q364">
        <v>428</v>
      </c>
    </row>
    <row r="365" spans="2:17" x14ac:dyDescent="0.25">
      <c r="B365" t="s">
        <v>18</v>
      </c>
      <c r="C365">
        <f t="shared" ref="C365:D371" si="140">AC40</f>
        <v>28.654999999999998</v>
      </c>
      <c r="D365">
        <f t="shared" si="140"/>
        <v>4.5650000000000004</v>
      </c>
      <c r="E365">
        <f t="shared" si="137"/>
        <v>1.4572004127937683</v>
      </c>
      <c r="F365">
        <f t="shared" si="138"/>
        <v>0.65944078187031774</v>
      </c>
      <c r="H365" s="80">
        <f t="shared" si="139"/>
        <v>6.2771084337349388</v>
      </c>
      <c r="L365" s="80">
        <f>'Tooth measurements raw data'!U205</f>
        <v>64.081764000000007</v>
      </c>
      <c r="M365">
        <f t="shared" ref="M365:M374" si="141">L365/1000</f>
        <v>6.4081764000000013E-2</v>
      </c>
      <c r="N365">
        <f t="shared" ref="N365:N374" si="142">LOG(M365)</f>
        <v>-1.1932655417908333</v>
      </c>
      <c r="P365">
        <v>3.95</v>
      </c>
      <c r="Q365">
        <v>428</v>
      </c>
    </row>
    <row r="366" spans="2:17" x14ac:dyDescent="0.25">
      <c r="B366" t="s">
        <v>20</v>
      </c>
      <c r="C366">
        <f t="shared" si="140"/>
        <v>5.8050000000000006</v>
      </c>
      <c r="D366">
        <f t="shared" si="140"/>
        <v>2.5050000000000003</v>
      </c>
      <c r="E366">
        <f t="shared" si="137"/>
        <v>0.76380222407459264</v>
      </c>
      <c r="F366">
        <f t="shared" si="138"/>
        <v>0.3988077302032646</v>
      </c>
      <c r="H366" s="80">
        <f t="shared" si="139"/>
        <v>2.3173652694610776</v>
      </c>
      <c r="L366" s="80">
        <f>'Tooth measurements raw data'!U209</f>
        <v>5.4683199</v>
      </c>
      <c r="M366">
        <f t="shared" si="141"/>
        <v>5.4683199E-3</v>
      </c>
      <c r="N366">
        <f t="shared" si="142"/>
        <v>-2.2621460868728849</v>
      </c>
      <c r="P366">
        <v>3.95</v>
      </c>
      <c r="Q366">
        <v>428</v>
      </c>
    </row>
    <row r="367" spans="2:17" x14ac:dyDescent="0.25">
      <c r="B367" t="s">
        <v>21</v>
      </c>
      <c r="C367">
        <f t="shared" si="140"/>
        <v>6.2250000000000005</v>
      </c>
      <c r="D367">
        <f t="shared" si="140"/>
        <v>3.1150000000000002</v>
      </c>
      <c r="E367">
        <f t="shared" si="137"/>
        <v>0.79413935576777395</v>
      </c>
      <c r="F367">
        <f t="shared" si="138"/>
        <v>0.49345805099518847</v>
      </c>
      <c r="H367" s="80">
        <f t="shared" si="139"/>
        <v>1.998394863563403</v>
      </c>
      <c r="L367" s="80">
        <f>'Tooth measurements raw data'!U212</f>
        <v>5.8573212999999997</v>
      </c>
      <c r="M367">
        <f t="shared" si="141"/>
        <v>5.8573213000000001E-3</v>
      </c>
      <c r="N367">
        <f t="shared" si="142"/>
        <v>-2.2323009523439361</v>
      </c>
      <c r="P367">
        <v>3.95</v>
      </c>
      <c r="Q367">
        <v>428</v>
      </c>
    </row>
    <row r="368" spans="2:17" x14ac:dyDescent="0.25">
      <c r="B368" t="s">
        <v>22</v>
      </c>
      <c r="C368">
        <f t="shared" si="140"/>
        <v>2.0150000000000001</v>
      </c>
      <c r="D368">
        <f t="shared" si="140"/>
        <v>1.135</v>
      </c>
      <c r="E368">
        <f t="shared" si="137"/>
        <v>0.30427505047712827</v>
      </c>
      <c r="F368">
        <f t="shared" si="138"/>
        <v>5.4995861529141529E-2</v>
      </c>
      <c r="H368" s="80">
        <f t="shared" si="139"/>
        <v>1.775330396475771</v>
      </c>
      <c r="L368" s="80">
        <f>'Tooth measurements raw data'!U214</f>
        <v>0.67546450999999996</v>
      </c>
      <c r="M368">
        <f t="shared" si="141"/>
        <v>6.7546450999999999E-4</v>
      </c>
      <c r="N368">
        <f t="shared" si="142"/>
        <v>-3.1703974645783983</v>
      </c>
      <c r="P368">
        <v>3.95</v>
      </c>
      <c r="Q368">
        <v>428</v>
      </c>
    </row>
    <row r="369" spans="2:17" x14ac:dyDescent="0.25">
      <c r="B369" t="s">
        <v>23</v>
      </c>
      <c r="C369">
        <f t="shared" si="140"/>
        <v>3.5450000000000004</v>
      </c>
      <c r="D369">
        <f t="shared" si="140"/>
        <v>1.8749999999999998</v>
      </c>
      <c r="E369">
        <f t="shared" si="137"/>
        <v>0.54961623951908545</v>
      </c>
      <c r="F369">
        <f t="shared" si="138"/>
        <v>0.27300127206373759</v>
      </c>
      <c r="H369" s="80">
        <f t="shared" si="139"/>
        <v>1.8906666666666672</v>
      </c>
      <c r="L369" s="80">
        <f>'Tooth measurements raw data'!U216</f>
        <v>2.6367946</v>
      </c>
      <c r="M369">
        <f t="shared" si="141"/>
        <v>2.6367945999999998E-3</v>
      </c>
      <c r="N369">
        <f t="shared" si="142"/>
        <v>-2.5789236993915812</v>
      </c>
      <c r="P369">
        <v>3.95</v>
      </c>
      <c r="Q369">
        <v>428</v>
      </c>
    </row>
    <row r="370" spans="2:17" x14ac:dyDescent="0.25">
      <c r="B370" t="s">
        <v>24</v>
      </c>
      <c r="C370">
        <f t="shared" si="140"/>
        <v>7.3849999999999998</v>
      </c>
      <c r="D370">
        <f t="shared" si="140"/>
        <v>3.3650000000000002</v>
      </c>
      <c r="E370">
        <f t="shared" si="137"/>
        <v>0.86835049964796829</v>
      </c>
      <c r="F370">
        <f t="shared" si="138"/>
        <v>0.52698506855999572</v>
      </c>
      <c r="H370" s="80">
        <f t="shared" si="139"/>
        <v>2.1946508172362553</v>
      </c>
      <c r="L370" s="80">
        <f>'Tooth measurements raw data'!U218</f>
        <v>10.564651</v>
      </c>
      <c r="M370">
        <f t="shared" si="141"/>
        <v>1.0564651E-2</v>
      </c>
      <c r="N370">
        <f t="shared" si="142"/>
        <v>-1.9761448451594834</v>
      </c>
      <c r="P370">
        <v>3.95</v>
      </c>
      <c r="Q370">
        <v>428</v>
      </c>
    </row>
    <row r="371" spans="2:17" x14ac:dyDescent="0.25">
      <c r="B371" t="s">
        <v>25</v>
      </c>
      <c r="C371">
        <f t="shared" si="140"/>
        <v>2.5050000000000003</v>
      </c>
      <c r="D371">
        <f t="shared" si="140"/>
        <v>1.5449999999999999</v>
      </c>
      <c r="E371">
        <f t="shared" si="137"/>
        <v>0.3988077302032646</v>
      </c>
      <c r="F371">
        <f t="shared" si="138"/>
        <v>0.18892848376085342</v>
      </c>
      <c r="H371" s="80">
        <f t="shared" si="139"/>
        <v>1.6213592233009713</v>
      </c>
      <c r="L371" s="80">
        <f>'Tooth measurements raw data'!U221</f>
        <v>1.5799156000000001</v>
      </c>
      <c r="M371">
        <f t="shared" si="141"/>
        <v>1.5799156000000001E-3</v>
      </c>
      <c r="N371">
        <f t="shared" si="142"/>
        <v>-2.8013661126869103</v>
      </c>
      <c r="P371">
        <v>3.95</v>
      </c>
      <c r="Q371">
        <v>428</v>
      </c>
    </row>
    <row r="372" spans="2:17" x14ac:dyDescent="0.25">
      <c r="B372" t="s">
        <v>27</v>
      </c>
      <c r="C372">
        <f>AC48</f>
        <v>5.3550000000000004</v>
      </c>
      <c r="D372">
        <f>AD48</f>
        <v>2.3450000000000002</v>
      </c>
      <c r="E372">
        <f t="shared" si="137"/>
        <v>0.72875947516787443</v>
      </c>
      <c r="F372">
        <f t="shared" si="138"/>
        <v>0.37014284705110212</v>
      </c>
      <c r="H372" s="80">
        <f t="shared" si="139"/>
        <v>2.283582089552239</v>
      </c>
      <c r="L372" s="80">
        <f>'Tooth measurements raw data'!U224</f>
        <v>8.7371263999999993</v>
      </c>
      <c r="M372">
        <f t="shared" si="141"/>
        <v>8.7371263999999997E-3</v>
      </c>
      <c r="N372">
        <f t="shared" si="142"/>
        <v>-2.0586313813049002</v>
      </c>
      <c r="P372">
        <v>3.95</v>
      </c>
      <c r="Q372">
        <v>428</v>
      </c>
    </row>
    <row r="373" spans="2:17" x14ac:dyDescent="0.25">
      <c r="B373" t="s">
        <v>29</v>
      </c>
      <c r="C373">
        <f>AC49</f>
        <v>13.045</v>
      </c>
      <c r="D373">
        <f>AD49</f>
        <v>3.9249999999999998</v>
      </c>
      <c r="E373">
        <f t="shared" si="137"/>
        <v>1.1154440834362396</v>
      </c>
      <c r="F373">
        <f t="shared" si="138"/>
        <v>0.59383966108127129</v>
      </c>
      <c r="H373" s="80">
        <f t="shared" si="139"/>
        <v>3.3235668789808916</v>
      </c>
      <c r="L373" s="80">
        <f>'Tooth measurements raw data'!U226</f>
        <v>48.130637999999998</v>
      </c>
      <c r="M373">
        <f t="shared" si="141"/>
        <v>4.8130637999999996E-2</v>
      </c>
      <c r="N373">
        <f t="shared" si="142"/>
        <v>-1.3175783814549287</v>
      </c>
      <c r="P373">
        <v>3.95</v>
      </c>
      <c r="Q373">
        <v>428</v>
      </c>
    </row>
    <row r="374" spans="2:17" x14ac:dyDescent="0.25">
      <c r="B374" t="s">
        <v>31</v>
      </c>
      <c r="C374">
        <f>AC51</f>
        <v>8.8649999999999984</v>
      </c>
      <c r="D374">
        <f>AD51</f>
        <v>3.4750000000000001</v>
      </c>
      <c r="E374">
        <f t="shared" si="137"/>
        <v>0.94767873993693652</v>
      </c>
      <c r="F374">
        <f t="shared" si="138"/>
        <v>0.54095480892613268</v>
      </c>
      <c r="H374" s="80">
        <f t="shared" si="139"/>
        <v>2.5510791366906469</v>
      </c>
      <c r="L374" s="80">
        <f>'Tooth measurements raw data'!U229</f>
        <v>42.650596999999998</v>
      </c>
      <c r="M374">
        <f t="shared" si="141"/>
        <v>4.2650596999999998E-2</v>
      </c>
      <c r="N374">
        <f t="shared" si="142"/>
        <v>-1.3700748854345333</v>
      </c>
      <c r="P374">
        <v>3.95</v>
      </c>
      <c r="Q374">
        <v>428</v>
      </c>
    </row>
    <row r="375" spans="2:17" x14ac:dyDescent="0.25">
      <c r="B375" t="s">
        <v>32</v>
      </c>
      <c r="C375">
        <f>AC52</f>
        <v>1.4849999999999999</v>
      </c>
      <c r="D375">
        <f>AD52</f>
        <v>0.98499999999999988</v>
      </c>
      <c r="E375">
        <f t="shared" si="137"/>
        <v>0.17172645365323111</v>
      </c>
      <c r="F375">
        <f t="shared" si="138"/>
        <v>-6.5637695023883225E-3</v>
      </c>
      <c r="H375" s="80">
        <f t="shared" si="139"/>
        <v>1.5076142131979695</v>
      </c>
      <c r="I375">
        <f>AVERAGE(H353:H375)</f>
        <v>2.3133266234976952</v>
      </c>
      <c r="J375" t="s">
        <v>287</v>
      </c>
      <c r="M375" s="105"/>
      <c r="P375">
        <v>3.95</v>
      </c>
      <c r="Q375">
        <v>428</v>
      </c>
    </row>
    <row r="376" spans="2:17" x14ac:dyDescent="0.25">
      <c r="B376" s="55" t="s">
        <v>285</v>
      </c>
      <c r="C376" s="55">
        <f>AI17</f>
        <v>0.89500000000000002</v>
      </c>
      <c r="D376" s="55">
        <f>AJ17</f>
        <v>0.57499999999999996</v>
      </c>
      <c r="E376" s="55">
        <f t="shared" si="137"/>
        <v>-4.8176964684088018E-2</v>
      </c>
      <c r="F376" s="55">
        <f t="shared" si="138"/>
        <v>-0.24033215531036956</v>
      </c>
      <c r="G376" s="55"/>
      <c r="H376" s="46">
        <f t="shared" si="139"/>
        <v>1.5565217391304349</v>
      </c>
      <c r="I376" s="55"/>
      <c r="J376" s="55"/>
      <c r="K376" s="55"/>
      <c r="L376" s="46">
        <f>'Tooth measurements raw data'!U178</f>
        <v>0.29123916999999999</v>
      </c>
      <c r="M376">
        <f t="shared" ref="M376:M407" si="143">L376/1000</f>
        <v>2.9123916999999997E-4</v>
      </c>
      <c r="N376" s="55">
        <f t="shared" ref="N376:N407" si="144">LOG(M376)</f>
        <v>-3.5357502153107769</v>
      </c>
      <c r="P376">
        <v>3.95</v>
      </c>
      <c r="Q376">
        <v>428</v>
      </c>
    </row>
    <row r="377" spans="2:17" x14ac:dyDescent="0.25">
      <c r="B377" t="s">
        <v>285</v>
      </c>
      <c r="C377">
        <f>AI40</f>
        <v>3.5450000000000004</v>
      </c>
      <c r="D377">
        <f>AJ40</f>
        <v>1.595</v>
      </c>
      <c r="E377">
        <f t="shared" si="137"/>
        <v>0.54961623951908545</v>
      </c>
      <c r="F377">
        <f t="shared" si="138"/>
        <v>0.20276068739319991</v>
      </c>
      <c r="H377" s="80">
        <f t="shared" si="139"/>
        <v>2.2225705329153609</v>
      </c>
      <c r="L377" s="80">
        <f>'Tooth measurements raw data'!U207</f>
        <v>0.65891129000000004</v>
      </c>
      <c r="M377">
        <f t="shared" si="143"/>
        <v>6.5891129000000001E-4</v>
      </c>
      <c r="N377">
        <f t="shared" si="144"/>
        <v>-3.1811730510460374</v>
      </c>
      <c r="P377">
        <v>3.95</v>
      </c>
      <c r="Q377">
        <v>428</v>
      </c>
    </row>
    <row r="378" spans="2:17" ht="15.75" thickBot="1" x14ac:dyDescent="0.3">
      <c r="B378" s="382" t="s">
        <v>285</v>
      </c>
      <c r="C378" s="382">
        <f>AI45</f>
        <v>0.58499999999999996</v>
      </c>
      <c r="D378" s="382">
        <f>AJ45</f>
        <v>0.42499999999999999</v>
      </c>
      <c r="E378" s="382">
        <f t="shared" si="137"/>
        <v>-0.23284413391781958</v>
      </c>
      <c r="F378" s="382">
        <f t="shared" si="138"/>
        <v>-0.37161106994968846</v>
      </c>
      <c r="G378" s="382"/>
      <c r="H378" s="383">
        <f t="shared" si="139"/>
        <v>1.3764705882352941</v>
      </c>
      <c r="I378" s="382">
        <f>AVERAGE(H321:H378)</f>
        <v>3.7169528400359164</v>
      </c>
      <c r="J378" s="382" t="s">
        <v>277</v>
      </c>
      <c r="K378" s="382"/>
      <c r="L378" s="383">
        <f>'Tooth measurements raw data'!U219</f>
        <v>0.10759610999999999</v>
      </c>
      <c r="M378" s="382">
        <f t="shared" si="143"/>
        <v>1.0759611E-4</v>
      </c>
      <c r="N378" s="382">
        <f t="shared" si="144"/>
        <v>-3.9682034297483786</v>
      </c>
      <c r="P378">
        <v>3.95</v>
      </c>
      <c r="Q378">
        <v>428</v>
      </c>
    </row>
    <row r="379" spans="2:17" ht="15.75" thickTop="1" x14ac:dyDescent="0.25">
      <c r="B379" s="43" t="s">
        <v>15</v>
      </c>
      <c r="C379" s="43">
        <f t="shared" ref="C379:D383" si="145">AQ6</f>
        <v>3.2027999999999999</v>
      </c>
      <c r="D379" s="43">
        <f t="shared" si="145"/>
        <v>1.4328000000000001</v>
      </c>
      <c r="E379" s="43">
        <f t="shared" si="137"/>
        <v>0.50552981983513245</v>
      </c>
      <c r="F379" s="43">
        <f t="shared" si="138"/>
        <v>0.15618557284097515</v>
      </c>
      <c r="G379" s="43"/>
      <c r="H379" s="61">
        <f t="shared" si="139"/>
        <v>2.2353433835845893</v>
      </c>
      <c r="I379" s="43"/>
      <c r="J379" s="43"/>
      <c r="K379" s="43"/>
      <c r="L379" s="61">
        <f>'Tooth measurements raw data'!U87</f>
        <v>0.29744716999999998</v>
      </c>
      <c r="M379">
        <f t="shared" si="143"/>
        <v>2.9744716999999997E-4</v>
      </c>
      <c r="N379">
        <f t="shared" si="144"/>
        <v>-3.526590158724999</v>
      </c>
      <c r="P379">
        <v>0.37</v>
      </c>
      <c r="Q379">
        <v>57.73</v>
      </c>
    </row>
    <row r="380" spans="2:17" x14ac:dyDescent="0.25">
      <c r="B380" t="s">
        <v>16</v>
      </c>
      <c r="C380">
        <f t="shared" si="145"/>
        <v>2.5327999999999999</v>
      </c>
      <c r="D380">
        <f t="shared" si="145"/>
        <v>1.7728000000000002</v>
      </c>
      <c r="E380">
        <f t="shared" si="137"/>
        <v>0.40360089751828065</v>
      </c>
      <c r="F380">
        <f t="shared" si="138"/>
        <v>0.24865974304833577</v>
      </c>
      <c r="H380" s="80">
        <f t="shared" si="139"/>
        <v>1.4287003610108302</v>
      </c>
      <c r="L380" s="80">
        <f>'Tooth measurements raw data'!U89</f>
        <v>0.32412434000000001</v>
      </c>
      <c r="M380">
        <f t="shared" si="143"/>
        <v>3.2412434000000001E-4</v>
      </c>
      <c r="N380">
        <f t="shared" si="144"/>
        <v>-3.4892883545562592</v>
      </c>
      <c r="P380">
        <v>0.37</v>
      </c>
      <c r="Q380">
        <v>57.73</v>
      </c>
    </row>
    <row r="381" spans="2:17" x14ac:dyDescent="0.25">
      <c r="B381" t="s">
        <v>17</v>
      </c>
      <c r="C381">
        <f t="shared" si="145"/>
        <v>4.9228000000000005</v>
      </c>
      <c r="D381">
        <f t="shared" si="145"/>
        <v>1.7928000000000002</v>
      </c>
      <c r="E381">
        <f t="shared" si="137"/>
        <v>0.69221219192535022</v>
      </c>
      <c r="F381">
        <f t="shared" si="138"/>
        <v>0.25353184352700486</v>
      </c>
      <c r="H381" s="80">
        <f t="shared" si="139"/>
        <v>2.745872378402499</v>
      </c>
      <c r="L381" s="80">
        <f>'Tooth measurements raw data'!U91</f>
        <v>0.61779702000000003</v>
      </c>
      <c r="M381">
        <f t="shared" si="143"/>
        <v>6.1779702000000004E-4</v>
      </c>
      <c r="N381">
        <f t="shared" si="144"/>
        <v>-3.2091541908883676</v>
      </c>
      <c r="P381">
        <v>0.37</v>
      </c>
      <c r="Q381">
        <v>57.73</v>
      </c>
    </row>
    <row r="382" spans="2:17" x14ac:dyDescent="0.25">
      <c r="B382" t="s">
        <v>18</v>
      </c>
      <c r="C382">
        <f t="shared" si="145"/>
        <v>4.1328000000000005</v>
      </c>
      <c r="D382">
        <f t="shared" si="145"/>
        <v>1.4328000000000001</v>
      </c>
      <c r="E382">
        <f t="shared" si="137"/>
        <v>0.61624438882924204</v>
      </c>
      <c r="F382">
        <f t="shared" si="138"/>
        <v>0.15618557284097515</v>
      </c>
      <c r="H382" s="80">
        <f t="shared" si="139"/>
        <v>2.8844221105527641</v>
      </c>
      <c r="L382" s="80">
        <f>'Tooth measurements raw data'!U93</f>
        <v>0.41851798000000001</v>
      </c>
      <c r="M382">
        <f t="shared" si="143"/>
        <v>4.1851798000000002E-4</v>
      </c>
      <c r="N382">
        <f t="shared" si="144"/>
        <v>-3.3782858794937827</v>
      </c>
      <c r="P382">
        <v>0.37</v>
      </c>
      <c r="Q382">
        <v>57.73</v>
      </c>
    </row>
    <row r="383" spans="2:17" x14ac:dyDescent="0.25">
      <c r="B383" t="s">
        <v>20</v>
      </c>
      <c r="C383">
        <f t="shared" si="145"/>
        <v>4.5928000000000004</v>
      </c>
      <c r="D383">
        <f t="shared" si="145"/>
        <v>1.7628000000000001</v>
      </c>
      <c r="E383">
        <f t="shared" si="137"/>
        <v>0.66207753385956292</v>
      </c>
      <c r="F383">
        <f t="shared" si="138"/>
        <v>0.24620304183788136</v>
      </c>
      <c r="H383" s="80">
        <f t="shared" si="139"/>
        <v>2.6054004992058091</v>
      </c>
      <c r="L383" s="80">
        <f>'Tooth measurements raw data'!U95</f>
        <v>0.51211196000000003</v>
      </c>
      <c r="M383">
        <f t="shared" si="143"/>
        <v>5.1211196000000006E-4</v>
      </c>
      <c r="N383">
        <f t="shared" si="144"/>
        <v>-3.2906350814174097</v>
      </c>
      <c r="P383">
        <v>0.37</v>
      </c>
      <c r="Q383">
        <v>57.73</v>
      </c>
    </row>
    <row r="384" spans="2:17" x14ac:dyDescent="0.25">
      <c r="B384" t="s">
        <v>15</v>
      </c>
      <c r="C384">
        <f t="shared" ref="C384:C399" si="146">AQ16</f>
        <v>4.5528000000000004</v>
      </c>
      <c r="D384">
        <f t="shared" ref="D384:D399" si="147">AR16</f>
        <v>1.6928000000000001</v>
      </c>
      <c r="E384">
        <f t="shared" si="137"/>
        <v>0.65827857260026867</v>
      </c>
      <c r="F384">
        <f t="shared" si="138"/>
        <v>0.22860565035509176</v>
      </c>
      <c r="H384" s="80">
        <f t="shared" si="139"/>
        <v>2.6895085066162574</v>
      </c>
      <c r="L384" s="80">
        <f>'Tooth measurements raw data'!U97</f>
        <v>0.50718593999999995</v>
      </c>
      <c r="M384">
        <f t="shared" si="143"/>
        <v>5.0718593999999999E-4</v>
      </c>
      <c r="N384">
        <f t="shared" si="144"/>
        <v>-3.2948327942924345</v>
      </c>
      <c r="P384">
        <v>0.37</v>
      </c>
      <c r="Q384">
        <v>57.73</v>
      </c>
    </row>
    <row r="385" spans="2:17" x14ac:dyDescent="0.25">
      <c r="B385" t="s">
        <v>16</v>
      </c>
      <c r="C385">
        <f t="shared" si="146"/>
        <v>4.2228000000000003</v>
      </c>
      <c r="D385">
        <f t="shared" si="147"/>
        <v>2.4327999999999999</v>
      </c>
      <c r="E385">
        <f t="shared" si="137"/>
        <v>0.6256005128828166</v>
      </c>
      <c r="F385">
        <f t="shared" si="138"/>
        <v>0.38610640713607575</v>
      </c>
      <c r="H385" s="80">
        <f t="shared" si="139"/>
        <v>1.7357777047024008</v>
      </c>
      <c r="L385" s="80">
        <f>'Tooth measurements raw data'!U99</f>
        <v>0.95852261999999999</v>
      </c>
      <c r="M385">
        <f t="shared" si="143"/>
        <v>9.5852261999999997E-4</v>
      </c>
      <c r="N385">
        <f t="shared" si="144"/>
        <v>-3.0183976338289384</v>
      </c>
      <c r="P385">
        <v>0.37</v>
      </c>
      <c r="Q385">
        <v>57.73</v>
      </c>
    </row>
    <row r="386" spans="2:17" x14ac:dyDescent="0.25">
      <c r="B386" t="s">
        <v>17</v>
      </c>
      <c r="C386">
        <f t="shared" si="146"/>
        <v>6.3228</v>
      </c>
      <c r="D386">
        <f t="shared" si="147"/>
        <v>1.7928000000000002</v>
      </c>
      <c r="E386">
        <f t="shared" si="137"/>
        <v>0.80090944462041314</v>
      </c>
      <c r="F386">
        <f t="shared" si="138"/>
        <v>0.25353184352700486</v>
      </c>
      <c r="H386" s="80">
        <f t="shared" si="139"/>
        <v>3.5267737617135202</v>
      </c>
      <c r="L386" s="80">
        <f>'Tooth measurements raw data'!U101</f>
        <v>0.67390220999999995</v>
      </c>
      <c r="M386">
        <f t="shared" si="143"/>
        <v>6.7390220999999991E-4</v>
      </c>
      <c r="N386">
        <f t="shared" si="144"/>
        <v>-3.1714031193973566</v>
      </c>
      <c r="P386">
        <v>0.37</v>
      </c>
      <c r="Q386">
        <v>57.73</v>
      </c>
    </row>
    <row r="387" spans="2:17" x14ac:dyDescent="0.25">
      <c r="B387" t="s">
        <v>18</v>
      </c>
      <c r="C387">
        <f t="shared" si="146"/>
        <v>4.9028</v>
      </c>
      <c r="D387">
        <f t="shared" si="147"/>
        <v>2.5127999999999999</v>
      </c>
      <c r="E387">
        <f t="shared" si="137"/>
        <v>0.69044417742566533</v>
      </c>
      <c r="F387">
        <f t="shared" si="138"/>
        <v>0.40015792339044837</v>
      </c>
      <c r="H387" s="80">
        <f t="shared" si="139"/>
        <v>1.9511302133078638</v>
      </c>
      <c r="L387" s="80">
        <f>'Tooth measurements raw data'!U103</f>
        <v>1.5664996</v>
      </c>
      <c r="M387">
        <f t="shared" si="143"/>
        <v>1.5664996E-3</v>
      </c>
      <c r="N387">
        <f t="shared" si="144"/>
        <v>-2.8050697116777852</v>
      </c>
      <c r="P387">
        <v>0.37</v>
      </c>
      <c r="Q387">
        <v>57.73</v>
      </c>
    </row>
    <row r="388" spans="2:17" x14ac:dyDescent="0.25">
      <c r="B388" t="s">
        <v>20</v>
      </c>
      <c r="C388">
        <f t="shared" si="146"/>
        <v>5.8728000000000007</v>
      </c>
      <c r="D388">
        <f t="shared" si="147"/>
        <v>1.8328000000000002</v>
      </c>
      <c r="E388">
        <f t="shared" si="137"/>
        <v>0.76884521106339532</v>
      </c>
      <c r="F388">
        <f t="shared" si="138"/>
        <v>0.26311507618134117</v>
      </c>
      <c r="H388" s="80">
        <f t="shared" si="139"/>
        <v>3.2042776080314272</v>
      </c>
      <c r="L388" s="80">
        <f>'Tooth measurements raw data'!U105</f>
        <v>0.80201018000000002</v>
      </c>
      <c r="M388">
        <f t="shared" si="143"/>
        <v>8.0201018000000007E-4</v>
      </c>
      <c r="N388">
        <f t="shared" si="144"/>
        <v>-3.0958201191350798</v>
      </c>
      <c r="P388">
        <v>0.37</v>
      </c>
      <c r="Q388">
        <v>57.73</v>
      </c>
    </row>
    <row r="389" spans="2:17" x14ac:dyDescent="0.25">
      <c r="B389" t="s">
        <v>21</v>
      </c>
      <c r="C389">
        <f t="shared" si="146"/>
        <v>4.0428000000000006</v>
      </c>
      <c r="D389">
        <f t="shared" si="147"/>
        <v>2.1928000000000001</v>
      </c>
      <c r="E389">
        <f t="shared" si="137"/>
        <v>0.60668225702874512</v>
      </c>
      <c r="F389">
        <f t="shared" si="138"/>
        <v>0.34099902253144199</v>
      </c>
      <c r="H389" s="80">
        <f t="shared" si="139"/>
        <v>1.8436701933600879</v>
      </c>
      <c r="L389" s="80">
        <f>'Tooth measurements raw data'!U107</f>
        <v>0.93539601999999999</v>
      </c>
      <c r="M389">
        <f t="shared" si="143"/>
        <v>9.3539602000000004E-4</v>
      </c>
      <c r="N389">
        <f t="shared" si="144"/>
        <v>-3.0290044822955018</v>
      </c>
      <c r="P389">
        <v>0.37</v>
      </c>
      <c r="Q389">
        <v>57.73</v>
      </c>
    </row>
    <row r="390" spans="2:17" x14ac:dyDescent="0.25">
      <c r="B390" s="45" t="s">
        <v>22</v>
      </c>
      <c r="C390">
        <f t="shared" si="146"/>
        <v>4.0528000000000004</v>
      </c>
      <c r="D390">
        <f t="shared" si="147"/>
        <v>2.0627999999999997</v>
      </c>
      <c r="E390">
        <f t="shared" si="137"/>
        <v>0.60775517244647281</v>
      </c>
      <c r="F390">
        <f t="shared" si="138"/>
        <v>0.31445712273467719</v>
      </c>
      <c r="H390" s="80">
        <f t="shared" si="139"/>
        <v>1.9647081636610437</v>
      </c>
      <c r="L390" s="80">
        <f>'Tooth measurements raw data'!U109</f>
        <v>0.76148265999999998</v>
      </c>
      <c r="M390">
        <f t="shared" si="143"/>
        <v>7.6148266000000003E-4</v>
      </c>
      <c r="N390">
        <f t="shared" si="144"/>
        <v>-3.1183399816937394</v>
      </c>
      <c r="P390">
        <v>0.37</v>
      </c>
      <c r="Q390">
        <v>57.73</v>
      </c>
    </row>
    <row r="391" spans="2:17" x14ac:dyDescent="0.25">
      <c r="B391" t="s">
        <v>23</v>
      </c>
      <c r="C391">
        <f t="shared" si="146"/>
        <v>3.1027999999999998</v>
      </c>
      <c r="D391">
        <f t="shared" si="147"/>
        <v>2.1027999999999998</v>
      </c>
      <c r="E391">
        <f t="shared" si="137"/>
        <v>0.49175378277214765</v>
      </c>
      <c r="F391">
        <f t="shared" si="138"/>
        <v>0.32279796834638758</v>
      </c>
      <c r="H391" s="80">
        <f t="shared" si="139"/>
        <v>1.4755564009891573</v>
      </c>
      <c r="L391" s="80">
        <f>'Tooth measurements raw data'!U111</f>
        <v>0.94614363000000001</v>
      </c>
      <c r="M391">
        <f t="shared" si="143"/>
        <v>9.4614362999999996E-4</v>
      </c>
      <c r="N391">
        <f t="shared" si="144"/>
        <v>-3.0240429302139056</v>
      </c>
      <c r="P391">
        <v>0.37</v>
      </c>
      <c r="Q391">
        <v>57.73</v>
      </c>
    </row>
    <row r="392" spans="2:17" x14ac:dyDescent="0.25">
      <c r="B392" t="s">
        <v>24</v>
      </c>
      <c r="C392">
        <f t="shared" si="146"/>
        <v>4.7628000000000004</v>
      </c>
      <c r="D392">
        <f t="shared" si="147"/>
        <v>2.2827999999999999</v>
      </c>
      <c r="E392">
        <f t="shared" si="137"/>
        <v>0.67786234495478825</v>
      </c>
      <c r="F392">
        <f t="shared" si="138"/>
        <v>0.35846786387692053</v>
      </c>
      <c r="H392" s="80">
        <f t="shared" si="139"/>
        <v>2.0863851410548451</v>
      </c>
      <c r="L392" s="80">
        <f>'Tooth measurements raw data'!U114</f>
        <v>1.1649347999999999</v>
      </c>
      <c r="M392">
        <f t="shared" si="143"/>
        <v>1.1649347999999999E-3</v>
      </c>
      <c r="N392">
        <f t="shared" si="144"/>
        <v>-2.9336983808977148</v>
      </c>
      <c r="P392">
        <v>0.37</v>
      </c>
      <c r="Q392">
        <v>57.73</v>
      </c>
    </row>
    <row r="393" spans="2:17" x14ac:dyDescent="0.25">
      <c r="B393" t="s">
        <v>25</v>
      </c>
      <c r="C393">
        <f t="shared" si="146"/>
        <v>3.9327999999999999</v>
      </c>
      <c r="D393">
        <f t="shared" si="147"/>
        <v>1.3528</v>
      </c>
      <c r="E393">
        <f t="shared" ref="E393:E424" si="148">LOG(C393)</f>
        <v>0.59470186120636004</v>
      </c>
      <c r="F393">
        <f t="shared" si="138"/>
        <v>0.13123359458968534</v>
      </c>
      <c r="H393" s="80">
        <f t="shared" si="139"/>
        <v>2.9071555292726194</v>
      </c>
      <c r="L393" s="80">
        <f>'Tooth measurements raw data'!U116</f>
        <v>0.52858525999999995</v>
      </c>
      <c r="M393">
        <f t="shared" si="143"/>
        <v>5.2858525999999997E-4</v>
      </c>
      <c r="N393">
        <f t="shared" si="144"/>
        <v>-3.2768849516657497</v>
      </c>
      <c r="P393">
        <v>0.37</v>
      </c>
      <c r="Q393">
        <v>57.73</v>
      </c>
    </row>
    <row r="394" spans="2:17" x14ac:dyDescent="0.25">
      <c r="B394" t="s">
        <v>26</v>
      </c>
      <c r="C394">
        <f t="shared" si="146"/>
        <v>4.7328000000000001</v>
      </c>
      <c r="D394">
        <f t="shared" si="147"/>
        <v>2.3028</v>
      </c>
      <c r="E394">
        <f t="shared" si="148"/>
        <v>0.67511815231679839</v>
      </c>
      <c r="F394">
        <f t="shared" ref="F394:F425" si="149">LOG(D394)</f>
        <v>0.36225622078309638</v>
      </c>
      <c r="H394" s="80">
        <f t="shared" ref="H394:H425" si="150">C394/D394</f>
        <v>2.0552371026576344</v>
      </c>
      <c r="L394" s="80">
        <f>'Tooth measurements raw data'!U118</f>
        <v>1.6173588999999999</v>
      </c>
      <c r="M394">
        <f t="shared" si="143"/>
        <v>1.6173589E-3</v>
      </c>
      <c r="N394">
        <f t="shared" si="144"/>
        <v>-2.791193597289455</v>
      </c>
      <c r="P394">
        <v>0.37</v>
      </c>
      <c r="Q394">
        <v>57.73</v>
      </c>
    </row>
    <row r="395" spans="2:17" x14ac:dyDescent="0.25">
      <c r="B395" t="s">
        <v>27</v>
      </c>
      <c r="C395">
        <f t="shared" si="146"/>
        <v>4.5628000000000002</v>
      </c>
      <c r="D395">
        <f t="shared" si="147"/>
        <v>1.5628000000000002</v>
      </c>
      <c r="E395">
        <f t="shared" si="148"/>
        <v>0.65923143287522845</v>
      </c>
      <c r="F395">
        <f t="shared" si="149"/>
        <v>0.19390340255274691</v>
      </c>
      <c r="H395" s="80">
        <f t="shared" si="150"/>
        <v>2.9196314307652926</v>
      </c>
      <c r="L395" s="80">
        <f>'Tooth measurements raw data'!U120</f>
        <v>0.94422441999999995</v>
      </c>
      <c r="M395">
        <f t="shared" si="143"/>
        <v>9.4422441999999997E-4</v>
      </c>
      <c r="N395">
        <f t="shared" si="144"/>
        <v>-3.0249247718203485</v>
      </c>
      <c r="P395">
        <v>0.37</v>
      </c>
      <c r="Q395">
        <v>57.73</v>
      </c>
    </row>
    <row r="396" spans="2:17" x14ac:dyDescent="0.25">
      <c r="B396" t="s">
        <v>29</v>
      </c>
      <c r="C396">
        <f t="shared" si="146"/>
        <v>3.8828</v>
      </c>
      <c r="D396">
        <f t="shared" si="147"/>
        <v>2.0528</v>
      </c>
      <c r="E396">
        <f t="shared" si="148"/>
        <v>0.58914502095208432</v>
      </c>
      <c r="F396">
        <f t="shared" si="149"/>
        <v>0.3123466390308533</v>
      </c>
      <c r="H396" s="80">
        <f t="shared" si="150"/>
        <v>1.891465315666407</v>
      </c>
      <c r="L396" s="80">
        <f>'Tooth measurements raw data'!U122</f>
        <v>1.225902</v>
      </c>
      <c r="M396">
        <f t="shared" si="143"/>
        <v>1.2259020000000001E-3</v>
      </c>
      <c r="N396">
        <f t="shared" si="144"/>
        <v>-2.9115442464247514</v>
      </c>
      <c r="P396">
        <v>0.37</v>
      </c>
      <c r="Q396">
        <v>57.73</v>
      </c>
    </row>
    <row r="397" spans="2:17" x14ac:dyDescent="0.25">
      <c r="B397" t="s">
        <v>30</v>
      </c>
      <c r="C397">
        <f t="shared" si="146"/>
        <v>3.2227999999999999</v>
      </c>
      <c r="D397">
        <f t="shared" si="147"/>
        <v>1.3528</v>
      </c>
      <c r="E397">
        <f t="shared" si="148"/>
        <v>0.50823335497201105</v>
      </c>
      <c r="F397">
        <f t="shared" si="149"/>
        <v>0.13123359458968534</v>
      </c>
      <c r="H397" s="80">
        <f t="shared" si="150"/>
        <v>2.3823181549379067</v>
      </c>
      <c r="L397" s="80">
        <f>'Tooth measurements raw data'!U124</f>
        <v>0.60676152000000005</v>
      </c>
      <c r="M397">
        <f t="shared" si="143"/>
        <v>6.0676152000000002E-4</v>
      </c>
      <c r="N397">
        <f t="shared" si="144"/>
        <v>-3.2169819693842649</v>
      </c>
      <c r="P397">
        <v>0.37</v>
      </c>
      <c r="Q397">
        <v>57.73</v>
      </c>
    </row>
    <row r="398" spans="2:17" x14ac:dyDescent="0.25">
      <c r="B398" t="s">
        <v>31</v>
      </c>
      <c r="C398">
        <f t="shared" si="146"/>
        <v>2.8727999999999998</v>
      </c>
      <c r="D398">
        <f t="shared" si="147"/>
        <v>1.7528000000000001</v>
      </c>
      <c r="E398">
        <f t="shared" si="148"/>
        <v>0.45830539211801669</v>
      </c>
      <c r="F398">
        <f t="shared" si="149"/>
        <v>0.24373236455264893</v>
      </c>
      <c r="H398" s="80">
        <f t="shared" si="150"/>
        <v>1.6389776357827475</v>
      </c>
      <c r="L398" s="80">
        <f>'Tooth measurements raw data'!U125</f>
        <v>0.57314317999999997</v>
      </c>
      <c r="M398">
        <f t="shared" si="143"/>
        <v>5.7314317999999996E-4</v>
      </c>
      <c r="N398">
        <f t="shared" si="144"/>
        <v>-3.2417368710234902</v>
      </c>
      <c r="P398">
        <v>0.37</v>
      </c>
      <c r="Q398">
        <v>57.73</v>
      </c>
    </row>
    <row r="399" spans="2:17" x14ac:dyDescent="0.25">
      <c r="B399" t="s">
        <v>32</v>
      </c>
      <c r="C399">
        <f t="shared" si="146"/>
        <v>1.1528</v>
      </c>
      <c r="D399">
        <f t="shared" si="147"/>
        <v>0.68279999999999996</v>
      </c>
      <c r="E399">
        <f t="shared" si="148"/>
        <v>6.1753967805932904E-2</v>
      </c>
      <c r="F399">
        <f t="shared" si="149"/>
        <v>-0.16570648755730402</v>
      </c>
      <c r="H399" s="80">
        <f t="shared" si="150"/>
        <v>1.688342120679555</v>
      </c>
      <c r="L399" s="80">
        <f>'Tooth measurements raw data'!U127</f>
        <v>0.11112285</v>
      </c>
      <c r="M399">
        <f t="shared" si="143"/>
        <v>1.1112284999999999E-4</v>
      </c>
      <c r="N399">
        <f t="shared" si="144"/>
        <v>-3.954196628650922</v>
      </c>
      <c r="P399">
        <v>0.37</v>
      </c>
      <c r="Q399">
        <v>57.73</v>
      </c>
    </row>
    <row r="400" spans="2:17" x14ac:dyDescent="0.25">
      <c r="B400" t="s">
        <v>15</v>
      </c>
      <c r="C400">
        <f t="shared" ref="C400:C419" si="151">AQ36</f>
        <v>5.1628000000000007</v>
      </c>
      <c r="D400">
        <f t="shared" ref="D400:D419" si="152">AR36</f>
        <v>2.1427999999999998</v>
      </c>
      <c r="E400">
        <f t="shared" si="148"/>
        <v>0.71288530138292716</v>
      </c>
      <c r="F400">
        <f t="shared" si="149"/>
        <v>0.33098163770082173</v>
      </c>
      <c r="H400" s="80">
        <f t="shared" si="150"/>
        <v>2.4093709165577755</v>
      </c>
      <c r="L400" s="80">
        <f>'Tooth measurements raw data'!U128</f>
        <v>1.0140201</v>
      </c>
      <c r="M400">
        <f t="shared" si="143"/>
        <v>1.0140201000000001E-3</v>
      </c>
      <c r="N400">
        <f t="shared" si="144"/>
        <v>-2.9939534362920623</v>
      </c>
      <c r="P400">
        <v>0.37</v>
      </c>
      <c r="Q400">
        <v>57.73</v>
      </c>
    </row>
    <row r="401" spans="2:17" x14ac:dyDescent="0.25">
      <c r="B401" t="s">
        <v>16</v>
      </c>
      <c r="C401">
        <f t="shared" si="151"/>
        <v>2.1728000000000001</v>
      </c>
      <c r="D401">
        <f t="shared" si="152"/>
        <v>1.6228</v>
      </c>
      <c r="E401">
        <f t="shared" si="148"/>
        <v>0.33701975260040767</v>
      </c>
      <c r="F401">
        <f t="shared" si="149"/>
        <v>0.21026499903228857</v>
      </c>
      <c r="H401" s="80">
        <f t="shared" si="150"/>
        <v>1.3389203845205817</v>
      </c>
      <c r="L401" s="80">
        <f>'Tooth measurements raw data'!U130</f>
        <v>0.54582626000000001</v>
      </c>
      <c r="M401">
        <f t="shared" si="143"/>
        <v>5.4582626000000006E-4</v>
      </c>
      <c r="N401">
        <f t="shared" si="144"/>
        <v>-3.2629455740183571</v>
      </c>
      <c r="P401">
        <v>0.37</v>
      </c>
      <c r="Q401">
        <v>57.73</v>
      </c>
    </row>
    <row r="402" spans="2:17" x14ac:dyDescent="0.25">
      <c r="B402" t="s">
        <v>17</v>
      </c>
      <c r="C402">
        <f t="shared" si="151"/>
        <v>4.4428000000000001</v>
      </c>
      <c r="D402">
        <f t="shared" si="152"/>
        <v>1.8428000000000002</v>
      </c>
      <c r="E402">
        <f t="shared" si="148"/>
        <v>0.64765676319554122</v>
      </c>
      <c r="F402">
        <f t="shared" si="149"/>
        <v>0.26547820358064211</v>
      </c>
      <c r="H402" s="80">
        <f t="shared" si="150"/>
        <v>2.4108964619057951</v>
      </c>
      <c r="L402" s="80">
        <f>'Tooth measurements raw data'!U132</f>
        <v>0.60545002999999997</v>
      </c>
      <c r="M402">
        <f t="shared" si="143"/>
        <v>6.0545002999999999E-4</v>
      </c>
      <c r="N402">
        <f t="shared" si="144"/>
        <v>-3.2179216949499896</v>
      </c>
      <c r="P402">
        <v>0.37</v>
      </c>
      <c r="Q402">
        <v>57.73</v>
      </c>
    </row>
    <row r="403" spans="2:17" x14ac:dyDescent="0.25">
      <c r="B403" t="s">
        <v>18</v>
      </c>
      <c r="C403">
        <f t="shared" si="151"/>
        <v>3.7527999999999997</v>
      </c>
      <c r="D403">
        <f t="shared" si="152"/>
        <v>1.2328000000000001</v>
      </c>
      <c r="E403">
        <f t="shared" si="148"/>
        <v>0.57435541993910189</v>
      </c>
      <c r="F403">
        <f t="shared" si="149"/>
        <v>9.089262571036294E-2</v>
      </c>
      <c r="H403" s="80">
        <f t="shared" si="150"/>
        <v>3.0441271901362748</v>
      </c>
      <c r="L403" s="80">
        <f>'Tooth measurements raw data'!U134</f>
        <v>0.3426128</v>
      </c>
      <c r="M403">
        <f t="shared" si="143"/>
        <v>3.4261280000000001E-4</v>
      </c>
      <c r="N403">
        <f t="shared" si="144"/>
        <v>-3.4651964158435802</v>
      </c>
      <c r="P403">
        <v>0.37</v>
      </c>
      <c r="Q403">
        <v>57.73</v>
      </c>
    </row>
    <row r="404" spans="2:17" x14ac:dyDescent="0.25">
      <c r="B404" t="s">
        <v>20</v>
      </c>
      <c r="C404">
        <f t="shared" si="151"/>
        <v>4.1828000000000003</v>
      </c>
      <c r="D404">
        <f t="shared" si="152"/>
        <v>1.5728000000000002</v>
      </c>
      <c r="E404">
        <f t="shared" si="148"/>
        <v>0.62146709934684574</v>
      </c>
      <c r="F404">
        <f t="shared" si="149"/>
        <v>0.19667350048806045</v>
      </c>
      <c r="H404" s="80">
        <f t="shared" si="150"/>
        <v>2.6594608341810781</v>
      </c>
      <c r="L404" s="80">
        <f>'Tooth measurements raw data'!U136</f>
        <v>0.47535886999999999</v>
      </c>
      <c r="M404">
        <f t="shared" si="143"/>
        <v>4.7535886999999999E-4</v>
      </c>
      <c r="N404">
        <f t="shared" si="144"/>
        <v>-3.3229783979229168</v>
      </c>
      <c r="P404">
        <v>0.37</v>
      </c>
      <c r="Q404">
        <v>57.73</v>
      </c>
    </row>
    <row r="405" spans="2:17" x14ac:dyDescent="0.25">
      <c r="B405" t="s">
        <v>21</v>
      </c>
      <c r="C405">
        <f t="shared" si="151"/>
        <v>3.2427999999999999</v>
      </c>
      <c r="D405">
        <f t="shared" si="152"/>
        <v>1.9228000000000001</v>
      </c>
      <c r="E405">
        <f t="shared" si="148"/>
        <v>0.5109201643452389</v>
      </c>
      <c r="F405">
        <f t="shared" si="149"/>
        <v>0.28393411345660929</v>
      </c>
      <c r="H405" s="80">
        <f t="shared" si="150"/>
        <v>1.6864988558352401</v>
      </c>
      <c r="L405" s="80">
        <f>'Tooth measurements raw data'!U138</f>
        <v>0.55430281000000003</v>
      </c>
      <c r="M405">
        <f t="shared" si="143"/>
        <v>5.5430281000000002E-4</v>
      </c>
      <c r="N405">
        <f t="shared" si="144"/>
        <v>-3.2562529197759296</v>
      </c>
      <c r="P405">
        <v>0.37</v>
      </c>
      <c r="Q405">
        <v>57.73</v>
      </c>
    </row>
    <row r="406" spans="2:17" x14ac:dyDescent="0.25">
      <c r="B406" s="45" t="s">
        <v>22</v>
      </c>
      <c r="C406">
        <f t="shared" si="151"/>
        <v>3.1928000000000001</v>
      </c>
      <c r="D406">
        <f t="shared" si="152"/>
        <v>1.0828000000000002</v>
      </c>
      <c r="E406">
        <f t="shared" si="148"/>
        <v>0.50417171477596689</v>
      </c>
      <c r="F406">
        <f t="shared" si="149"/>
        <v>3.454824709846889E-2</v>
      </c>
      <c r="H406" s="80">
        <f t="shared" si="150"/>
        <v>2.9486516438862203</v>
      </c>
      <c r="L406" s="80">
        <f>'Tooth measurements raw data'!U140</f>
        <v>0.21412101</v>
      </c>
      <c r="M406">
        <f t="shared" si="143"/>
        <v>2.1412100999999999E-4</v>
      </c>
      <c r="N406">
        <f t="shared" si="144"/>
        <v>-3.6693407167345606</v>
      </c>
      <c r="P406">
        <v>0.37</v>
      </c>
      <c r="Q406">
        <v>57.73</v>
      </c>
    </row>
    <row r="407" spans="2:17" x14ac:dyDescent="0.25">
      <c r="B407" t="s">
        <v>23</v>
      </c>
      <c r="C407">
        <f t="shared" si="151"/>
        <v>3.0427999999999997</v>
      </c>
      <c r="D407">
        <f t="shared" si="152"/>
        <v>1.7028000000000001</v>
      </c>
      <c r="E407">
        <f t="shared" si="148"/>
        <v>0.4832734075829816</v>
      </c>
      <c r="F407">
        <f t="shared" si="149"/>
        <v>0.23116364150509885</v>
      </c>
      <c r="H407" s="80">
        <f t="shared" si="150"/>
        <v>1.7869391590321819</v>
      </c>
      <c r="L407" s="80">
        <f>'Tooth measurements raw data'!U142</f>
        <v>0.37629511999999998</v>
      </c>
      <c r="M407">
        <f t="shared" si="143"/>
        <v>3.7629511999999997E-4</v>
      </c>
      <c r="N407">
        <f t="shared" si="144"/>
        <v>-3.4244714138109198</v>
      </c>
      <c r="P407">
        <v>0.37</v>
      </c>
      <c r="Q407">
        <v>57.73</v>
      </c>
    </row>
    <row r="408" spans="2:17" x14ac:dyDescent="0.25">
      <c r="B408" t="s">
        <v>24</v>
      </c>
      <c r="C408">
        <f t="shared" si="151"/>
        <v>3.1027999999999998</v>
      </c>
      <c r="D408">
        <f t="shared" si="152"/>
        <v>1.1128</v>
      </c>
      <c r="E408">
        <f t="shared" si="148"/>
        <v>0.49175378277214765</v>
      </c>
      <c r="F408">
        <f t="shared" si="149"/>
        <v>4.6417116983990002E-2</v>
      </c>
      <c r="H408" s="80">
        <f t="shared" si="150"/>
        <v>2.7882818116462973</v>
      </c>
      <c r="L408" s="80">
        <f>'Tooth measurements raw data'!U144</f>
        <v>0.22227769999999999</v>
      </c>
      <c r="M408">
        <f t="shared" ref="M408:M439" si="153">L408/1000</f>
        <v>2.2227769999999999E-4</v>
      </c>
      <c r="N408">
        <f t="shared" ref="N408:N439" si="154">LOG(M408)</f>
        <v>-3.6531041056894127</v>
      </c>
      <c r="P408">
        <v>0.37</v>
      </c>
      <c r="Q408">
        <v>57.73</v>
      </c>
    </row>
    <row r="409" spans="2:17" x14ac:dyDescent="0.25">
      <c r="B409" t="s">
        <v>25</v>
      </c>
      <c r="C409">
        <f t="shared" si="151"/>
        <v>3.1827999999999999</v>
      </c>
      <c r="D409">
        <f t="shared" si="152"/>
        <v>1.8128000000000002</v>
      </c>
      <c r="E409">
        <f t="shared" si="148"/>
        <v>0.50280934938904187</v>
      </c>
      <c r="F409">
        <f t="shared" si="149"/>
        <v>0.25834989251932206</v>
      </c>
      <c r="H409" s="80">
        <f t="shared" si="150"/>
        <v>1.7557369814651365</v>
      </c>
      <c r="L409" s="80">
        <f>'Tooth measurements raw data'!U146</f>
        <v>0.43694249000000002</v>
      </c>
      <c r="M409">
        <f t="shared" si="153"/>
        <v>4.3694249E-4</v>
      </c>
      <c r="N409">
        <f t="shared" si="154"/>
        <v>-3.359575720739556</v>
      </c>
      <c r="P409">
        <v>0.37</v>
      </c>
      <c r="Q409">
        <v>57.73</v>
      </c>
    </row>
    <row r="410" spans="2:17" x14ac:dyDescent="0.25">
      <c r="B410" t="s">
        <v>26</v>
      </c>
      <c r="C410">
        <f t="shared" si="151"/>
        <v>3.8828</v>
      </c>
      <c r="D410">
        <f t="shared" si="152"/>
        <v>1.4928000000000001</v>
      </c>
      <c r="E410">
        <f t="shared" si="148"/>
        <v>0.58914502095208432</v>
      </c>
      <c r="F410">
        <f t="shared" si="149"/>
        <v>0.17400162640242475</v>
      </c>
      <c r="H410" s="80">
        <f t="shared" si="150"/>
        <v>2.60101822079314</v>
      </c>
      <c r="L410" s="80">
        <f>'Tooth measurements raw data'!U148</f>
        <v>0.43569499</v>
      </c>
      <c r="M410">
        <f t="shared" si="153"/>
        <v>4.3569498999999998E-4</v>
      </c>
      <c r="N410">
        <f t="shared" si="154"/>
        <v>-3.360817433931274</v>
      </c>
      <c r="P410">
        <v>0.37</v>
      </c>
      <c r="Q410">
        <v>57.73</v>
      </c>
    </row>
    <row r="411" spans="2:17" x14ac:dyDescent="0.25">
      <c r="B411" t="s">
        <v>27</v>
      </c>
      <c r="C411">
        <f t="shared" si="151"/>
        <v>3.5627999999999997</v>
      </c>
      <c r="D411">
        <f t="shared" si="152"/>
        <v>2.1328</v>
      </c>
      <c r="E411">
        <f t="shared" si="148"/>
        <v>0.55179144364366939</v>
      </c>
      <c r="F411">
        <f t="shared" si="149"/>
        <v>0.32895013206978402</v>
      </c>
      <c r="H411" s="80">
        <f t="shared" si="150"/>
        <v>1.6704801200300075</v>
      </c>
      <c r="L411" s="80">
        <f>'Tooth measurements raw data'!U150</f>
        <v>0.90008235000000003</v>
      </c>
      <c r="M411">
        <f t="shared" si="153"/>
        <v>9.0008235000000008E-4</v>
      </c>
      <c r="N411">
        <f t="shared" si="154"/>
        <v>-3.0457177544334813</v>
      </c>
      <c r="P411">
        <v>0.37</v>
      </c>
      <c r="Q411">
        <v>57.73</v>
      </c>
    </row>
    <row r="412" spans="2:17" x14ac:dyDescent="0.25">
      <c r="B412" t="s">
        <v>29</v>
      </c>
      <c r="C412">
        <f t="shared" si="151"/>
        <v>5.3928000000000003</v>
      </c>
      <c r="D412">
        <f t="shared" si="152"/>
        <v>1.8128000000000002</v>
      </c>
      <c r="E412">
        <f t="shared" si="148"/>
        <v>0.73181431413073494</v>
      </c>
      <c r="F412">
        <f t="shared" si="149"/>
        <v>0.25834989251932206</v>
      </c>
      <c r="H412" s="80">
        <f t="shared" si="150"/>
        <v>2.9748455428067078</v>
      </c>
      <c r="L412" s="80">
        <f>'Tooth measurements raw data'!U152</f>
        <v>0.82516878999999999</v>
      </c>
      <c r="M412">
        <f t="shared" si="153"/>
        <v>8.2516879000000003E-4</v>
      </c>
      <c r="N412">
        <f t="shared" si="154"/>
        <v>-3.0834572065194226</v>
      </c>
      <c r="P412">
        <v>0.37</v>
      </c>
      <c r="Q412">
        <v>57.73</v>
      </c>
    </row>
    <row r="413" spans="2:17" x14ac:dyDescent="0.25">
      <c r="B413" t="s">
        <v>30</v>
      </c>
      <c r="C413">
        <f t="shared" si="151"/>
        <v>4.1228000000000007</v>
      </c>
      <c r="D413">
        <f t="shared" si="152"/>
        <v>2.2827999999999999</v>
      </c>
      <c r="E413">
        <f t="shared" si="148"/>
        <v>0.61519226737396582</v>
      </c>
      <c r="F413">
        <f t="shared" si="149"/>
        <v>0.35846786387692053</v>
      </c>
      <c r="H413" s="80">
        <f t="shared" si="150"/>
        <v>1.8060276852987562</v>
      </c>
      <c r="L413" s="80">
        <f>'Tooth measurements raw data'!U154</f>
        <v>1.1328198</v>
      </c>
      <c r="M413">
        <f t="shared" si="153"/>
        <v>1.1328198E-3</v>
      </c>
      <c r="N413">
        <f t="shared" si="154"/>
        <v>-2.9458391687683667</v>
      </c>
      <c r="P413">
        <v>0.37</v>
      </c>
      <c r="Q413">
        <v>57.73</v>
      </c>
    </row>
    <row r="414" spans="2:17" x14ac:dyDescent="0.25">
      <c r="B414" t="s">
        <v>31</v>
      </c>
      <c r="C414">
        <f t="shared" si="151"/>
        <v>4.2528000000000006</v>
      </c>
      <c r="D414">
        <f t="shared" si="152"/>
        <v>1.5728000000000002</v>
      </c>
      <c r="E414">
        <f t="shared" si="148"/>
        <v>0.62867495926263806</v>
      </c>
      <c r="F414">
        <f t="shared" si="149"/>
        <v>0.19667350048806045</v>
      </c>
      <c r="H414" s="80">
        <f t="shared" si="150"/>
        <v>2.7039674465920651</v>
      </c>
      <c r="L414" s="80">
        <f>'Tooth measurements raw data'!U156</f>
        <v>0.79369354000000003</v>
      </c>
      <c r="M414">
        <f t="shared" si="153"/>
        <v>7.9369354000000006E-4</v>
      </c>
      <c r="N414">
        <f t="shared" si="154"/>
        <v>-3.1003471544729591</v>
      </c>
      <c r="P414">
        <v>0.37</v>
      </c>
      <c r="Q414">
        <v>57.73</v>
      </c>
    </row>
    <row r="415" spans="2:17" x14ac:dyDescent="0.25">
      <c r="B415" t="s">
        <v>32</v>
      </c>
      <c r="C415">
        <f t="shared" si="151"/>
        <v>3.7128000000000001</v>
      </c>
      <c r="D415">
        <f t="shared" si="152"/>
        <v>2.0427999999999997</v>
      </c>
      <c r="E415">
        <f t="shared" si="148"/>
        <v>0.56970155541097356</v>
      </c>
      <c r="F415">
        <f t="shared" si="149"/>
        <v>0.31022584918350238</v>
      </c>
      <c r="H415" s="80">
        <f t="shared" si="150"/>
        <v>1.8175053847660076</v>
      </c>
      <c r="L415" s="80">
        <f>'Tooth measurements raw data'!U158</f>
        <v>1.1028479</v>
      </c>
      <c r="M415">
        <f t="shared" si="153"/>
        <v>1.1028479E-3</v>
      </c>
      <c r="N415">
        <f t="shared" si="154"/>
        <v>-2.9574843794415679</v>
      </c>
      <c r="P415">
        <v>0.37</v>
      </c>
      <c r="Q415">
        <v>57.73</v>
      </c>
    </row>
    <row r="416" spans="2:17" x14ac:dyDescent="0.25">
      <c r="B416" t="s">
        <v>72</v>
      </c>
      <c r="C416">
        <f t="shared" si="151"/>
        <v>3.3428</v>
      </c>
      <c r="D416">
        <f t="shared" si="152"/>
        <v>1.4128000000000001</v>
      </c>
      <c r="E416">
        <f t="shared" si="148"/>
        <v>0.52411039349513622</v>
      </c>
      <c r="F416">
        <f t="shared" si="149"/>
        <v>0.15008068623349338</v>
      </c>
      <c r="H416" s="80">
        <f t="shared" si="150"/>
        <v>2.3660815402038504</v>
      </c>
      <c r="L416" s="80">
        <f>'Tooth measurements raw data'!U160</f>
        <v>0.69536549000000003</v>
      </c>
      <c r="M416">
        <f t="shared" si="153"/>
        <v>6.9536549000000008E-4</v>
      </c>
      <c r="N416">
        <f t="shared" si="154"/>
        <v>-3.1577868665352287</v>
      </c>
      <c r="P416">
        <v>0.37</v>
      </c>
      <c r="Q416">
        <v>57.73</v>
      </c>
    </row>
    <row r="417" spans="2:17" x14ac:dyDescent="0.25">
      <c r="B417" t="s">
        <v>73</v>
      </c>
      <c r="C417">
        <f t="shared" si="151"/>
        <v>3.3828</v>
      </c>
      <c r="D417">
        <f t="shared" si="152"/>
        <v>1.8628</v>
      </c>
      <c r="E417">
        <f t="shared" si="148"/>
        <v>0.52927632191922713</v>
      </c>
      <c r="F417">
        <f t="shared" si="149"/>
        <v>0.27016622926069372</v>
      </c>
      <c r="H417" s="80">
        <f t="shared" si="150"/>
        <v>1.815975950182521</v>
      </c>
      <c r="L417" s="80">
        <f>'Tooth measurements raw data'!U162</f>
        <v>0.92567193999999997</v>
      </c>
      <c r="M417">
        <f t="shared" si="153"/>
        <v>9.2567194000000002E-4</v>
      </c>
      <c r="N417">
        <f t="shared" si="154"/>
        <v>-3.0335429008897745</v>
      </c>
      <c r="P417">
        <v>0.37</v>
      </c>
      <c r="Q417">
        <v>57.73</v>
      </c>
    </row>
    <row r="418" spans="2:17" x14ac:dyDescent="0.25">
      <c r="B418" t="s">
        <v>74</v>
      </c>
      <c r="C418">
        <f t="shared" si="151"/>
        <v>3.4827999999999997</v>
      </c>
      <c r="D418">
        <f t="shared" si="152"/>
        <v>1.6428</v>
      </c>
      <c r="E418">
        <f t="shared" si="148"/>
        <v>0.54192853578747202</v>
      </c>
      <c r="F418">
        <f t="shared" si="149"/>
        <v>0.21558469418161483</v>
      </c>
      <c r="H418" s="80">
        <f t="shared" si="150"/>
        <v>2.1200389578767953</v>
      </c>
      <c r="L418" s="80">
        <f>'Tooth measurements raw data'!U164</f>
        <v>0.63766091999999996</v>
      </c>
      <c r="M418">
        <f t="shared" si="153"/>
        <v>6.3766091999999997E-4</v>
      </c>
      <c r="N418">
        <f t="shared" si="154"/>
        <v>-3.1954101985818624</v>
      </c>
      <c r="P418">
        <v>0.37</v>
      </c>
      <c r="Q418">
        <v>57.73</v>
      </c>
    </row>
    <row r="419" spans="2:17" x14ac:dyDescent="0.25">
      <c r="B419" t="s">
        <v>75</v>
      </c>
      <c r="C419">
        <f t="shared" si="151"/>
        <v>2.8327999999999998</v>
      </c>
      <c r="D419">
        <f t="shared" si="152"/>
        <v>2.8327999999999998</v>
      </c>
      <c r="E419">
        <f t="shared" si="148"/>
        <v>0.4522159137500546</v>
      </c>
      <c r="F419">
        <f t="shared" si="149"/>
        <v>0.4522159137500546</v>
      </c>
      <c r="H419" s="80">
        <f t="shared" si="150"/>
        <v>1</v>
      </c>
      <c r="I419">
        <f>AVERAGE(H379:H419)</f>
        <v>2.2333043610651631</v>
      </c>
      <c r="J419" t="s">
        <v>281</v>
      </c>
      <c r="L419" s="80">
        <f>'Tooth measurements raw data'!U166</f>
        <v>0.46774599</v>
      </c>
      <c r="M419">
        <f t="shared" si="153"/>
        <v>4.6774598999999999E-4</v>
      </c>
      <c r="N419">
        <f t="shared" si="154"/>
        <v>-3.3299899270312396</v>
      </c>
      <c r="P419">
        <v>0.37</v>
      </c>
      <c r="Q419">
        <v>57.73</v>
      </c>
    </row>
    <row r="420" spans="2:17" x14ac:dyDescent="0.25">
      <c r="B420" s="55" t="s">
        <v>15</v>
      </c>
      <c r="C420" s="55">
        <f t="shared" ref="C420:D424" si="155">AW6</f>
        <v>0.25280000000000002</v>
      </c>
      <c r="D420" s="55">
        <f t="shared" si="155"/>
        <v>0.1628</v>
      </c>
      <c r="E420" s="55">
        <f t="shared" si="148"/>
        <v>-0.59722293038965257</v>
      </c>
      <c r="F420" s="55">
        <f t="shared" si="149"/>
        <v>-0.78834559944681759</v>
      </c>
      <c r="G420" s="55"/>
      <c r="H420" s="46">
        <f t="shared" si="150"/>
        <v>1.552825552825553</v>
      </c>
      <c r="I420" s="55"/>
      <c r="J420" s="55"/>
      <c r="K420" s="55"/>
      <c r="L420" s="46">
        <f>'Tooth measurements raw data'!U88</f>
        <v>1.8552463E-3</v>
      </c>
      <c r="M420" s="55">
        <f t="shared" si="153"/>
        <v>1.8552462999999999E-6</v>
      </c>
      <c r="N420" s="55">
        <f t="shared" si="154"/>
        <v>-5.7315984258709305</v>
      </c>
      <c r="P420">
        <v>0.37</v>
      </c>
      <c r="Q420">
        <v>57.73</v>
      </c>
    </row>
    <row r="421" spans="2:17" x14ac:dyDescent="0.25">
      <c r="B421" t="s">
        <v>16</v>
      </c>
      <c r="C421">
        <f t="shared" si="155"/>
        <v>1.1528</v>
      </c>
      <c r="D421">
        <f t="shared" si="155"/>
        <v>0.77280000000000004</v>
      </c>
      <c r="E421">
        <f t="shared" si="148"/>
        <v>6.1753967805932904E-2</v>
      </c>
      <c r="F421">
        <f t="shared" si="149"/>
        <v>-0.11193288659256305</v>
      </c>
      <c r="H421" s="80">
        <f t="shared" si="150"/>
        <v>1.4917184265010353</v>
      </c>
      <c r="L421" s="80">
        <f>'Tooth measurements raw data'!U90</f>
        <v>8.0095463000000006E-2</v>
      </c>
      <c r="M421">
        <f t="shared" si="153"/>
        <v>8.0095463000000005E-5</v>
      </c>
      <c r="N421">
        <f t="shared" si="154"/>
        <v>-4.0963920837892918</v>
      </c>
      <c r="P421">
        <v>0.37</v>
      </c>
      <c r="Q421">
        <v>57.73</v>
      </c>
    </row>
    <row r="422" spans="2:17" x14ac:dyDescent="0.25">
      <c r="B422" t="s">
        <v>17</v>
      </c>
      <c r="C422">
        <f t="shared" si="155"/>
        <v>1.0528000000000002</v>
      </c>
      <c r="D422">
        <f t="shared" si="155"/>
        <v>0.53280000000000005</v>
      </c>
      <c r="E422">
        <f t="shared" si="148"/>
        <v>2.2345876269880344E-2</v>
      </c>
      <c r="F422">
        <f t="shared" si="149"/>
        <v>-0.2734357838377553</v>
      </c>
      <c r="H422" s="80">
        <f t="shared" si="150"/>
        <v>1.9759759759759761</v>
      </c>
      <c r="L422" s="80">
        <f>'Tooth measurements raw data'!U92</f>
        <v>4.6061288999999998E-2</v>
      </c>
      <c r="M422">
        <f t="shared" si="153"/>
        <v>4.6061288999999995E-5</v>
      </c>
      <c r="N422">
        <f t="shared" si="154"/>
        <v>-4.3366639127079978</v>
      </c>
      <c r="P422">
        <v>0.37</v>
      </c>
      <c r="Q422">
        <v>57.73</v>
      </c>
    </row>
    <row r="423" spans="2:17" x14ac:dyDescent="0.25">
      <c r="B423" t="s">
        <v>18</v>
      </c>
      <c r="C423">
        <f t="shared" si="155"/>
        <v>0.53280000000000005</v>
      </c>
      <c r="D423">
        <f t="shared" si="155"/>
        <v>0.31280000000000002</v>
      </c>
      <c r="E423">
        <f t="shared" si="148"/>
        <v>-0.2734357838377553</v>
      </c>
      <c r="F423">
        <f t="shared" si="149"/>
        <v>-0.50473325561218962</v>
      </c>
      <c r="H423" s="80">
        <f t="shared" si="150"/>
        <v>1.7033248081841432</v>
      </c>
      <c r="L423" s="80">
        <f>'Tooth measurements raw data'!U94</f>
        <v>8.8603998999999996E-3</v>
      </c>
      <c r="M423">
        <f t="shared" si="153"/>
        <v>8.8603998999999991E-6</v>
      </c>
      <c r="N423">
        <f t="shared" si="154"/>
        <v>-5.0525466764827014</v>
      </c>
      <c r="P423">
        <v>0.37</v>
      </c>
      <c r="Q423">
        <v>57.73</v>
      </c>
    </row>
    <row r="424" spans="2:17" x14ac:dyDescent="0.25">
      <c r="B424" t="s">
        <v>20</v>
      </c>
      <c r="C424">
        <f t="shared" si="155"/>
        <v>0.99280000000000002</v>
      </c>
      <c r="D424">
        <f t="shared" si="155"/>
        <v>0.56279999999999997</v>
      </c>
      <c r="E424">
        <f t="shared" si="148"/>
        <v>-3.1382315093265779E-3</v>
      </c>
      <c r="F424">
        <f t="shared" si="149"/>
        <v>-0.24964591123729193</v>
      </c>
      <c r="H424" s="80">
        <f t="shared" si="150"/>
        <v>1.7640369580668089</v>
      </c>
      <c r="L424" s="80">
        <f>'Tooth measurements raw data'!U96</f>
        <v>3.6817044E-2</v>
      </c>
      <c r="M424">
        <f t="shared" si="153"/>
        <v>3.6817043999999997E-5</v>
      </c>
      <c r="N424">
        <f t="shared" si="154"/>
        <v>-4.4339510834589335</v>
      </c>
      <c r="P424">
        <v>0.37</v>
      </c>
      <c r="Q424">
        <v>57.73</v>
      </c>
    </row>
    <row r="425" spans="2:17" x14ac:dyDescent="0.25">
      <c r="B425" t="s">
        <v>15</v>
      </c>
      <c r="C425">
        <f t="shared" ref="C425:C437" si="156">AW16</f>
        <v>0.69279999999999997</v>
      </c>
      <c r="D425">
        <f t="shared" ref="D425:D437" si="157">AX16</f>
        <v>0.4728</v>
      </c>
      <c r="E425">
        <f t="shared" ref="E425:E437" si="158">LOG(C425)</f>
        <v>-0.15939212099070979</v>
      </c>
      <c r="F425">
        <f t="shared" si="149"/>
        <v>-0.32532253212680107</v>
      </c>
      <c r="H425" s="80">
        <f t="shared" si="150"/>
        <v>1.4653130287648053</v>
      </c>
      <c r="L425" s="80">
        <f>'Tooth measurements raw data'!U98</f>
        <v>2.6037423000000001E-2</v>
      </c>
      <c r="M425">
        <f t="shared" si="153"/>
        <v>2.6037423000000002E-5</v>
      </c>
      <c r="N425">
        <f t="shared" si="154"/>
        <v>-4.5844020013735136</v>
      </c>
      <c r="P425">
        <v>0.37</v>
      </c>
      <c r="Q425">
        <v>57.73</v>
      </c>
    </row>
    <row r="426" spans="2:17" x14ac:dyDescent="0.25">
      <c r="B426" t="s">
        <v>16</v>
      </c>
      <c r="C426">
        <f t="shared" si="156"/>
        <v>1.8028000000000002</v>
      </c>
      <c r="D426">
        <f t="shared" si="157"/>
        <v>0.95279999999999998</v>
      </c>
      <c r="E426">
        <f t="shared" si="158"/>
        <v>0.25594754939893993</v>
      </c>
      <c r="F426">
        <f t="shared" ref="F426:F459" si="159">LOG(D426)</f>
        <v>-2.099825152527892E-2</v>
      </c>
      <c r="H426" s="80">
        <f t="shared" ref="H426:H459" si="160">C426/D426</f>
        <v>1.8921074727120069</v>
      </c>
      <c r="L426" s="80">
        <f>'Tooth measurements raw data'!U100</f>
        <v>0.14867561000000001</v>
      </c>
      <c r="M426">
        <f t="shared" si="153"/>
        <v>1.4867561000000002E-4</v>
      </c>
      <c r="N426">
        <f t="shared" si="154"/>
        <v>-3.8277602709615888</v>
      </c>
      <c r="P426">
        <v>0.37</v>
      </c>
      <c r="Q426">
        <v>57.73</v>
      </c>
    </row>
    <row r="427" spans="2:17" x14ac:dyDescent="0.25">
      <c r="B427" t="s">
        <v>17</v>
      </c>
      <c r="C427">
        <f t="shared" si="156"/>
        <v>1.1028</v>
      </c>
      <c r="D427">
        <f t="shared" si="157"/>
        <v>0.6028</v>
      </c>
      <c r="E427">
        <f t="shared" si="158"/>
        <v>4.2496757433736092E-2</v>
      </c>
      <c r="F427">
        <f t="shared" si="159"/>
        <v>-0.21982675635740581</v>
      </c>
      <c r="H427" s="80">
        <f t="shared" si="160"/>
        <v>1.829462508294625</v>
      </c>
      <c r="L427" s="80">
        <f>'Tooth measurements raw data'!U102</f>
        <v>5.6265141999999997E-2</v>
      </c>
      <c r="M427">
        <f t="shared" si="153"/>
        <v>5.6265141999999999E-5</v>
      </c>
      <c r="N427">
        <f t="shared" si="154"/>
        <v>-4.2497605807349697</v>
      </c>
      <c r="P427">
        <v>0.37</v>
      </c>
      <c r="Q427">
        <v>57.73</v>
      </c>
    </row>
    <row r="428" spans="2:17" x14ac:dyDescent="0.25">
      <c r="B428" t="s">
        <v>18</v>
      </c>
      <c r="C428">
        <f t="shared" si="156"/>
        <v>2.8028</v>
      </c>
      <c r="D428">
        <f t="shared" si="157"/>
        <v>1.2228000000000001</v>
      </c>
      <c r="E428">
        <f t="shared" si="158"/>
        <v>0.44759210882153788</v>
      </c>
      <c r="F428">
        <f t="shared" si="159"/>
        <v>8.7355430054051261E-2</v>
      </c>
      <c r="H428" s="80">
        <f t="shared" si="160"/>
        <v>2.2921164540399084</v>
      </c>
      <c r="L428" s="80">
        <f>'Tooth measurements raw data'!U104</f>
        <v>0.33499989000000002</v>
      </c>
      <c r="M428">
        <f t="shared" si="153"/>
        <v>3.3499989000000002E-4</v>
      </c>
      <c r="N428">
        <f t="shared" si="154"/>
        <v>-3.4749553355673366</v>
      </c>
      <c r="P428">
        <v>0.37</v>
      </c>
      <c r="Q428">
        <v>57.73</v>
      </c>
    </row>
    <row r="429" spans="2:17" x14ac:dyDescent="0.25">
      <c r="B429" t="s">
        <v>20</v>
      </c>
      <c r="C429">
        <f t="shared" si="156"/>
        <v>0.89280000000000004</v>
      </c>
      <c r="D429">
        <f t="shared" si="157"/>
        <v>0.50280000000000002</v>
      </c>
      <c r="E429">
        <f t="shared" si="158"/>
        <v>-4.9245818406496451E-2</v>
      </c>
      <c r="F429">
        <f t="shared" si="159"/>
        <v>-0.29860473098607981</v>
      </c>
      <c r="H429" s="80">
        <f t="shared" si="160"/>
        <v>1.7756563245823389</v>
      </c>
      <c r="L429" s="80">
        <f>'Tooth measurements raw data'!U106</f>
        <v>3.2082966999999997E-2</v>
      </c>
      <c r="M429">
        <f t="shared" si="153"/>
        <v>3.2082966999999994E-5</v>
      </c>
      <c r="N429">
        <f t="shared" si="154"/>
        <v>-4.493725475420792</v>
      </c>
      <c r="P429">
        <v>0.37</v>
      </c>
      <c r="Q429">
        <v>57.73</v>
      </c>
    </row>
    <row r="430" spans="2:17" x14ac:dyDescent="0.25">
      <c r="B430" t="s">
        <v>21</v>
      </c>
      <c r="C430">
        <f t="shared" si="156"/>
        <v>1.8428000000000002</v>
      </c>
      <c r="D430">
        <f t="shared" si="157"/>
        <v>0.93279999999999996</v>
      </c>
      <c r="E430">
        <f t="shared" si="158"/>
        <v>0.26547820358064211</v>
      </c>
      <c r="F430">
        <f t="shared" si="159"/>
        <v>-3.021146258506115E-2</v>
      </c>
      <c r="H430" s="80">
        <f t="shared" si="160"/>
        <v>1.9755574614065183</v>
      </c>
      <c r="L430" s="80">
        <f>'Tooth measurements raw data'!U108</f>
        <v>0.15689626000000001</v>
      </c>
      <c r="M430">
        <f t="shared" si="153"/>
        <v>1.5689626E-4</v>
      </c>
      <c r="N430">
        <f t="shared" si="154"/>
        <v>-3.8043874087439828</v>
      </c>
      <c r="P430">
        <v>0.37</v>
      </c>
      <c r="Q430">
        <v>57.73</v>
      </c>
    </row>
    <row r="431" spans="2:17" x14ac:dyDescent="0.25">
      <c r="B431" s="45" t="s">
        <v>22</v>
      </c>
      <c r="C431">
        <f t="shared" si="156"/>
        <v>0.71279999999999999</v>
      </c>
      <c r="D431">
        <f t="shared" si="157"/>
        <v>0.42280000000000001</v>
      </c>
      <c r="E431">
        <f t="shared" si="158"/>
        <v>-0.14703230897118164</v>
      </c>
      <c r="F431">
        <f t="shared" si="159"/>
        <v>-0.37386502136461131</v>
      </c>
      <c r="H431" s="80">
        <f t="shared" si="160"/>
        <v>1.6859035004730369</v>
      </c>
      <c r="L431" s="80">
        <f>'Tooth measurements raw data'!U110</f>
        <v>3.2658733000000002E-2</v>
      </c>
      <c r="M431">
        <f t="shared" si="153"/>
        <v>3.2658733000000003E-5</v>
      </c>
      <c r="N431">
        <f t="shared" si="154"/>
        <v>-4.4860006677861834</v>
      </c>
      <c r="P431">
        <v>0.37</v>
      </c>
      <c r="Q431">
        <v>57.73</v>
      </c>
    </row>
    <row r="432" spans="2:17" x14ac:dyDescent="0.25">
      <c r="B432" t="s">
        <v>23</v>
      </c>
      <c r="C432">
        <f t="shared" si="156"/>
        <v>2.1128</v>
      </c>
      <c r="D432">
        <f t="shared" si="157"/>
        <v>1.0628000000000002</v>
      </c>
      <c r="E432">
        <f t="shared" si="158"/>
        <v>0.32485838819886764</v>
      </c>
      <c r="F432">
        <f t="shared" si="159"/>
        <v>2.6451545738239983E-2</v>
      </c>
      <c r="H432" s="80">
        <f t="shared" si="160"/>
        <v>1.9879563417388029</v>
      </c>
      <c r="L432" s="80">
        <f>'Tooth measurements raw data'!U112</f>
        <v>0.23795131999999999</v>
      </c>
      <c r="M432">
        <f t="shared" si="153"/>
        <v>2.3795131999999999E-4</v>
      </c>
      <c r="N432">
        <f t="shared" si="154"/>
        <v>-3.6235118816736875</v>
      </c>
      <c r="P432">
        <v>0.37</v>
      </c>
      <c r="Q432">
        <v>57.73</v>
      </c>
    </row>
    <row r="433" spans="2:17" x14ac:dyDescent="0.25">
      <c r="B433" t="s">
        <v>24</v>
      </c>
      <c r="C433">
        <f t="shared" si="156"/>
        <v>1.0028000000000001</v>
      </c>
      <c r="D433">
        <f t="shared" si="157"/>
        <v>0.61280000000000001</v>
      </c>
      <c r="E433">
        <f t="shared" si="158"/>
        <v>1.2143252861789634E-3</v>
      </c>
      <c r="F433">
        <f t="shared" si="159"/>
        <v>-0.21268124337545247</v>
      </c>
      <c r="H433" s="80">
        <f t="shared" si="160"/>
        <v>1.6364229765013056</v>
      </c>
      <c r="L433" s="80">
        <f>'Tooth measurements raw data'!U115</f>
        <v>6.4997590999999993E-2</v>
      </c>
      <c r="M433">
        <f t="shared" si="153"/>
        <v>6.4997590999999998E-5</v>
      </c>
      <c r="N433">
        <f t="shared" si="154"/>
        <v>-4.1871027392770603</v>
      </c>
      <c r="P433">
        <v>0.37</v>
      </c>
      <c r="Q433">
        <v>57.73</v>
      </c>
    </row>
    <row r="434" spans="2:17" x14ac:dyDescent="0.25">
      <c r="B434" t="s">
        <v>25</v>
      </c>
      <c r="C434">
        <f t="shared" si="156"/>
        <v>0.46279999999999999</v>
      </c>
      <c r="D434">
        <f t="shared" si="157"/>
        <v>0.2828</v>
      </c>
      <c r="E434">
        <f t="shared" si="158"/>
        <v>-0.33460664972028809</v>
      </c>
      <c r="F434">
        <f t="shared" si="159"/>
        <v>-0.54852059487513816</v>
      </c>
      <c r="H434" s="80">
        <f t="shared" si="160"/>
        <v>1.6364922206506365</v>
      </c>
      <c r="L434" s="80">
        <f>'Tooth measurements raw data'!U117</f>
        <v>1.5097866999999999E-2</v>
      </c>
      <c r="M434">
        <f t="shared" si="153"/>
        <v>1.5097867E-5</v>
      </c>
      <c r="N434">
        <f t="shared" si="154"/>
        <v>-4.8210844047308949</v>
      </c>
      <c r="P434">
        <v>0.37</v>
      </c>
      <c r="Q434">
        <v>57.73</v>
      </c>
    </row>
    <row r="435" spans="2:17" x14ac:dyDescent="0.25">
      <c r="B435" t="s">
        <v>26</v>
      </c>
      <c r="C435">
        <f t="shared" si="156"/>
        <v>1.3928</v>
      </c>
      <c r="D435">
        <f t="shared" si="157"/>
        <v>0.75280000000000002</v>
      </c>
      <c r="E435">
        <f t="shared" si="158"/>
        <v>0.14388875810927479</v>
      </c>
      <c r="F435">
        <f t="shared" si="159"/>
        <v>-0.12332038958079949</v>
      </c>
      <c r="H435" s="80">
        <f t="shared" si="160"/>
        <v>1.8501594048884165</v>
      </c>
      <c r="L435" s="80">
        <f>'Tooth measurements raw data'!U119</f>
        <v>0.17256989</v>
      </c>
      <c r="M435">
        <f t="shared" si="153"/>
        <v>1.7256989000000002E-4</v>
      </c>
      <c r="N435">
        <f t="shared" si="154"/>
        <v>-3.7630349777261807</v>
      </c>
      <c r="P435">
        <v>0.37</v>
      </c>
      <c r="Q435">
        <v>57.73</v>
      </c>
    </row>
    <row r="436" spans="2:17" x14ac:dyDescent="0.25">
      <c r="B436" t="s">
        <v>27</v>
      </c>
      <c r="C436">
        <f t="shared" si="156"/>
        <v>0.36280000000000001</v>
      </c>
      <c r="D436">
        <f t="shared" si="157"/>
        <v>0.20280000000000001</v>
      </c>
      <c r="E436">
        <f t="shared" si="158"/>
        <v>-0.44033272161194231</v>
      </c>
      <c r="F436">
        <f t="shared" si="159"/>
        <v>-0.69293204933870167</v>
      </c>
      <c r="H436" s="80">
        <f t="shared" si="160"/>
        <v>1.7889546351084813</v>
      </c>
      <c r="L436" s="80">
        <f>'Tooth measurements raw data'!U121</f>
        <v>7.6129073E-3</v>
      </c>
      <c r="M436">
        <f t="shared" si="153"/>
        <v>7.6129073000000002E-6</v>
      </c>
      <c r="N436">
        <f t="shared" si="154"/>
        <v>-5.1184494584430711</v>
      </c>
      <c r="P436">
        <v>0.37</v>
      </c>
      <c r="Q436">
        <v>57.73</v>
      </c>
    </row>
    <row r="437" spans="2:17" x14ac:dyDescent="0.25">
      <c r="B437" t="s">
        <v>29</v>
      </c>
      <c r="C437">
        <f t="shared" si="156"/>
        <v>0.7228</v>
      </c>
      <c r="D437">
        <f t="shared" si="157"/>
        <v>0.45279999999999998</v>
      </c>
      <c r="E437">
        <f t="shared" si="158"/>
        <v>-0.14098185611110575</v>
      </c>
      <c r="F437">
        <f t="shared" si="159"/>
        <v>-0.344093581819785</v>
      </c>
      <c r="H437" s="80">
        <f t="shared" si="160"/>
        <v>1.5962897526501767</v>
      </c>
      <c r="L437" s="80">
        <f>'Tooth measurements raw data'!U123</f>
        <v>7.0979162999999998E-2</v>
      </c>
      <c r="M437">
        <f t="shared" si="153"/>
        <v>7.0979162999999998E-5</v>
      </c>
      <c r="N437">
        <f t="shared" si="154"/>
        <v>-4.1488691262426469</v>
      </c>
      <c r="P437">
        <v>0.37</v>
      </c>
      <c r="Q437">
        <v>57.73</v>
      </c>
    </row>
    <row r="438" spans="2:17" x14ac:dyDescent="0.25">
      <c r="B438" t="s">
        <v>30</v>
      </c>
      <c r="D438">
        <f>AX30</f>
        <v>0.33279999999999998</v>
      </c>
      <c r="F438">
        <f t="shared" si="159"/>
        <v>-0.4778166823813137</v>
      </c>
      <c r="H438" s="80">
        <f t="shared" si="160"/>
        <v>0</v>
      </c>
      <c r="L438" s="80">
        <f>'Tooth measurements raw data'!U126</f>
        <v>6.333427E-3</v>
      </c>
      <c r="M438">
        <f t="shared" si="153"/>
        <v>6.3334269999999999E-6</v>
      </c>
      <c r="N438">
        <f t="shared" si="154"/>
        <v>-5.1983612308275182</v>
      </c>
      <c r="P438">
        <v>0.37</v>
      </c>
      <c r="Q438">
        <v>57.73</v>
      </c>
    </row>
    <row r="439" spans="2:17" x14ac:dyDescent="0.25">
      <c r="B439" t="s">
        <v>15</v>
      </c>
      <c r="C439">
        <f t="shared" ref="C439:C458" si="161">AW36</f>
        <v>1.4828000000000001</v>
      </c>
      <c r="D439">
        <f t="shared" ref="D439:D458" si="162">AX36</f>
        <v>0.66279999999999994</v>
      </c>
      <c r="E439">
        <f t="shared" ref="E439:E459" si="163">LOG(C439)</f>
        <v>0.17108257735752611</v>
      </c>
      <c r="F439">
        <f t="shared" si="159"/>
        <v>-0.1786175002527009</v>
      </c>
      <c r="H439" s="80">
        <f t="shared" si="160"/>
        <v>2.2371756185878096</v>
      </c>
      <c r="L439" s="80">
        <f>'Tooth measurements raw data'!U129</f>
        <v>8.1215009000000005E-2</v>
      </c>
      <c r="M439">
        <f t="shared" si="153"/>
        <v>8.1215009000000006E-5</v>
      </c>
      <c r="N439">
        <f t="shared" si="154"/>
        <v>-4.0903637032276698</v>
      </c>
      <c r="P439">
        <v>0.37</v>
      </c>
      <c r="Q439">
        <v>57.73</v>
      </c>
    </row>
    <row r="440" spans="2:17" x14ac:dyDescent="0.25">
      <c r="B440" t="s">
        <v>16</v>
      </c>
      <c r="C440">
        <f t="shared" si="161"/>
        <v>2.0728</v>
      </c>
      <c r="D440">
        <f t="shared" si="162"/>
        <v>0.82279999999999998</v>
      </c>
      <c r="E440">
        <f t="shared" si="163"/>
        <v>0.31655739997776838</v>
      </c>
      <c r="F440">
        <f t="shared" si="159"/>
        <v>-8.4705716977313605E-2</v>
      </c>
      <c r="H440" s="80">
        <f t="shared" si="160"/>
        <v>2.5192027224112787</v>
      </c>
      <c r="L440" s="80">
        <f>'Tooth measurements raw data'!U131</f>
        <v>0.20938693</v>
      </c>
      <c r="M440">
        <f t="shared" ref="M440:M459" si="164">L440/1000</f>
        <v>2.0938692999999999E-4</v>
      </c>
      <c r="N440">
        <f t="shared" ref="N440:N459" si="165">LOG(M440)</f>
        <v>-3.6790504306133887</v>
      </c>
      <c r="P440">
        <v>0.37</v>
      </c>
      <c r="Q440">
        <v>57.73</v>
      </c>
    </row>
    <row r="441" spans="2:17" x14ac:dyDescent="0.25">
      <c r="B441" t="s">
        <v>17</v>
      </c>
      <c r="C441">
        <f t="shared" si="161"/>
        <v>1.0928000000000002</v>
      </c>
      <c r="D441">
        <f t="shared" si="162"/>
        <v>0.54279999999999995</v>
      </c>
      <c r="E441">
        <f t="shared" si="163"/>
        <v>3.8540686337457428E-2</v>
      </c>
      <c r="F441">
        <f t="shared" si="159"/>
        <v>-0.26536016101230059</v>
      </c>
      <c r="H441" s="80">
        <f t="shared" si="160"/>
        <v>2.0132645541635967</v>
      </c>
      <c r="L441" s="80">
        <f>'Tooth measurements raw data'!U133</f>
        <v>4.3182455000000002E-2</v>
      </c>
      <c r="M441">
        <f t="shared" si="164"/>
        <v>4.3182454999999999E-5</v>
      </c>
      <c r="N441">
        <f t="shared" si="165"/>
        <v>-4.3646926708798564</v>
      </c>
      <c r="P441">
        <v>0.37</v>
      </c>
      <c r="Q441">
        <v>57.73</v>
      </c>
    </row>
    <row r="442" spans="2:17" x14ac:dyDescent="0.25">
      <c r="B442" t="s">
        <v>18</v>
      </c>
      <c r="C442">
        <f t="shared" si="161"/>
        <v>0.36280000000000001</v>
      </c>
      <c r="D442">
        <f t="shared" si="162"/>
        <v>0.1928</v>
      </c>
      <c r="E442">
        <f t="shared" si="163"/>
        <v>-0.44033272161194231</v>
      </c>
      <c r="F442">
        <f t="shared" si="159"/>
        <v>-0.714892970433188</v>
      </c>
      <c r="H442" s="80">
        <f t="shared" si="160"/>
        <v>1.8817427385892116</v>
      </c>
      <c r="L442" s="80">
        <f>'Tooth measurements raw data'!U135</f>
        <v>4.6381158999999998E-3</v>
      </c>
      <c r="M442">
        <f t="shared" si="164"/>
        <v>4.6381159000000002E-6</v>
      </c>
      <c r="N442">
        <f t="shared" si="165"/>
        <v>-5.333658403153497</v>
      </c>
      <c r="P442">
        <v>0.37</v>
      </c>
      <c r="Q442">
        <v>57.73</v>
      </c>
    </row>
    <row r="443" spans="2:17" x14ac:dyDescent="0.25">
      <c r="B443" t="s">
        <v>20</v>
      </c>
      <c r="C443">
        <f t="shared" si="161"/>
        <v>0.63280000000000003</v>
      </c>
      <c r="D443">
        <f t="shared" si="162"/>
        <v>0.32279999999999998</v>
      </c>
      <c r="E443">
        <f t="shared" si="163"/>
        <v>-0.19873352951037984</v>
      </c>
      <c r="F443">
        <f t="shared" si="159"/>
        <v>-0.49106647394996722</v>
      </c>
      <c r="H443" s="80">
        <f t="shared" si="160"/>
        <v>1.9603469640644364</v>
      </c>
      <c r="L443" s="80">
        <f>'Tooth measurements raw data'!U137</f>
        <v>2.0087839999999999E-2</v>
      </c>
      <c r="M443">
        <f t="shared" si="164"/>
        <v>2.008784E-5</v>
      </c>
      <c r="N443">
        <f t="shared" si="165"/>
        <v>-4.6970667594445681</v>
      </c>
      <c r="P443">
        <v>0.37</v>
      </c>
      <c r="Q443">
        <v>57.73</v>
      </c>
    </row>
    <row r="444" spans="2:17" x14ac:dyDescent="0.25">
      <c r="B444" t="s">
        <v>21</v>
      </c>
      <c r="C444">
        <f t="shared" si="161"/>
        <v>0.95279999999999998</v>
      </c>
      <c r="D444">
        <f t="shared" si="162"/>
        <v>0.56279999999999997</v>
      </c>
      <c r="E444">
        <f t="shared" si="163"/>
        <v>-2.099825152527892E-2</v>
      </c>
      <c r="F444">
        <f t="shared" si="159"/>
        <v>-0.24964591123729193</v>
      </c>
      <c r="H444" s="80">
        <f t="shared" si="160"/>
        <v>1.6929637526652452</v>
      </c>
      <c r="L444" s="80">
        <f>'Tooth measurements raw data'!U139</f>
        <v>4.8908129000000002E-2</v>
      </c>
      <c r="M444">
        <f t="shared" si="164"/>
        <v>4.8908129E-5</v>
      </c>
      <c r="N444">
        <f t="shared" si="165"/>
        <v>-4.3106189509697206</v>
      </c>
      <c r="P444">
        <v>0.37</v>
      </c>
      <c r="Q444">
        <v>57.73</v>
      </c>
    </row>
    <row r="445" spans="2:17" x14ac:dyDescent="0.25">
      <c r="B445" s="45" t="s">
        <v>22</v>
      </c>
      <c r="C445">
        <f t="shared" si="161"/>
        <v>0.17280000000000001</v>
      </c>
      <c r="D445">
        <f t="shared" si="162"/>
        <v>0.17280000000000001</v>
      </c>
      <c r="E445">
        <f t="shared" si="163"/>
        <v>-0.76245626185712545</v>
      </c>
      <c r="F445">
        <f t="shared" si="159"/>
        <v>-0.76245626185712545</v>
      </c>
      <c r="H445" s="80">
        <f t="shared" si="160"/>
        <v>1</v>
      </c>
      <c r="L445" s="80">
        <f>'Tooth measurements raw data'!U141</f>
        <v>6.7172711999999996E-4</v>
      </c>
      <c r="M445">
        <f t="shared" si="164"/>
        <v>6.7172711999999998E-7</v>
      </c>
      <c r="N445">
        <f t="shared" si="165"/>
        <v>-6.1728071173428365</v>
      </c>
      <c r="P445">
        <v>0.37</v>
      </c>
      <c r="Q445">
        <v>57.73</v>
      </c>
    </row>
    <row r="446" spans="2:17" x14ac:dyDescent="0.25">
      <c r="B446" t="s">
        <v>23</v>
      </c>
      <c r="C446">
        <f t="shared" si="161"/>
        <v>0.95279999999999998</v>
      </c>
      <c r="D446">
        <f t="shared" si="162"/>
        <v>0.45279999999999998</v>
      </c>
      <c r="E446">
        <f t="shared" si="163"/>
        <v>-2.099825152527892E-2</v>
      </c>
      <c r="F446">
        <f t="shared" si="159"/>
        <v>-0.344093581819785</v>
      </c>
      <c r="H446" s="80">
        <f t="shared" si="160"/>
        <v>2.1042402826855122</v>
      </c>
      <c r="L446" s="80">
        <f>'Tooth measurements raw data'!U143</f>
        <v>2.7732733999999998E-2</v>
      </c>
      <c r="M446">
        <f t="shared" si="164"/>
        <v>2.7732733999999999E-5</v>
      </c>
      <c r="N446">
        <f t="shared" si="165"/>
        <v>-4.5570073138846601</v>
      </c>
      <c r="P446">
        <v>0.37</v>
      </c>
      <c r="Q446">
        <v>57.73</v>
      </c>
    </row>
    <row r="447" spans="2:17" x14ac:dyDescent="0.25">
      <c r="B447" t="s">
        <v>24</v>
      </c>
      <c r="C447">
        <f t="shared" si="161"/>
        <v>0.1628</v>
      </c>
      <c r="D447">
        <f t="shared" si="162"/>
        <v>0.1628</v>
      </c>
      <c r="E447">
        <f t="shared" si="163"/>
        <v>-0.78834559944681759</v>
      </c>
      <c r="F447">
        <f t="shared" si="159"/>
        <v>-0.78834559944681759</v>
      </c>
      <c r="H447" s="80">
        <f t="shared" si="160"/>
        <v>1</v>
      </c>
      <c r="L447" s="80">
        <f>'Tooth measurements raw data'!U145</f>
        <v>1.1515322000000001E-3</v>
      </c>
      <c r="M447">
        <f t="shared" si="164"/>
        <v>1.1515322E-6</v>
      </c>
      <c r="N447">
        <f t="shared" si="165"/>
        <v>-5.9387239134645817</v>
      </c>
      <c r="P447">
        <v>0.37</v>
      </c>
      <c r="Q447">
        <v>57.73</v>
      </c>
    </row>
    <row r="448" spans="2:17" x14ac:dyDescent="0.25">
      <c r="B448" t="s">
        <v>25</v>
      </c>
      <c r="C448">
        <f t="shared" si="161"/>
        <v>0.7228</v>
      </c>
      <c r="D448">
        <f t="shared" si="162"/>
        <v>0.46279999999999999</v>
      </c>
      <c r="E448">
        <f t="shared" si="163"/>
        <v>-0.14098185611110575</v>
      </c>
      <c r="F448">
        <f t="shared" si="159"/>
        <v>-0.33460664972028809</v>
      </c>
      <c r="H448" s="80">
        <f t="shared" si="160"/>
        <v>1.5617977528089888</v>
      </c>
      <c r="L448" s="80">
        <f>'Tooth measurements raw data'!U147</f>
        <v>3.0099772E-2</v>
      </c>
      <c r="M448">
        <f t="shared" si="164"/>
        <v>3.0099771999999999E-5</v>
      </c>
      <c r="N448">
        <f t="shared" si="165"/>
        <v>-4.5214367940911036</v>
      </c>
      <c r="P448">
        <v>0.37</v>
      </c>
      <c r="Q448">
        <v>57.73</v>
      </c>
    </row>
    <row r="449" spans="2:17" x14ac:dyDescent="0.25">
      <c r="B449" t="s">
        <v>26</v>
      </c>
      <c r="C449">
        <f t="shared" si="161"/>
        <v>0.45279999999999998</v>
      </c>
      <c r="D449">
        <f t="shared" si="162"/>
        <v>0.2828</v>
      </c>
      <c r="E449">
        <f t="shared" si="163"/>
        <v>-0.344093581819785</v>
      </c>
      <c r="F449">
        <f t="shared" si="159"/>
        <v>-0.54852059487513816</v>
      </c>
      <c r="H449" s="80">
        <f t="shared" si="160"/>
        <v>1.6011315417256011</v>
      </c>
      <c r="L449" s="80">
        <f>'Tooth measurements raw data'!U149</f>
        <v>1.1643270000000001E-2</v>
      </c>
      <c r="M449">
        <f t="shared" si="164"/>
        <v>1.164327E-5</v>
      </c>
      <c r="N449">
        <f t="shared" si="165"/>
        <v>-4.9339250314117029</v>
      </c>
      <c r="P449">
        <v>0.37</v>
      </c>
      <c r="Q449">
        <v>57.73</v>
      </c>
    </row>
    <row r="450" spans="2:17" x14ac:dyDescent="0.25">
      <c r="B450" t="s">
        <v>27</v>
      </c>
      <c r="C450">
        <f t="shared" si="161"/>
        <v>1.6128</v>
      </c>
      <c r="D450">
        <f t="shared" si="162"/>
        <v>0.92279999999999995</v>
      </c>
      <c r="E450">
        <f t="shared" si="163"/>
        <v>0.20758051476543127</v>
      </c>
      <c r="F450">
        <f t="shared" si="159"/>
        <v>-3.4892414150944157E-2</v>
      </c>
      <c r="H450" s="80">
        <f t="shared" si="160"/>
        <v>1.7477243172951886</v>
      </c>
      <c r="L450" s="80">
        <f>'Tooth measurements raw data'!U151</f>
        <v>0.14973117</v>
      </c>
      <c r="M450">
        <f t="shared" si="164"/>
        <v>1.4973117000000001E-4</v>
      </c>
      <c r="N450">
        <f t="shared" si="165"/>
        <v>-3.8246877818220253</v>
      </c>
      <c r="P450">
        <v>0.37</v>
      </c>
      <c r="Q450">
        <v>57.73</v>
      </c>
    </row>
    <row r="451" spans="2:17" x14ac:dyDescent="0.25">
      <c r="B451" t="s">
        <v>29</v>
      </c>
      <c r="C451">
        <f t="shared" si="161"/>
        <v>0.80279999999999996</v>
      </c>
      <c r="D451">
        <f t="shared" si="162"/>
        <v>0.45279999999999998</v>
      </c>
      <c r="E451">
        <f t="shared" si="163"/>
        <v>-9.5392636184552085E-2</v>
      </c>
      <c r="F451">
        <f t="shared" si="159"/>
        <v>-0.344093581819785</v>
      </c>
      <c r="H451" s="80">
        <f t="shared" si="160"/>
        <v>1.7729681978798586</v>
      </c>
      <c r="L451" s="80">
        <f>'Tooth measurements raw data'!U153</f>
        <v>3.4258083000000002E-2</v>
      </c>
      <c r="M451">
        <f t="shared" si="164"/>
        <v>3.4258083000000003E-5</v>
      </c>
      <c r="N451">
        <f t="shared" si="165"/>
        <v>-4.4652369427661567</v>
      </c>
      <c r="P451">
        <v>0.37</v>
      </c>
      <c r="Q451">
        <v>57.73</v>
      </c>
    </row>
    <row r="452" spans="2:17" x14ac:dyDescent="0.25">
      <c r="B452" t="s">
        <v>30</v>
      </c>
      <c r="C452">
        <f t="shared" si="161"/>
        <v>1.6928000000000001</v>
      </c>
      <c r="D452">
        <f t="shared" si="162"/>
        <v>0.83279999999999998</v>
      </c>
      <c r="E452">
        <f t="shared" si="163"/>
        <v>0.22860565035509176</v>
      </c>
      <c r="F452">
        <f t="shared" si="159"/>
        <v>-7.9459283497520267E-2</v>
      </c>
      <c r="H452" s="80">
        <f t="shared" si="160"/>
        <v>2.0326609029779061</v>
      </c>
      <c r="L452" s="80">
        <f>'Tooth measurements raw data'!U155</f>
        <v>0.17042676000000001</v>
      </c>
      <c r="M452">
        <f t="shared" si="164"/>
        <v>1.7042676000000002E-4</v>
      </c>
      <c r="N452">
        <f t="shared" si="165"/>
        <v>-3.7684622123399718</v>
      </c>
      <c r="P452">
        <v>0.37</v>
      </c>
      <c r="Q452">
        <v>57.73</v>
      </c>
    </row>
    <row r="453" spans="2:17" x14ac:dyDescent="0.25">
      <c r="B453" t="s">
        <v>31</v>
      </c>
      <c r="C453">
        <f t="shared" si="161"/>
        <v>0.30280000000000001</v>
      </c>
      <c r="D453">
        <f t="shared" si="162"/>
        <v>0.23280000000000001</v>
      </c>
      <c r="E453">
        <f t="shared" si="163"/>
        <v>-0.51884412917196487</v>
      </c>
      <c r="F453">
        <f t="shared" si="159"/>
        <v>-0.6330170240221491</v>
      </c>
      <c r="H453" s="80">
        <f t="shared" si="160"/>
        <v>1.3006872852233677</v>
      </c>
      <c r="L453" s="80">
        <f>'Tooth measurements raw data'!U157</f>
        <v>4.1263239000000002E-3</v>
      </c>
      <c r="M453">
        <f t="shared" si="164"/>
        <v>4.1263239000000005E-6</v>
      </c>
      <c r="N453">
        <f t="shared" si="165"/>
        <v>-5.3844366846368361</v>
      </c>
      <c r="P453">
        <v>0.37</v>
      </c>
      <c r="Q453">
        <v>57.73</v>
      </c>
    </row>
    <row r="454" spans="2:17" x14ac:dyDescent="0.25">
      <c r="B454" t="s">
        <v>32</v>
      </c>
      <c r="C454">
        <f t="shared" si="161"/>
        <v>0.84279999999999999</v>
      </c>
      <c r="D454">
        <f t="shared" si="162"/>
        <v>0.53280000000000005</v>
      </c>
      <c r="E454">
        <f t="shared" si="163"/>
        <v>-7.4275473063937419E-2</v>
      </c>
      <c r="F454">
        <f t="shared" si="159"/>
        <v>-0.2734357838377553</v>
      </c>
      <c r="H454" s="80">
        <f t="shared" si="160"/>
        <v>1.5818318318318316</v>
      </c>
      <c r="L454" s="80">
        <f>'Tooth measurements raw data'!U159</f>
        <v>9.6824661000000006E-2</v>
      </c>
      <c r="M454">
        <f t="shared" si="164"/>
        <v>9.6824661000000008E-5</v>
      </c>
      <c r="N454">
        <f t="shared" si="165"/>
        <v>-4.0140140148798302</v>
      </c>
      <c r="P454">
        <v>0.37</v>
      </c>
      <c r="Q454">
        <v>57.73</v>
      </c>
    </row>
    <row r="455" spans="2:17" x14ac:dyDescent="0.25">
      <c r="B455" t="s">
        <v>72</v>
      </c>
      <c r="C455">
        <f t="shared" si="161"/>
        <v>0.15279999999999999</v>
      </c>
      <c r="D455">
        <f t="shared" si="162"/>
        <v>0.15279999999999999</v>
      </c>
      <c r="E455">
        <f t="shared" si="163"/>
        <v>-0.81587664576032892</v>
      </c>
      <c r="F455">
        <f t="shared" si="159"/>
        <v>-0.81587664576032892</v>
      </c>
      <c r="H455" s="80">
        <f t="shared" si="160"/>
        <v>1</v>
      </c>
      <c r="L455" s="80">
        <f>'Tooth measurements raw data'!U161</f>
        <v>1.1515322000000001E-3</v>
      </c>
      <c r="M455">
        <f t="shared" si="164"/>
        <v>1.1515322E-6</v>
      </c>
      <c r="N455">
        <f t="shared" si="165"/>
        <v>-5.9387239134645817</v>
      </c>
      <c r="P455">
        <v>0.37</v>
      </c>
      <c r="Q455">
        <v>57.73</v>
      </c>
    </row>
    <row r="456" spans="2:17" x14ac:dyDescent="0.25">
      <c r="B456" t="s">
        <v>73</v>
      </c>
      <c r="C456">
        <f t="shared" si="161"/>
        <v>0.68279999999999996</v>
      </c>
      <c r="D456">
        <f t="shared" si="162"/>
        <v>0.43280000000000002</v>
      </c>
      <c r="E456">
        <f t="shared" si="163"/>
        <v>-0.16570648755730402</v>
      </c>
      <c r="F456">
        <f t="shared" si="159"/>
        <v>-0.36371274790148694</v>
      </c>
      <c r="H456" s="80">
        <f t="shared" si="160"/>
        <v>1.5776340110905729</v>
      </c>
      <c r="L456" s="80">
        <f>'Tooth measurements raw data'!U163</f>
        <v>5.9783712000000003E-2</v>
      </c>
      <c r="M456">
        <f t="shared" si="164"/>
        <v>5.9783712000000001E-5</v>
      </c>
      <c r="N456">
        <f t="shared" si="165"/>
        <v>-4.2234171229021626</v>
      </c>
      <c r="P456">
        <v>0.37</v>
      </c>
      <c r="Q456">
        <v>57.73</v>
      </c>
    </row>
    <row r="457" spans="2:17" x14ac:dyDescent="0.25">
      <c r="B457" t="s">
        <v>74</v>
      </c>
      <c r="C457">
        <f t="shared" si="161"/>
        <v>0.11280000000000001</v>
      </c>
      <c r="D457">
        <f t="shared" si="162"/>
        <v>0.11280000000000001</v>
      </c>
      <c r="E457">
        <f t="shared" si="163"/>
        <v>-0.94769090035267645</v>
      </c>
      <c r="F457">
        <f t="shared" si="159"/>
        <v>-0.94769090035267645</v>
      </c>
      <c r="H457" s="80">
        <f t="shared" si="160"/>
        <v>1</v>
      </c>
      <c r="L457" s="80">
        <f>'Tooth measurements raw data'!U165</f>
        <v>8.3166214999999999E-4</v>
      </c>
      <c r="M457">
        <f t="shared" si="164"/>
        <v>8.3166215000000004E-7</v>
      </c>
      <c r="N457">
        <f t="shared" si="165"/>
        <v>-6.0800530633599372</v>
      </c>
      <c r="P457">
        <v>0.37</v>
      </c>
      <c r="Q457">
        <v>57.73</v>
      </c>
    </row>
    <row r="458" spans="2:17" x14ac:dyDescent="0.25">
      <c r="B458" t="s">
        <v>75</v>
      </c>
      <c r="C458">
        <f t="shared" si="161"/>
        <v>0.42280000000000001</v>
      </c>
      <c r="D458">
        <f t="shared" si="162"/>
        <v>0.30280000000000001</v>
      </c>
      <c r="E458">
        <f t="shared" si="163"/>
        <v>-0.37386502136461131</v>
      </c>
      <c r="F458">
        <f t="shared" si="159"/>
        <v>-0.51884412917196487</v>
      </c>
      <c r="H458" s="80">
        <f t="shared" si="160"/>
        <v>1.3963011889035666</v>
      </c>
      <c r="I458">
        <f>AVERAGE(H420:H458)</f>
        <v>1.6636396786222702</v>
      </c>
      <c r="J458" t="s">
        <v>288</v>
      </c>
      <c r="L458" s="80">
        <f>'Tooth measurements raw data'!U167</f>
        <v>2.1047448999999999E-2</v>
      </c>
      <c r="M458">
        <f t="shared" si="164"/>
        <v>2.1047448999999998E-5</v>
      </c>
      <c r="N458">
        <f t="shared" si="165"/>
        <v>-4.6768005341446912</v>
      </c>
      <c r="P458">
        <v>0.37</v>
      </c>
      <c r="Q458">
        <v>57.73</v>
      </c>
    </row>
    <row r="459" spans="2:17" x14ac:dyDescent="0.25">
      <c r="B459" s="55" t="s">
        <v>285</v>
      </c>
      <c r="C459" s="55">
        <f>BC23</f>
        <v>0.1628</v>
      </c>
      <c r="D459" s="55">
        <f>BD23</f>
        <v>0.1628</v>
      </c>
      <c r="E459" s="55">
        <f t="shared" si="163"/>
        <v>-0.78834559944681759</v>
      </c>
      <c r="F459" s="55">
        <f t="shared" si="159"/>
        <v>-0.78834559944681759</v>
      </c>
      <c r="G459" s="55"/>
      <c r="H459" s="46">
        <f t="shared" si="160"/>
        <v>1</v>
      </c>
      <c r="I459" s="55">
        <f>AVERAGE(H379:H459)</f>
        <v>1.9437953860486454</v>
      </c>
      <c r="J459" s="55" t="s">
        <v>282</v>
      </c>
      <c r="K459" s="55"/>
      <c r="L459" s="46">
        <f>'Tooth measurements raw data'!U113</f>
        <v>1.4074281999999999E-3</v>
      </c>
      <c r="M459" s="55">
        <f t="shared" si="164"/>
        <v>1.4074281999999999E-6</v>
      </c>
      <c r="N459" s="55">
        <f t="shared" si="165"/>
        <v>-5.8515737514600419</v>
      </c>
      <c r="P459">
        <v>0.37</v>
      </c>
      <c r="Q459">
        <v>57.73</v>
      </c>
    </row>
  </sheetData>
  <pageMargins left="0.2" right="0.2" top="0.25" bottom="0" header="0" footer="0"/>
  <pageSetup paperSize="8" scale="10" orientation="portrait" r:id="rId1"/>
  <ignoredErrors>
    <ignoredError sqref="AQ79:AQ93 AJ86:AJ87 AL86:AL87 AN86:AO86 I87 M87 AN87:AO87 M90 G104:I104 M104 BP119:BR119 BV119 BX119 G121:I121 M121 BV102 AP135 BN135 E137 BN151 E153 AQ77:AQ78 BP102:BR10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CA624-5393-456E-8692-B6BE7617A84B}">
  <dimension ref="B2:Q18"/>
  <sheetViews>
    <sheetView workbookViewId="0">
      <selection activeCell="H20" sqref="H20"/>
    </sheetView>
  </sheetViews>
  <sheetFormatPr defaultRowHeight="15" x14ac:dyDescent="0.25"/>
  <sheetData>
    <row r="2" spans="2:17" x14ac:dyDescent="0.25">
      <c r="B2" s="298" t="s">
        <v>220</v>
      </c>
    </row>
    <row r="3" spans="2:17" x14ac:dyDescent="0.25">
      <c r="B3" t="s">
        <v>217</v>
      </c>
      <c r="C3" t="s">
        <v>217</v>
      </c>
      <c r="D3" t="s">
        <v>217</v>
      </c>
      <c r="E3" t="s">
        <v>217</v>
      </c>
      <c r="F3" s="133" t="s">
        <v>217</v>
      </c>
      <c r="G3" t="s">
        <v>218</v>
      </c>
      <c r="H3" t="s">
        <v>218</v>
      </c>
      <c r="I3" t="s">
        <v>218</v>
      </c>
      <c r="J3" t="s">
        <v>218</v>
      </c>
      <c r="K3" t="s">
        <v>218</v>
      </c>
      <c r="L3" s="133"/>
      <c r="M3" t="s">
        <v>219</v>
      </c>
      <c r="N3" t="s">
        <v>219</v>
      </c>
      <c r="O3" t="s">
        <v>219</v>
      </c>
      <c r="P3" t="s">
        <v>219</v>
      </c>
      <c r="Q3" t="s">
        <v>219</v>
      </c>
    </row>
    <row r="4" spans="2:17" x14ac:dyDescent="0.25">
      <c r="C4" t="s">
        <v>827</v>
      </c>
      <c r="H4" t="s">
        <v>827</v>
      </c>
      <c r="N4" t="s">
        <v>827</v>
      </c>
    </row>
    <row r="5" spans="2:17" x14ac:dyDescent="0.25">
      <c r="B5" t="s">
        <v>221</v>
      </c>
      <c r="C5">
        <v>9326</v>
      </c>
      <c r="D5">
        <v>3.5999999999999997E-2</v>
      </c>
      <c r="F5" s="133"/>
      <c r="G5" t="s">
        <v>223</v>
      </c>
      <c r="H5">
        <v>9007</v>
      </c>
      <c r="I5" s="283">
        <v>0.122</v>
      </c>
      <c r="J5">
        <v>8.1000000000000003E-2</v>
      </c>
      <c r="K5">
        <v>7.0000000000000007E-2</v>
      </c>
      <c r="L5" s="133"/>
      <c r="M5" t="s">
        <v>227</v>
      </c>
      <c r="N5">
        <v>7954</v>
      </c>
      <c r="O5">
        <v>0.16600000000000001</v>
      </c>
      <c r="P5">
        <v>0.18</v>
      </c>
      <c r="Q5">
        <v>0.16200000000000001</v>
      </c>
    </row>
    <row r="6" spans="2:17" x14ac:dyDescent="0.25">
      <c r="C6">
        <v>9336</v>
      </c>
      <c r="D6">
        <v>2.4E-2</v>
      </c>
      <c r="E6">
        <v>2.9000000000000001E-2</v>
      </c>
      <c r="F6" s="133"/>
      <c r="G6" t="s">
        <v>224</v>
      </c>
      <c r="H6">
        <v>9021</v>
      </c>
      <c r="I6" s="283">
        <v>0.11600000000000001</v>
      </c>
      <c r="J6">
        <v>7.0999999999999994E-2</v>
      </c>
      <c r="K6">
        <v>0.08</v>
      </c>
      <c r="L6" s="133"/>
      <c r="M6" t="s">
        <v>228</v>
      </c>
      <c r="N6">
        <v>7928</v>
      </c>
      <c r="O6" s="283">
        <v>0.20599999999999999</v>
      </c>
      <c r="P6">
        <v>0.17399999999999999</v>
      </c>
    </row>
    <row r="7" spans="2:17" x14ac:dyDescent="0.25">
      <c r="B7" t="s">
        <v>226</v>
      </c>
      <c r="C7">
        <v>9235</v>
      </c>
      <c r="D7" s="283">
        <v>5.6000000000000001E-2</v>
      </c>
      <c r="E7">
        <v>2.3E-2</v>
      </c>
      <c r="F7" s="133">
        <v>1.7000000000000001E-2</v>
      </c>
      <c r="G7" t="s">
        <v>225</v>
      </c>
      <c r="H7">
        <v>8111</v>
      </c>
      <c r="I7" s="283">
        <v>9.6000000000000002E-2</v>
      </c>
      <c r="J7">
        <v>6.6000000000000003E-2</v>
      </c>
      <c r="K7">
        <v>7.1999999999999995E-2</v>
      </c>
      <c r="L7" s="133">
        <v>7.1999999999999995E-2</v>
      </c>
    </row>
    <row r="9" spans="2:17" x14ac:dyDescent="0.25">
      <c r="B9" s="283" t="s">
        <v>222</v>
      </c>
      <c r="C9" t="s">
        <v>39</v>
      </c>
      <c r="D9" s="65">
        <f>AVERAGE(D5:D7)</f>
        <v>3.8666666666666662E-2</v>
      </c>
      <c r="E9" s="65">
        <f>AVERAGE(E5:E7)</f>
        <v>2.6000000000000002E-2</v>
      </c>
      <c r="F9" s="65">
        <f>AVERAGE(F5:F7)</f>
        <v>1.7000000000000001E-2</v>
      </c>
      <c r="G9" s="65"/>
      <c r="H9" s="65"/>
      <c r="I9" s="65">
        <f>AVERAGE(I5:I7)</f>
        <v>0.11133333333333333</v>
      </c>
      <c r="J9" s="65">
        <f>AVERAGE(J5:J7)</f>
        <v>7.2666666666666671E-2</v>
      </c>
      <c r="K9" s="65">
        <f>AVERAGE(K5:K7)</f>
        <v>7.400000000000001E-2</v>
      </c>
      <c r="L9" s="65">
        <f>AVERAGE(L5:L7)</f>
        <v>7.1999999999999995E-2</v>
      </c>
      <c r="M9" s="65"/>
      <c r="N9" s="65"/>
      <c r="O9" s="65">
        <f>AVERAGE(O5:O7)</f>
        <v>0.186</v>
      </c>
      <c r="P9" s="65">
        <f>AVERAGE(P5:P7)</f>
        <v>0.17699999999999999</v>
      </c>
      <c r="Q9" s="65">
        <f>AVERAGE(Q5:Q7)</f>
        <v>0.16200000000000001</v>
      </c>
    </row>
    <row r="11" spans="2:17" x14ac:dyDescent="0.25">
      <c r="C11" t="s">
        <v>229</v>
      </c>
      <c r="D11" s="226">
        <f>(D9+E9+F9)/3</f>
        <v>2.7222222222222221E-2</v>
      </c>
      <c r="I11" s="226">
        <f>(I9+J9+K9+L9)/4</f>
        <v>8.2500000000000004E-2</v>
      </c>
      <c r="O11" s="226">
        <f>(O9+P9+Q9)/3</f>
        <v>0.17500000000000002</v>
      </c>
    </row>
    <row r="12" spans="2:17" x14ac:dyDescent="0.25">
      <c r="C12" t="s">
        <v>231</v>
      </c>
      <c r="D12" s="226">
        <f>(((D5+D6)/2)+(((E6+E7)/2))+F7)/3</f>
        <v>2.4333333333333335E-2</v>
      </c>
      <c r="I12" s="226">
        <f>(J9+K9+L9)/3</f>
        <v>7.2888888888888892E-2</v>
      </c>
      <c r="O12" s="226">
        <f>(O5+P9+Q9)/3</f>
        <v>0.16833333333333333</v>
      </c>
    </row>
    <row r="13" spans="2:17" x14ac:dyDescent="0.25">
      <c r="C13" s="283" t="s">
        <v>232</v>
      </c>
      <c r="D13" s="283">
        <f>D7</f>
        <v>5.6000000000000001E-2</v>
      </c>
      <c r="I13" s="284">
        <f>(I5+I6+I7)/3</f>
        <v>0.11133333333333333</v>
      </c>
      <c r="O13" s="283">
        <f>O6</f>
        <v>0.20599999999999999</v>
      </c>
    </row>
    <row r="14" spans="2:17" x14ac:dyDescent="0.25">
      <c r="C14" t="s">
        <v>230</v>
      </c>
      <c r="D14" s="65">
        <f>'Tooth size Developmental st'!$AQ$58</f>
        <v>3.9058536585365848</v>
      </c>
      <c r="E14" s="65">
        <f>'Tooth size Developmental st'!$AR$58</f>
        <v>1.8148780487804876</v>
      </c>
      <c r="F14" t="s">
        <v>233</v>
      </c>
      <c r="I14">
        <f>'Tooth size Developmental st'!C58</f>
        <v>7.8410000000000011</v>
      </c>
      <c r="J14">
        <f>'Tooth size Developmental st'!D58</f>
        <v>2.6004999999999994</v>
      </c>
      <c r="O14" s="65">
        <f>'Tooth size Developmental st'!W59</f>
        <v>31.070937499999999</v>
      </c>
      <c r="P14" s="65">
        <f>'Tooth size Developmental st'!X59</f>
        <v>6.9656249999999993</v>
      </c>
    </row>
    <row r="15" spans="2:17" x14ac:dyDescent="0.25">
      <c r="D15">
        <f>$D$14/$D$12</f>
        <v>160.51453391246238</v>
      </c>
      <c r="E15">
        <f>$E$14/$D$12</f>
        <v>74.58402940193784</v>
      </c>
      <c r="I15">
        <f>I14/I12</f>
        <v>107.57469512195124</v>
      </c>
      <c r="J15">
        <f>J14/I12</f>
        <v>35.677591463414622</v>
      </c>
      <c r="O15">
        <f>O14/O12</f>
        <v>184.57982673267327</v>
      </c>
      <c r="P15">
        <f>P14/O12</f>
        <v>41.379950495049499</v>
      </c>
    </row>
    <row r="16" spans="2:17" x14ac:dyDescent="0.25">
      <c r="D16">
        <f>$D$12/$D$14</f>
        <v>6.2299654469006299E-3</v>
      </c>
      <c r="E16">
        <f>$D$12/$E$14</f>
        <v>1.3407696098194689E-2</v>
      </c>
      <c r="I16">
        <f>I12/I14</f>
        <v>9.2958664569428497E-3</v>
      </c>
      <c r="J16">
        <f>I12/J14</f>
        <v>2.8028797880749436E-2</v>
      </c>
      <c r="O16">
        <f>O12/O14</f>
        <v>5.4177101458021126E-3</v>
      </c>
      <c r="P16">
        <f>O12/P14</f>
        <v>2.4166292806938838E-2</v>
      </c>
    </row>
    <row r="17" spans="5:16" x14ac:dyDescent="0.25">
      <c r="E17">
        <f>((D5+D6+E6)/3)/'Tooth measurements raw data'!$Q$134</f>
        <v>2.3544973544973542E-2</v>
      </c>
      <c r="F17" t="s">
        <v>314</v>
      </c>
      <c r="J17">
        <f>((J5+K5)/2)/'Tooth measurements raw data'!$Q$83</f>
        <v>2.827715355805244E-2</v>
      </c>
      <c r="P17">
        <f>((O5+P5+Q5)/3)/'Tooth measurements raw data'!$Q$222</f>
        <v>3.3137638617090667E-2</v>
      </c>
    </row>
    <row r="18" spans="5:16" x14ac:dyDescent="0.25">
      <c r="E18">
        <f>((E7+F7)/2)/'Tooth measurements raw data'!$Q$107</f>
        <v>9.0090090090090089E-3</v>
      </c>
      <c r="J18">
        <f>((J6+K6)/2)/'Tooth measurements raw data'!$Q$81</f>
        <v>2.9377431906614786E-2</v>
      </c>
      <c r="K18">
        <f>((J7+K7+L7)/3)/'Tooth measurements raw data'!Q38</f>
        <v>2.2580645161290325E-2</v>
      </c>
      <c r="P18">
        <f>P6/'Tooth measurements raw data'!$Q$185</f>
        <v>2.8384991843393145E-2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9FB0F-6248-4032-B533-BA86362CF9BD}">
  <dimension ref="B2:T15"/>
  <sheetViews>
    <sheetView workbookViewId="0">
      <selection activeCell="B4" sqref="B4:M8"/>
    </sheetView>
  </sheetViews>
  <sheetFormatPr defaultRowHeight="15" x14ac:dyDescent="0.25"/>
  <cols>
    <col min="2" max="2" width="30.85546875" customWidth="1"/>
    <col min="3" max="3" width="16.7109375" customWidth="1"/>
    <col min="4" max="4" width="5.5703125" customWidth="1"/>
    <col min="5" max="5" width="5.7109375" customWidth="1"/>
    <col min="6" max="6" width="5.42578125" customWidth="1"/>
    <col min="7" max="7" width="11.42578125" customWidth="1"/>
    <col min="8" max="8" width="16.85546875" customWidth="1"/>
    <col min="9" max="9" width="5.5703125" customWidth="1"/>
    <col min="10" max="10" width="5.7109375" customWidth="1"/>
    <col min="11" max="11" width="5.42578125" customWidth="1"/>
    <col min="12" max="12" width="11.42578125" customWidth="1"/>
    <col min="13" max="14" width="14.7109375"/>
    <col min="18" max="18" width="17.28515625" customWidth="1"/>
    <col min="19" max="19" width="14.7109375"/>
    <col min="20" max="20" width="13.42578125" customWidth="1"/>
  </cols>
  <sheetData>
    <row r="2" spans="2:20" x14ac:dyDescent="0.25">
      <c r="R2" t="s">
        <v>684</v>
      </c>
    </row>
    <row r="3" spans="2:20" ht="15.75" thickBot="1" x14ac:dyDescent="0.3"/>
    <row r="4" spans="2:20" x14ac:dyDescent="0.25">
      <c r="B4" s="396"/>
      <c r="C4" s="400"/>
      <c r="D4" s="401"/>
      <c r="E4" s="401" t="s">
        <v>294</v>
      </c>
      <c r="F4" s="401"/>
      <c r="G4" s="401"/>
      <c r="H4" s="400"/>
      <c r="I4" s="401"/>
      <c r="J4" s="401" t="s">
        <v>299</v>
      </c>
      <c r="K4" s="401"/>
      <c r="L4" s="401"/>
      <c r="M4" s="402"/>
      <c r="R4" s="457"/>
      <c r="S4" s="457" t="s">
        <v>358</v>
      </c>
      <c r="T4" s="457" t="s">
        <v>359</v>
      </c>
    </row>
    <row r="5" spans="2:20" x14ac:dyDescent="0.25">
      <c r="B5" s="397" t="s">
        <v>293</v>
      </c>
      <c r="C5" s="397" t="s">
        <v>301</v>
      </c>
      <c r="D5" s="397" t="s">
        <v>295</v>
      </c>
      <c r="E5" s="397" t="s">
        <v>296</v>
      </c>
      <c r="F5" s="397" t="s">
        <v>297</v>
      </c>
      <c r="G5" s="397" t="s">
        <v>300</v>
      </c>
      <c r="H5" s="397" t="s">
        <v>301</v>
      </c>
      <c r="I5" s="397" t="s">
        <v>295</v>
      </c>
      <c r="J5" s="397" t="s">
        <v>296</v>
      </c>
      <c r="K5" s="397" t="s">
        <v>297</v>
      </c>
      <c r="L5" s="397" t="s">
        <v>300</v>
      </c>
      <c r="M5" s="397" t="s">
        <v>298</v>
      </c>
      <c r="R5" s="455" t="s">
        <v>353</v>
      </c>
      <c r="S5" s="455">
        <v>195.3823953823954</v>
      </c>
      <c r="T5" s="455">
        <v>259.2707537560479</v>
      </c>
    </row>
    <row r="6" spans="2:20" x14ac:dyDescent="0.25">
      <c r="B6" s="393" t="s">
        <v>302</v>
      </c>
      <c r="C6" s="398">
        <v>21</v>
      </c>
      <c r="D6" s="398">
        <v>5</v>
      </c>
      <c r="E6" s="398">
        <v>12</v>
      </c>
      <c r="F6" s="398">
        <v>34</v>
      </c>
      <c r="G6" s="399">
        <f>2.4875/0.021</f>
        <v>118.45238095238093</v>
      </c>
      <c r="H6" s="398">
        <v>14</v>
      </c>
      <c r="I6" s="398">
        <v>4</v>
      </c>
      <c r="J6" s="398">
        <v>8</v>
      </c>
      <c r="K6" s="398">
        <v>21</v>
      </c>
      <c r="L6" s="399">
        <f>2.4875/0.014</f>
        <v>177.67857142857142</v>
      </c>
      <c r="M6" s="399">
        <f>L6-G6</f>
        <v>59.226190476190482</v>
      </c>
      <c r="R6" s="455" t="s">
        <v>327</v>
      </c>
      <c r="S6" s="455">
        <v>4468.2455741708982</v>
      </c>
      <c r="T6" s="455">
        <v>5013.0211068992357</v>
      </c>
    </row>
    <row r="7" spans="2:20" x14ac:dyDescent="0.25">
      <c r="B7" s="393" t="s">
        <v>303</v>
      </c>
      <c r="C7" s="398">
        <v>21</v>
      </c>
      <c r="D7" s="398">
        <v>6</v>
      </c>
      <c r="E7" s="398">
        <v>12</v>
      </c>
      <c r="F7" s="398">
        <v>29</v>
      </c>
      <c r="G7" s="398">
        <f>5.025/0.021</f>
        <v>239.28571428571428</v>
      </c>
      <c r="H7" s="398">
        <v>17.5</v>
      </c>
      <c r="I7" s="398">
        <v>3</v>
      </c>
      <c r="J7" s="398">
        <v>13</v>
      </c>
      <c r="K7" s="398">
        <v>23.5</v>
      </c>
      <c r="L7" s="398">
        <f>5.025/0.017</f>
        <v>295.58823529411762</v>
      </c>
      <c r="M7" s="399">
        <f>L7-G7</f>
        <v>56.302521008403346</v>
      </c>
      <c r="R7" s="455" t="s">
        <v>360</v>
      </c>
      <c r="S7" s="455">
        <v>3</v>
      </c>
      <c r="T7" s="455">
        <v>3</v>
      </c>
    </row>
    <row r="8" spans="2:20" x14ac:dyDescent="0.25">
      <c r="B8" s="393" t="s">
        <v>303</v>
      </c>
      <c r="C8" s="398">
        <v>22</v>
      </c>
      <c r="D8" s="398">
        <v>6</v>
      </c>
      <c r="E8" s="398">
        <v>12</v>
      </c>
      <c r="F8" s="398">
        <v>36</v>
      </c>
      <c r="G8" s="398">
        <f>5.025/0.022</f>
        <v>228.40909090909093</v>
      </c>
      <c r="H8" s="398">
        <v>16.5</v>
      </c>
      <c r="I8" s="398">
        <v>3</v>
      </c>
      <c r="J8" s="398">
        <v>12.5</v>
      </c>
      <c r="K8" s="398">
        <v>21.5</v>
      </c>
      <c r="L8" s="398">
        <f>5.025/0.0165</f>
        <v>304.54545454545456</v>
      </c>
      <c r="M8" s="399">
        <f>L8-G8</f>
        <v>76.136363636363626</v>
      </c>
      <c r="R8" s="455" t="s">
        <v>685</v>
      </c>
      <c r="S8" s="455">
        <v>0.98954283572658708</v>
      </c>
      <c r="T8" s="455"/>
    </row>
    <row r="9" spans="2:20" x14ac:dyDescent="0.25">
      <c r="R9" s="455" t="s">
        <v>361</v>
      </c>
      <c r="S9" s="455">
        <v>0</v>
      </c>
      <c r="T9" s="455"/>
    </row>
    <row r="10" spans="2:20" x14ac:dyDescent="0.25">
      <c r="R10" s="455" t="s">
        <v>331</v>
      </c>
      <c r="S10" s="455">
        <v>2</v>
      </c>
      <c r="T10" s="455"/>
    </row>
    <row r="11" spans="2:20" x14ac:dyDescent="0.25">
      <c r="R11" s="455" t="s">
        <v>362</v>
      </c>
      <c r="S11" s="455">
        <v>-10.334766233498602</v>
      </c>
      <c r="T11" s="455"/>
    </row>
    <row r="12" spans="2:20" x14ac:dyDescent="0.25">
      <c r="R12" s="455" t="s">
        <v>363</v>
      </c>
      <c r="S12" s="455">
        <v>4.6165888731570818E-3</v>
      </c>
      <c r="T12" s="455"/>
    </row>
    <row r="13" spans="2:20" x14ac:dyDescent="0.25">
      <c r="R13" s="455" t="s">
        <v>364</v>
      </c>
      <c r="S13" s="455">
        <v>2.9199855803537269</v>
      </c>
      <c r="T13" s="455"/>
    </row>
    <row r="14" spans="2:20" x14ac:dyDescent="0.25">
      <c r="R14" s="455" t="s">
        <v>365</v>
      </c>
      <c r="S14" s="455">
        <v>9.2331777463141602E-3</v>
      </c>
      <c r="T14" s="455"/>
    </row>
    <row r="15" spans="2:20" ht="15.75" thickBot="1" x14ac:dyDescent="0.3">
      <c r="R15" s="456" t="s">
        <v>366</v>
      </c>
      <c r="S15" s="456">
        <v>4.3026527297494637</v>
      </c>
      <c r="T15" s="45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EBEDD-E230-4000-847D-12D688B8E8F9}">
  <dimension ref="B3:AR387"/>
  <sheetViews>
    <sheetView topLeftCell="A33" zoomScale="140" zoomScaleNormal="140" workbookViewId="0">
      <selection activeCell="J40" sqref="J40"/>
    </sheetView>
  </sheetViews>
  <sheetFormatPr defaultRowHeight="15" x14ac:dyDescent="0.25"/>
  <cols>
    <col min="2" max="2" width="19.42578125" customWidth="1"/>
    <col min="3" max="3" width="12" customWidth="1"/>
    <col min="4" max="4" width="6.7109375" customWidth="1"/>
    <col min="5" max="5" width="6.85546875" customWidth="1"/>
    <col min="6" max="6" width="6.42578125" customWidth="1"/>
    <col min="7" max="7" width="8.5703125" customWidth="1"/>
    <col min="8" max="8" width="11.85546875" customWidth="1"/>
    <col min="11" max="13" width="17" customWidth="1"/>
    <col min="14" max="14" width="17.28515625" customWidth="1"/>
    <col min="15" max="16" width="16.85546875" customWidth="1"/>
    <col min="17" max="17" width="16.5703125" customWidth="1"/>
    <col min="18" max="18" width="18.5703125" customWidth="1"/>
    <col min="19" max="19" width="17.140625" customWidth="1"/>
    <col min="20" max="20" width="18.28515625" customWidth="1"/>
    <col min="21" max="21" width="18" customWidth="1"/>
    <col min="22" max="22" width="18.7109375" customWidth="1"/>
    <col min="23" max="23" width="19" customWidth="1"/>
    <col min="24" max="24" width="18.42578125" customWidth="1"/>
    <col min="25" max="25" width="19.28515625" customWidth="1"/>
    <col min="26" max="26" width="18.42578125" customWidth="1"/>
    <col min="27" max="27" width="17.5703125" customWidth="1"/>
    <col min="28" max="28" width="18.42578125" customWidth="1"/>
    <col min="29" max="29" width="18.5703125" customWidth="1"/>
    <col min="30" max="30" width="17.7109375" customWidth="1"/>
    <col min="31" max="32" width="17.5703125" customWidth="1"/>
    <col min="33" max="33" width="17.140625" customWidth="1"/>
  </cols>
  <sheetData>
    <row r="3" spans="2:44" ht="30" x14ac:dyDescent="0.25">
      <c r="B3" s="390" t="s">
        <v>311</v>
      </c>
      <c r="C3" s="391" t="s">
        <v>301</v>
      </c>
      <c r="D3" s="392" t="s">
        <v>295</v>
      </c>
      <c r="E3" s="392" t="s">
        <v>296</v>
      </c>
      <c r="F3" s="392" t="s">
        <v>297</v>
      </c>
      <c r="G3" s="392" t="s">
        <v>309</v>
      </c>
      <c r="H3" s="392" t="s">
        <v>300</v>
      </c>
    </row>
    <row r="4" spans="2:44" ht="15.75" thickBot="1" x14ac:dyDescent="0.3">
      <c r="B4" s="387" t="s">
        <v>310</v>
      </c>
      <c r="C4" s="393">
        <v>16</v>
      </c>
      <c r="D4" s="393">
        <v>4</v>
      </c>
      <c r="E4" s="393">
        <v>10</v>
      </c>
      <c r="F4" s="393">
        <v>30</v>
      </c>
      <c r="G4" s="394"/>
      <c r="H4" s="393">
        <f>5.025/0.016</f>
        <v>314.0625</v>
      </c>
      <c r="L4" t="s">
        <v>709</v>
      </c>
      <c r="V4" t="s">
        <v>720</v>
      </c>
      <c r="Y4" t="s">
        <v>721</v>
      </c>
      <c r="Z4">
        <v>0.05</v>
      </c>
      <c r="AC4" t="s">
        <v>735</v>
      </c>
      <c r="AF4" s="42">
        <v>17</v>
      </c>
    </row>
    <row r="5" spans="2:44" ht="16.5" thickTop="1" thickBot="1" x14ac:dyDescent="0.3">
      <c r="B5" s="386"/>
      <c r="C5" s="393">
        <v>16</v>
      </c>
      <c r="D5" s="393">
        <v>3</v>
      </c>
      <c r="E5" s="393">
        <v>9</v>
      </c>
      <c r="F5" s="393">
        <v>30</v>
      </c>
      <c r="G5" s="395"/>
      <c r="H5" s="393">
        <f>5.025/0.016</f>
        <v>314.0625</v>
      </c>
      <c r="V5" s="602" t="s">
        <v>722</v>
      </c>
      <c r="W5" s="602" t="s">
        <v>317</v>
      </c>
      <c r="X5" s="602" t="s">
        <v>723</v>
      </c>
      <c r="Y5" s="602" t="s">
        <v>724</v>
      </c>
      <c r="Z5" s="602" t="s">
        <v>331</v>
      </c>
      <c r="AA5" s="602" t="s">
        <v>725</v>
      </c>
      <c r="AF5" s="42">
        <v>18</v>
      </c>
    </row>
    <row r="6" spans="2:44" ht="16.5" thickTop="1" thickBot="1" x14ac:dyDescent="0.3">
      <c r="B6" s="386"/>
      <c r="C6" s="393">
        <v>17</v>
      </c>
      <c r="D6" s="393">
        <v>3</v>
      </c>
      <c r="E6" s="393">
        <v>10</v>
      </c>
      <c r="F6" s="393">
        <v>24</v>
      </c>
      <c r="G6" s="395"/>
      <c r="H6" s="393">
        <f>5.025/0.017</f>
        <v>295.58823529411762</v>
      </c>
      <c r="L6" t="s">
        <v>710</v>
      </c>
      <c r="Q6" t="s">
        <v>711</v>
      </c>
      <c r="R6">
        <v>0.05</v>
      </c>
      <c r="V6" t="str">
        <f>Q39</f>
        <v>CA Apex</v>
      </c>
      <c r="W6">
        <f>AVERAGE(Q40:Q387)</f>
        <v>1.5604651162790696E-2</v>
      </c>
      <c r="X6">
        <f>COUNT(Q40:Q387)</f>
        <v>86</v>
      </c>
      <c r="Y6">
        <f>DEVSQ(Q40:Q387)</f>
        <v>1.1405581395348835E-3</v>
      </c>
      <c r="AC6" s="602" t="s">
        <v>727</v>
      </c>
      <c r="AD6" s="602" t="s">
        <v>728</v>
      </c>
      <c r="AE6" s="602" t="s">
        <v>244</v>
      </c>
      <c r="AF6" s="603" t="s">
        <v>317</v>
      </c>
    </row>
    <row r="7" spans="2:44" ht="15.75" thickTop="1" x14ac:dyDescent="0.25">
      <c r="B7" s="386" t="s">
        <v>305</v>
      </c>
      <c r="C7" s="393">
        <v>17</v>
      </c>
      <c r="D7" s="393">
        <v>3</v>
      </c>
      <c r="E7" s="393">
        <v>9</v>
      </c>
      <c r="F7" s="393">
        <v>23</v>
      </c>
      <c r="G7" s="395">
        <v>5.0250000000000004</v>
      </c>
      <c r="H7" s="393">
        <f>5.025/0.017</f>
        <v>295.58823529411762</v>
      </c>
      <c r="L7" s="602" t="s">
        <v>712</v>
      </c>
      <c r="M7" s="602" t="s">
        <v>324</v>
      </c>
      <c r="N7" s="602" t="s">
        <v>325</v>
      </c>
      <c r="O7" s="602" t="s">
        <v>353</v>
      </c>
      <c r="P7" s="602" t="s">
        <v>327</v>
      </c>
      <c r="Q7" s="602" t="s">
        <v>330</v>
      </c>
      <c r="R7" s="602" t="s">
        <v>713</v>
      </c>
      <c r="S7" s="602" t="s">
        <v>714</v>
      </c>
      <c r="T7" s="602" t="s">
        <v>715</v>
      </c>
      <c r="V7" t="str">
        <f>R39</f>
        <v>CA Mid</v>
      </c>
      <c r="W7">
        <f>AVERAGE(R40:R387)</f>
        <v>1.726149425287354E-2</v>
      </c>
      <c r="X7">
        <f>COUNT(R40:R387)</f>
        <v>348</v>
      </c>
      <c r="Y7">
        <f>DEVSQ(R40:R387)</f>
        <v>4.4892040229885148E-3</v>
      </c>
      <c r="AC7" t="str">
        <f>Q39</f>
        <v>CA Apex</v>
      </c>
      <c r="AD7" t="str">
        <f>R39</f>
        <v>CA Mid</v>
      </c>
      <c r="AE7">
        <f>_xlfn.T.TEST(Q40:Q387,R40:R387,2,3)</f>
        <v>2.4831249455177582E-4</v>
      </c>
      <c r="AF7" s="42">
        <f>ABS(AVERAGE(Q40:Q387)-AVERAGE(R40:R387))</f>
        <v>1.6568430900828438E-3</v>
      </c>
    </row>
    <row r="8" spans="2:44" x14ac:dyDescent="0.25">
      <c r="B8" s="386"/>
      <c r="C8" s="393">
        <v>18</v>
      </c>
      <c r="D8" s="393">
        <v>4</v>
      </c>
      <c r="E8" s="393">
        <v>11</v>
      </c>
      <c r="F8" s="393">
        <v>30</v>
      </c>
      <c r="G8" s="395"/>
      <c r="H8" s="393">
        <f>5.025/0.018</f>
        <v>279.16666666666669</v>
      </c>
      <c r="L8" t="str">
        <f>Q39</f>
        <v>CA Apex</v>
      </c>
      <c r="M8">
        <f>COUNT(Q40:Q387)</f>
        <v>86</v>
      </c>
      <c r="N8">
        <f>SUM(Q40:Q387)</f>
        <v>1.3419999999999999</v>
      </c>
      <c r="O8">
        <f>AVERAGE(Q40:Q387)</f>
        <v>1.5604651162790696E-2</v>
      </c>
      <c r="P8">
        <f>_xlfn.VAR.S(Q40:Q387)</f>
        <v>1.3418331053351571E-5</v>
      </c>
      <c r="Q8">
        <f>DEVSQ(Q40:Q387)</f>
        <v>1.1405581395348835E-3</v>
      </c>
      <c r="R8">
        <f>SQRT(O15/M8)</f>
        <v>3.8508752589626219E-4</v>
      </c>
      <c r="S8">
        <f>O8-R8*_xlfn.T.INV.2T(R6,N15)</f>
        <v>1.4847957256257437E-2</v>
      </c>
      <c r="T8">
        <f>O8+R8*_xlfn.T.INV.2T(R6,N15)</f>
        <v>1.6361345069323956E-2</v>
      </c>
      <c r="V8" t="str">
        <f>S39</f>
        <v>CA Base</v>
      </c>
      <c r="W8">
        <f>AVERAGE(S40:S387)</f>
        <v>1.7190476190476197E-2</v>
      </c>
      <c r="X8">
        <f>COUNT(S40:S387)</f>
        <v>42</v>
      </c>
      <c r="Y8">
        <f>DEVSQ(S40:S387)</f>
        <v>4.0247619047619029E-4</v>
      </c>
      <c r="AC8" t="str">
        <f>Q39</f>
        <v>CA Apex</v>
      </c>
      <c r="AD8" t="str">
        <f>S39</f>
        <v>CA Base</v>
      </c>
      <c r="AE8">
        <f>_xlfn.T.TEST(Q40:Q387,S40:S387,2,3)</f>
        <v>1.2722750210076234E-2</v>
      </c>
      <c r="AF8" s="42">
        <f>ABS(AVERAGE(Q40:Q387)-AVERAGE(S40:S387))</f>
        <v>1.5858250276855005E-3</v>
      </c>
    </row>
    <row r="9" spans="2:44" x14ac:dyDescent="0.25">
      <c r="B9" s="386"/>
      <c r="C9" s="393">
        <v>18</v>
      </c>
      <c r="D9" s="393">
        <v>4</v>
      </c>
      <c r="E9" s="393">
        <v>11</v>
      </c>
      <c r="F9" s="393">
        <v>30</v>
      </c>
      <c r="G9" s="395"/>
      <c r="H9" s="393">
        <f>5.025/0.018</f>
        <v>279.16666666666669</v>
      </c>
      <c r="L9" t="str">
        <f>R39</f>
        <v>CA Mid</v>
      </c>
      <c r="M9">
        <f>COUNT(R40:R387)</f>
        <v>348</v>
      </c>
      <c r="N9">
        <f>SUM(R40:R387)</f>
        <v>6.0069999999999917</v>
      </c>
      <c r="O9">
        <f>AVERAGE(R40:R387)</f>
        <v>1.726149425287354E-2</v>
      </c>
      <c r="P9">
        <f>_xlfn.VAR.S(R40:R387)</f>
        <v>1.2937187386134048E-5</v>
      </c>
      <c r="Q9">
        <f>DEVSQ(R40:R387)</f>
        <v>4.4892040229885148E-3</v>
      </c>
      <c r="R9">
        <f>SQRT(O15/M9)</f>
        <v>1.9143399138226558E-4</v>
      </c>
      <c r="S9">
        <f>O9-R9*_xlfn.T.INV.2T(R6,N15)</f>
        <v>1.6885327991852342E-2</v>
      </c>
      <c r="T9">
        <f>O9+R9*_xlfn.T.INV.2T(R6,N15)</f>
        <v>1.7637660513894739E-2</v>
      </c>
      <c r="V9" s="55"/>
      <c r="W9" s="55"/>
      <c r="X9" s="55">
        <f>SUM(X6:X8)</f>
        <v>476</v>
      </c>
      <c r="Y9" s="55">
        <f>SUM(Y6:Y8)</f>
        <v>6.0322383529995884E-3</v>
      </c>
      <c r="Z9" s="55">
        <f>X9-COUNT(X6:X8)</f>
        <v>473</v>
      </c>
      <c r="AA9" s="55">
        <f>[1]!QCRIT(COUNT(X6:X8),Z9,Z4,2)</f>
        <v>3.3246553911205075</v>
      </c>
      <c r="AC9" s="105" t="str">
        <f>R39</f>
        <v>CA Mid</v>
      </c>
      <c r="AD9" s="105" t="str">
        <f>S39</f>
        <v>CA Base</v>
      </c>
      <c r="AE9" s="105">
        <f>_xlfn.T.TEST(R40:R387,S40:S387,2,3)</f>
        <v>0.89196719242234113</v>
      </c>
      <c r="AF9" s="109">
        <f>ABS(AVERAGE(R40:R387)-AVERAGE(S40:S387))</f>
        <v>7.1018062397343318E-5</v>
      </c>
    </row>
    <row r="10" spans="2:44" ht="15.75" thickBot="1" x14ac:dyDescent="0.3">
      <c r="B10" s="389"/>
      <c r="C10" s="393">
        <v>17</v>
      </c>
      <c r="D10" s="393">
        <v>4</v>
      </c>
      <c r="E10" s="393">
        <v>7</v>
      </c>
      <c r="F10" s="393">
        <v>29</v>
      </c>
      <c r="G10" s="395"/>
      <c r="H10" s="393">
        <f>5.025/0.017</f>
        <v>295.58823529411762</v>
      </c>
      <c r="L10" t="str">
        <f>S39</f>
        <v>CA Base</v>
      </c>
      <c r="M10">
        <f>COUNT(S40:S387)</f>
        <v>42</v>
      </c>
      <c r="N10">
        <f>SUM(S40:S387)</f>
        <v>0.72200000000000031</v>
      </c>
      <c r="O10">
        <f>AVERAGE(S40:S387)</f>
        <v>1.7190476190476197E-2</v>
      </c>
      <c r="P10">
        <f>_xlfn.VAR.S(S40:S387)</f>
        <v>9.8164924506387885E-6</v>
      </c>
      <c r="Q10">
        <f>DEVSQ(S40:S387)</f>
        <v>4.0247619047619029E-4</v>
      </c>
      <c r="R10">
        <f>SQRT(O15/M10)</f>
        <v>5.5104114926455736E-4</v>
      </c>
      <c r="S10">
        <f>O10-R10*_xlfn.T.INV.2T(R6,N15)</f>
        <v>1.6107684742149974E-2</v>
      </c>
      <c r="T10">
        <f>O10+R10*_xlfn.T.INV.2T(R6,N15)</f>
        <v>1.827326763880242E-2</v>
      </c>
      <c r="V10" t="s">
        <v>726</v>
      </c>
    </row>
    <row r="11" spans="2:44" ht="15.75" thickTop="1" x14ac:dyDescent="0.25">
      <c r="B11" s="389" t="s">
        <v>312</v>
      </c>
      <c r="C11" s="393">
        <v>17</v>
      </c>
      <c r="D11" s="393">
        <v>3</v>
      </c>
      <c r="E11" s="393">
        <v>10</v>
      </c>
      <c r="F11" s="393">
        <v>27</v>
      </c>
      <c r="G11" s="388"/>
      <c r="H11" s="393">
        <f>5.025/0.017</f>
        <v>295.58823529411762</v>
      </c>
      <c r="L11" s="55"/>
      <c r="M11" s="55"/>
      <c r="N11" s="55"/>
      <c r="O11" s="55"/>
      <c r="P11" s="55"/>
      <c r="Q11" s="55"/>
      <c r="R11" s="55"/>
      <c r="S11" s="55"/>
      <c r="T11" s="55"/>
      <c r="V11" s="602" t="s">
        <v>727</v>
      </c>
      <c r="W11" s="602" t="s">
        <v>728</v>
      </c>
      <c r="X11" s="602" t="s">
        <v>317</v>
      </c>
      <c r="Y11" s="602" t="s">
        <v>729</v>
      </c>
      <c r="Z11" s="602" t="s">
        <v>730</v>
      </c>
      <c r="AA11" s="602" t="s">
        <v>731</v>
      </c>
      <c r="AB11" s="602" t="s">
        <v>732</v>
      </c>
      <c r="AC11" s="602" t="s">
        <v>244</v>
      </c>
      <c r="AD11" s="602" t="s">
        <v>733</v>
      </c>
      <c r="AE11" s="602" t="s">
        <v>734</v>
      </c>
    </row>
    <row r="12" spans="2:44" ht="15.75" thickBot="1" x14ac:dyDescent="0.3">
      <c r="L12" t="s">
        <v>328</v>
      </c>
      <c r="V12" s="55" t="str">
        <f>V6</f>
        <v>CA Apex</v>
      </c>
      <c r="W12" s="55" t="str">
        <f>V7</f>
        <v>CA Mid</v>
      </c>
      <c r="X12" s="55">
        <f>ABS(W6-W7)</f>
        <v>1.6568430900828438E-3</v>
      </c>
      <c r="Y12" s="55">
        <f>SQRT(Y9/Z9/HARMEAN(X6,X7))</f>
        <v>3.0408828952908538E-4</v>
      </c>
      <c r="Z12" s="55">
        <f>X12/Y12</f>
        <v>5.4485593399490986</v>
      </c>
      <c r="AA12" s="55">
        <f>X12-Y12*AA$9</f>
        <v>6.4585431892335643E-4</v>
      </c>
      <c r="AB12" s="55">
        <f>X12+Y12*AA$9</f>
        <v>2.6678318612423312E-3</v>
      </c>
      <c r="AC12" s="55">
        <f>[1]!QDIST(Z12,COUNT($X$6:$X$8),Z$9)</f>
        <v>3.9024603473125641E-4</v>
      </c>
      <c r="AD12" s="55">
        <f>Y12*AA$9</f>
        <v>1.0109887711594874E-3</v>
      </c>
      <c r="AE12" s="55">
        <f>X12*SQRT(Z$9/Y$9)</f>
        <v>0.46395162956983638</v>
      </c>
    </row>
    <row r="13" spans="2:44" ht="15.75" thickTop="1" x14ac:dyDescent="0.25">
      <c r="L13" s="602" t="s">
        <v>716</v>
      </c>
      <c r="M13" s="602" t="s">
        <v>330</v>
      </c>
      <c r="N13" s="602" t="s">
        <v>331</v>
      </c>
      <c r="O13" s="602" t="s">
        <v>332</v>
      </c>
      <c r="P13" s="602" t="s">
        <v>333</v>
      </c>
      <c r="Q13" s="602" t="s">
        <v>717</v>
      </c>
      <c r="R13" s="602" t="s">
        <v>335</v>
      </c>
      <c r="S13" s="602" t="s">
        <v>718</v>
      </c>
      <c r="T13" s="602" t="s">
        <v>719</v>
      </c>
      <c r="V13" s="43" t="str">
        <f>V6</f>
        <v>CA Apex</v>
      </c>
      <c r="W13" s="43" t="str">
        <f>V8</f>
        <v>CA Base</v>
      </c>
      <c r="X13" s="43">
        <f>ABS(W6-W8)</f>
        <v>1.5858250276855005E-3</v>
      </c>
      <c r="Y13" s="43">
        <f>SQRT(Y9/Z9/HARMEAN(X6,X8))</f>
        <v>4.7536236219525654E-4</v>
      </c>
      <c r="Z13" s="43">
        <f t="shared" ref="Z13:Z14" si="0">X13/Y13</f>
        <v>3.336034052763559</v>
      </c>
      <c r="AA13" s="43">
        <f>X13-Y13*AA$9</f>
        <v>5.4089874772615676E-6</v>
      </c>
      <c r="AB13" s="43">
        <f>X13+Y13*AA$9</f>
        <v>3.1662410678937394E-3</v>
      </c>
      <c r="AC13" s="43">
        <f>[1]!QDIST(Z13,COUNT($X$6:$X$8),Z$9)</f>
        <v>4.9027888500203676E-2</v>
      </c>
      <c r="AD13" s="43">
        <f>Y13*AA$9</f>
        <v>1.5804160402082389E-3</v>
      </c>
      <c r="AE13" s="43">
        <f>X13*SQRT(Z$9/Y$9)</f>
        <v>0.44406504768688193</v>
      </c>
    </row>
    <row r="14" spans="2:44" x14ac:dyDescent="0.25">
      <c r="L14" t="s">
        <v>336</v>
      </c>
      <c r="M14">
        <f>M16-M15</f>
        <v>1.9183517641217611E-4</v>
      </c>
      <c r="N14">
        <f>COUNTA(L8:L10)-1</f>
        <v>2</v>
      </c>
      <c r="O14">
        <f>M14/N14</f>
        <v>9.5917588206088054E-5</v>
      </c>
      <c r="P14">
        <f>O14/O15</f>
        <v>7.5210919341274822</v>
      </c>
      <c r="Q14">
        <f>_xlfn.F.DIST.RT(P14,N14,N15)</f>
        <v>6.0882673455098235E-4</v>
      </c>
      <c r="R14">
        <f>_xlfn.F.INV.RT(R6,N14,N15)</f>
        <v>3.0147860260845278</v>
      </c>
      <c r="S14">
        <f>SQRT(DEVSQ(O8:O10)/(O15*N14))</f>
        <v>0.26231036238796934</v>
      </c>
      <c r="T14">
        <f>(M16-N16*O15)/(M16+O15)</f>
        <v>2.6668832052673175E-2</v>
      </c>
      <c r="V14" s="105" t="str">
        <f>V7</f>
        <v>CA Mid</v>
      </c>
      <c r="W14" s="105" t="str">
        <f>V8</f>
        <v>CA Base</v>
      </c>
      <c r="X14" s="105">
        <f>ABS(W7-W8)</f>
        <v>7.1018062397343318E-5</v>
      </c>
      <c r="Y14" s="105">
        <f>SQRT(Y9/Z9/HARMEAN(X7,X8))</f>
        <v>4.1248837634492774E-4</v>
      </c>
      <c r="Z14" s="105">
        <f t="shared" si="0"/>
        <v>0.1721698512492317</v>
      </c>
      <c r="AA14" s="105">
        <f>X14-Y14*AA$9</f>
        <v>-1.3003636417923655E-3</v>
      </c>
      <c r="AB14" s="105">
        <f>X14+Y14*AA$9</f>
        <v>1.4423997665870521E-3</v>
      </c>
      <c r="AC14" s="105">
        <f>[1]!QDIST(Z14,COUNT($X$6:$X$8),Z$9)</f>
        <v>0.99186231806726122</v>
      </c>
      <c r="AD14" s="105">
        <f>Y14*AA$9</f>
        <v>1.3713817041897088E-3</v>
      </c>
      <c r="AE14" s="105">
        <f>X14*SQRT(Z$9/Y$9)</f>
        <v>1.9886581882954453E-2</v>
      </c>
    </row>
    <row r="15" spans="2:44" x14ac:dyDescent="0.25">
      <c r="L15" t="s">
        <v>337</v>
      </c>
      <c r="M15">
        <f>SUM(Q8:Q10)</f>
        <v>6.0322383529995884E-3</v>
      </c>
      <c r="N15">
        <f>N16-N14</f>
        <v>473</v>
      </c>
      <c r="O15">
        <f>M15/N15</f>
        <v>1.2753146623677776E-5</v>
      </c>
    </row>
    <row r="16" spans="2:44" x14ac:dyDescent="0.25">
      <c r="L16" s="105" t="s">
        <v>338</v>
      </c>
      <c r="M16" s="105">
        <f>DEVSQ(Q40:S387)</f>
        <v>6.2240735294117645E-3</v>
      </c>
      <c r="N16" s="105">
        <f>COUNT(Q40:S387)-1</f>
        <v>475</v>
      </c>
      <c r="O16" s="105">
        <f>M16/N16</f>
        <v>1.3103312693498452E-5</v>
      </c>
      <c r="P16" s="105"/>
      <c r="Q16" s="105"/>
      <c r="R16" s="105"/>
      <c r="S16" s="105"/>
      <c r="T16" s="105"/>
      <c r="U16" s="61"/>
      <c r="V16" s="61"/>
      <c r="W16" s="61"/>
      <c r="X16" s="61"/>
      <c r="Y16" s="61"/>
      <c r="Z16" s="61"/>
      <c r="AA16" s="61">
        <v>6.4585431892335643E-4</v>
      </c>
      <c r="AB16" s="61">
        <v>2.6678318612423312E-3</v>
      </c>
      <c r="AC16" s="61">
        <v>3.9024603473125641E-4</v>
      </c>
      <c r="AD16" s="61">
        <v>1.0109887711594874E-3</v>
      </c>
      <c r="AE16" s="61">
        <v>0.46395162956983638</v>
      </c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</row>
    <row r="17" spans="2:44" x14ac:dyDescent="0.25">
      <c r="U17" s="61"/>
      <c r="V17" s="61"/>
      <c r="W17" s="61"/>
      <c r="X17" s="61"/>
      <c r="Y17" s="61"/>
      <c r="Z17" s="61"/>
      <c r="AA17" s="61">
        <v>5.4089874772615676E-6</v>
      </c>
      <c r="AB17" s="61">
        <v>3.1662410678937394E-3</v>
      </c>
      <c r="AC17" s="61">
        <v>4.9027888500203676E-2</v>
      </c>
      <c r="AD17" s="61">
        <v>1.5804160402082389E-3</v>
      </c>
      <c r="AE17" s="61">
        <v>0.44406504768688193</v>
      </c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2:44" x14ac:dyDescent="0.25">
      <c r="U18" s="61"/>
      <c r="V18" s="61"/>
      <c r="W18" s="61"/>
      <c r="X18" s="61"/>
      <c r="Y18" s="61"/>
      <c r="Z18" s="61"/>
      <c r="AA18" s="61">
        <v>-1.3003636417923655E-3</v>
      </c>
      <c r="AB18" s="61">
        <v>1.4423997665870521E-3</v>
      </c>
      <c r="AC18" s="61">
        <v>0.99186231806726122</v>
      </c>
      <c r="AD18" s="61">
        <v>1.3713817041897088E-3</v>
      </c>
      <c r="AE18" s="61">
        <v>1.9886581882954453E-2</v>
      </c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</row>
    <row r="19" spans="2:44" x14ac:dyDescent="0.25">
      <c r="K19" t="s">
        <v>828</v>
      </c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</row>
    <row r="20" spans="2:44" x14ac:dyDescent="0.25">
      <c r="L20" t="s">
        <v>321</v>
      </c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</row>
    <row r="21" spans="2:44" x14ac:dyDescent="0.25"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</row>
    <row r="22" spans="2:44" ht="15.75" thickBot="1" x14ac:dyDescent="0.3">
      <c r="L22" t="s">
        <v>322</v>
      </c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</row>
    <row r="23" spans="2:44" x14ac:dyDescent="0.25">
      <c r="L23" s="457" t="s">
        <v>323</v>
      </c>
      <c r="M23" s="457" t="s">
        <v>324</v>
      </c>
      <c r="N23" s="457" t="s">
        <v>325</v>
      </c>
      <c r="O23" s="457" t="s">
        <v>326</v>
      </c>
      <c r="P23" s="457" t="s">
        <v>327</v>
      </c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</row>
    <row r="24" spans="2:44" ht="30" x14ac:dyDescent="0.25">
      <c r="B24" s="390" t="s">
        <v>311</v>
      </c>
      <c r="C24" s="391" t="s">
        <v>301</v>
      </c>
      <c r="D24" s="392" t="s">
        <v>295</v>
      </c>
      <c r="E24" s="392" t="s">
        <v>296</v>
      </c>
      <c r="F24" s="392" t="s">
        <v>297</v>
      </c>
      <c r="G24" s="392" t="s">
        <v>309</v>
      </c>
      <c r="H24" s="392" t="s">
        <v>300</v>
      </c>
      <c r="L24" s="455" t="s">
        <v>706</v>
      </c>
      <c r="M24" s="455">
        <v>86</v>
      </c>
      <c r="N24" s="455">
        <v>1.3419999999999999</v>
      </c>
      <c r="O24" s="455">
        <v>1.5604651162790696E-2</v>
      </c>
      <c r="P24" s="455">
        <v>1.3418331053351571E-5</v>
      </c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</row>
    <row r="25" spans="2:44" x14ac:dyDescent="0.25">
      <c r="B25" s="387" t="s">
        <v>310</v>
      </c>
      <c r="C25" s="393">
        <v>16</v>
      </c>
      <c r="D25" s="393">
        <v>4</v>
      </c>
      <c r="E25" s="393">
        <v>10</v>
      </c>
      <c r="F25" s="393">
        <v>30</v>
      </c>
      <c r="G25" s="394"/>
      <c r="H25" s="685">
        <f>5.025/0.016</f>
        <v>314.0625</v>
      </c>
      <c r="L25" s="455" t="s">
        <v>707</v>
      </c>
      <c r="M25" s="455">
        <v>348</v>
      </c>
      <c r="N25" s="455">
        <v>6.0069999999999917</v>
      </c>
      <c r="O25" s="455">
        <v>1.726149425287354E-2</v>
      </c>
      <c r="P25" s="455">
        <v>1.2937187386134048E-5</v>
      </c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</row>
    <row r="26" spans="2:44" ht="15.75" thickBot="1" x14ac:dyDescent="0.3">
      <c r="B26" s="386"/>
      <c r="C26" s="393">
        <v>16</v>
      </c>
      <c r="D26" s="393">
        <v>3</v>
      </c>
      <c r="E26" s="393">
        <v>9</v>
      </c>
      <c r="F26" s="393">
        <v>30</v>
      </c>
      <c r="G26" s="395"/>
      <c r="H26" s="685">
        <f>5.025/0.016</f>
        <v>314.0625</v>
      </c>
      <c r="L26" s="456" t="s">
        <v>708</v>
      </c>
      <c r="M26" s="456">
        <v>42</v>
      </c>
      <c r="N26" s="456">
        <v>0.72200000000000031</v>
      </c>
      <c r="O26" s="456">
        <v>1.7190476190476197E-2</v>
      </c>
      <c r="P26" s="456">
        <v>9.8164924506387885E-6</v>
      </c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</row>
    <row r="27" spans="2:44" x14ac:dyDescent="0.25">
      <c r="B27" s="386"/>
      <c r="C27" s="393">
        <v>17</v>
      </c>
      <c r="D27" s="393">
        <v>3</v>
      </c>
      <c r="E27" s="393">
        <v>10</v>
      </c>
      <c r="F27" s="393">
        <v>24</v>
      </c>
      <c r="G27" s="395"/>
      <c r="H27" s="685">
        <f>5.025/0.017</f>
        <v>295.58823529411762</v>
      </c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</row>
    <row r="28" spans="2:44" x14ac:dyDescent="0.25">
      <c r="B28" s="386" t="s">
        <v>305</v>
      </c>
      <c r="C28" s="393">
        <v>17</v>
      </c>
      <c r="D28" s="393">
        <v>3</v>
      </c>
      <c r="E28" s="393">
        <v>9</v>
      </c>
      <c r="F28" s="393">
        <v>23</v>
      </c>
      <c r="G28" s="395">
        <v>5.0250000000000004</v>
      </c>
      <c r="H28" s="685">
        <f>5.025/0.017</f>
        <v>295.58823529411762</v>
      </c>
      <c r="U28" s="61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</row>
    <row r="29" spans="2:44" ht="15.75" thickBot="1" x14ac:dyDescent="0.3">
      <c r="B29" s="386"/>
      <c r="C29" s="393">
        <v>18</v>
      </c>
      <c r="D29" s="393">
        <v>4</v>
      </c>
      <c r="E29" s="393">
        <v>11</v>
      </c>
      <c r="F29" s="393">
        <v>30</v>
      </c>
      <c r="G29" s="395"/>
      <c r="H29" s="685">
        <f>5.025/0.018</f>
        <v>279.16666666666669</v>
      </c>
      <c r="L29" t="s">
        <v>328</v>
      </c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</row>
    <row r="30" spans="2:44" x14ac:dyDescent="0.25">
      <c r="B30" s="386"/>
      <c r="C30" s="393">
        <v>18</v>
      </c>
      <c r="D30" s="393">
        <v>4</v>
      </c>
      <c r="E30" s="393">
        <v>11</v>
      </c>
      <c r="F30" s="393">
        <v>30</v>
      </c>
      <c r="G30" s="395"/>
      <c r="H30" s="685">
        <f>5.025/0.018</f>
        <v>279.16666666666669</v>
      </c>
      <c r="L30" s="457" t="s">
        <v>329</v>
      </c>
      <c r="M30" s="457" t="s">
        <v>330</v>
      </c>
      <c r="N30" s="457" t="s">
        <v>331</v>
      </c>
      <c r="O30" s="457" t="s">
        <v>332</v>
      </c>
      <c r="P30" s="457" t="s">
        <v>333</v>
      </c>
      <c r="Q30" s="457" t="s">
        <v>334</v>
      </c>
      <c r="R30" s="457" t="s">
        <v>335</v>
      </c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</row>
    <row r="31" spans="2:44" x14ac:dyDescent="0.25">
      <c r="B31" s="389"/>
      <c r="C31" s="393">
        <v>17</v>
      </c>
      <c r="D31" s="393">
        <v>4</v>
      </c>
      <c r="E31" s="393">
        <v>7</v>
      </c>
      <c r="F31" s="393">
        <v>29</v>
      </c>
      <c r="G31" s="395"/>
      <c r="H31" s="685">
        <f>5.025/0.017</f>
        <v>295.58823529411762</v>
      </c>
      <c r="L31" s="455" t="s">
        <v>336</v>
      </c>
      <c r="M31" s="455">
        <v>1.9183517641217611E-4</v>
      </c>
      <c r="N31" s="455">
        <v>2</v>
      </c>
      <c r="O31" s="455">
        <v>9.5917588206088054E-5</v>
      </c>
      <c r="P31" s="455">
        <v>7.5210919341274822</v>
      </c>
      <c r="Q31" s="455">
        <v>6.0882673455098235E-4</v>
      </c>
      <c r="R31" s="455">
        <v>3.0147860260845278</v>
      </c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</row>
    <row r="32" spans="2:44" x14ac:dyDescent="0.25">
      <c r="B32" s="389" t="s">
        <v>312</v>
      </c>
      <c r="C32" s="393">
        <v>17</v>
      </c>
      <c r="D32" s="393">
        <v>3</v>
      </c>
      <c r="E32" s="393">
        <v>10</v>
      </c>
      <c r="F32" s="393">
        <v>27</v>
      </c>
      <c r="G32" s="388"/>
      <c r="H32" s="685">
        <f>5.025/0.017</f>
        <v>295.58823529411762</v>
      </c>
      <c r="L32" s="455" t="s">
        <v>337</v>
      </c>
      <c r="M32" s="455">
        <v>6.0322383529995884E-3</v>
      </c>
      <c r="N32" s="455">
        <v>473</v>
      </c>
      <c r="O32" s="455">
        <v>1.2753146623677776E-5</v>
      </c>
      <c r="P32" s="455"/>
      <c r="Q32" s="455"/>
      <c r="R32" s="455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</row>
    <row r="33" spans="12:44" x14ac:dyDescent="0.25">
      <c r="L33" s="455"/>
      <c r="M33" s="455"/>
      <c r="N33" s="455"/>
      <c r="O33" s="455"/>
      <c r="P33" s="455"/>
      <c r="Q33" s="455"/>
      <c r="R33" s="455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</row>
    <row r="34" spans="12:44" ht="15.75" thickBot="1" x14ac:dyDescent="0.3">
      <c r="L34" s="456" t="s">
        <v>338</v>
      </c>
      <c r="M34" s="456">
        <v>6.2240735294117645E-3</v>
      </c>
      <c r="N34" s="456">
        <v>475</v>
      </c>
      <c r="O34" s="456"/>
      <c r="P34" s="456"/>
      <c r="Q34" s="456"/>
      <c r="R34" s="456"/>
    </row>
    <row r="39" spans="12:44" x14ac:dyDescent="0.25">
      <c r="Q39" t="s">
        <v>703</v>
      </c>
      <c r="R39" t="s">
        <v>704</v>
      </c>
      <c r="S39" t="s">
        <v>705</v>
      </c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</row>
    <row r="40" spans="12:44" x14ac:dyDescent="0.25">
      <c r="Q40">
        <v>1.2999999999999999E-2</v>
      </c>
      <c r="R40">
        <v>0.02</v>
      </c>
      <c r="S40">
        <v>0.01</v>
      </c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</row>
    <row r="41" spans="12:44" x14ac:dyDescent="0.25">
      <c r="Q41">
        <v>1.4999999999999999E-2</v>
      </c>
      <c r="R41">
        <v>1.2999999999999999E-2</v>
      </c>
      <c r="S41">
        <v>1.2E-2</v>
      </c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</row>
    <row r="42" spans="12:44" x14ac:dyDescent="0.25">
      <c r="Q42">
        <v>1.6E-2</v>
      </c>
      <c r="R42">
        <v>1.4E-2</v>
      </c>
      <c r="S42">
        <v>1.6E-2</v>
      </c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</row>
    <row r="43" spans="12:44" x14ac:dyDescent="0.25">
      <c r="Q43">
        <v>1.2999999999999999E-2</v>
      </c>
      <c r="R43">
        <v>1.2999999999999999E-2</v>
      </c>
      <c r="S43">
        <v>1.4E-2</v>
      </c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</row>
    <row r="44" spans="12:44" x14ac:dyDescent="0.25">
      <c r="Q44">
        <v>1.0999999999999999E-2</v>
      </c>
      <c r="R44">
        <v>1.4999999999999999E-2</v>
      </c>
      <c r="S44">
        <v>1.2999999999999999E-2</v>
      </c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</row>
    <row r="45" spans="12:44" x14ac:dyDescent="0.25">
      <c r="Q45">
        <v>1.4999999999999999E-2</v>
      </c>
      <c r="R45">
        <v>1.0999999999999999E-2</v>
      </c>
      <c r="S45">
        <v>1.0999999999999999E-2</v>
      </c>
      <c r="T45" s="43"/>
      <c r="U45" s="43"/>
      <c r="V45" s="43"/>
      <c r="W45" s="43"/>
      <c r="X45" s="43"/>
      <c r="Y45" s="43"/>
      <c r="Z45" s="43"/>
      <c r="AA45" s="43"/>
      <c r="AB45" s="43"/>
      <c r="AC45" s="199"/>
      <c r="AD45" s="199"/>
      <c r="AE45" s="43"/>
      <c r="AF45" s="43"/>
      <c r="AG45" s="43"/>
      <c r="AH45" s="43"/>
      <c r="AI45" s="43"/>
      <c r="AJ45" s="43"/>
      <c r="AK45" s="43"/>
      <c r="AL45" s="43"/>
    </row>
    <row r="46" spans="12:44" x14ac:dyDescent="0.25">
      <c r="Q46">
        <v>1.0999999999999999E-2</v>
      </c>
      <c r="R46">
        <v>1.2E-2</v>
      </c>
      <c r="S46">
        <v>0.02</v>
      </c>
      <c r="T46" s="43"/>
      <c r="U46" s="199"/>
      <c r="V46" s="199"/>
      <c r="W46" s="43"/>
      <c r="X46" s="43"/>
      <c r="Y46" s="636"/>
      <c r="Z46" s="636"/>
      <c r="AA46" s="636"/>
      <c r="AB46" s="636"/>
      <c r="AC46" s="636"/>
      <c r="AD46" s="636"/>
      <c r="AE46" s="636"/>
      <c r="AF46" s="43"/>
      <c r="AG46" s="43"/>
      <c r="AH46" s="43"/>
      <c r="AI46" s="43"/>
      <c r="AJ46" s="43"/>
      <c r="AK46" s="43"/>
      <c r="AL46" s="43"/>
    </row>
    <row r="47" spans="12:44" x14ac:dyDescent="0.25">
      <c r="Q47">
        <v>1.6E-2</v>
      </c>
      <c r="R47">
        <v>1.2E-2</v>
      </c>
      <c r="S47">
        <v>1.7000000000000001E-2</v>
      </c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199"/>
      <c r="AF47" s="43"/>
      <c r="AG47" s="43"/>
      <c r="AH47" s="43"/>
      <c r="AI47" s="43"/>
      <c r="AJ47" s="43"/>
      <c r="AK47" s="43"/>
      <c r="AL47" s="43"/>
    </row>
    <row r="48" spans="12:44" x14ac:dyDescent="0.25">
      <c r="Q48">
        <v>1.7000000000000001E-2</v>
      </c>
      <c r="R48">
        <v>1.4999999999999999E-2</v>
      </c>
      <c r="S48">
        <v>1.7000000000000001E-2</v>
      </c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199"/>
      <c r="AF48" s="43"/>
      <c r="AG48" s="43"/>
      <c r="AH48" s="43"/>
      <c r="AI48" s="43"/>
      <c r="AJ48" s="43"/>
      <c r="AK48" s="43"/>
      <c r="AL48" s="43"/>
    </row>
    <row r="49" spans="17:38" x14ac:dyDescent="0.25">
      <c r="Q49">
        <v>1.4999999999999999E-2</v>
      </c>
      <c r="R49">
        <v>1.2999999999999999E-2</v>
      </c>
      <c r="S49">
        <v>1.4999999999999999E-2</v>
      </c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199"/>
      <c r="AF49" s="43"/>
      <c r="AG49" s="43"/>
      <c r="AH49" s="43"/>
      <c r="AI49" s="43"/>
      <c r="AJ49" s="43"/>
      <c r="AK49" s="43"/>
      <c r="AL49" s="43"/>
    </row>
    <row r="50" spans="17:38" x14ac:dyDescent="0.25">
      <c r="Q50">
        <v>1.9E-2</v>
      </c>
      <c r="R50">
        <v>8.9999999999999993E-3</v>
      </c>
      <c r="S50">
        <v>1.9E-2</v>
      </c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</row>
    <row r="51" spans="17:38" x14ac:dyDescent="0.25">
      <c r="Q51">
        <v>1.6E-2</v>
      </c>
      <c r="R51">
        <v>0.01</v>
      </c>
      <c r="S51">
        <v>1.9E-2</v>
      </c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</row>
    <row r="52" spans="17:38" x14ac:dyDescent="0.25">
      <c r="Q52">
        <v>0.02</v>
      </c>
      <c r="R52">
        <v>1.0999999999999999E-2</v>
      </c>
      <c r="S52">
        <v>1.7999999999999999E-2</v>
      </c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</row>
    <row r="53" spans="17:38" x14ac:dyDescent="0.25">
      <c r="Q53">
        <v>1.7000000000000001E-2</v>
      </c>
      <c r="R53">
        <v>1.4999999999999999E-2</v>
      </c>
      <c r="S53">
        <v>2.1999999999999999E-2</v>
      </c>
      <c r="T53" s="43"/>
      <c r="U53" s="199"/>
      <c r="V53" s="199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</row>
    <row r="54" spans="17:38" x14ac:dyDescent="0.25">
      <c r="Q54">
        <v>1.4999999999999999E-2</v>
      </c>
      <c r="R54">
        <v>1.2999999999999999E-2</v>
      </c>
      <c r="S54">
        <v>1.7999999999999999E-2</v>
      </c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</row>
    <row r="55" spans="17:38" x14ac:dyDescent="0.25">
      <c r="Q55">
        <v>1.2999999999999999E-2</v>
      </c>
      <c r="R55">
        <v>1.0999999999999999E-2</v>
      </c>
      <c r="S55">
        <v>1.9E-2</v>
      </c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</row>
    <row r="56" spans="17:38" x14ac:dyDescent="0.25">
      <c r="Q56">
        <v>2.7E-2</v>
      </c>
      <c r="R56">
        <v>1.2E-2</v>
      </c>
      <c r="S56">
        <v>1.7999999999999999E-2</v>
      </c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</row>
    <row r="57" spans="17:38" x14ac:dyDescent="0.25">
      <c r="Q57">
        <v>1.4999999999999999E-2</v>
      </c>
      <c r="R57">
        <v>1.7999999999999999E-2</v>
      </c>
      <c r="S57">
        <v>1.7000000000000001E-2</v>
      </c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</row>
    <row r="58" spans="17:38" x14ac:dyDescent="0.25">
      <c r="Q58">
        <v>1.6E-2</v>
      </c>
      <c r="R58">
        <v>0.02</v>
      </c>
      <c r="S58">
        <v>1.9E-2</v>
      </c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</row>
    <row r="59" spans="17:38" x14ac:dyDescent="0.25">
      <c r="Q59">
        <v>1.4999999999999999E-2</v>
      </c>
      <c r="R59">
        <v>1.9E-2</v>
      </c>
      <c r="S59">
        <v>1.7000000000000001E-2</v>
      </c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</row>
    <row r="60" spans="17:38" x14ac:dyDescent="0.25">
      <c r="Q60">
        <v>1.2999999999999999E-2</v>
      </c>
      <c r="R60">
        <v>1.2999999999999999E-2</v>
      </c>
      <c r="S60">
        <v>2.1000000000000001E-2</v>
      </c>
      <c r="T60" s="43"/>
      <c r="U60" s="199"/>
      <c r="V60" s="199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</row>
    <row r="61" spans="17:38" x14ac:dyDescent="0.25">
      <c r="Q61">
        <v>0.01</v>
      </c>
      <c r="R61">
        <v>1.6E-2</v>
      </c>
      <c r="S61">
        <v>1.6E-2</v>
      </c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</row>
    <row r="62" spans="17:38" x14ac:dyDescent="0.25">
      <c r="Q62">
        <v>0.01</v>
      </c>
      <c r="R62">
        <v>1.7000000000000001E-2</v>
      </c>
      <c r="S62">
        <v>1.4E-2</v>
      </c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</row>
    <row r="63" spans="17:38" x14ac:dyDescent="0.25">
      <c r="Q63">
        <v>1.2E-2</v>
      </c>
      <c r="R63">
        <v>1.9E-2</v>
      </c>
      <c r="S63">
        <v>2.3E-2</v>
      </c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</row>
    <row r="64" spans="17:38" x14ac:dyDescent="0.25">
      <c r="Q64">
        <v>1.2E-2</v>
      </c>
      <c r="R64">
        <v>1.7999999999999999E-2</v>
      </c>
      <c r="S64">
        <v>1.9E-2</v>
      </c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</row>
    <row r="65" spans="17:38" x14ac:dyDescent="0.25">
      <c r="Q65">
        <v>1.2E-2</v>
      </c>
      <c r="R65">
        <v>1.7000000000000001E-2</v>
      </c>
      <c r="S65">
        <v>1.7000000000000001E-2</v>
      </c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</row>
    <row r="66" spans="17:38" x14ac:dyDescent="0.25">
      <c r="Q66">
        <v>1.6E-2</v>
      </c>
      <c r="R66">
        <v>1.6E-2</v>
      </c>
      <c r="S66">
        <v>1.4E-2</v>
      </c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</row>
    <row r="67" spans="17:38" x14ac:dyDescent="0.25">
      <c r="Q67">
        <v>1.2E-2</v>
      </c>
      <c r="R67">
        <v>1.4E-2</v>
      </c>
      <c r="S67">
        <v>1.9E-2</v>
      </c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</row>
    <row r="68" spans="17:38" x14ac:dyDescent="0.25">
      <c r="Q68">
        <v>1.2E-2</v>
      </c>
      <c r="R68">
        <v>1.9E-2</v>
      </c>
      <c r="S68">
        <v>1.7999999999999999E-2</v>
      </c>
    </row>
    <row r="69" spans="17:38" x14ac:dyDescent="0.25">
      <c r="Q69">
        <v>1.2999999999999999E-2</v>
      </c>
      <c r="R69">
        <v>1.2E-2</v>
      </c>
      <c r="S69">
        <v>1.7000000000000001E-2</v>
      </c>
    </row>
    <row r="70" spans="17:38" x14ac:dyDescent="0.25">
      <c r="Q70">
        <v>1.6E-2</v>
      </c>
      <c r="R70">
        <v>1.2E-2</v>
      </c>
      <c r="S70">
        <v>1.7999999999999999E-2</v>
      </c>
    </row>
    <row r="71" spans="17:38" x14ac:dyDescent="0.25">
      <c r="Q71">
        <v>1.2999999999999999E-2</v>
      </c>
      <c r="R71">
        <v>1.7000000000000001E-2</v>
      </c>
      <c r="S71">
        <v>1.7999999999999999E-2</v>
      </c>
    </row>
    <row r="72" spans="17:38" x14ac:dyDescent="0.25">
      <c r="Q72">
        <v>1.2E-2</v>
      </c>
      <c r="R72">
        <v>1.7000000000000001E-2</v>
      </c>
      <c r="S72">
        <v>1.9E-2</v>
      </c>
    </row>
    <row r="73" spans="17:38" x14ac:dyDescent="0.25">
      <c r="Q73">
        <v>1.6E-2</v>
      </c>
      <c r="R73">
        <v>1.7000000000000001E-2</v>
      </c>
      <c r="S73">
        <v>1.7999999999999999E-2</v>
      </c>
    </row>
    <row r="74" spans="17:38" x14ac:dyDescent="0.25">
      <c r="Q74">
        <v>1.7999999999999999E-2</v>
      </c>
      <c r="R74">
        <v>1.6E-2</v>
      </c>
      <c r="S74">
        <v>1.6E-2</v>
      </c>
    </row>
    <row r="75" spans="17:38" x14ac:dyDescent="0.25">
      <c r="Q75">
        <v>1.4999999999999999E-2</v>
      </c>
      <c r="R75">
        <v>1.7000000000000001E-2</v>
      </c>
      <c r="S75">
        <v>1.6E-2</v>
      </c>
    </row>
    <row r="76" spans="17:38" x14ac:dyDescent="0.25">
      <c r="Q76">
        <v>0.02</v>
      </c>
      <c r="R76">
        <v>1.7000000000000001E-2</v>
      </c>
      <c r="S76">
        <v>1.9E-2</v>
      </c>
    </row>
    <row r="77" spans="17:38" x14ac:dyDescent="0.25">
      <c r="Q77">
        <v>1.7000000000000001E-2</v>
      </c>
      <c r="R77">
        <v>1.6E-2</v>
      </c>
      <c r="S77">
        <v>1.7000000000000001E-2</v>
      </c>
    </row>
    <row r="78" spans="17:38" x14ac:dyDescent="0.25">
      <c r="Q78">
        <v>2.3E-2</v>
      </c>
      <c r="R78">
        <v>1.4E-2</v>
      </c>
      <c r="S78">
        <v>1.4E-2</v>
      </c>
    </row>
    <row r="79" spans="17:38" x14ac:dyDescent="0.25">
      <c r="Q79">
        <v>1.4E-2</v>
      </c>
      <c r="R79">
        <v>0.02</v>
      </c>
      <c r="S79">
        <v>1.4E-2</v>
      </c>
    </row>
    <row r="80" spans="17:38" x14ac:dyDescent="0.25">
      <c r="Q80">
        <v>1.4999999999999999E-2</v>
      </c>
      <c r="R80">
        <v>1.2999999999999999E-2</v>
      </c>
      <c r="S80">
        <v>1.7000000000000001E-2</v>
      </c>
    </row>
    <row r="81" spans="17:19" x14ac:dyDescent="0.25">
      <c r="Q81">
        <v>1.7999999999999999E-2</v>
      </c>
      <c r="R81">
        <v>1.2999999999999999E-2</v>
      </c>
      <c r="S81">
        <v>2.7E-2</v>
      </c>
    </row>
    <row r="82" spans="17:19" x14ac:dyDescent="0.25">
      <c r="Q82">
        <v>0.01</v>
      </c>
      <c r="R82">
        <v>1.7000000000000001E-2</v>
      </c>
    </row>
    <row r="83" spans="17:19" x14ac:dyDescent="0.25">
      <c r="Q83">
        <v>1.6E-2</v>
      </c>
      <c r="R83">
        <v>1.6E-2</v>
      </c>
    </row>
    <row r="84" spans="17:19" x14ac:dyDescent="0.25">
      <c r="Q84">
        <v>1.6E-2</v>
      </c>
      <c r="R84">
        <v>1.7000000000000001E-2</v>
      </c>
    </row>
    <row r="85" spans="17:19" x14ac:dyDescent="0.25">
      <c r="Q85">
        <v>0.03</v>
      </c>
      <c r="R85">
        <v>1.7000000000000001E-2</v>
      </c>
    </row>
    <row r="86" spans="17:19" x14ac:dyDescent="0.25">
      <c r="Q86">
        <v>1.6E-2</v>
      </c>
      <c r="R86">
        <v>1.9E-2</v>
      </c>
    </row>
    <row r="87" spans="17:19" x14ac:dyDescent="0.25">
      <c r="Q87">
        <v>2.3E-2</v>
      </c>
      <c r="R87">
        <v>1.7000000000000001E-2</v>
      </c>
    </row>
    <row r="88" spans="17:19" x14ac:dyDescent="0.25">
      <c r="Q88">
        <v>1.2E-2</v>
      </c>
      <c r="R88">
        <v>1.7000000000000001E-2</v>
      </c>
    </row>
    <row r="89" spans="17:19" x14ac:dyDescent="0.25">
      <c r="Q89">
        <v>1.2999999999999999E-2</v>
      </c>
      <c r="R89">
        <v>1.7000000000000001E-2</v>
      </c>
    </row>
    <row r="90" spans="17:19" x14ac:dyDescent="0.25">
      <c r="Q90">
        <v>1.6E-2</v>
      </c>
      <c r="R90">
        <v>1.6E-2</v>
      </c>
    </row>
    <row r="91" spans="17:19" x14ac:dyDescent="0.25">
      <c r="Q91">
        <v>1.6E-2</v>
      </c>
      <c r="R91">
        <v>1.7999999999999999E-2</v>
      </c>
    </row>
    <row r="92" spans="17:19" x14ac:dyDescent="0.25">
      <c r="Q92">
        <v>1.6E-2</v>
      </c>
      <c r="R92">
        <v>1.7999999999999999E-2</v>
      </c>
    </row>
    <row r="93" spans="17:19" x14ac:dyDescent="0.25">
      <c r="Q93">
        <v>1.6E-2</v>
      </c>
      <c r="R93">
        <v>1.6E-2</v>
      </c>
    </row>
    <row r="94" spans="17:19" x14ac:dyDescent="0.25">
      <c r="Q94">
        <v>1.6E-2</v>
      </c>
      <c r="R94">
        <v>1.7999999999999999E-2</v>
      </c>
    </row>
    <row r="95" spans="17:19" x14ac:dyDescent="0.25">
      <c r="Q95">
        <v>1.4999999999999999E-2</v>
      </c>
      <c r="R95">
        <v>1.4999999999999999E-2</v>
      </c>
    </row>
    <row r="96" spans="17:19" x14ac:dyDescent="0.25">
      <c r="Q96">
        <v>2.3E-2</v>
      </c>
      <c r="R96">
        <v>1.4999999999999999E-2</v>
      </c>
    </row>
    <row r="97" spans="17:18" x14ac:dyDescent="0.25">
      <c r="Q97">
        <v>1.7000000000000001E-2</v>
      </c>
      <c r="R97">
        <v>1.7999999999999999E-2</v>
      </c>
    </row>
    <row r="98" spans="17:18" x14ac:dyDescent="0.25">
      <c r="Q98">
        <v>0.02</v>
      </c>
      <c r="R98">
        <v>1.4E-2</v>
      </c>
    </row>
    <row r="99" spans="17:18" x14ac:dyDescent="0.25">
      <c r="Q99">
        <v>2.1999999999999999E-2</v>
      </c>
      <c r="R99">
        <v>1.6E-2</v>
      </c>
    </row>
    <row r="100" spans="17:18" x14ac:dyDescent="0.25">
      <c r="Q100">
        <v>0.01</v>
      </c>
      <c r="R100">
        <v>1.7000000000000001E-2</v>
      </c>
    </row>
    <row r="101" spans="17:18" x14ac:dyDescent="0.25">
      <c r="Q101">
        <v>1.2999999999999999E-2</v>
      </c>
      <c r="R101">
        <v>1.4999999999999999E-2</v>
      </c>
    </row>
    <row r="102" spans="17:18" x14ac:dyDescent="0.25">
      <c r="Q102">
        <v>0.02</v>
      </c>
      <c r="R102">
        <v>1.2999999999999999E-2</v>
      </c>
    </row>
    <row r="103" spans="17:18" x14ac:dyDescent="0.25">
      <c r="Q103">
        <v>1.4E-2</v>
      </c>
      <c r="R103">
        <v>1.7999999999999999E-2</v>
      </c>
    </row>
    <row r="104" spans="17:18" x14ac:dyDescent="0.25">
      <c r="Q104">
        <v>1.7999999999999999E-2</v>
      </c>
      <c r="R104">
        <v>1.4999999999999999E-2</v>
      </c>
    </row>
    <row r="105" spans="17:18" x14ac:dyDescent="0.25">
      <c r="Q105">
        <v>1.9E-2</v>
      </c>
      <c r="R105">
        <v>1.9E-2</v>
      </c>
    </row>
    <row r="106" spans="17:18" x14ac:dyDescent="0.25">
      <c r="Q106">
        <v>1.6E-2</v>
      </c>
      <c r="R106">
        <v>1.9E-2</v>
      </c>
    </row>
    <row r="107" spans="17:18" x14ac:dyDescent="0.25">
      <c r="Q107">
        <v>1.4999999999999999E-2</v>
      </c>
      <c r="R107">
        <v>1.4999999999999999E-2</v>
      </c>
    </row>
    <row r="108" spans="17:18" x14ac:dyDescent="0.25">
      <c r="Q108">
        <v>1.4999999999999999E-2</v>
      </c>
      <c r="R108">
        <v>1.9E-2</v>
      </c>
    </row>
    <row r="109" spans="17:18" x14ac:dyDescent="0.25">
      <c r="Q109">
        <v>1.2E-2</v>
      </c>
      <c r="R109">
        <v>1.4E-2</v>
      </c>
    </row>
    <row r="110" spans="17:18" x14ac:dyDescent="0.25">
      <c r="Q110">
        <v>1.6E-2</v>
      </c>
      <c r="R110">
        <v>1.7000000000000001E-2</v>
      </c>
    </row>
    <row r="111" spans="17:18" x14ac:dyDescent="0.25">
      <c r="Q111">
        <v>1.7999999999999999E-2</v>
      </c>
      <c r="R111">
        <v>1.7999999999999999E-2</v>
      </c>
    </row>
    <row r="112" spans="17:18" x14ac:dyDescent="0.25">
      <c r="Q112">
        <v>1.4999999999999999E-2</v>
      </c>
      <c r="R112">
        <v>0.02</v>
      </c>
    </row>
    <row r="113" spans="17:18" x14ac:dyDescent="0.25">
      <c r="Q113">
        <v>1.2E-2</v>
      </c>
      <c r="R113">
        <v>0.02</v>
      </c>
    </row>
    <row r="114" spans="17:18" x14ac:dyDescent="0.25">
      <c r="Q114">
        <v>1.2E-2</v>
      </c>
      <c r="R114">
        <v>2.1999999999999999E-2</v>
      </c>
    </row>
    <row r="115" spans="17:18" x14ac:dyDescent="0.25">
      <c r="Q115">
        <v>1.7999999999999999E-2</v>
      </c>
      <c r="R115">
        <v>1.7999999999999999E-2</v>
      </c>
    </row>
    <row r="116" spans="17:18" x14ac:dyDescent="0.25">
      <c r="Q116">
        <v>1.7000000000000001E-2</v>
      </c>
      <c r="R116">
        <v>2.7E-2</v>
      </c>
    </row>
    <row r="117" spans="17:18" x14ac:dyDescent="0.25">
      <c r="Q117">
        <v>1.4999999999999999E-2</v>
      </c>
      <c r="R117">
        <v>1.9E-2</v>
      </c>
    </row>
    <row r="118" spans="17:18" x14ac:dyDescent="0.25">
      <c r="Q118">
        <v>1.6E-2</v>
      </c>
      <c r="R118">
        <v>1.9E-2</v>
      </c>
    </row>
    <row r="119" spans="17:18" x14ac:dyDescent="0.25">
      <c r="Q119">
        <v>1.2999999999999999E-2</v>
      </c>
      <c r="R119">
        <v>2.1000000000000001E-2</v>
      </c>
    </row>
    <row r="120" spans="17:18" x14ac:dyDescent="0.25">
      <c r="Q120">
        <v>2.1999999999999999E-2</v>
      </c>
      <c r="R120">
        <v>0.02</v>
      </c>
    </row>
    <row r="121" spans="17:18" x14ac:dyDescent="0.25">
      <c r="Q121">
        <v>1.0999999999999999E-2</v>
      </c>
      <c r="R121">
        <v>1.7000000000000001E-2</v>
      </c>
    </row>
    <row r="122" spans="17:18" x14ac:dyDescent="0.25">
      <c r="Q122">
        <v>1.2999999999999999E-2</v>
      </c>
      <c r="R122">
        <v>2.4E-2</v>
      </c>
    </row>
    <row r="123" spans="17:18" x14ac:dyDescent="0.25">
      <c r="Q123">
        <v>1.7999999999999999E-2</v>
      </c>
      <c r="R123">
        <v>2.4E-2</v>
      </c>
    </row>
    <row r="124" spans="17:18" x14ac:dyDescent="0.25">
      <c r="Q124">
        <v>1.2E-2</v>
      </c>
      <c r="R124">
        <v>2.1999999999999999E-2</v>
      </c>
    </row>
    <row r="125" spans="17:18" x14ac:dyDescent="0.25">
      <c r="Q125">
        <v>1.4999999999999999E-2</v>
      </c>
      <c r="R125">
        <v>2.1000000000000001E-2</v>
      </c>
    </row>
    <row r="126" spans="17:18" x14ac:dyDescent="0.25">
      <c r="R126">
        <v>2.1000000000000001E-2</v>
      </c>
    </row>
    <row r="127" spans="17:18" x14ac:dyDescent="0.25">
      <c r="R127">
        <v>1.6E-2</v>
      </c>
    </row>
    <row r="128" spans="17:18" x14ac:dyDescent="0.25">
      <c r="R128">
        <v>2.3E-2</v>
      </c>
    </row>
    <row r="129" spans="18:18" x14ac:dyDescent="0.25">
      <c r="R129">
        <v>1.6E-2</v>
      </c>
    </row>
    <row r="130" spans="18:18" x14ac:dyDescent="0.25">
      <c r="R130">
        <v>1.7000000000000001E-2</v>
      </c>
    </row>
    <row r="131" spans="18:18" x14ac:dyDescent="0.25">
      <c r="R131">
        <v>1.7000000000000001E-2</v>
      </c>
    </row>
    <row r="132" spans="18:18" x14ac:dyDescent="0.25">
      <c r="R132">
        <v>0.01</v>
      </c>
    </row>
    <row r="133" spans="18:18" x14ac:dyDescent="0.25">
      <c r="R133">
        <v>1.6E-2</v>
      </c>
    </row>
    <row r="134" spans="18:18" x14ac:dyDescent="0.25">
      <c r="R134">
        <v>2.4E-2</v>
      </c>
    </row>
    <row r="135" spans="18:18" x14ac:dyDescent="0.25">
      <c r="R135">
        <v>1.4E-2</v>
      </c>
    </row>
    <row r="136" spans="18:18" x14ac:dyDescent="0.25">
      <c r="R136">
        <v>1.7000000000000001E-2</v>
      </c>
    </row>
    <row r="137" spans="18:18" x14ac:dyDescent="0.25">
      <c r="R137">
        <v>1.7999999999999999E-2</v>
      </c>
    </row>
    <row r="138" spans="18:18" x14ac:dyDescent="0.25">
      <c r="R138">
        <v>2.1000000000000001E-2</v>
      </c>
    </row>
    <row r="139" spans="18:18" x14ac:dyDescent="0.25">
      <c r="R139">
        <v>1.6E-2</v>
      </c>
    </row>
    <row r="140" spans="18:18" x14ac:dyDescent="0.25">
      <c r="R140">
        <v>1.6E-2</v>
      </c>
    </row>
    <row r="141" spans="18:18" x14ac:dyDescent="0.25">
      <c r="R141">
        <v>1.0999999999999999E-2</v>
      </c>
    </row>
    <row r="142" spans="18:18" x14ac:dyDescent="0.25">
      <c r="R142">
        <v>0.02</v>
      </c>
    </row>
    <row r="143" spans="18:18" x14ac:dyDescent="0.25">
      <c r="R143">
        <v>1.4E-2</v>
      </c>
    </row>
    <row r="144" spans="18:18" x14ac:dyDescent="0.25">
      <c r="R144">
        <v>1.7999999999999999E-2</v>
      </c>
    </row>
    <row r="145" spans="18:18" x14ac:dyDescent="0.25">
      <c r="R145">
        <v>1.2999999999999999E-2</v>
      </c>
    </row>
    <row r="146" spans="18:18" x14ac:dyDescent="0.25">
      <c r="R146">
        <v>1.2999999999999999E-2</v>
      </c>
    </row>
    <row r="147" spans="18:18" x14ac:dyDescent="0.25">
      <c r="R147">
        <v>1.7999999999999999E-2</v>
      </c>
    </row>
    <row r="148" spans="18:18" x14ac:dyDescent="0.25">
      <c r="R148">
        <v>2.1999999999999999E-2</v>
      </c>
    </row>
    <row r="149" spans="18:18" x14ac:dyDescent="0.25">
      <c r="R149">
        <v>1.7999999999999999E-2</v>
      </c>
    </row>
    <row r="150" spans="18:18" x14ac:dyDescent="0.25">
      <c r="R150">
        <v>1.6E-2</v>
      </c>
    </row>
    <row r="151" spans="18:18" x14ac:dyDescent="0.25">
      <c r="R151">
        <v>1.7999999999999999E-2</v>
      </c>
    </row>
    <row r="152" spans="18:18" x14ac:dyDescent="0.25">
      <c r="R152">
        <v>1.6E-2</v>
      </c>
    </row>
    <row r="153" spans="18:18" x14ac:dyDescent="0.25">
      <c r="R153">
        <v>1.6E-2</v>
      </c>
    </row>
    <row r="154" spans="18:18" x14ac:dyDescent="0.25">
      <c r="R154">
        <v>2.1000000000000001E-2</v>
      </c>
    </row>
    <row r="155" spans="18:18" x14ac:dyDescent="0.25">
      <c r="R155">
        <v>1.4E-2</v>
      </c>
    </row>
    <row r="156" spans="18:18" x14ac:dyDescent="0.25">
      <c r="R156">
        <v>1.4999999999999999E-2</v>
      </c>
    </row>
    <row r="157" spans="18:18" x14ac:dyDescent="0.25">
      <c r="R157">
        <v>1.7000000000000001E-2</v>
      </c>
    </row>
    <row r="158" spans="18:18" x14ac:dyDescent="0.25">
      <c r="R158">
        <v>1.4999999999999999E-2</v>
      </c>
    </row>
    <row r="159" spans="18:18" x14ac:dyDescent="0.25">
      <c r="R159">
        <v>2.3E-2</v>
      </c>
    </row>
    <row r="160" spans="18:18" x14ac:dyDescent="0.25">
      <c r="R160">
        <v>1.4999999999999999E-2</v>
      </c>
    </row>
    <row r="161" spans="18:18" x14ac:dyDescent="0.25">
      <c r="R161">
        <v>1.7999999999999999E-2</v>
      </c>
    </row>
    <row r="162" spans="18:18" x14ac:dyDescent="0.25">
      <c r="R162">
        <v>1.9E-2</v>
      </c>
    </row>
    <row r="163" spans="18:18" x14ac:dyDescent="0.25">
      <c r="R163">
        <v>0.02</v>
      </c>
    </row>
    <row r="164" spans="18:18" x14ac:dyDescent="0.25">
      <c r="R164">
        <v>2.1000000000000001E-2</v>
      </c>
    </row>
    <row r="165" spans="18:18" x14ac:dyDescent="0.25">
      <c r="R165">
        <v>1.7000000000000001E-2</v>
      </c>
    </row>
    <row r="166" spans="18:18" x14ac:dyDescent="0.25">
      <c r="R166">
        <v>2.1999999999999999E-2</v>
      </c>
    </row>
    <row r="167" spans="18:18" x14ac:dyDescent="0.25">
      <c r="R167">
        <v>1.4E-2</v>
      </c>
    </row>
    <row r="168" spans="18:18" x14ac:dyDescent="0.25">
      <c r="R168">
        <v>1.4999999999999999E-2</v>
      </c>
    </row>
    <row r="169" spans="18:18" x14ac:dyDescent="0.25">
      <c r="R169">
        <v>1.9E-2</v>
      </c>
    </row>
    <row r="170" spans="18:18" x14ac:dyDescent="0.25">
      <c r="R170">
        <v>1.2999999999999999E-2</v>
      </c>
    </row>
    <row r="171" spans="18:18" x14ac:dyDescent="0.25">
      <c r="R171">
        <v>1.2999999999999999E-2</v>
      </c>
    </row>
    <row r="172" spans="18:18" x14ac:dyDescent="0.25">
      <c r="R172">
        <v>1.7999999999999999E-2</v>
      </c>
    </row>
    <row r="173" spans="18:18" x14ac:dyDescent="0.25">
      <c r="R173">
        <v>2.1000000000000001E-2</v>
      </c>
    </row>
    <row r="174" spans="18:18" x14ac:dyDescent="0.25">
      <c r="R174">
        <v>1.9E-2</v>
      </c>
    </row>
    <row r="175" spans="18:18" x14ac:dyDescent="0.25">
      <c r="R175">
        <v>1.4E-2</v>
      </c>
    </row>
    <row r="176" spans="18:18" x14ac:dyDescent="0.25">
      <c r="R176">
        <v>1.4E-2</v>
      </c>
    </row>
    <row r="177" spans="18:18" x14ac:dyDescent="0.25">
      <c r="R177">
        <v>1.4999999999999999E-2</v>
      </c>
    </row>
    <row r="178" spans="18:18" x14ac:dyDescent="0.25">
      <c r="R178">
        <v>1.4E-2</v>
      </c>
    </row>
    <row r="179" spans="18:18" x14ac:dyDescent="0.25">
      <c r="R179">
        <v>0.02</v>
      </c>
    </row>
    <row r="180" spans="18:18" x14ac:dyDescent="0.25">
      <c r="R180">
        <v>1.7000000000000001E-2</v>
      </c>
    </row>
    <row r="181" spans="18:18" x14ac:dyDescent="0.25">
      <c r="R181">
        <v>1.6E-2</v>
      </c>
    </row>
    <row r="182" spans="18:18" x14ac:dyDescent="0.25">
      <c r="R182">
        <v>1.7999999999999999E-2</v>
      </c>
    </row>
    <row r="183" spans="18:18" x14ac:dyDescent="0.25">
      <c r="R183">
        <v>0.02</v>
      </c>
    </row>
    <row r="184" spans="18:18" x14ac:dyDescent="0.25">
      <c r="R184">
        <v>1.7999999999999999E-2</v>
      </c>
    </row>
    <row r="185" spans="18:18" x14ac:dyDescent="0.25">
      <c r="R185">
        <v>8.9999999999999993E-3</v>
      </c>
    </row>
    <row r="186" spans="18:18" x14ac:dyDescent="0.25">
      <c r="R186">
        <v>1.4999999999999999E-2</v>
      </c>
    </row>
    <row r="187" spans="18:18" x14ac:dyDescent="0.25">
      <c r="R187">
        <v>1.4E-2</v>
      </c>
    </row>
    <row r="188" spans="18:18" x14ac:dyDescent="0.25">
      <c r="R188">
        <v>1.6E-2</v>
      </c>
    </row>
    <row r="189" spans="18:18" x14ac:dyDescent="0.25">
      <c r="R189">
        <v>2.3E-2</v>
      </c>
    </row>
    <row r="190" spans="18:18" x14ac:dyDescent="0.25">
      <c r="R190">
        <v>2.3E-2</v>
      </c>
    </row>
    <row r="191" spans="18:18" x14ac:dyDescent="0.25">
      <c r="R191">
        <v>1.4999999999999999E-2</v>
      </c>
    </row>
    <row r="192" spans="18:18" x14ac:dyDescent="0.25">
      <c r="R192">
        <v>1.4999999999999999E-2</v>
      </c>
    </row>
    <row r="193" spans="18:18" x14ac:dyDescent="0.25">
      <c r="R193">
        <v>1.7999999999999999E-2</v>
      </c>
    </row>
    <row r="194" spans="18:18" x14ac:dyDescent="0.25">
      <c r="R194">
        <v>1.7000000000000001E-2</v>
      </c>
    </row>
    <row r="195" spans="18:18" x14ac:dyDescent="0.25">
      <c r="R195">
        <v>2.1000000000000001E-2</v>
      </c>
    </row>
    <row r="196" spans="18:18" x14ac:dyDescent="0.25">
      <c r="R196">
        <v>1.6E-2</v>
      </c>
    </row>
    <row r="197" spans="18:18" x14ac:dyDescent="0.25">
      <c r="R197">
        <v>1.4E-2</v>
      </c>
    </row>
    <row r="198" spans="18:18" x14ac:dyDescent="0.25">
      <c r="R198">
        <v>1.0999999999999999E-2</v>
      </c>
    </row>
    <row r="199" spans="18:18" x14ac:dyDescent="0.25">
      <c r="R199">
        <v>1.0999999999999999E-2</v>
      </c>
    </row>
    <row r="200" spans="18:18" x14ac:dyDescent="0.25">
      <c r="R200">
        <v>0.02</v>
      </c>
    </row>
    <row r="201" spans="18:18" x14ac:dyDescent="0.25">
      <c r="R201">
        <v>1.9E-2</v>
      </c>
    </row>
    <row r="202" spans="18:18" x14ac:dyDescent="0.25">
      <c r="R202">
        <v>1.7000000000000001E-2</v>
      </c>
    </row>
    <row r="203" spans="18:18" x14ac:dyDescent="0.25">
      <c r="R203">
        <v>0.02</v>
      </c>
    </row>
    <row r="204" spans="18:18" x14ac:dyDescent="0.25">
      <c r="R204">
        <v>1.6E-2</v>
      </c>
    </row>
    <row r="205" spans="18:18" x14ac:dyDescent="0.25">
      <c r="R205">
        <v>1.9E-2</v>
      </c>
    </row>
    <row r="206" spans="18:18" x14ac:dyDescent="0.25">
      <c r="R206">
        <v>1.7000000000000001E-2</v>
      </c>
    </row>
    <row r="207" spans="18:18" x14ac:dyDescent="0.25">
      <c r="R207">
        <v>1.9E-2</v>
      </c>
    </row>
    <row r="208" spans="18:18" x14ac:dyDescent="0.25">
      <c r="R208">
        <v>1.4999999999999999E-2</v>
      </c>
    </row>
    <row r="209" spans="18:18" x14ac:dyDescent="0.25">
      <c r="R209">
        <v>2.1999999999999999E-2</v>
      </c>
    </row>
    <row r="210" spans="18:18" x14ac:dyDescent="0.25">
      <c r="R210">
        <v>1.6E-2</v>
      </c>
    </row>
    <row r="211" spans="18:18" x14ac:dyDescent="0.25">
      <c r="R211">
        <v>1.6E-2</v>
      </c>
    </row>
    <row r="212" spans="18:18" x14ac:dyDescent="0.25">
      <c r="R212">
        <v>1.9E-2</v>
      </c>
    </row>
    <row r="213" spans="18:18" x14ac:dyDescent="0.25">
      <c r="R213">
        <v>1.4999999999999999E-2</v>
      </c>
    </row>
    <row r="214" spans="18:18" x14ac:dyDescent="0.25">
      <c r="R214">
        <v>0.02</v>
      </c>
    </row>
    <row r="215" spans="18:18" x14ac:dyDescent="0.25">
      <c r="R215">
        <v>1.6E-2</v>
      </c>
    </row>
    <row r="216" spans="18:18" x14ac:dyDescent="0.25">
      <c r="R216">
        <v>0.02</v>
      </c>
    </row>
    <row r="217" spans="18:18" x14ac:dyDescent="0.25">
      <c r="R217">
        <v>1.4999999999999999E-2</v>
      </c>
    </row>
    <row r="218" spans="18:18" x14ac:dyDescent="0.25">
      <c r="R218">
        <v>0.02</v>
      </c>
    </row>
    <row r="219" spans="18:18" x14ac:dyDescent="0.25">
      <c r="R219">
        <v>1.4E-2</v>
      </c>
    </row>
    <row r="220" spans="18:18" x14ac:dyDescent="0.25">
      <c r="R220">
        <v>1.4999999999999999E-2</v>
      </c>
    </row>
    <row r="221" spans="18:18" x14ac:dyDescent="0.25">
      <c r="R221">
        <v>1.6E-2</v>
      </c>
    </row>
    <row r="222" spans="18:18" x14ac:dyDescent="0.25">
      <c r="R222">
        <v>1.9E-2</v>
      </c>
    </row>
    <row r="223" spans="18:18" x14ac:dyDescent="0.25">
      <c r="R223">
        <v>1.4999999999999999E-2</v>
      </c>
    </row>
    <row r="224" spans="18:18" x14ac:dyDescent="0.25">
      <c r="R224">
        <v>1.7999999999999999E-2</v>
      </c>
    </row>
    <row r="225" spans="18:18" x14ac:dyDescent="0.25">
      <c r="R225">
        <v>1.7000000000000001E-2</v>
      </c>
    </row>
    <row r="226" spans="18:18" x14ac:dyDescent="0.25">
      <c r="R226">
        <v>1.4999999999999999E-2</v>
      </c>
    </row>
    <row r="227" spans="18:18" x14ac:dyDescent="0.25">
      <c r="R227">
        <v>1.2E-2</v>
      </c>
    </row>
    <row r="228" spans="18:18" x14ac:dyDescent="0.25">
      <c r="R228">
        <v>1.0999999999999999E-2</v>
      </c>
    </row>
    <row r="229" spans="18:18" x14ac:dyDescent="0.25">
      <c r="R229">
        <v>2.4E-2</v>
      </c>
    </row>
    <row r="230" spans="18:18" x14ac:dyDescent="0.25">
      <c r="R230">
        <v>1.6E-2</v>
      </c>
    </row>
    <row r="231" spans="18:18" x14ac:dyDescent="0.25">
      <c r="R231">
        <v>1.7000000000000001E-2</v>
      </c>
    </row>
    <row r="232" spans="18:18" x14ac:dyDescent="0.25">
      <c r="R232">
        <v>1.7000000000000001E-2</v>
      </c>
    </row>
    <row r="233" spans="18:18" x14ac:dyDescent="0.25">
      <c r="R233">
        <v>1.6E-2</v>
      </c>
    </row>
    <row r="234" spans="18:18" x14ac:dyDescent="0.25">
      <c r="R234">
        <v>0.02</v>
      </c>
    </row>
    <row r="235" spans="18:18" x14ac:dyDescent="0.25">
      <c r="R235">
        <v>1.7999999999999999E-2</v>
      </c>
    </row>
    <row r="236" spans="18:18" x14ac:dyDescent="0.25">
      <c r="R236">
        <v>1.6E-2</v>
      </c>
    </row>
    <row r="237" spans="18:18" x14ac:dyDescent="0.25">
      <c r="R237">
        <v>2.4E-2</v>
      </c>
    </row>
    <row r="238" spans="18:18" x14ac:dyDescent="0.25">
      <c r="R238">
        <v>1.7999999999999999E-2</v>
      </c>
    </row>
    <row r="239" spans="18:18" x14ac:dyDescent="0.25">
      <c r="R239">
        <v>1.7999999999999999E-2</v>
      </c>
    </row>
    <row r="240" spans="18:18" x14ac:dyDescent="0.25">
      <c r="R240">
        <v>1.7000000000000001E-2</v>
      </c>
    </row>
    <row r="241" spans="18:18" x14ac:dyDescent="0.25">
      <c r="R241">
        <v>1.9E-2</v>
      </c>
    </row>
    <row r="242" spans="18:18" x14ac:dyDescent="0.25">
      <c r="R242">
        <v>1.7000000000000001E-2</v>
      </c>
    </row>
    <row r="243" spans="18:18" x14ac:dyDescent="0.25">
      <c r="R243">
        <v>1.7999999999999999E-2</v>
      </c>
    </row>
    <row r="244" spans="18:18" x14ac:dyDescent="0.25">
      <c r="R244">
        <v>1.4E-2</v>
      </c>
    </row>
    <row r="245" spans="18:18" x14ac:dyDescent="0.25">
      <c r="R245">
        <v>1.7000000000000001E-2</v>
      </c>
    </row>
    <row r="246" spans="18:18" x14ac:dyDescent="0.25">
      <c r="R246">
        <v>2.1999999999999999E-2</v>
      </c>
    </row>
    <row r="247" spans="18:18" x14ac:dyDescent="0.25">
      <c r="R247">
        <v>1.7000000000000001E-2</v>
      </c>
    </row>
    <row r="248" spans="18:18" x14ac:dyDescent="0.25">
      <c r="R248">
        <v>1.6E-2</v>
      </c>
    </row>
    <row r="249" spans="18:18" x14ac:dyDescent="0.25">
      <c r="R249">
        <v>1.6E-2</v>
      </c>
    </row>
    <row r="250" spans="18:18" x14ac:dyDescent="0.25">
      <c r="R250">
        <v>1.6E-2</v>
      </c>
    </row>
    <row r="251" spans="18:18" x14ac:dyDescent="0.25">
      <c r="R251">
        <v>1.2999999999999999E-2</v>
      </c>
    </row>
    <row r="252" spans="18:18" x14ac:dyDescent="0.25">
      <c r="R252">
        <v>0.02</v>
      </c>
    </row>
    <row r="253" spans="18:18" x14ac:dyDescent="0.25">
      <c r="R253">
        <v>0.02</v>
      </c>
    </row>
    <row r="254" spans="18:18" x14ac:dyDescent="0.25">
      <c r="R254">
        <v>1.6E-2</v>
      </c>
    </row>
    <row r="255" spans="18:18" x14ac:dyDescent="0.25">
      <c r="R255">
        <v>1.9E-2</v>
      </c>
    </row>
    <row r="256" spans="18:18" x14ac:dyDescent="0.25">
      <c r="R256">
        <v>1.9E-2</v>
      </c>
    </row>
    <row r="257" spans="18:18" x14ac:dyDescent="0.25">
      <c r="R257">
        <v>2.1999999999999999E-2</v>
      </c>
    </row>
    <row r="258" spans="18:18" x14ac:dyDescent="0.25">
      <c r="R258">
        <v>1.2E-2</v>
      </c>
    </row>
    <row r="259" spans="18:18" x14ac:dyDescent="0.25">
      <c r="R259">
        <v>1.4999999999999999E-2</v>
      </c>
    </row>
    <row r="260" spans="18:18" x14ac:dyDescent="0.25">
      <c r="R260">
        <v>2.4E-2</v>
      </c>
    </row>
    <row r="261" spans="18:18" x14ac:dyDescent="0.25">
      <c r="R261">
        <v>1.4999999999999999E-2</v>
      </c>
    </row>
    <row r="262" spans="18:18" x14ac:dyDescent="0.25">
      <c r="R262">
        <v>1.6E-2</v>
      </c>
    </row>
    <row r="263" spans="18:18" x14ac:dyDescent="0.25">
      <c r="R263">
        <v>2.4E-2</v>
      </c>
    </row>
    <row r="264" spans="18:18" x14ac:dyDescent="0.25">
      <c r="R264">
        <v>2.1999999999999999E-2</v>
      </c>
    </row>
    <row r="265" spans="18:18" x14ac:dyDescent="0.25">
      <c r="R265">
        <v>1.7000000000000001E-2</v>
      </c>
    </row>
    <row r="266" spans="18:18" x14ac:dyDescent="0.25">
      <c r="R266">
        <v>1.7999999999999999E-2</v>
      </c>
    </row>
    <row r="267" spans="18:18" x14ac:dyDescent="0.25">
      <c r="R267">
        <v>0.03</v>
      </c>
    </row>
    <row r="268" spans="18:18" x14ac:dyDescent="0.25">
      <c r="R268">
        <v>0.02</v>
      </c>
    </row>
    <row r="269" spans="18:18" x14ac:dyDescent="0.25">
      <c r="R269">
        <v>2.5999999999999999E-2</v>
      </c>
    </row>
    <row r="270" spans="18:18" x14ac:dyDescent="0.25">
      <c r="R270">
        <v>1.4999999999999999E-2</v>
      </c>
    </row>
    <row r="271" spans="18:18" x14ac:dyDescent="0.25">
      <c r="R271">
        <v>1.7999999999999999E-2</v>
      </c>
    </row>
    <row r="272" spans="18:18" x14ac:dyDescent="0.25">
      <c r="R272">
        <v>1.7000000000000001E-2</v>
      </c>
    </row>
    <row r="273" spans="18:18" x14ac:dyDescent="0.25">
      <c r="R273">
        <v>1.4999999999999999E-2</v>
      </c>
    </row>
    <row r="274" spans="18:18" x14ac:dyDescent="0.25">
      <c r="R274">
        <v>1.2E-2</v>
      </c>
    </row>
    <row r="275" spans="18:18" x14ac:dyDescent="0.25">
      <c r="R275">
        <v>1.0999999999999999E-2</v>
      </c>
    </row>
    <row r="276" spans="18:18" x14ac:dyDescent="0.25">
      <c r="R276">
        <v>2.4E-2</v>
      </c>
    </row>
    <row r="277" spans="18:18" x14ac:dyDescent="0.25">
      <c r="R277">
        <v>1.6E-2</v>
      </c>
    </row>
    <row r="278" spans="18:18" x14ac:dyDescent="0.25">
      <c r="R278">
        <v>1.7000000000000001E-2</v>
      </c>
    </row>
    <row r="279" spans="18:18" x14ac:dyDescent="0.25">
      <c r="R279">
        <v>1.7000000000000001E-2</v>
      </c>
    </row>
    <row r="280" spans="18:18" x14ac:dyDescent="0.25">
      <c r="R280">
        <v>1.6E-2</v>
      </c>
    </row>
    <row r="281" spans="18:18" x14ac:dyDescent="0.25">
      <c r="R281">
        <v>0.02</v>
      </c>
    </row>
    <row r="282" spans="18:18" x14ac:dyDescent="0.25">
      <c r="R282">
        <v>1.7999999999999999E-2</v>
      </c>
    </row>
    <row r="283" spans="18:18" x14ac:dyDescent="0.25">
      <c r="R283">
        <v>1.6E-2</v>
      </c>
    </row>
    <row r="284" spans="18:18" x14ac:dyDescent="0.25">
      <c r="R284">
        <v>2.4E-2</v>
      </c>
    </row>
    <row r="285" spans="18:18" x14ac:dyDescent="0.25">
      <c r="R285">
        <v>1.7999999999999999E-2</v>
      </c>
    </row>
    <row r="286" spans="18:18" x14ac:dyDescent="0.25">
      <c r="R286">
        <v>1.7999999999999999E-2</v>
      </c>
    </row>
    <row r="287" spans="18:18" x14ac:dyDescent="0.25">
      <c r="R287">
        <v>1.7000000000000001E-2</v>
      </c>
    </row>
    <row r="288" spans="18:18" x14ac:dyDescent="0.25">
      <c r="R288">
        <v>1.9E-2</v>
      </c>
    </row>
    <row r="289" spans="18:18" x14ac:dyDescent="0.25">
      <c r="R289">
        <v>1.7000000000000001E-2</v>
      </c>
    </row>
    <row r="290" spans="18:18" x14ac:dyDescent="0.25">
      <c r="R290">
        <v>1.7999999999999999E-2</v>
      </c>
    </row>
    <row r="291" spans="18:18" x14ac:dyDescent="0.25">
      <c r="R291">
        <v>1.4E-2</v>
      </c>
    </row>
    <row r="292" spans="18:18" x14ac:dyDescent="0.25">
      <c r="R292">
        <v>1.7000000000000001E-2</v>
      </c>
    </row>
    <row r="293" spans="18:18" x14ac:dyDescent="0.25">
      <c r="R293">
        <v>2.1999999999999999E-2</v>
      </c>
    </row>
    <row r="294" spans="18:18" x14ac:dyDescent="0.25">
      <c r="R294">
        <v>1.7000000000000001E-2</v>
      </c>
    </row>
    <row r="295" spans="18:18" x14ac:dyDescent="0.25">
      <c r="R295">
        <v>1.6E-2</v>
      </c>
    </row>
    <row r="296" spans="18:18" x14ac:dyDescent="0.25">
      <c r="R296">
        <v>1.6E-2</v>
      </c>
    </row>
    <row r="297" spans="18:18" x14ac:dyDescent="0.25">
      <c r="R297">
        <v>1.6E-2</v>
      </c>
    </row>
    <row r="298" spans="18:18" x14ac:dyDescent="0.25">
      <c r="R298">
        <v>1.2999999999999999E-2</v>
      </c>
    </row>
    <row r="299" spans="18:18" x14ac:dyDescent="0.25">
      <c r="R299">
        <v>0.02</v>
      </c>
    </row>
    <row r="300" spans="18:18" x14ac:dyDescent="0.25">
      <c r="R300">
        <v>0.02</v>
      </c>
    </row>
    <row r="301" spans="18:18" x14ac:dyDescent="0.25">
      <c r="R301">
        <v>1.6E-2</v>
      </c>
    </row>
    <row r="302" spans="18:18" x14ac:dyDescent="0.25">
      <c r="R302">
        <v>1.9E-2</v>
      </c>
    </row>
    <row r="303" spans="18:18" x14ac:dyDescent="0.25">
      <c r="R303">
        <v>1.9E-2</v>
      </c>
    </row>
    <row r="304" spans="18:18" x14ac:dyDescent="0.25">
      <c r="R304">
        <v>2.1999999999999999E-2</v>
      </c>
    </row>
    <row r="305" spans="18:18" x14ac:dyDescent="0.25">
      <c r="R305">
        <v>1.2E-2</v>
      </c>
    </row>
    <row r="306" spans="18:18" x14ac:dyDescent="0.25">
      <c r="R306">
        <v>1.4999999999999999E-2</v>
      </c>
    </row>
    <row r="307" spans="18:18" x14ac:dyDescent="0.25">
      <c r="R307">
        <v>2.4E-2</v>
      </c>
    </row>
    <row r="308" spans="18:18" x14ac:dyDescent="0.25">
      <c r="R308">
        <v>1.4999999999999999E-2</v>
      </c>
    </row>
    <row r="309" spans="18:18" x14ac:dyDescent="0.25">
      <c r="R309">
        <v>1.6E-2</v>
      </c>
    </row>
    <row r="310" spans="18:18" x14ac:dyDescent="0.25">
      <c r="R310">
        <v>2.4E-2</v>
      </c>
    </row>
    <row r="311" spans="18:18" x14ac:dyDescent="0.25">
      <c r="R311">
        <v>2.1999999999999999E-2</v>
      </c>
    </row>
    <row r="312" spans="18:18" x14ac:dyDescent="0.25">
      <c r="R312">
        <v>1.7000000000000001E-2</v>
      </c>
    </row>
    <row r="313" spans="18:18" x14ac:dyDescent="0.25">
      <c r="R313">
        <v>1.7999999999999999E-2</v>
      </c>
    </row>
    <row r="314" spans="18:18" x14ac:dyDescent="0.25">
      <c r="R314">
        <v>0.03</v>
      </c>
    </row>
    <row r="315" spans="18:18" x14ac:dyDescent="0.25">
      <c r="R315">
        <v>0.02</v>
      </c>
    </row>
    <row r="316" spans="18:18" x14ac:dyDescent="0.25">
      <c r="R316">
        <v>2.5999999999999999E-2</v>
      </c>
    </row>
    <row r="317" spans="18:18" x14ac:dyDescent="0.25">
      <c r="R317">
        <v>1.7999999999999999E-2</v>
      </c>
    </row>
    <row r="318" spans="18:18" x14ac:dyDescent="0.25">
      <c r="R318">
        <v>1.6E-2</v>
      </c>
    </row>
    <row r="319" spans="18:18" x14ac:dyDescent="0.25">
      <c r="R319">
        <v>1.7999999999999999E-2</v>
      </c>
    </row>
    <row r="320" spans="18:18" x14ac:dyDescent="0.25">
      <c r="R320">
        <v>1.4999999999999999E-2</v>
      </c>
    </row>
    <row r="321" spans="18:18" x14ac:dyDescent="0.25">
      <c r="R321">
        <v>1.9E-2</v>
      </c>
    </row>
    <row r="322" spans="18:18" x14ac:dyDescent="0.25">
      <c r="R322">
        <v>2.1999999999999999E-2</v>
      </c>
    </row>
    <row r="323" spans="18:18" x14ac:dyDescent="0.25">
      <c r="R323">
        <v>1.7999999999999999E-2</v>
      </c>
    </row>
    <row r="324" spans="18:18" x14ac:dyDescent="0.25">
      <c r="R324">
        <v>1.7999999999999999E-2</v>
      </c>
    </row>
    <row r="325" spans="18:18" x14ac:dyDescent="0.25">
      <c r="R325">
        <v>1.7999999999999999E-2</v>
      </c>
    </row>
    <row r="326" spans="18:18" x14ac:dyDescent="0.25">
      <c r="R326">
        <v>1.4E-2</v>
      </c>
    </row>
    <row r="327" spans="18:18" x14ac:dyDescent="0.25">
      <c r="R327">
        <v>0.02</v>
      </c>
    </row>
    <row r="328" spans="18:18" x14ac:dyDescent="0.25">
      <c r="R328">
        <v>2.1000000000000001E-2</v>
      </c>
    </row>
    <row r="329" spans="18:18" x14ac:dyDescent="0.25">
      <c r="R329">
        <v>1.6E-2</v>
      </c>
    </row>
    <row r="330" spans="18:18" x14ac:dyDescent="0.25">
      <c r="R330">
        <v>2.3E-2</v>
      </c>
    </row>
    <row r="331" spans="18:18" x14ac:dyDescent="0.25">
      <c r="R331">
        <v>1.7999999999999999E-2</v>
      </c>
    </row>
    <row r="332" spans="18:18" x14ac:dyDescent="0.25">
      <c r="R332">
        <v>1.9E-2</v>
      </c>
    </row>
    <row r="333" spans="18:18" x14ac:dyDescent="0.25">
      <c r="R333">
        <v>1.6E-2</v>
      </c>
    </row>
    <row r="334" spans="18:18" x14ac:dyDescent="0.25">
      <c r="R334">
        <v>1.7999999999999999E-2</v>
      </c>
    </row>
    <row r="335" spans="18:18" x14ac:dyDescent="0.25">
      <c r="R335">
        <v>1.7000000000000001E-2</v>
      </c>
    </row>
    <row r="336" spans="18:18" x14ac:dyDescent="0.25">
      <c r="R336">
        <v>1.7999999999999999E-2</v>
      </c>
    </row>
    <row r="337" spans="18:18" x14ac:dyDescent="0.25">
      <c r="R337">
        <v>2.1999999999999999E-2</v>
      </c>
    </row>
    <row r="338" spans="18:18" x14ac:dyDescent="0.25">
      <c r="R338">
        <v>1.2999999999999999E-2</v>
      </c>
    </row>
    <row r="339" spans="18:18" x14ac:dyDescent="0.25">
      <c r="R339">
        <v>1.9E-2</v>
      </c>
    </row>
    <row r="340" spans="18:18" x14ac:dyDescent="0.25">
      <c r="R340">
        <v>0.02</v>
      </c>
    </row>
    <row r="341" spans="18:18" x14ac:dyDescent="0.25">
      <c r="R341">
        <v>1.7999999999999999E-2</v>
      </c>
    </row>
    <row r="342" spans="18:18" x14ac:dyDescent="0.25">
      <c r="R342">
        <v>1.2999999999999999E-2</v>
      </c>
    </row>
    <row r="343" spans="18:18" x14ac:dyDescent="0.25">
      <c r="R343">
        <v>1.7000000000000001E-2</v>
      </c>
    </row>
    <row r="344" spans="18:18" x14ac:dyDescent="0.25">
      <c r="R344">
        <v>1.7000000000000001E-2</v>
      </c>
    </row>
    <row r="345" spans="18:18" x14ac:dyDescent="0.25">
      <c r="R345">
        <v>1.7999999999999999E-2</v>
      </c>
    </row>
    <row r="346" spans="18:18" x14ac:dyDescent="0.25">
      <c r="R346">
        <v>1.7000000000000001E-2</v>
      </c>
    </row>
    <row r="347" spans="18:18" x14ac:dyDescent="0.25">
      <c r="R347">
        <v>1.7999999999999999E-2</v>
      </c>
    </row>
    <row r="348" spans="18:18" x14ac:dyDescent="0.25">
      <c r="R348">
        <v>1.6E-2</v>
      </c>
    </row>
    <row r="349" spans="18:18" x14ac:dyDescent="0.25">
      <c r="R349">
        <v>1.7999999999999999E-2</v>
      </c>
    </row>
    <row r="350" spans="18:18" x14ac:dyDescent="0.25">
      <c r="R350">
        <v>1.9E-2</v>
      </c>
    </row>
    <row r="351" spans="18:18" x14ac:dyDescent="0.25">
      <c r="R351">
        <v>1.4999999999999999E-2</v>
      </c>
    </row>
    <row r="352" spans="18:18" x14ac:dyDescent="0.25">
      <c r="R352">
        <v>1.4999999999999999E-2</v>
      </c>
    </row>
    <row r="353" spans="18:18" x14ac:dyDescent="0.25">
      <c r="R353">
        <v>2.1999999999999999E-2</v>
      </c>
    </row>
    <row r="354" spans="18:18" x14ac:dyDescent="0.25">
      <c r="R354">
        <v>2.9000000000000001E-2</v>
      </c>
    </row>
    <row r="355" spans="18:18" x14ac:dyDescent="0.25">
      <c r="R355">
        <v>8.0000000000000002E-3</v>
      </c>
    </row>
    <row r="356" spans="18:18" x14ac:dyDescent="0.25">
      <c r="R356">
        <v>1.7999999999999999E-2</v>
      </c>
    </row>
    <row r="357" spans="18:18" x14ac:dyDescent="0.25">
      <c r="R357">
        <v>2.8000000000000001E-2</v>
      </c>
    </row>
    <row r="358" spans="18:18" x14ac:dyDescent="0.25">
      <c r="R358">
        <v>1.4999999999999999E-2</v>
      </c>
    </row>
    <row r="359" spans="18:18" x14ac:dyDescent="0.25">
      <c r="R359">
        <v>1.7999999999999999E-2</v>
      </c>
    </row>
    <row r="360" spans="18:18" x14ac:dyDescent="0.25">
      <c r="R360">
        <v>1.4E-2</v>
      </c>
    </row>
    <row r="361" spans="18:18" x14ac:dyDescent="0.25">
      <c r="R361">
        <v>1.2999999999999999E-2</v>
      </c>
    </row>
    <row r="362" spans="18:18" x14ac:dyDescent="0.25">
      <c r="R362">
        <v>2.1000000000000001E-2</v>
      </c>
    </row>
    <row r="363" spans="18:18" x14ac:dyDescent="0.25">
      <c r="R363">
        <v>1.9E-2</v>
      </c>
    </row>
    <row r="364" spans="18:18" x14ac:dyDescent="0.25">
      <c r="R364">
        <v>1.9E-2</v>
      </c>
    </row>
    <row r="365" spans="18:18" x14ac:dyDescent="0.25">
      <c r="R365">
        <v>2.1000000000000001E-2</v>
      </c>
    </row>
    <row r="366" spans="18:18" x14ac:dyDescent="0.25">
      <c r="R366">
        <v>1.4E-2</v>
      </c>
    </row>
    <row r="367" spans="18:18" x14ac:dyDescent="0.25">
      <c r="R367">
        <v>2.5999999999999999E-2</v>
      </c>
    </row>
    <row r="368" spans="18:18" x14ac:dyDescent="0.25">
      <c r="R368">
        <v>1.4999999999999999E-2</v>
      </c>
    </row>
    <row r="369" spans="18:18" x14ac:dyDescent="0.25">
      <c r="R369">
        <v>1.9E-2</v>
      </c>
    </row>
    <row r="370" spans="18:18" x14ac:dyDescent="0.25">
      <c r="R370">
        <v>1.6E-2</v>
      </c>
    </row>
    <row r="371" spans="18:18" x14ac:dyDescent="0.25">
      <c r="R371">
        <v>1.7999999999999999E-2</v>
      </c>
    </row>
    <row r="372" spans="18:18" x14ac:dyDescent="0.25">
      <c r="R372">
        <v>1.6E-2</v>
      </c>
    </row>
    <row r="373" spans="18:18" x14ac:dyDescent="0.25">
      <c r="R373">
        <v>0.01</v>
      </c>
    </row>
    <row r="374" spans="18:18" x14ac:dyDescent="0.25">
      <c r="R374">
        <v>1.6E-2</v>
      </c>
    </row>
    <row r="375" spans="18:18" x14ac:dyDescent="0.25">
      <c r="R375">
        <v>1.2999999999999999E-2</v>
      </c>
    </row>
    <row r="376" spans="18:18" x14ac:dyDescent="0.25">
      <c r="R376">
        <v>2.9000000000000001E-2</v>
      </c>
    </row>
    <row r="377" spans="18:18" x14ac:dyDescent="0.25">
      <c r="R377">
        <v>1.7000000000000001E-2</v>
      </c>
    </row>
    <row r="378" spans="18:18" x14ac:dyDescent="0.25">
      <c r="R378">
        <v>1.0999999999999999E-2</v>
      </c>
    </row>
    <row r="379" spans="18:18" x14ac:dyDescent="0.25">
      <c r="R379">
        <v>1.7000000000000001E-2</v>
      </c>
    </row>
    <row r="380" spans="18:18" x14ac:dyDescent="0.25">
      <c r="R380">
        <v>7.0000000000000001E-3</v>
      </c>
    </row>
    <row r="381" spans="18:18" x14ac:dyDescent="0.25">
      <c r="R381">
        <v>8.0000000000000002E-3</v>
      </c>
    </row>
    <row r="382" spans="18:18" x14ac:dyDescent="0.25">
      <c r="R382">
        <v>1.2999999999999999E-2</v>
      </c>
    </row>
    <row r="383" spans="18:18" x14ac:dyDescent="0.25">
      <c r="R383">
        <v>1.4999999999999999E-2</v>
      </c>
    </row>
    <row r="384" spans="18:18" x14ac:dyDescent="0.25">
      <c r="R384">
        <v>1.6E-2</v>
      </c>
    </row>
    <row r="385" spans="18:18" x14ac:dyDescent="0.25">
      <c r="R385">
        <v>2.1000000000000001E-2</v>
      </c>
    </row>
    <row r="386" spans="18:18" x14ac:dyDescent="0.25">
      <c r="R386">
        <v>2.1000000000000001E-2</v>
      </c>
    </row>
    <row r="387" spans="18:18" x14ac:dyDescent="0.25">
      <c r="R387">
        <v>1.6E-2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54054-6A96-4C7F-AF4B-3B1E3CDD7D23}">
  <dimension ref="B3:AE137"/>
  <sheetViews>
    <sheetView workbookViewId="0">
      <selection activeCell="L5" sqref="L5"/>
    </sheetView>
  </sheetViews>
  <sheetFormatPr defaultRowHeight="15" x14ac:dyDescent="0.25"/>
  <cols>
    <col min="2" max="2" width="14.7109375"/>
    <col min="3" max="3" width="17.28515625" customWidth="1"/>
    <col min="4" max="4" width="14.7109375"/>
    <col min="5" max="5" width="13.42578125" customWidth="1"/>
    <col min="6" max="6" width="9.5703125" customWidth="1"/>
    <col min="7" max="7" width="14.28515625" customWidth="1"/>
    <col min="8" max="8" width="13.42578125" customWidth="1"/>
    <col min="9" max="9" width="8.85546875" customWidth="1"/>
    <col min="10" max="10" width="15.42578125" customWidth="1"/>
    <col min="11" max="11" width="16.85546875" customWidth="1"/>
    <col min="12" max="12" width="14.7109375"/>
    <col min="25" max="25" width="11.5703125" bestFit="1" customWidth="1"/>
  </cols>
  <sheetData>
    <row r="3" spans="3:30" ht="25.5" customHeight="1" x14ac:dyDescent="0.25">
      <c r="C3" s="473" t="s">
        <v>293</v>
      </c>
      <c r="D3" s="474" t="s">
        <v>304</v>
      </c>
      <c r="E3" s="475" t="s">
        <v>702</v>
      </c>
      <c r="F3" s="475" t="s">
        <v>306</v>
      </c>
      <c r="G3" s="475" t="s">
        <v>701</v>
      </c>
      <c r="H3" s="475" t="s">
        <v>700</v>
      </c>
      <c r="I3" s="475" t="s">
        <v>306</v>
      </c>
      <c r="J3" s="475" t="s">
        <v>699</v>
      </c>
      <c r="K3" s="475" t="s">
        <v>349</v>
      </c>
      <c r="O3" t="s">
        <v>702</v>
      </c>
      <c r="P3" t="s">
        <v>700</v>
      </c>
      <c r="U3" t="s">
        <v>796</v>
      </c>
    </row>
    <row r="4" spans="3:30" ht="25.5" customHeight="1" x14ac:dyDescent="0.25">
      <c r="C4" s="476" t="s">
        <v>302</v>
      </c>
      <c r="D4" s="477" t="s">
        <v>305</v>
      </c>
      <c r="E4" s="478">
        <v>17.5</v>
      </c>
      <c r="F4" s="478">
        <v>10</v>
      </c>
      <c r="G4" s="479">
        <f>2.4875/0.0175</f>
        <v>142.14285714285711</v>
      </c>
      <c r="H4" s="478">
        <v>13.5</v>
      </c>
      <c r="I4" s="478">
        <v>15</v>
      </c>
      <c r="J4" s="479">
        <f>2.4875/0.0135</f>
        <v>184.25925925925924</v>
      </c>
      <c r="K4" s="480">
        <f>(G4/J4)*100</f>
        <v>77.142857142857139</v>
      </c>
      <c r="N4" t="s">
        <v>792</v>
      </c>
      <c r="O4">
        <v>2.5000000000000001E-2</v>
      </c>
      <c r="P4">
        <v>1.7999999999999999E-2</v>
      </c>
    </row>
    <row r="5" spans="3:30" ht="15" customHeight="1" thickBot="1" x14ac:dyDescent="0.3">
      <c r="C5" s="481"/>
      <c r="D5" s="482" t="s">
        <v>305</v>
      </c>
      <c r="E5" s="478">
        <v>18.399999999999999</v>
      </c>
      <c r="F5" s="478">
        <v>10</v>
      </c>
      <c r="G5" s="479">
        <f>2.4875/0.0184</f>
        <v>135.19021739130434</v>
      </c>
      <c r="H5" s="483">
        <v>13.9473684210526</v>
      </c>
      <c r="I5" s="484">
        <v>19</v>
      </c>
      <c r="J5" s="479">
        <f>2.4875/0.0139473684210526</f>
        <v>178.34905660377396</v>
      </c>
      <c r="K5" s="480">
        <f>(G5/J5)*100</f>
        <v>75.800915331807616</v>
      </c>
      <c r="O5">
        <v>1.7999999999999999E-2</v>
      </c>
      <c r="P5">
        <v>0.01</v>
      </c>
      <c r="U5" t="s">
        <v>322</v>
      </c>
      <c r="X5" t="s">
        <v>797</v>
      </c>
      <c r="Y5">
        <v>0</v>
      </c>
    </row>
    <row r="6" spans="3:30" ht="26.25" customHeight="1" thickTop="1" x14ac:dyDescent="0.25">
      <c r="C6" s="485" t="s">
        <v>307</v>
      </c>
      <c r="D6" s="477" t="s">
        <v>308</v>
      </c>
      <c r="E6" s="483">
        <v>19.308</v>
      </c>
      <c r="F6" s="478">
        <v>26</v>
      </c>
      <c r="G6" s="479">
        <f>12.865/0.019308</f>
        <v>666.30412264346387</v>
      </c>
      <c r="H6" s="483">
        <v>12.1111111111111</v>
      </c>
      <c r="I6" s="478">
        <v>9</v>
      </c>
      <c r="J6" s="478">
        <f>12.865/0.0121111111111111</f>
        <v>1062.2477064220193</v>
      </c>
      <c r="K6" s="480">
        <f>(G6/J6)*100</f>
        <v>62.725870681122345</v>
      </c>
      <c r="O6">
        <v>1.4E-2</v>
      </c>
      <c r="P6">
        <v>1.0999999999999999E-2</v>
      </c>
      <c r="U6" s="602" t="s">
        <v>323</v>
      </c>
      <c r="V6" s="602" t="s">
        <v>324</v>
      </c>
      <c r="W6" s="602" t="s">
        <v>353</v>
      </c>
      <c r="X6" s="602" t="s">
        <v>327</v>
      </c>
      <c r="Y6" s="602" t="s">
        <v>734</v>
      </c>
    </row>
    <row r="7" spans="3:30" x14ac:dyDescent="0.25">
      <c r="O7">
        <v>1.2999999999999999E-2</v>
      </c>
      <c r="P7">
        <v>1.0999999999999999E-2</v>
      </c>
      <c r="U7" t="str">
        <f>O3</f>
        <v>mean VEIW near CA [µm]</v>
      </c>
      <c r="V7">
        <f>COUNT(O4:O81)</f>
        <v>47</v>
      </c>
      <c r="W7">
        <f>AVERAGE(O4:O81)</f>
        <v>1.8702127659574481E-2</v>
      </c>
      <c r="X7">
        <f>_xlfn.VAR.S(O4:O81)</f>
        <v>3.082238667900036E-5</v>
      </c>
    </row>
    <row r="8" spans="3:30" x14ac:dyDescent="0.25">
      <c r="O8">
        <v>1.9E-2</v>
      </c>
      <c r="P8">
        <v>0.01</v>
      </c>
      <c r="U8" t="str">
        <f>P3</f>
        <v>mean VEIW    far CA [µm]</v>
      </c>
      <c r="V8">
        <f>COUNT(P4:P81)</f>
        <v>44</v>
      </c>
      <c r="W8">
        <f>AVERAGE(P4:P81)</f>
        <v>1.3409090909090916E-2</v>
      </c>
      <c r="X8">
        <f>_xlfn.VAR.S(P4:P81)</f>
        <v>1.3410147991543113E-5</v>
      </c>
    </row>
    <row r="9" spans="3:30" x14ac:dyDescent="0.25">
      <c r="C9" s="386"/>
      <c r="D9" s="386"/>
      <c r="E9" s="386"/>
      <c r="F9" s="386"/>
      <c r="G9" s="386"/>
      <c r="H9" s="386"/>
      <c r="I9" s="386"/>
      <c r="J9" s="386"/>
      <c r="K9" s="386"/>
      <c r="O9">
        <v>1.7999999999999999E-2</v>
      </c>
      <c r="P9">
        <v>2.1999999999999999E-2</v>
      </c>
      <c r="U9" s="55" t="s">
        <v>798</v>
      </c>
      <c r="V9" s="55"/>
      <c r="W9" s="55"/>
      <c r="X9" s="55">
        <f>((V7-1)*X7+(V8-1)*X8)/(V7+V8-2)</f>
        <v>2.2409732032251353E-5</v>
      </c>
      <c r="Y9" s="55">
        <f>ABS(W7-W8-Y5)/SQRT(X9)</f>
        <v>1.1181152675222099</v>
      </c>
    </row>
    <row r="10" spans="3:30" x14ac:dyDescent="0.25">
      <c r="C10" s="386"/>
      <c r="D10" s="386"/>
      <c r="E10" s="386"/>
      <c r="F10" s="386"/>
      <c r="G10" s="386"/>
      <c r="H10" s="386"/>
      <c r="I10" s="386"/>
      <c r="J10" s="386"/>
      <c r="K10" s="386"/>
      <c r="O10">
        <v>1.9E-2</v>
      </c>
      <c r="P10">
        <v>1.4E-2</v>
      </c>
    </row>
    <row r="11" spans="3:30" ht="15.75" thickBot="1" x14ac:dyDescent="0.3">
      <c r="C11" s="386"/>
      <c r="D11" s="386"/>
      <c r="E11" s="386"/>
      <c r="F11" s="386"/>
      <c r="G11" s="386"/>
      <c r="H11" s="386"/>
      <c r="I11" s="386"/>
      <c r="J11" s="386"/>
      <c r="K11" s="386"/>
      <c r="O11">
        <v>1.4999999999999999E-2</v>
      </c>
      <c r="P11">
        <v>1.0999999999999999E-2</v>
      </c>
      <c r="U11" t="s">
        <v>799</v>
      </c>
      <c r="Y11" t="s">
        <v>711</v>
      </c>
      <c r="Z11">
        <v>0.05</v>
      </c>
    </row>
    <row r="12" spans="3:30" ht="15.75" thickTop="1" x14ac:dyDescent="0.25">
      <c r="C12" s="386"/>
      <c r="D12" s="386"/>
      <c r="E12" s="386"/>
      <c r="F12" s="386"/>
      <c r="G12" s="386"/>
      <c r="H12" s="386"/>
      <c r="I12" s="386"/>
      <c r="J12" s="386"/>
      <c r="K12" s="386"/>
      <c r="O12">
        <v>2.7E-2</v>
      </c>
      <c r="P12">
        <v>1.0999999999999999E-2</v>
      </c>
      <c r="U12" s="602" t="s">
        <v>698</v>
      </c>
      <c r="V12" s="602" t="s">
        <v>729</v>
      </c>
      <c r="W12" s="602" t="s">
        <v>800</v>
      </c>
      <c r="X12" s="602" t="s">
        <v>331</v>
      </c>
      <c r="Y12" s="602" t="s">
        <v>244</v>
      </c>
      <c r="Z12" s="602" t="s">
        <v>801</v>
      </c>
      <c r="AA12" s="602" t="s">
        <v>731</v>
      </c>
      <c r="AB12" s="602" t="s">
        <v>732</v>
      </c>
      <c r="AC12" s="602" t="s">
        <v>795</v>
      </c>
      <c r="AD12" s="602" t="s">
        <v>802</v>
      </c>
    </row>
    <row r="13" spans="3:30" x14ac:dyDescent="0.25">
      <c r="C13" s="386"/>
      <c r="D13" s="386"/>
      <c r="E13" s="386"/>
      <c r="F13" s="386"/>
      <c r="G13" s="386"/>
      <c r="H13" s="386"/>
      <c r="I13" s="386"/>
      <c r="J13" s="386"/>
      <c r="K13" s="386"/>
      <c r="O13">
        <v>1.6E-2</v>
      </c>
      <c r="P13">
        <v>1.6E-2</v>
      </c>
      <c r="U13" t="s">
        <v>803</v>
      </c>
      <c r="V13">
        <f>SQRT(X9*(1/V7+1/V8))</f>
        <v>9.9303318214393702E-4</v>
      </c>
      <c r="W13">
        <f>(ABS(W7-W8-Y5))/V13</f>
        <v>5.3301710815503807</v>
      </c>
      <c r="X13">
        <f>V7+V8-2</f>
        <v>89</v>
      </c>
      <c r="Y13">
        <f>_xlfn.T.DIST.RT(W13,X13)</f>
        <v>3.6737051040630448E-7</v>
      </c>
      <c r="Z13">
        <f>_xlfn.T.INV.2T(Z11*2,X13)</f>
        <v>1.6621553258697011</v>
      </c>
      <c r="AC13" s="286" t="str">
        <f>IF(Y13&lt;Z11,"yes","no")</f>
        <v>yes</v>
      </c>
      <c r="AD13">
        <f>SQRT(W13^2/(W13^2+X13))</f>
        <v>0.49191182895947794</v>
      </c>
    </row>
    <row r="14" spans="3:30" x14ac:dyDescent="0.25">
      <c r="P14">
        <v>1.4999999999999999E-2</v>
      </c>
      <c r="U14" t="s">
        <v>804</v>
      </c>
      <c r="V14">
        <f>V13</f>
        <v>9.9303318214393702E-4</v>
      </c>
      <c r="W14">
        <f t="shared" ref="W14:X14" si="0">W13</f>
        <v>5.3301710815503807</v>
      </c>
      <c r="X14">
        <f t="shared" si="0"/>
        <v>89</v>
      </c>
      <c r="Y14">
        <f>_xlfn.T.DIST.2T(W14,X14)</f>
        <v>7.3474102081260897E-7</v>
      </c>
      <c r="Z14">
        <f>_xlfn.T.INV.2T(Z11,X14)</f>
        <v>1.986978699506285</v>
      </c>
      <c r="AA14">
        <f>(W7-W8)-Z14*V14</f>
        <v>3.3199009696606172E-3</v>
      </c>
      <c r="AB14">
        <f>(W7-W8)+Z14*V14</f>
        <v>7.2661725313065131E-3</v>
      </c>
      <c r="AC14" s="286" t="str">
        <f>IF(Y14&lt;Z11,"yes","no")</f>
        <v>yes</v>
      </c>
      <c r="AD14">
        <f>AD13</f>
        <v>0.49191182895947794</v>
      </c>
    </row>
    <row r="15" spans="3:30" x14ac:dyDescent="0.25">
      <c r="P15">
        <v>1.2999999999999999E-2</v>
      </c>
      <c r="U15" s="55"/>
      <c r="V15" s="55"/>
      <c r="W15" s="55"/>
      <c r="X15" s="55"/>
      <c r="Y15" s="55"/>
      <c r="Z15" s="55"/>
      <c r="AA15" s="55"/>
      <c r="AB15" s="55"/>
      <c r="AC15" s="55"/>
      <c r="AD15" s="55"/>
    </row>
    <row r="16" spans="3:30" ht="15.75" thickBot="1" x14ac:dyDescent="0.3">
      <c r="P16">
        <v>0.01</v>
      </c>
      <c r="U16" t="s">
        <v>805</v>
      </c>
      <c r="Y16" t="s">
        <v>711</v>
      </c>
      <c r="Z16">
        <f>Z11</f>
        <v>0.05</v>
      </c>
    </row>
    <row r="17" spans="2:30" ht="15.75" thickTop="1" x14ac:dyDescent="0.25">
      <c r="P17">
        <v>1.0999999999999999E-2</v>
      </c>
      <c r="U17" s="602" t="s">
        <v>698</v>
      </c>
      <c r="V17" s="602" t="s">
        <v>729</v>
      </c>
      <c r="W17" s="602" t="s">
        <v>800</v>
      </c>
      <c r="X17" s="602" t="s">
        <v>331</v>
      </c>
      <c r="Y17" s="602" t="s">
        <v>244</v>
      </c>
      <c r="Z17" s="602" t="s">
        <v>801</v>
      </c>
      <c r="AA17" s="602" t="s">
        <v>731</v>
      </c>
      <c r="AB17" s="602" t="s">
        <v>732</v>
      </c>
      <c r="AC17" s="602" t="s">
        <v>795</v>
      </c>
      <c r="AD17" s="602" t="s">
        <v>802</v>
      </c>
    </row>
    <row r="18" spans="2:30" x14ac:dyDescent="0.25">
      <c r="P18">
        <v>1.2E-2</v>
      </c>
      <c r="U18" t="s">
        <v>803</v>
      </c>
      <c r="V18">
        <f>SQRT(X7/V7+X8/V8)</f>
        <v>9.8008752260816782E-4</v>
      </c>
      <c r="W18">
        <f>(ABS(W7-W8-Y5))/V18</f>
        <v>5.4005755898187111</v>
      </c>
      <c r="X18">
        <f>(X7/V7+X8/V8)^2/((X7/V7)^2/(V7-1)+(X8/V8)^2/(V8-1))</f>
        <v>80.168396037932069</v>
      </c>
      <c r="Y18">
        <f>[1]!T_DIST_RT(W18,X18)</f>
        <v>3.3072559024738268E-7</v>
      </c>
      <c r="Z18">
        <f>[1]!T_INV(1-Z16,X18)</f>
        <v>1.6640836261478977</v>
      </c>
      <c r="AC18" s="286" t="str">
        <f>IF(Y18&lt;Z16,"yes","no")</f>
        <v>yes</v>
      </c>
      <c r="AD18">
        <f>SQRT(W18^2/(W18^2+X18))</f>
        <v>0.51648916304180437</v>
      </c>
    </row>
    <row r="19" spans="2:30" x14ac:dyDescent="0.25">
      <c r="P19">
        <v>1.6E-2</v>
      </c>
      <c r="U19" t="s">
        <v>804</v>
      </c>
      <c r="V19">
        <f>V18</f>
        <v>9.8008752260816782E-4</v>
      </c>
      <c r="W19">
        <f t="shared" ref="W19:X19" si="1">W18</f>
        <v>5.4005755898187111</v>
      </c>
      <c r="X19">
        <f t="shared" si="1"/>
        <v>80.168396037932069</v>
      </c>
      <c r="Y19">
        <f>[1]!T_DIST_2T(W19,X19)</f>
        <v>6.6145118049476537E-7</v>
      </c>
      <c r="Z19">
        <f>[1]!T_INV_2T(Z16,X19)</f>
        <v>1.9899992509454039</v>
      </c>
      <c r="AA19">
        <f>(W7-W8)-Z19*V19</f>
        <v>3.3426633146323749E-3</v>
      </c>
      <c r="AB19">
        <f>(W7-W8)+Z19*V19</f>
        <v>7.2434101863347554E-3</v>
      </c>
      <c r="AC19" s="286" t="str">
        <f>IF(Y19&lt;Z16,"yes","no")</f>
        <v>yes</v>
      </c>
      <c r="AD19">
        <f>AD18</f>
        <v>0.51648916304180437</v>
      </c>
    </row>
    <row r="20" spans="2:30" x14ac:dyDescent="0.25">
      <c r="P20">
        <v>1.2E-2</v>
      </c>
      <c r="U20" s="55"/>
      <c r="V20" s="55"/>
      <c r="W20" s="55"/>
      <c r="X20" s="55"/>
      <c r="Y20" s="55"/>
      <c r="Z20" s="55"/>
      <c r="AA20" s="55"/>
      <c r="AB20" s="55"/>
      <c r="AC20" s="55"/>
      <c r="AD20" s="55"/>
    </row>
    <row r="21" spans="2:30" x14ac:dyDescent="0.25">
      <c r="P21">
        <v>2.3E-2</v>
      </c>
    </row>
    <row r="22" spans="2:30" x14ac:dyDescent="0.25">
      <c r="B22" s="43"/>
      <c r="C22" s="43"/>
      <c r="D22" s="43"/>
      <c r="E22" s="43"/>
      <c r="F22" s="43"/>
      <c r="G22" s="43"/>
      <c r="P22">
        <v>1.9E-2</v>
      </c>
    </row>
    <row r="23" spans="2:30" x14ac:dyDescent="0.25">
      <c r="B23" s="43"/>
      <c r="C23" s="633"/>
      <c r="D23" s="634"/>
      <c r="E23" s="634"/>
      <c r="F23" s="633"/>
      <c r="G23" s="43"/>
      <c r="U23" t="s">
        <v>829</v>
      </c>
    </row>
    <row r="24" spans="2:30" x14ac:dyDescent="0.25">
      <c r="U24" t="s">
        <v>367</v>
      </c>
    </row>
    <row r="25" spans="2:30" ht="15.75" thickBot="1" x14ac:dyDescent="0.3">
      <c r="X25" s="43"/>
    </row>
    <row r="26" spans="2:30" x14ac:dyDescent="0.25">
      <c r="U26" s="457"/>
      <c r="V26" s="457" t="s">
        <v>358</v>
      </c>
      <c r="W26" s="457" t="s">
        <v>359</v>
      </c>
      <c r="X26" s="43"/>
      <c r="Y26" s="637">
        <f>_xlfn.T.TEST(O4:O81, P4:P81,2,3)</f>
        <v>6.6145118055733919E-7</v>
      </c>
    </row>
    <row r="27" spans="2:30" x14ac:dyDescent="0.25">
      <c r="U27" s="455" t="s">
        <v>353</v>
      </c>
      <c r="V27" s="455">
        <v>1.8702127659574481E-2</v>
      </c>
      <c r="W27" s="455">
        <v>1.3409090909090916E-2</v>
      </c>
      <c r="X27" s="43"/>
    </row>
    <row r="28" spans="2:30" x14ac:dyDescent="0.25">
      <c r="U28" s="455" t="s">
        <v>327</v>
      </c>
      <c r="V28" s="455">
        <v>3.082238667900036E-5</v>
      </c>
      <c r="W28" s="455">
        <v>1.3410147991543113E-5</v>
      </c>
      <c r="X28" s="43"/>
    </row>
    <row r="29" spans="2:30" x14ac:dyDescent="0.25">
      <c r="U29" s="455" t="s">
        <v>360</v>
      </c>
      <c r="V29" s="455">
        <v>47</v>
      </c>
      <c r="W29" s="455">
        <v>44</v>
      </c>
      <c r="X29" s="43"/>
    </row>
    <row r="30" spans="2:30" x14ac:dyDescent="0.25">
      <c r="N30" t="s">
        <v>793</v>
      </c>
      <c r="U30" s="455" t="s">
        <v>361</v>
      </c>
      <c r="V30" s="455">
        <v>0</v>
      </c>
      <c r="W30" s="455"/>
      <c r="X30" s="43"/>
    </row>
    <row r="31" spans="2:30" x14ac:dyDescent="0.25">
      <c r="U31" s="455" t="s">
        <v>331</v>
      </c>
      <c r="V31" s="455">
        <v>80</v>
      </c>
      <c r="W31" s="455"/>
      <c r="X31" s="43"/>
    </row>
    <row r="32" spans="2:30" x14ac:dyDescent="0.25">
      <c r="U32" s="455" t="s">
        <v>362</v>
      </c>
      <c r="V32" s="455">
        <v>5.4005755898187111</v>
      </c>
      <c r="W32" s="455"/>
      <c r="X32" s="43"/>
    </row>
    <row r="33" spans="15:24" x14ac:dyDescent="0.25">
      <c r="U33" s="455" t="s">
        <v>363</v>
      </c>
      <c r="V33" s="455">
        <v>3.320333155038991E-7</v>
      </c>
      <c r="W33" s="455"/>
      <c r="X33" s="43"/>
    </row>
    <row r="34" spans="15:24" x14ac:dyDescent="0.25">
      <c r="U34" s="455" t="s">
        <v>364</v>
      </c>
      <c r="V34" s="455">
        <v>1.6641245785896708</v>
      </c>
      <c r="W34" s="455"/>
      <c r="X34" s="43"/>
    </row>
    <row r="35" spans="15:24" x14ac:dyDescent="0.25">
      <c r="U35" s="455" t="s">
        <v>365</v>
      </c>
      <c r="V35" s="455">
        <v>6.6406663100779821E-7</v>
      </c>
      <c r="W35" s="455"/>
      <c r="X35" s="43"/>
    </row>
    <row r="36" spans="15:24" ht="15.75" thickBot="1" x14ac:dyDescent="0.3">
      <c r="U36" s="456" t="s">
        <v>366</v>
      </c>
      <c r="V36" s="456">
        <v>1.9900634212544475</v>
      </c>
      <c r="W36" s="456"/>
      <c r="X36" s="43"/>
    </row>
    <row r="40" spans="15:24" x14ac:dyDescent="0.25">
      <c r="O40">
        <v>1.4E-2</v>
      </c>
      <c r="P40">
        <v>1.0999999999999999E-2</v>
      </c>
    </row>
    <row r="41" spans="15:24" x14ac:dyDescent="0.25">
      <c r="O41">
        <v>1.2E-2</v>
      </c>
      <c r="P41">
        <v>1.4999999999999999E-2</v>
      </c>
    </row>
    <row r="42" spans="15:24" x14ac:dyDescent="0.25">
      <c r="O42">
        <v>1.4999999999999999E-2</v>
      </c>
      <c r="P42">
        <v>1.7999999999999999E-2</v>
      </c>
    </row>
    <row r="43" spans="15:24" x14ac:dyDescent="0.25">
      <c r="O43">
        <v>1.2999999999999999E-2</v>
      </c>
      <c r="P43">
        <v>1.6E-2</v>
      </c>
    </row>
    <row r="44" spans="15:24" x14ac:dyDescent="0.25">
      <c r="O44">
        <v>3.2000000000000001E-2</v>
      </c>
      <c r="P44">
        <v>1.4E-2</v>
      </c>
    </row>
    <row r="45" spans="15:24" x14ac:dyDescent="0.25">
      <c r="O45">
        <v>1.2999999999999999E-2</v>
      </c>
      <c r="P45">
        <v>0.02</v>
      </c>
    </row>
    <row r="46" spans="15:24" x14ac:dyDescent="0.25">
      <c r="O46">
        <v>1.2999999999999999E-2</v>
      </c>
      <c r="P46">
        <v>1.2E-2</v>
      </c>
    </row>
    <row r="47" spans="15:24" x14ac:dyDescent="0.25">
      <c r="O47">
        <v>1.7999999999999999E-2</v>
      </c>
      <c r="P47">
        <v>1.2999999999999999E-2</v>
      </c>
    </row>
    <row r="48" spans="15:24" x14ac:dyDescent="0.25">
      <c r="O48">
        <v>1.2999999999999999E-2</v>
      </c>
      <c r="P48">
        <v>1.0999999999999999E-2</v>
      </c>
    </row>
    <row r="49" spans="14:16" x14ac:dyDescent="0.25">
      <c r="O49">
        <v>1.6E-2</v>
      </c>
      <c r="P49">
        <v>1.2999999999999999E-2</v>
      </c>
    </row>
    <row r="50" spans="14:16" x14ac:dyDescent="0.25">
      <c r="O50">
        <v>3.4000000000000002E-2</v>
      </c>
      <c r="P50">
        <v>1.7999999999999999E-2</v>
      </c>
    </row>
    <row r="51" spans="14:16" x14ac:dyDescent="0.25">
      <c r="P51">
        <v>8.0000000000000002E-3</v>
      </c>
    </row>
    <row r="52" spans="14:16" x14ac:dyDescent="0.25">
      <c r="P52">
        <v>8.9999999999999993E-3</v>
      </c>
    </row>
    <row r="53" spans="14:16" x14ac:dyDescent="0.25">
      <c r="P53">
        <v>1.2E-2</v>
      </c>
    </row>
    <row r="54" spans="14:16" x14ac:dyDescent="0.25">
      <c r="P54">
        <v>1.2E-2</v>
      </c>
    </row>
    <row r="55" spans="14:16" x14ac:dyDescent="0.25">
      <c r="P55">
        <v>1.4E-2</v>
      </c>
    </row>
    <row r="56" spans="14:16" x14ac:dyDescent="0.25">
      <c r="N56" t="s">
        <v>794</v>
      </c>
      <c r="O56">
        <v>1.7999999999999999E-2</v>
      </c>
      <c r="P56">
        <v>1.0999999999999999E-2</v>
      </c>
    </row>
    <row r="57" spans="14:16" x14ac:dyDescent="0.25">
      <c r="O57">
        <v>1.6E-2</v>
      </c>
      <c r="P57">
        <v>1.4E-2</v>
      </c>
    </row>
    <row r="58" spans="14:16" x14ac:dyDescent="0.25">
      <c r="O58">
        <v>1.4999999999999999E-2</v>
      </c>
      <c r="P58">
        <v>8.0000000000000002E-3</v>
      </c>
    </row>
    <row r="59" spans="14:16" x14ac:dyDescent="0.25">
      <c r="O59">
        <v>0.02</v>
      </c>
      <c r="P59">
        <v>0.01</v>
      </c>
    </row>
    <row r="60" spans="14:16" x14ac:dyDescent="0.25">
      <c r="O60">
        <v>1.6E-2</v>
      </c>
      <c r="P60">
        <v>1.2999999999999999E-2</v>
      </c>
    </row>
    <row r="61" spans="14:16" x14ac:dyDescent="0.25">
      <c r="O61">
        <v>1.4999999999999999E-2</v>
      </c>
      <c r="P61">
        <v>8.9999999999999993E-3</v>
      </c>
    </row>
    <row r="62" spans="14:16" x14ac:dyDescent="0.25">
      <c r="O62">
        <v>1.7999999999999999E-2</v>
      </c>
      <c r="P62">
        <v>0.01</v>
      </c>
    </row>
    <row r="63" spans="14:16" x14ac:dyDescent="0.25">
      <c r="O63">
        <v>1.6E-2</v>
      </c>
      <c r="P63">
        <v>1.9E-2</v>
      </c>
    </row>
    <row r="64" spans="14:16" x14ac:dyDescent="0.25">
      <c r="O64">
        <v>2.1999999999999999E-2</v>
      </c>
      <c r="P64">
        <v>1.4999999999999999E-2</v>
      </c>
    </row>
    <row r="65" spans="15:15" x14ac:dyDescent="0.25">
      <c r="O65">
        <v>1.9E-2</v>
      </c>
    </row>
    <row r="66" spans="15:15" x14ac:dyDescent="0.25">
      <c r="O66">
        <v>1.9E-2</v>
      </c>
    </row>
    <row r="67" spans="15:15" x14ac:dyDescent="0.25">
      <c r="O67">
        <v>2.8000000000000001E-2</v>
      </c>
    </row>
    <row r="68" spans="15:15" x14ac:dyDescent="0.25">
      <c r="O68">
        <v>3.1E-2</v>
      </c>
    </row>
    <row r="69" spans="15:15" x14ac:dyDescent="0.25">
      <c r="O69">
        <v>1.9E-2</v>
      </c>
    </row>
    <row r="70" spans="15:15" x14ac:dyDescent="0.25">
      <c r="O70">
        <v>1.4999999999999999E-2</v>
      </c>
    </row>
    <row r="71" spans="15:15" x14ac:dyDescent="0.25">
      <c r="O71">
        <v>1.9E-2</v>
      </c>
    </row>
    <row r="72" spans="15:15" x14ac:dyDescent="0.25">
      <c r="O72">
        <v>0.02</v>
      </c>
    </row>
    <row r="73" spans="15:15" x14ac:dyDescent="0.25">
      <c r="O73">
        <v>1.7999999999999999E-2</v>
      </c>
    </row>
    <row r="74" spans="15:15" x14ac:dyDescent="0.25">
      <c r="O74">
        <v>1.4E-2</v>
      </c>
    </row>
    <row r="75" spans="15:15" x14ac:dyDescent="0.25">
      <c r="O75">
        <v>1.2E-2</v>
      </c>
    </row>
    <row r="76" spans="15:15" x14ac:dyDescent="0.25">
      <c r="O76">
        <v>1.4E-2</v>
      </c>
    </row>
    <row r="77" spans="15:15" x14ac:dyDescent="0.25">
      <c r="O77">
        <v>1.6E-2</v>
      </c>
    </row>
    <row r="78" spans="15:15" x14ac:dyDescent="0.25">
      <c r="O78">
        <v>2.4E-2</v>
      </c>
    </row>
    <row r="79" spans="15:15" x14ac:dyDescent="0.25">
      <c r="O79">
        <v>2.5000000000000001E-2</v>
      </c>
    </row>
    <row r="80" spans="15:15" x14ac:dyDescent="0.25">
      <c r="O80">
        <v>2.7E-2</v>
      </c>
    </row>
    <row r="81" spans="14:16" x14ac:dyDescent="0.25">
      <c r="O81">
        <v>2.5999999999999999E-2</v>
      </c>
    </row>
    <row r="82" spans="14:16" x14ac:dyDescent="0.25">
      <c r="N82" t="s">
        <v>295</v>
      </c>
      <c r="O82">
        <f>_xlfn.STDEV.S(O4:O81)</f>
        <v>5.5517913036244758E-3</v>
      </c>
      <c r="P82">
        <f>_xlfn.STDEV.S(P4:P81)</f>
        <v>3.6619868912303758E-3</v>
      </c>
    </row>
    <row r="102" spans="14:27" x14ac:dyDescent="0.25"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</row>
    <row r="103" spans="14:27" x14ac:dyDescent="0.25"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636"/>
      <c r="Y103" s="636"/>
      <c r="Z103" s="636"/>
      <c r="AA103" s="43"/>
    </row>
    <row r="104" spans="14:27" x14ac:dyDescent="0.25"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</row>
    <row r="105" spans="14:27" x14ac:dyDescent="0.25">
      <c r="N105" s="636"/>
      <c r="O105" s="636"/>
      <c r="P105" s="636"/>
      <c r="Q105" s="636"/>
      <c r="R105" s="636"/>
      <c r="S105" s="636"/>
      <c r="T105" s="636"/>
      <c r="U105" s="636"/>
      <c r="V105" s="636"/>
      <c r="W105" s="43"/>
      <c r="X105" s="43"/>
      <c r="Y105" s="43"/>
      <c r="Z105" s="43"/>
      <c r="AA105" s="43"/>
    </row>
    <row r="106" spans="14:27" x14ac:dyDescent="0.25"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</row>
    <row r="107" spans="14:27" x14ac:dyDescent="0.25"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</row>
    <row r="108" spans="14:27" x14ac:dyDescent="0.25"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636"/>
      <c r="Y108" s="636"/>
      <c r="Z108" s="636"/>
      <c r="AA108" s="43"/>
    </row>
    <row r="109" spans="14:27" x14ac:dyDescent="0.25"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</row>
    <row r="110" spans="14:27" x14ac:dyDescent="0.25">
      <c r="N110" s="636"/>
      <c r="O110" s="636"/>
      <c r="P110" s="636"/>
      <c r="Q110" s="636"/>
      <c r="R110" s="636"/>
      <c r="S110" s="636"/>
      <c r="T110" s="636"/>
      <c r="U110" s="636"/>
      <c r="V110" s="636"/>
      <c r="W110" s="43"/>
      <c r="X110" s="43"/>
      <c r="Y110" s="43"/>
      <c r="Z110" s="43"/>
      <c r="AA110" s="43"/>
    </row>
    <row r="111" spans="14:27" x14ac:dyDescent="0.25"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</row>
    <row r="112" spans="14:27" x14ac:dyDescent="0.25"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</row>
    <row r="113" spans="14:27" x14ac:dyDescent="0.25"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</row>
    <row r="131" spans="14:31" x14ac:dyDescent="0.25">
      <c r="X131" s="43"/>
      <c r="Y131" s="43"/>
      <c r="Z131" s="43"/>
    </row>
    <row r="132" spans="14:31" x14ac:dyDescent="0.25"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</row>
    <row r="133" spans="14:31" x14ac:dyDescent="0.25"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</row>
    <row r="134" spans="14:31" x14ac:dyDescent="0.25"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</row>
    <row r="135" spans="14:31" x14ac:dyDescent="0.25"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</row>
    <row r="136" spans="14:31" x14ac:dyDescent="0.25"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</row>
    <row r="137" spans="14:31" x14ac:dyDescent="0.25"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B4FC4-4494-4ED5-A68B-35139B733DF1}">
  <dimension ref="B2:BS166"/>
  <sheetViews>
    <sheetView topLeftCell="AU56" zoomScale="64" zoomScaleNormal="64" workbookViewId="0">
      <selection activeCell="BP73" sqref="BP73"/>
    </sheetView>
  </sheetViews>
  <sheetFormatPr defaultRowHeight="15" x14ac:dyDescent="0.25"/>
  <cols>
    <col min="2" max="2" width="14.7109375"/>
    <col min="3" max="3" width="20.5703125" customWidth="1"/>
    <col min="4" max="4" width="21.85546875" customWidth="1"/>
    <col min="5" max="15" width="12.28515625" customWidth="1"/>
    <col min="16" max="26" width="12" bestFit="1" customWidth="1"/>
    <col min="27" max="27" width="12.85546875" bestFit="1" customWidth="1"/>
    <col min="28" max="28" width="12" bestFit="1" customWidth="1"/>
    <col min="29" max="29" width="12.42578125" customWidth="1"/>
    <col min="30" max="30" width="13.7109375" customWidth="1"/>
    <col min="31" max="31" width="11.85546875" customWidth="1"/>
    <col min="32" max="32" width="12.140625" customWidth="1"/>
    <col min="33" max="33" width="11.42578125" bestFit="1" customWidth="1"/>
  </cols>
  <sheetData>
    <row r="2" spans="2:33" x14ac:dyDescent="0.25">
      <c r="C2" t="s">
        <v>830</v>
      </c>
    </row>
    <row r="3" spans="2:33" ht="15.75" thickBot="1" x14ac:dyDescent="0.3"/>
    <row r="4" spans="2:33" ht="19.5" thickBot="1" x14ac:dyDescent="0.35">
      <c r="C4" s="646"/>
      <c r="D4" s="647" t="s">
        <v>351</v>
      </c>
      <c r="E4" s="652">
        <v>1</v>
      </c>
      <c r="F4" s="652">
        <v>2</v>
      </c>
      <c r="G4" s="652">
        <v>3</v>
      </c>
      <c r="H4" s="652">
        <v>4</v>
      </c>
      <c r="I4" s="653">
        <v>11</v>
      </c>
      <c r="J4" s="652">
        <v>12</v>
      </c>
      <c r="K4" s="652">
        <v>15</v>
      </c>
      <c r="L4" s="652">
        <v>16</v>
      </c>
      <c r="M4" s="652">
        <v>17</v>
      </c>
      <c r="N4" s="652">
        <v>18</v>
      </c>
      <c r="O4" s="654">
        <v>19</v>
      </c>
    </row>
    <row r="5" spans="2:33" ht="32.25" customHeight="1" x14ac:dyDescent="0.3">
      <c r="B5" s="468"/>
      <c r="C5" s="648" t="s">
        <v>79</v>
      </c>
      <c r="D5" s="466" t="s">
        <v>212</v>
      </c>
      <c r="E5" s="655"/>
      <c r="F5" s="655"/>
      <c r="G5" s="656">
        <f>(0.017+0.02)/2</f>
        <v>1.8500000000000003E-2</v>
      </c>
      <c r="H5" s="655"/>
      <c r="I5" s="657">
        <v>1.2666666666666666E-2</v>
      </c>
      <c r="J5" s="657">
        <v>1.5333333333333332E-2</v>
      </c>
      <c r="K5" s="655"/>
      <c r="L5" s="655"/>
      <c r="M5" s="657">
        <v>1.2E-2</v>
      </c>
      <c r="N5" s="658">
        <v>1.1666666666666665E-2</v>
      </c>
      <c r="O5" s="659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  <c r="AA5" s="468"/>
      <c r="AB5" s="468"/>
      <c r="AC5" s="468"/>
      <c r="AD5" s="468"/>
      <c r="AE5" s="468"/>
      <c r="AF5" s="468"/>
      <c r="AG5" s="468"/>
    </row>
    <row r="6" spans="2:33" ht="35.25" customHeight="1" x14ac:dyDescent="0.3">
      <c r="B6" s="468"/>
      <c r="C6" s="649" t="s">
        <v>815</v>
      </c>
      <c r="D6" s="466" t="s">
        <v>213</v>
      </c>
      <c r="E6" s="660"/>
      <c r="F6" s="660"/>
      <c r="G6" s="660"/>
      <c r="H6" s="660"/>
      <c r="I6" s="660"/>
      <c r="J6" s="660"/>
      <c r="K6" s="660"/>
      <c r="L6" s="660"/>
      <c r="M6" s="661">
        <v>1.15E-2</v>
      </c>
      <c r="N6" s="660"/>
      <c r="O6" s="662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</row>
    <row r="7" spans="2:33" ht="35.25" customHeight="1" x14ac:dyDescent="0.3">
      <c r="B7" s="468"/>
      <c r="C7" s="648"/>
      <c r="D7" s="464" t="s">
        <v>214</v>
      </c>
      <c r="E7" s="660"/>
      <c r="F7" s="661">
        <v>1.3333333333333334E-2</v>
      </c>
      <c r="G7" s="660"/>
      <c r="H7" s="661">
        <v>1.7500000000000002E-2</v>
      </c>
      <c r="I7" s="660"/>
      <c r="J7" s="663">
        <v>1.44E-2</v>
      </c>
      <c r="K7" s="660"/>
      <c r="L7" s="660"/>
      <c r="M7" s="660"/>
      <c r="N7" s="663">
        <v>1.4500000000000001E-2</v>
      </c>
      <c r="O7" s="664">
        <v>1.2499999999999999E-2</v>
      </c>
      <c r="P7" s="468"/>
      <c r="Q7" s="468"/>
      <c r="R7" s="468"/>
      <c r="S7" s="468"/>
      <c r="T7" s="468"/>
      <c r="U7" s="468"/>
      <c r="V7" s="468"/>
      <c r="W7" s="468"/>
      <c r="X7" s="468"/>
      <c r="Y7" s="468"/>
      <c r="Z7" s="468"/>
      <c r="AA7" s="468"/>
      <c r="AB7" s="468"/>
      <c r="AC7" s="468"/>
      <c r="AD7" s="468"/>
      <c r="AE7" s="468"/>
      <c r="AF7" s="468"/>
      <c r="AG7" s="468"/>
    </row>
    <row r="8" spans="2:33" ht="33" customHeight="1" thickBot="1" x14ac:dyDescent="0.35">
      <c r="B8" s="468"/>
      <c r="C8" s="650"/>
      <c r="D8" s="467" t="s">
        <v>215</v>
      </c>
      <c r="E8" s="665"/>
      <c r="F8" s="665"/>
      <c r="G8" s="665"/>
      <c r="H8" s="666">
        <v>1.2E-2</v>
      </c>
      <c r="I8" s="665"/>
      <c r="J8" s="667">
        <v>1.2999999999999999E-2</v>
      </c>
      <c r="K8" s="665"/>
      <c r="L8" s="665"/>
      <c r="M8" s="665"/>
      <c r="N8" s="665"/>
      <c r="O8" s="6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</row>
    <row r="9" spans="2:33" ht="35.25" customHeight="1" x14ac:dyDescent="0.3">
      <c r="B9" s="468"/>
      <c r="C9" s="648" t="s">
        <v>41</v>
      </c>
      <c r="D9" s="466" t="s">
        <v>212</v>
      </c>
      <c r="E9" s="658"/>
      <c r="F9" s="658"/>
      <c r="G9" s="658" t="s">
        <v>812</v>
      </c>
      <c r="H9" s="658"/>
      <c r="I9" s="658" t="s">
        <v>808</v>
      </c>
      <c r="J9" s="658"/>
      <c r="K9" s="655"/>
      <c r="L9" s="655"/>
      <c r="M9" s="658" t="s">
        <v>813</v>
      </c>
      <c r="N9" s="658" t="s">
        <v>814</v>
      </c>
      <c r="O9" s="669" t="s">
        <v>811</v>
      </c>
      <c r="P9" s="468"/>
      <c r="Q9" s="468"/>
      <c r="R9" s="468"/>
      <c r="S9" s="468"/>
      <c r="T9" s="468"/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</row>
    <row r="10" spans="2:33" ht="35.25" customHeight="1" x14ac:dyDescent="0.3">
      <c r="B10" s="468"/>
      <c r="C10" s="649" t="s">
        <v>816</v>
      </c>
      <c r="D10" s="466" t="s">
        <v>213</v>
      </c>
      <c r="E10" s="660"/>
      <c r="F10" s="663"/>
      <c r="G10" s="663">
        <v>2.4550000000000002E-2</v>
      </c>
      <c r="H10" s="660"/>
      <c r="I10" s="663">
        <v>3.6999999999999998E-2</v>
      </c>
      <c r="J10" s="660"/>
      <c r="K10" s="660"/>
      <c r="L10" s="660"/>
      <c r="M10" s="660"/>
      <c r="N10" s="663">
        <v>1.5333333333333332E-2</v>
      </c>
      <c r="O10" s="670">
        <v>2.4E-2</v>
      </c>
      <c r="P10" s="468"/>
      <c r="Q10" s="468"/>
      <c r="R10" s="468"/>
      <c r="S10" s="468"/>
      <c r="T10" s="468"/>
      <c r="U10" s="468"/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</row>
    <row r="11" spans="2:33" ht="34.5" customHeight="1" x14ac:dyDescent="0.3">
      <c r="B11" s="468"/>
      <c r="C11" s="648"/>
      <c r="D11" s="464" t="s">
        <v>214</v>
      </c>
      <c r="E11" s="660"/>
      <c r="F11" s="660"/>
      <c r="G11" s="660"/>
      <c r="H11" s="660"/>
      <c r="I11" s="663" t="s">
        <v>808</v>
      </c>
      <c r="J11" s="663" t="s">
        <v>809</v>
      </c>
      <c r="K11" s="660"/>
      <c r="L11" s="660"/>
      <c r="M11" s="660"/>
      <c r="N11" s="663" t="s">
        <v>810</v>
      </c>
      <c r="O11" s="662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</row>
    <row r="12" spans="2:33" ht="35.25" customHeight="1" thickBot="1" x14ac:dyDescent="0.35">
      <c r="B12" s="468"/>
      <c r="C12" s="650"/>
      <c r="D12" s="467" t="s">
        <v>215</v>
      </c>
      <c r="E12" s="665"/>
      <c r="F12" s="665"/>
      <c r="G12" s="665"/>
      <c r="H12" s="665"/>
      <c r="I12" s="666">
        <v>2.2993915920411868E-2</v>
      </c>
      <c r="J12" s="665"/>
      <c r="K12" s="665"/>
      <c r="L12" s="665"/>
      <c r="M12" s="665"/>
      <c r="N12" s="665"/>
      <c r="O12" s="6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</row>
    <row r="13" spans="2:33" ht="35.25" customHeight="1" x14ac:dyDescent="0.3">
      <c r="B13" s="468"/>
      <c r="C13" s="648" t="s">
        <v>78</v>
      </c>
      <c r="D13" s="466" t="s">
        <v>212</v>
      </c>
      <c r="E13" s="657">
        <f>(0.013+0.014+0.014+0.016)/4</f>
        <v>1.4250000000000001E-2</v>
      </c>
      <c r="F13" s="657"/>
      <c r="G13" s="657"/>
      <c r="H13" s="657">
        <f>0.023</f>
        <v>2.3E-2</v>
      </c>
      <c r="I13" s="657">
        <v>1.7000000000000001E-2</v>
      </c>
      <c r="J13" s="657">
        <f>(0.015+0.0145+0.016+0.018+0.022)/5</f>
        <v>1.7099999999999997E-2</v>
      </c>
      <c r="K13" s="655"/>
      <c r="L13" s="655"/>
      <c r="M13" s="657"/>
      <c r="N13" s="657">
        <v>1.8749999999999999E-2</v>
      </c>
      <c r="O13" s="659"/>
      <c r="P13" s="468"/>
      <c r="Q13" s="468"/>
      <c r="R13" s="468"/>
      <c r="S13" s="468"/>
      <c r="T13" s="468"/>
      <c r="U13" s="468"/>
      <c r="V13" s="468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</row>
    <row r="14" spans="2:33" ht="35.25" customHeight="1" x14ac:dyDescent="0.3">
      <c r="B14" s="468"/>
      <c r="C14" s="649" t="s">
        <v>817</v>
      </c>
      <c r="D14" s="466" t="s">
        <v>213</v>
      </c>
      <c r="E14" s="660"/>
      <c r="F14" s="661">
        <v>1.2999999999999999E-2</v>
      </c>
      <c r="G14" s="660"/>
      <c r="H14" s="661">
        <f>(0.017+0.019+0.019)/3</f>
        <v>1.8333333333333337E-2</v>
      </c>
      <c r="I14" s="661">
        <v>0.01</v>
      </c>
      <c r="J14" s="661">
        <v>0.02</v>
      </c>
      <c r="K14" s="660"/>
      <c r="L14" s="660"/>
      <c r="M14" s="660"/>
      <c r="N14" s="660"/>
      <c r="O14" s="662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  <c r="AA14" s="468"/>
      <c r="AB14" s="468"/>
      <c r="AC14" s="468"/>
      <c r="AD14" s="468"/>
      <c r="AE14" s="468"/>
      <c r="AF14" s="468"/>
      <c r="AG14" s="468"/>
    </row>
    <row r="15" spans="2:33" ht="34.5" customHeight="1" x14ac:dyDescent="0.3">
      <c r="B15" s="468"/>
      <c r="C15" s="648"/>
      <c r="D15" s="464" t="s">
        <v>214</v>
      </c>
      <c r="E15" s="660"/>
      <c r="F15" s="660"/>
      <c r="G15" s="660"/>
      <c r="H15" s="660"/>
      <c r="I15" s="661">
        <f>(0.016+0.016+0.014+0.017+0.017+0.018+0.018+0.017+0.017)/9</f>
        <v>1.666666666666667E-2</v>
      </c>
      <c r="J15" s="660"/>
      <c r="K15" s="661"/>
      <c r="L15" s="661">
        <v>2.7E-2</v>
      </c>
      <c r="M15" s="660"/>
      <c r="N15" s="660"/>
      <c r="O15" s="662"/>
      <c r="P15" s="468"/>
      <c r="Q15" s="468"/>
      <c r="R15" s="468"/>
      <c r="S15" s="468"/>
      <c r="T15" s="468"/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68"/>
      <c r="AG15" s="468"/>
    </row>
    <row r="16" spans="2:33" ht="33" customHeight="1" thickBot="1" x14ac:dyDescent="0.35">
      <c r="B16" s="468"/>
      <c r="C16" s="651"/>
      <c r="D16" s="467" t="s">
        <v>213</v>
      </c>
      <c r="E16" s="665"/>
      <c r="F16" s="665"/>
      <c r="G16" s="665"/>
      <c r="H16" s="665"/>
      <c r="I16" s="665"/>
      <c r="J16" s="665"/>
      <c r="K16" s="666">
        <v>2.5999999999999999E-2</v>
      </c>
      <c r="L16" s="665"/>
      <c r="M16" s="665"/>
      <c r="N16" s="665"/>
      <c r="O16" s="6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</row>
    <row r="24" spans="5:70" x14ac:dyDescent="0.25">
      <c r="AU24" s="80"/>
      <c r="AV24" s="226"/>
      <c r="AX24" s="226"/>
      <c r="BC24" s="80"/>
      <c r="BE24" s="226"/>
      <c r="BF24" s="226"/>
      <c r="BI24" s="293"/>
    </row>
    <row r="25" spans="5:70" x14ac:dyDescent="0.25">
      <c r="AU25" s="80"/>
      <c r="AV25" s="226"/>
      <c r="AW25" s="226"/>
      <c r="AY25" s="80"/>
      <c r="BC25" s="80"/>
      <c r="BD25" s="226"/>
      <c r="BE25" s="226"/>
      <c r="BF25" s="226"/>
      <c r="BI25" s="80"/>
      <c r="BL25" s="226"/>
      <c r="BM25" s="226"/>
    </row>
    <row r="26" spans="5:70" x14ac:dyDescent="0.25">
      <c r="AV26" s="80"/>
      <c r="AX26" s="226"/>
      <c r="AZ26" s="80"/>
      <c r="BD26" s="80"/>
      <c r="BF26" s="226"/>
      <c r="BJ26" s="80"/>
      <c r="BK26" s="226"/>
    </row>
    <row r="27" spans="5:70" x14ac:dyDescent="0.25">
      <c r="AU27" s="61">
        <v>1</v>
      </c>
      <c r="AV27" s="61">
        <v>2</v>
      </c>
      <c r="AW27" s="61">
        <v>3</v>
      </c>
      <c r="AX27" s="61">
        <v>4</v>
      </c>
      <c r="AY27" s="61">
        <v>5</v>
      </c>
      <c r="AZ27" s="61">
        <v>6</v>
      </c>
      <c r="BA27" s="61">
        <v>7</v>
      </c>
      <c r="BB27" s="61">
        <v>8</v>
      </c>
      <c r="BC27" s="61">
        <v>9</v>
      </c>
      <c r="BD27" s="61">
        <v>10</v>
      </c>
      <c r="BE27" s="146">
        <v>11</v>
      </c>
      <c r="BF27" s="61">
        <v>12</v>
      </c>
      <c r="BG27" s="61">
        <v>13</v>
      </c>
      <c r="BH27" s="61">
        <v>14</v>
      </c>
      <c r="BI27" s="61">
        <v>15</v>
      </c>
      <c r="BJ27" s="61">
        <v>16</v>
      </c>
      <c r="BK27" s="61">
        <v>17</v>
      </c>
      <c r="BL27" s="61">
        <v>18</v>
      </c>
      <c r="BM27" s="61">
        <v>19</v>
      </c>
      <c r="BN27" s="61">
        <v>20</v>
      </c>
      <c r="BO27" s="43"/>
      <c r="BP27" s="43"/>
      <c r="BQ27" s="43"/>
      <c r="BR27" s="43"/>
    </row>
    <row r="28" spans="5:70" x14ac:dyDescent="0.25">
      <c r="AS28" s="55" t="s">
        <v>79</v>
      </c>
      <c r="AT28" s="55" t="s">
        <v>214</v>
      </c>
      <c r="AU28" s="55"/>
      <c r="AV28" s="252">
        <v>1.3333333333333334E-2</v>
      </c>
      <c r="AW28" s="55"/>
      <c r="AX28" s="252">
        <v>1.7500000000000002E-2</v>
      </c>
      <c r="AY28" s="55"/>
      <c r="AZ28" s="46"/>
      <c r="BA28" s="55"/>
      <c r="BB28" s="55"/>
      <c r="BC28" s="55"/>
      <c r="BD28" s="46"/>
      <c r="BE28" s="55"/>
      <c r="BF28" s="279">
        <v>1.44E-2</v>
      </c>
      <c r="BG28" s="55"/>
      <c r="BH28" s="55"/>
      <c r="BI28" s="55"/>
      <c r="BJ28" s="46"/>
      <c r="BK28" s="55"/>
      <c r="BL28" s="279">
        <v>1.4500000000000001E-2</v>
      </c>
      <c r="BM28" s="279">
        <v>1.2499999999999999E-2</v>
      </c>
      <c r="BN28" s="55"/>
      <c r="BO28" s="43"/>
      <c r="BP28" s="381"/>
      <c r="BQ28" s="404"/>
      <c r="BR28" s="381"/>
    </row>
    <row r="29" spans="5:70" x14ac:dyDescent="0.25">
      <c r="AT29" s="43" t="s">
        <v>215</v>
      </c>
      <c r="AU29" s="43"/>
      <c r="AV29" s="61"/>
      <c r="AW29" s="43"/>
      <c r="AX29" s="253">
        <v>1.2E-2</v>
      </c>
      <c r="AY29" s="43"/>
      <c r="AZ29" s="61"/>
      <c r="BA29" s="43"/>
      <c r="BB29" s="43"/>
      <c r="BC29" s="43"/>
      <c r="BD29" s="61"/>
      <c r="BE29" s="43"/>
      <c r="BF29" s="280">
        <v>1.2999999999999999E-2</v>
      </c>
      <c r="BG29" s="43"/>
      <c r="BH29" s="43"/>
      <c r="BI29" s="43"/>
      <c r="BJ29" s="61"/>
      <c r="BK29" s="43"/>
      <c r="BL29" s="43"/>
      <c r="BM29" s="43"/>
      <c r="BN29" s="43"/>
      <c r="BO29" s="43"/>
      <c r="BP29" s="381"/>
      <c r="BQ29" s="406"/>
      <c r="BR29" s="408"/>
    </row>
    <row r="30" spans="5:70" x14ac:dyDescent="0.25">
      <c r="E30" t="s">
        <v>315</v>
      </c>
      <c r="AS30" s="55" t="s">
        <v>41</v>
      </c>
      <c r="AT30" s="55" t="s">
        <v>214</v>
      </c>
      <c r="AU30" s="55"/>
      <c r="AV30" s="412"/>
      <c r="AW30" s="55"/>
      <c r="AX30" s="412"/>
      <c r="AY30" s="55"/>
      <c r="AZ30" s="46"/>
      <c r="BA30" s="55"/>
      <c r="BB30" s="55"/>
      <c r="BC30" s="55"/>
      <c r="BD30" s="46"/>
      <c r="BE30" s="265">
        <v>1.15E-2</v>
      </c>
      <c r="BF30" s="265">
        <v>1.4333333333333332E-2</v>
      </c>
      <c r="BG30" s="55"/>
      <c r="BH30" s="55"/>
      <c r="BI30" s="55"/>
      <c r="BJ30" s="46"/>
      <c r="BK30" s="55"/>
      <c r="BL30" s="265">
        <f>(0.01+0.011+0.016+0.014+0.011+0.011+0.014+0.015)/8</f>
        <v>1.2749999999999999E-2</v>
      </c>
      <c r="BM30" s="265">
        <v>9.4285714285714285E-3</v>
      </c>
      <c r="BN30" s="55"/>
      <c r="BO30" s="43"/>
      <c r="BP30" s="381"/>
      <c r="BQ30" s="404"/>
      <c r="BR30" s="381"/>
    </row>
    <row r="31" spans="5:70" x14ac:dyDescent="0.25">
      <c r="G31" s="80"/>
      <c r="H31" s="226"/>
      <c r="J31" s="226"/>
      <c r="O31" s="80"/>
      <c r="Q31" s="226"/>
      <c r="R31" s="226"/>
      <c r="U31" s="293"/>
      <c r="AT31" t="s">
        <v>215</v>
      </c>
      <c r="AU31" s="43"/>
      <c r="AV31" s="403"/>
      <c r="AW31" s="43"/>
      <c r="AX31" s="43"/>
      <c r="AY31" s="43"/>
      <c r="AZ31" s="61"/>
      <c r="BA31" s="43"/>
      <c r="BB31" s="43"/>
      <c r="BC31" s="43"/>
      <c r="BD31" s="61"/>
      <c r="BE31" s="261">
        <v>2.2993915920411868E-2</v>
      </c>
      <c r="BF31" s="43"/>
      <c r="BG31" s="43"/>
      <c r="BH31" s="43"/>
      <c r="BI31" s="43"/>
      <c r="BJ31" s="61"/>
      <c r="BK31" s="43"/>
      <c r="BL31" s="43"/>
      <c r="BM31" s="253">
        <v>2.4E-2</v>
      </c>
      <c r="BN31" s="43"/>
      <c r="BO31" s="43"/>
      <c r="BP31" s="381"/>
      <c r="BQ31" s="406"/>
      <c r="BR31" s="381"/>
    </row>
    <row r="32" spans="5:70" x14ac:dyDescent="0.25">
      <c r="E32" t="s">
        <v>313</v>
      </c>
      <c r="G32" s="80"/>
      <c r="H32" s="226"/>
      <c r="I32" s="226"/>
      <c r="K32" s="80"/>
      <c r="O32" s="80"/>
      <c r="P32" s="226"/>
      <c r="Q32" s="226"/>
      <c r="R32" s="226"/>
      <c r="U32" s="80"/>
      <c r="X32" s="226"/>
      <c r="Y32" s="226"/>
      <c r="AS32" s="55" t="s">
        <v>78</v>
      </c>
      <c r="AT32" s="55" t="s">
        <v>214</v>
      </c>
      <c r="AU32" s="46"/>
      <c r="AV32" s="407"/>
      <c r="AW32" s="55"/>
      <c r="AX32" s="278">
        <f>0.023</f>
        <v>2.3E-2</v>
      </c>
      <c r="AY32" s="46"/>
      <c r="AZ32" s="55"/>
      <c r="BA32" s="55"/>
      <c r="BB32" s="55"/>
      <c r="BC32" s="46"/>
      <c r="BD32" s="55"/>
      <c r="BE32" s="278">
        <f>(0.016+0.016+0.014+0.017+0.017+0.018+0.018+0.017+0.017)/9</f>
        <v>1.666666666666667E-2</v>
      </c>
      <c r="BF32" s="407"/>
      <c r="BG32" s="55"/>
      <c r="BH32" s="55"/>
      <c r="BI32" s="407"/>
      <c r="BJ32" s="278">
        <v>2.7E-2</v>
      </c>
      <c r="BK32" s="55"/>
      <c r="BL32" s="55"/>
      <c r="BM32" s="55"/>
      <c r="BN32" s="55"/>
      <c r="BO32" s="43"/>
      <c r="BP32" s="381"/>
      <c r="BQ32" s="404"/>
      <c r="BR32" s="381"/>
    </row>
    <row r="33" spans="4:71" x14ac:dyDescent="0.25">
      <c r="G33" t="s">
        <v>211</v>
      </c>
      <c r="H33" s="80"/>
      <c r="J33" s="226"/>
      <c r="L33" s="80"/>
      <c r="P33" s="80"/>
      <c r="R33" s="226"/>
      <c r="V33" s="80"/>
      <c r="W33" s="226">
        <f>W35-W36</f>
        <v>5.0000000000000044E-4</v>
      </c>
      <c r="AT33" s="43" t="s">
        <v>215</v>
      </c>
      <c r="AU33" s="61"/>
      <c r="AV33" s="253">
        <v>1.2999999999999999E-2</v>
      </c>
      <c r="AW33" s="43"/>
      <c r="AX33" s="261">
        <f>(0.017+0.019+0.019)/3</f>
        <v>1.8333333333333337E-2</v>
      </c>
      <c r="AY33" s="61"/>
      <c r="AZ33" s="43"/>
      <c r="BA33" s="43"/>
      <c r="BB33" s="43"/>
      <c r="BC33" s="61"/>
      <c r="BD33" s="43"/>
      <c r="BE33" s="43"/>
      <c r="BF33" s="43"/>
      <c r="BG33" s="43"/>
      <c r="BH33" s="43"/>
      <c r="BI33" s="253">
        <v>2.5999999999999999E-2</v>
      </c>
      <c r="BJ33" s="43"/>
      <c r="BK33" s="43"/>
      <c r="BL33" s="43"/>
      <c r="BM33" s="43"/>
      <c r="BN33" s="43"/>
      <c r="BO33" s="43"/>
      <c r="BP33" s="381"/>
      <c r="BQ33" s="406"/>
      <c r="BR33" s="381"/>
    </row>
    <row r="34" spans="4:71" x14ac:dyDescent="0.25">
      <c r="G34" s="61">
        <v>1</v>
      </c>
      <c r="H34" s="61">
        <v>2</v>
      </c>
      <c r="I34" s="61">
        <v>3</v>
      </c>
      <c r="J34" s="61">
        <v>4</v>
      </c>
      <c r="K34" s="59">
        <v>5</v>
      </c>
      <c r="L34" s="61">
        <v>6</v>
      </c>
      <c r="M34" s="61">
        <v>7</v>
      </c>
      <c r="N34" s="61">
        <v>8</v>
      </c>
      <c r="O34" s="61">
        <v>9</v>
      </c>
      <c r="P34" s="61">
        <v>10</v>
      </c>
      <c r="Q34" s="146">
        <v>11</v>
      </c>
      <c r="R34" s="61">
        <v>12</v>
      </c>
      <c r="S34" s="61">
        <v>13</v>
      </c>
      <c r="T34" s="61">
        <v>14</v>
      </c>
      <c r="U34" s="61">
        <v>15</v>
      </c>
      <c r="V34" s="61">
        <v>16</v>
      </c>
      <c r="W34" s="61">
        <v>17</v>
      </c>
      <c r="X34" s="61">
        <v>18</v>
      </c>
      <c r="Y34" s="61">
        <v>19</v>
      </c>
      <c r="Z34" s="59">
        <v>20</v>
      </c>
      <c r="AS34" s="61"/>
      <c r="AT34" s="61"/>
      <c r="AU34" s="61"/>
      <c r="AV34" s="403"/>
      <c r="AW34" s="61"/>
      <c r="AX34" s="403"/>
      <c r="AY34" s="61"/>
      <c r="AZ34" s="61"/>
      <c r="BA34" s="61"/>
      <c r="BB34" s="61"/>
      <c r="BC34" s="61"/>
      <c r="BD34" s="61"/>
      <c r="BE34" s="404"/>
      <c r="BF34" s="404"/>
      <c r="BG34" s="61"/>
      <c r="BH34" s="61"/>
      <c r="BI34" s="61"/>
      <c r="BJ34" s="61"/>
      <c r="BK34" s="61"/>
      <c r="BL34" s="405"/>
      <c r="BM34" s="404"/>
      <c r="BN34" s="61"/>
      <c r="BO34" s="61"/>
      <c r="BP34" s="404"/>
      <c r="BQ34" s="404"/>
      <c r="BR34" s="404"/>
      <c r="BS34" s="61"/>
    </row>
    <row r="35" spans="4:71" x14ac:dyDescent="0.25">
      <c r="E35" s="55" t="s">
        <v>79</v>
      </c>
      <c r="F35" s="55" t="s">
        <v>212</v>
      </c>
      <c r="G35" s="55"/>
      <c r="H35" s="46"/>
      <c r="I35" s="411">
        <f>(0.017+0.02)/2</f>
        <v>1.8500000000000003E-2</v>
      </c>
      <c r="J35" s="55"/>
      <c r="K35" s="99"/>
      <c r="L35" s="46"/>
      <c r="M35" s="55"/>
      <c r="N35" s="55"/>
      <c r="O35" s="55"/>
      <c r="P35" s="46"/>
      <c r="Q35" s="278">
        <v>1.2666666666666666E-2</v>
      </c>
      <c r="R35" s="278">
        <v>1.5333333333333332E-2</v>
      </c>
      <c r="S35" s="55"/>
      <c r="T35" s="55"/>
      <c r="U35" s="55"/>
      <c r="V35" s="46"/>
      <c r="W35" s="252">
        <v>1.2E-2</v>
      </c>
      <c r="X35" s="279">
        <v>1.1666666666666665E-2</v>
      </c>
      <c r="Y35" s="55"/>
      <c r="Z35" s="55"/>
      <c r="AA35" s="55"/>
      <c r="AB35" s="226"/>
      <c r="AC35" s="226"/>
      <c r="AS35" s="61"/>
      <c r="AT35" s="61"/>
      <c r="AU35" s="61"/>
      <c r="AV35" s="403"/>
      <c r="AW35" s="61"/>
      <c r="AX35" s="61"/>
      <c r="AY35" s="61"/>
      <c r="AZ35" s="61"/>
      <c r="BA35" s="61"/>
      <c r="BB35" s="61"/>
      <c r="BC35" s="61"/>
      <c r="BD35" s="61"/>
      <c r="BE35" s="405"/>
      <c r="BF35" s="61"/>
      <c r="BG35" s="61"/>
      <c r="BH35" s="61"/>
      <c r="BI35" s="61"/>
      <c r="BJ35" s="61"/>
      <c r="BK35" s="61"/>
      <c r="BL35" s="61"/>
      <c r="BM35" s="405"/>
      <c r="BN35" s="61"/>
      <c r="BO35" s="61"/>
      <c r="BP35" s="404"/>
      <c r="BQ35" s="406"/>
      <c r="BR35" s="404"/>
      <c r="BS35" s="61"/>
    </row>
    <row r="36" spans="4:71" x14ac:dyDescent="0.25">
      <c r="F36" t="s">
        <v>213</v>
      </c>
      <c r="H36" s="80"/>
      <c r="K36" s="133"/>
      <c r="L36" s="80"/>
      <c r="P36" s="80"/>
      <c r="V36" s="80"/>
      <c r="W36" s="253">
        <v>1.15E-2</v>
      </c>
      <c r="AB36" s="226"/>
      <c r="AC36" s="226"/>
      <c r="AS36" s="61"/>
      <c r="AT36" s="61"/>
      <c r="AU36" s="405"/>
      <c r="AV36" s="61"/>
      <c r="AW36" s="405"/>
      <c r="AX36" s="61"/>
      <c r="AY36" s="61"/>
      <c r="AZ36" s="61"/>
      <c r="BA36" s="61"/>
      <c r="BB36" s="61"/>
      <c r="BC36" s="61"/>
      <c r="BD36" s="61"/>
      <c r="BE36" s="405"/>
      <c r="BF36" s="405"/>
      <c r="BG36" s="61"/>
      <c r="BH36" s="61"/>
      <c r="BI36" s="61"/>
      <c r="BJ36" s="61"/>
      <c r="BK36" s="405"/>
      <c r="BL36" s="405"/>
      <c r="BM36" s="61"/>
      <c r="BN36" s="61"/>
      <c r="BO36" s="61"/>
      <c r="BP36" s="404"/>
      <c r="BQ36" s="404"/>
      <c r="BR36" s="404"/>
      <c r="BS36" s="61"/>
    </row>
    <row r="37" spans="4:71" x14ac:dyDescent="0.25">
      <c r="E37" s="55" t="s">
        <v>41</v>
      </c>
      <c r="F37" s="55" t="s">
        <v>212</v>
      </c>
      <c r="G37" s="412"/>
      <c r="H37" s="46"/>
      <c r="I37" s="265">
        <v>1.555E-2</v>
      </c>
      <c r="J37" s="55"/>
      <c r="K37" s="99"/>
      <c r="L37" s="247"/>
      <c r="M37" s="55"/>
      <c r="N37" s="55"/>
      <c r="O37" s="46"/>
      <c r="P37" s="55"/>
      <c r="Q37" s="265">
        <v>1.15E-2</v>
      </c>
      <c r="R37" s="412"/>
      <c r="S37" s="55"/>
      <c r="T37" s="55"/>
      <c r="U37" s="46"/>
      <c r="V37" s="55"/>
      <c r="W37" s="409">
        <f>(0.009)/1</f>
        <v>8.9999999999999993E-3</v>
      </c>
      <c r="X37" s="410">
        <v>1.35E-2</v>
      </c>
      <c r="Y37" s="55"/>
      <c r="Z37" s="55"/>
      <c r="AA37" s="55"/>
      <c r="AB37" s="226"/>
      <c r="AC37" s="226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405"/>
      <c r="BF37" s="405"/>
      <c r="BG37" s="61"/>
      <c r="BH37" s="61"/>
      <c r="BI37" s="61"/>
      <c r="BJ37" s="61"/>
      <c r="BK37" s="61"/>
      <c r="BL37" s="61"/>
      <c r="BM37" s="61"/>
      <c r="BN37" s="61"/>
      <c r="BO37" s="61"/>
      <c r="BP37" s="404"/>
      <c r="BQ37" s="404"/>
      <c r="BR37" s="404"/>
      <c r="BS37" s="61"/>
    </row>
    <row r="38" spans="4:71" x14ac:dyDescent="0.25">
      <c r="F38" t="s">
        <v>213</v>
      </c>
      <c r="G38" s="43"/>
      <c r="H38" s="61"/>
      <c r="I38" s="257">
        <v>2.4550000000000002E-2</v>
      </c>
      <c r="J38" s="43"/>
      <c r="K38" s="133"/>
      <c r="O38" s="80"/>
      <c r="Q38" s="257">
        <v>3.6999999999999998E-2</v>
      </c>
      <c r="R38" s="43"/>
      <c r="S38" s="43"/>
      <c r="T38" s="43"/>
      <c r="U38" s="61"/>
      <c r="V38" s="43"/>
      <c r="W38" s="43"/>
      <c r="X38" s="257">
        <v>1.5333333333333332E-2</v>
      </c>
      <c r="Z38" s="43"/>
      <c r="AB38" s="226"/>
      <c r="AC38" s="226"/>
    </row>
    <row r="39" spans="4:71" x14ac:dyDescent="0.25">
      <c r="E39" s="55" t="s">
        <v>78</v>
      </c>
      <c r="F39" s="55" t="s">
        <v>212</v>
      </c>
      <c r="G39" s="278">
        <f>(0.013+0.014+0.014+0.016)/4</f>
        <v>1.4250000000000001E-2</v>
      </c>
      <c r="H39" s="55"/>
      <c r="I39" s="407"/>
      <c r="J39" s="55"/>
      <c r="K39" s="84"/>
      <c r="L39" s="55"/>
      <c r="M39" s="55"/>
      <c r="N39" s="55"/>
      <c r="O39" s="46"/>
      <c r="P39" s="55"/>
      <c r="Q39" s="278">
        <v>1.7000000000000001E-2</v>
      </c>
      <c r="R39" s="278">
        <f>(0.015+0.0145+0.016+0.018+0.022)/5</f>
        <v>1.7099999999999997E-2</v>
      </c>
      <c r="S39" s="55"/>
      <c r="T39" s="55"/>
      <c r="U39" s="46"/>
      <c r="V39" s="55"/>
      <c r="W39" s="407"/>
      <c r="X39" s="252">
        <v>1.8749999999999999E-2</v>
      </c>
      <c r="Y39" s="55"/>
      <c r="Z39" s="55"/>
      <c r="AA39" s="55"/>
      <c r="AB39" s="226"/>
      <c r="AC39" s="226"/>
    </row>
    <row r="40" spans="4:71" x14ac:dyDescent="0.25">
      <c r="F40" t="s">
        <v>213</v>
      </c>
      <c r="G40" s="80"/>
      <c r="K40" s="59"/>
      <c r="O40" s="80"/>
      <c r="Q40" s="261">
        <v>0.01</v>
      </c>
      <c r="R40" s="261">
        <v>0.02</v>
      </c>
      <c r="U40" s="80"/>
      <c r="X40" s="43"/>
      <c r="AB40" s="226"/>
      <c r="AC40" s="226"/>
      <c r="AU40" s="80"/>
      <c r="AY40" s="80"/>
      <c r="BC40" s="80"/>
      <c r="BI40" s="80"/>
    </row>
    <row r="41" spans="4:71" x14ac:dyDescent="0.25">
      <c r="E41" s="61"/>
      <c r="F41" s="61"/>
      <c r="G41" s="61"/>
      <c r="H41" s="403"/>
      <c r="I41" s="61"/>
      <c r="J41" s="403"/>
      <c r="K41" s="61"/>
      <c r="L41" s="61"/>
      <c r="M41" s="61"/>
      <c r="N41" s="61"/>
      <c r="O41" s="61"/>
      <c r="P41" s="61"/>
      <c r="Q41" s="404"/>
      <c r="R41" s="404"/>
      <c r="S41" s="61"/>
      <c r="T41" s="61"/>
      <c r="U41" s="61"/>
      <c r="V41" s="61"/>
      <c r="W41" s="61"/>
      <c r="X41" s="405"/>
      <c r="Y41" s="404"/>
      <c r="Z41" s="61"/>
      <c r="AA41" s="61"/>
      <c r="AB41" s="404"/>
      <c r="AC41" s="404"/>
      <c r="AD41" s="404"/>
      <c r="AE41" s="61"/>
    </row>
    <row r="42" spans="4:71" x14ac:dyDescent="0.25">
      <c r="E42" s="61"/>
      <c r="F42" s="61"/>
      <c r="G42" s="61"/>
      <c r="H42" s="403"/>
      <c r="I42" s="61"/>
      <c r="J42" s="61"/>
      <c r="K42" s="61"/>
      <c r="L42" s="61"/>
      <c r="M42" s="61"/>
      <c r="N42" s="61"/>
      <c r="O42" s="61"/>
      <c r="P42" s="61"/>
      <c r="Q42" s="405"/>
      <c r="R42" s="61"/>
      <c r="S42" s="61"/>
      <c r="T42" s="61"/>
      <c r="U42" s="61"/>
      <c r="V42" s="61"/>
      <c r="W42" s="61"/>
      <c r="X42" s="61"/>
      <c r="Y42" s="405"/>
      <c r="Z42" s="61"/>
      <c r="AA42" s="61"/>
      <c r="AB42" s="404"/>
      <c r="AC42" s="406"/>
      <c r="AD42" s="404"/>
      <c r="AE42" s="61"/>
    </row>
    <row r="43" spans="4:71" x14ac:dyDescent="0.25"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T43" s="80"/>
      <c r="W43" s="226"/>
      <c r="X43" s="226"/>
      <c r="Y43" s="43"/>
      <c r="Z43" s="43"/>
      <c r="AA43" s="43"/>
      <c r="AB43" s="43"/>
      <c r="AC43" s="404"/>
      <c r="AD43" s="61"/>
      <c r="AE43" s="43"/>
      <c r="AF43" s="43"/>
      <c r="AG43" s="43"/>
    </row>
    <row r="44" spans="4:71" x14ac:dyDescent="0.25"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43"/>
      <c r="Z44" s="43"/>
      <c r="AA44" s="43"/>
      <c r="AB44" s="43"/>
      <c r="AC44" s="43"/>
      <c r="AD44" s="43"/>
      <c r="AE44" s="43"/>
      <c r="AF44" s="43"/>
      <c r="AG44" s="43"/>
    </row>
    <row r="45" spans="4:71" x14ac:dyDescent="0.25"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43"/>
      <c r="Z45" s="87"/>
      <c r="AA45" s="43"/>
      <c r="AB45" s="43"/>
      <c r="AC45" s="43"/>
      <c r="AD45" s="43"/>
      <c r="AE45" s="43"/>
      <c r="AF45" s="43"/>
      <c r="AG45" s="43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</row>
    <row r="46" spans="4:71" x14ac:dyDescent="0.25">
      <c r="D46" s="61"/>
      <c r="E46" s="61"/>
      <c r="F46" s="61"/>
      <c r="G46" s="61"/>
      <c r="H46" s="61"/>
      <c r="I46" s="61"/>
      <c r="J46" s="61"/>
      <c r="K46" s="61"/>
      <c r="L46" s="403"/>
      <c r="M46" s="61"/>
      <c r="N46" s="61"/>
      <c r="O46" s="61"/>
      <c r="P46" s="405"/>
      <c r="Q46" s="61"/>
      <c r="R46" s="61"/>
      <c r="S46" s="61"/>
      <c r="T46" s="61"/>
      <c r="U46" s="61"/>
      <c r="V46" s="61"/>
      <c r="W46" s="61"/>
      <c r="X46" s="61"/>
      <c r="Y46" s="43"/>
      <c r="Z46" s="43"/>
      <c r="AA46" s="458"/>
      <c r="AB46" s="458"/>
      <c r="AC46" s="458"/>
      <c r="AD46" s="458"/>
      <c r="AE46" s="458"/>
      <c r="AF46" s="458"/>
      <c r="AG46" s="43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</row>
    <row r="47" spans="4:71" x14ac:dyDescent="0.25">
      <c r="D47" s="61"/>
      <c r="E47" s="61"/>
      <c r="F47" s="61"/>
      <c r="G47" s="61"/>
      <c r="H47" s="405"/>
      <c r="I47" s="61"/>
      <c r="J47" s="405"/>
      <c r="K47" s="61"/>
      <c r="L47" s="403"/>
      <c r="M47" s="403"/>
      <c r="N47" s="61"/>
      <c r="O47" s="61"/>
      <c r="P47" s="405"/>
      <c r="Q47" s="405"/>
      <c r="R47" s="61"/>
      <c r="S47" s="405"/>
      <c r="T47" s="61"/>
      <c r="U47" s="61"/>
      <c r="V47" s="61"/>
      <c r="W47" s="61"/>
      <c r="X47" s="61"/>
      <c r="Y47" s="43"/>
      <c r="Z47" s="455"/>
      <c r="AA47" s="43"/>
      <c r="AB47" s="43"/>
      <c r="AC47" s="43"/>
      <c r="AD47" s="43"/>
      <c r="AE47" s="43"/>
      <c r="AF47" s="43"/>
      <c r="AG47" s="43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</row>
    <row r="48" spans="4:71" x14ac:dyDescent="0.25">
      <c r="W48" s="43"/>
      <c r="X48" s="43"/>
      <c r="Y48" s="43"/>
      <c r="Z48" s="43"/>
      <c r="AA48" s="43"/>
      <c r="AB48" s="43"/>
      <c r="AC48" s="43"/>
      <c r="AD48" s="43"/>
      <c r="AE48" s="43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</row>
    <row r="49" spans="5:69" x14ac:dyDescent="0.25">
      <c r="T49" t="s">
        <v>353</v>
      </c>
      <c r="U49" t="s">
        <v>320</v>
      </c>
      <c r="V49" t="s">
        <v>677</v>
      </c>
      <c r="W49" t="s">
        <v>320</v>
      </c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</row>
    <row r="50" spans="5:69" ht="15.75" thickBot="1" x14ac:dyDescent="0.3">
      <c r="E50">
        <v>1</v>
      </c>
      <c r="F50" s="80">
        <f t="shared" ref="F50:F69" si="0">COUNT(H50:S50)</f>
        <v>1</v>
      </c>
      <c r="G50" s="491">
        <v>1</v>
      </c>
      <c r="H50" s="55"/>
      <c r="J50" s="55"/>
      <c r="K50" s="320"/>
      <c r="L50" s="403"/>
      <c r="M50" s="43"/>
      <c r="N50" s="55"/>
      <c r="O50" s="320"/>
      <c r="P50" s="278">
        <f>(0.013+0.014+0.014+0.016)/4</f>
        <v>1.4250000000000001E-2</v>
      </c>
      <c r="Q50" s="80"/>
      <c r="R50" s="55"/>
      <c r="T50">
        <f>AVERAGE(H50:S50)</f>
        <v>1.4250000000000001E-2</v>
      </c>
      <c r="V50">
        <f>AVERAGE(H50:K50,M50,O50:S50)</f>
        <v>1.4250000000000001E-2</v>
      </c>
      <c r="Z50" s="43"/>
      <c r="AA50" s="458"/>
      <c r="AB50" s="458"/>
      <c r="AC50" s="458"/>
      <c r="AD50" s="458"/>
      <c r="AE50" s="458"/>
      <c r="AF50" s="458"/>
      <c r="AG50" s="43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</row>
    <row r="51" spans="5:69" ht="15.75" thickBot="1" x14ac:dyDescent="0.3">
      <c r="E51">
        <v>2</v>
      </c>
      <c r="F51" s="80">
        <f t="shared" si="0"/>
        <v>2</v>
      </c>
      <c r="G51" s="491">
        <v>2</v>
      </c>
      <c r="H51" s="407"/>
      <c r="I51" s="61"/>
      <c r="J51" s="252">
        <v>1.3333333333333334E-2</v>
      </c>
      <c r="K51" s="320"/>
      <c r="L51" s="403"/>
      <c r="M51" s="403"/>
      <c r="N51" s="55"/>
      <c r="O51" s="320"/>
      <c r="P51" s="407"/>
      <c r="Q51" s="405"/>
      <c r="R51" s="55"/>
      <c r="S51" s="253">
        <v>1.2999999999999999E-2</v>
      </c>
      <c r="T51" s="226">
        <f>AVERAGE(H51:S51)</f>
        <v>1.3166666666666667E-2</v>
      </c>
      <c r="U51">
        <f>_xlfn.STDEV.S(H51:S51)</f>
        <v>2.3570226039551688E-4</v>
      </c>
      <c r="V51">
        <f>AVERAGE(H51:K51,M51,O51:S51)</f>
        <v>1.3166666666666667E-2</v>
      </c>
      <c r="W51">
        <f>_xlfn.STDEV.S(H51:K51,M51,O51:S51)</f>
        <v>2.3570226039551688E-4</v>
      </c>
      <c r="Z51" s="455"/>
      <c r="AA51" s="43"/>
      <c r="AB51" s="43"/>
      <c r="AC51" s="43"/>
      <c r="AD51" s="43"/>
      <c r="AE51" s="43"/>
      <c r="AF51" s="43"/>
      <c r="AG51" s="43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</row>
    <row r="52" spans="5:69" ht="15.75" thickBot="1" x14ac:dyDescent="0.3">
      <c r="E52">
        <v>2</v>
      </c>
      <c r="F52" s="591">
        <f t="shared" si="0"/>
        <v>3</v>
      </c>
      <c r="G52" s="491">
        <v>3</v>
      </c>
      <c r="H52" s="411">
        <f>(0.017+0.02)/2</f>
        <v>1.8500000000000003E-2</v>
      </c>
      <c r="J52" s="55"/>
      <c r="K52" s="320"/>
      <c r="L52" s="262">
        <v>1.555E-2</v>
      </c>
      <c r="M52" s="257">
        <v>2.4550000000000002E-2</v>
      </c>
      <c r="N52" s="55"/>
      <c r="O52" s="320"/>
      <c r="P52" s="407"/>
      <c r="R52" s="55"/>
      <c r="T52" s="65">
        <f>AVERAGE(H52:S52)</f>
        <v>1.9533333333333337E-2</v>
      </c>
      <c r="U52">
        <f>_xlfn.STDEV.S(H52:S52)</f>
        <v>4.5881187139538279E-3</v>
      </c>
      <c r="V52">
        <f>AVERAGE(H52:K52,M52,O52:S52)</f>
        <v>2.1525000000000002E-2</v>
      </c>
      <c r="W52">
        <f>_xlfn.STDEV.S(H52:K52,M52,O52:S52)</f>
        <v>4.2779960261786123E-3</v>
      </c>
      <c r="Y52" s="87"/>
      <c r="Z52" s="87" t="s">
        <v>339</v>
      </c>
      <c r="AA52" s="80"/>
      <c r="AB52" s="80" t="s">
        <v>346</v>
      </c>
      <c r="AC52" s="80"/>
      <c r="AD52" s="80"/>
      <c r="AE52" s="80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</row>
    <row r="53" spans="5:69" ht="15.75" thickBot="1" x14ac:dyDescent="0.3">
      <c r="E53" s="318">
        <v>4</v>
      </c>
      <c r="F53" s="591">
        <f t="shared" si="0"/>
        <v>4</v>
      </c>
      <c r="G53" s="491">
        <v>4</v>
      </c>
      <c r="H53" s="407"/>
      <c r="I53" s="405"/>
      <c r="J53" s="504">
        <v>1.7500000000000002E-2</v>
      </c>
      <c r="K53" s="505">
        <v>1.2E-2</v>
      </c>
      <c r="L53" s="403"/>
      <c r="M53" s="43"/>
      <c r="N53" s="55"/>
      <c r="O53" s="320"/>
      <c r="P53" s="407"/>
      <c r="Q53" s="405"/>
      <c r="R53" s="278">
        <f>0.023</f>
        <v>2.3E-2</v>
      </c>
      <c r="S53" s="261">
        <f>(0.017+0.019+0.019)/3</f>
        <v>1.8333333333333337E-2</v>
      </c>
      <c r="T53" s="226">
        <f>AVERAGE(H53:S53)</f>
        <v>1.7708333333333336E-2</v>
      </c>
      <c r="U53">
        <f>_xlfn.STDEV.S(H53:S53)</f>
        <v>4.5100197092449263E-3</v>
      </c>
      <c r="V53">
        <f>AVERAGE(H53:K53,M53,O53:S53)</f>
        <v>1.7708333333333336E-2</v>
      </c>
      <c r="W53">
        <f>_xlfn.STDEV.S(H53:K53,M53,O53:S53)</f>
        <v>4.5100197092449263E-3</v>
      </c>
      <c r="Y53" s="80"/>
      <c r="Z53" s="80"/>
      <c r="AA53" s="457" t="s">
        <v>330</v>
      </c>
      <c r="AB53" s="457" t="s">
        <v>331</v>
      </c>
      <c r="AC53" s="457" t="s">
        <v>332</v>
      </c>
      <c r="AD53" s="457" t="s">
        <v>333</v>
      </c>
      <c r="AE53" s="459" t="s">
        <v>335</v>
      </c>
      <c r="AF53" s="459" t="s">
        <v>350</v>
      </c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</row>
    <row r="54" spans="5:69" ht="15.75" thickBot="1" x14ac:dyDescent="0.3">
      <c r="F54" s="80">
        <f t="shared" si="0"/>
        <v>0</v>
      </c>
      <c r="G54" s="491">
        <v>5</v>
      </c>
      <c r="H54" s="55"/>
      <c r="J54" s="55"/>
      <c r="K54" s="320"/>
      <c r="L54" s="43"/>
      <c r="N54" s="55"/>
      <c r="O54" s="320"/>
      <c r="P54" s="55"/>
      <c r="R54" s="55"/>
      <c r="Y54" s="455"/>
      <c r="Z54" s="455" t="s">
        <v>336</v>
      </c>
      <c r="AA54" s="80">
        <f>(1*(V50-V70)^2)+(2*(V51-V70)^2)+(2*(V52-V70)^2)+(4*(V53-V70)^2)+(6*(V60-V70)^2)+(5*(V61-V70)^2)+(1*(V64-V70)^2)+(1*(V65-V70)^2)+(2*(V66-V70)^2)+(4*(V67-V70)^2)+(2*(V68-V70)^2)</f>
        <v>3.6730650752369351E-4</v>
      </c>
      <c r="AB54" s="80">
        <f>11-1</f>
        <v>10</v>
      </c>
      <c r="AC54" s="80">
        <f>AA54/AB54</f>
        <v>3.6730650752369352E-5</v>
      </c>
      <c r="AD54" s="80">
        <f>AC54/AC55</f>
        <v>1.0416778711674548</v>
      </c>
      <c r="AE54" s="80">
        <v>2.38</v>
      </c>
      <c r="AF54">
        <f>FDIST(AD54,AB54,AB55)</f>
        <v>0.44810127741500727</v>
      </c>
    </row>
    <row r="55" spans="5:69" ht="15.75" thickBot="1" x14ac:dyDescent="0.3">
      <c r="F55" s="80">
        <f t="shared" si="0"/>
        <v>0</v>
      </c>
      <c r="G55" s="491">
        <v>6</v>
      </c>
      <c r="H55" s="55"/>
      <c r="J55" s="55"/>
      <c r="K55" s="320"/>
      <c r="L55" s="43"/>
      <c r="N55" s="55"/>
      <c r="O55" s="320"/>
      <c r="P55" s="55"/>
      <c r="R55" s="55"/>
      <c r="X55" s="61"/>
      <c r="Y55" s="455"/>
      <c r="Z55" s="455" t="s">
        <v>337</v>
      </c>
      <c r="AA55" s="80">
        <f>((1-1)*(0^2))+((2-1)*(W51^2))+((2-1)*(W52^2))+((4-1)*(W53^2))+((6-1)*(W60^2))+((5-1)*(W61^2))+((1-1)*(0^2))+((1-1)*(0^2))+((2-1)*(W66^2))+((4-1)*(W67^2))+((2-1)*(W68^2))</f>
        <v>6.69959863420032E-4</v>
      </c>
      <c r="AB55" s="80">
        <f>(F70-8)-11</f>
        <v>19</v>
      </c>
      <c r="AC55" s="80">
        <f>AA55/AB55</f>
        <v>3.5261045443159577E-5</v>
      </c>
      <c r="AD55" s="80"/>
      <c r="AE55" s="80" t="s">
        <v>345</v>
      </c>
    </row>
    <row r="56" spans="5:69" ht="15.75" thickBot="1" x14ac:dyDescent="0.3">
      <c r="F56" s="80">
        <f t="shared" si="0"/>
        <v>0</v>
      </c>
      <c r="G56" s="491">
        <v>7</v>
      </c>
      <c r="H56" s="55"/>
      <c r="J56" s="55"/>
      <c r="K56" s="320"/>
      <c r="L56" s="43"/>
      <c r="N56" s="55"/>
      <c r="O56" s="320"/>
      <c r="P56" s="55"/>
      <c r="R56" s="55"/>
      <c r="X56" s="61"/>
      <c r="Y56" s="455"/>
      <c r="Z56" s="455" t="s">
        <v>341</v>
      </c>
      <c r="AA56" s="80">
        <f>AA54+AA55</f>
        <v>1.0372663709437256E-3</v>
      </c>
      <c r="AB56" s="80"/>
      <c r="AC56" s="80"/>
      <c r="AD56" s="80"/>
      <c r="AE56" s="80"/>
    </row>
    <row r="57" spans="5:69" ht="15.75" thickBot="1" x14ac:dyDescent="0.3">
      <c r="F57" s="80">
        <f t="shared" si="0"/>
        <v>0</v>
      </c>
      <c r="G57" s="491">
        <v>8</v>
      </c>
      <c r="H57" s="55"/>
      <c r="J57" s="55"/>
      <c r="K57" s="320"/>
      <c r="L57" s="43"/>
      <c r="N57" s="55"/>
      <c r="O57" s="320"/>
      <c r="P57" s="55"/>
      <c r="R57" s="55"/>
      <c r="X57" s="61"/>
    </row>
    <row r="58" spans="5:69" ht="15.75" thickBot="1" x14ac:dyDescent="0.3">
      <c r="F58" s="80">
        <f t="shared" si="0"/>
        <v>0</v>
      </c>
      <c r="G58" s="491">
        <v>9</v>
      </c>
      <c r="H58" s="55"/>
      <c r="J58" s="55"/>
      <c r="K58" s="320"/>
      <c r="L58" s="43"/>
      <c r="N58" s="55"/>
      <c r="O58" s="320"/>
      <c r="P58" s="55"/>
      <c r="R58" s="55"/>
      <c r="X58" s="61"/>
    </row>
    <row r="59" spans="5:69" ht="15.75" thickBot="1" x14ac:dyDescent="0.3">
      <c r="F59" s="80">
        <f t="shared" si="0"/>
        <v>0</v>
      </c>
      <c r="G59" s="491">
        <v>10</v>
      </c>
      <c r="H59" s="55"/>
      <c r="J59" s="55"/>
      <c r="K59" s="320"/>
      <c r="L59" s="43"/>
      <c r="N59" s="55"/>
      <c r="O59" s="320"/>
      <c r="P59" s="55"/>
      <c r="R59" s="55"/>
      <c r="X59" s="61"/>
      <c r="Z59" t="s">
        <v>676</v>
      </c>
    </row>
    <row r="60" spans="5:69" ht="15.75" thickBot="1" x14ac:dyDescent="0.3">
      <c r="E60" s="318">
        <v>6</v>
      </c>
      <c r="F60" s="591">
        <f t="shared" si="0"/>
        <v>8</v>
      </c>
      <c r="G60" s="502">
        <v>11</v>
      </c>
      <c r="H60" s="278">
        <v>1.2666666666666666E-2</v>
      </c>
      <c r="J60" s="55"/>
      <c r="K60" s="320"/>
      <c r="L60" s="262">
        <v>1.15E-2</v>
      </c>
      <c r="M60" s="257">
        <v>3.6999999999999998E-2</v>
      </c>
      <c r="N60" s="265">
        <v>1.15E-2</v>
      </c>
      <c r="O60" s="503">
        <v>2.2993915920411868E-2</v>
      </c>
      <c r="P60" s="278">
        <v>1.7000000000000001E-2</v>
      </c>
      <c r="Q60" s="261">
        <v>0.01</v>
      </c>
      <c r="R60" s="278">
        <f>(0.016+0.016+0.014+0.017+0.017+0.018+0.018+0.017+0.017)/9</f>
        <v>1.666666666666667E-2</v>
      </c>
      <c r="T60">
        <f>AVERAGE(H60:S60)</f>
        <v>1.7415906156718147E-2</v>
      </c>
      <c r="U60">
        <f>_xlfn.STDEV.S(H60:S60)</f>
        <v>8.9676569124850624E-3</v>
      </c>
      <c r="V60" s="226">
        <f>AVERAGE(H60:K60,M60,O60:S60)</f>
        <v>1.9387874875624198E-2</v>
      </c>
      <c r="W60">
        <f>_xlfn.STDEV.S(H60:K60,M60,O60:S60)</f>
        <v>9.6912768861490296E-3</v>
      </c>
      <c r="X60" s="61"/>
      <c r="Y60" s="87"/>
      <c r="Z60" s="87" t="s">
        <v>339</v>
      </c>
      <c r="AA60" s="80"/>
      <c r="AB60" s="80" t="s">
        <v>346</v>
      </c>
      <c r="AC60" s="80"/>
      <c r="AD60" s="80"/>
      <c r="AE60" s="80"/>
    </row>
    <row r="61" spans="5:69" ht="15.75" thickBot="1" x14ac:dyDescent="0.3">
      <c r="E61" s="318">
        <v>5</v>
      </c>
      <c r="F61" s="591">
        <f t="shared" si="0"/>
        <v>6</v>
      </c>
      <c r="G61" s="491">
        <v>12</v>
      </c>
      <c r="H61" s="278">
        <v>1.5333333333333332E-2</v>
      </c>
      <c r="J61" s="279">
        <v>1.44E-2</v>
      </c>
      <c r="K61" s="501">
        <v>1.2999999999999999E-2</v>
      </c>
      <c r="L61" s="403"/>
      <c r="M61" s="43"/>
      <c r="N61" s="265">
        <v>1.4333333333333332E-2</v>
      </c>
      <c r="O61" s="320"/>
      <c r="P61" s="278">
        <f>(0.015+0.0145+0.016+0.018+0.022)/5</f>
        <v>1.7099999999999997E-2</v>
      </c>
      <c r="Q61" s="261">
        <v>0.02</v>
      </c>
      <c r="R61" s="55"/>
      <c r="T61">
        <f>AVERAGE(H61:S61)</f>
        <v>1.5694444444444445E-2</v>
      </c>
      <c r="U61">
        <f>_xlfn.STDEV.S(H61:S61)</f>
        <v>2.5072709082600963E-3</v>
      </c>
      <c r="V61">
        <f>AVERAGE(H61:K61,M61,O61:S61)</f>
        <v>1.5966666666666664E-2</v>
      </c>
      <c r="W61">
        <f>_xlfn.STDEV.S(H61:K61,M61,O61:S61)</f>
        <v>2.7022624266014993E-3</v>
      </c>
      <c r="X61" s="61"/>
      <c r="Y61" s="80"/>
      <c r="Z61" s="80"/>
      <c r="AA61" s="457" t="s">
        <v>330</v>
      </c>
      <c r="AB61" s="457" t="s">
        <v>331</v>
      </c>
      <c r="AC61" s="457" t="s">
        <v>332</v>
      </c>
      <c r="AD61" s="457" t="s">
        <v>333</v>
      </c>
      <c r="AE61" s="459" t="s">
        <v>335</v>
      </c>
      <c r="AF61" s="459" t="s">
        <v>350</v>
      </c>
    </row>
    <row r="62" spans="5:69" ht="15.75" thickBot="1" x14ac:dyDescent="0.3">
      <c r="F62" s="80">
        <f t="shared" si="0"/>
        <v>0</v>
      </c>
      <c r="G62" s="491">
        <v>13</v>
      </c>
      <c r="H62" s="55"/>
      <c r="J62" s="55"/>
      <c r="K62" s="320"/>
      <c r="L62" s="43"/>
      <c r="N62" s="55"/>
      <c r="O62" s="320"/>
      <c r="P62" s="55"/>
      <c r="R62" s="55"/>
      <c r="X62" s="61"/>
      <c r="Y62" s="455"/>
      <c r="Z62" s="455" t="s">
        <v>336</v>
      </c>
      <c r="AA62" s="80">
        <f>(4*(V53-V70)^2)+(6*(V60-V70)^2)+(5*(V61-V70)^2)+(4*(V67-V70)^2)</f>
        <v>5.671241480514742E-5</v>
      </c>
      <c r="AB62" s="80">
        <f>4-1</f>
        <v>3</v>
      </c>
      <c r="AC62" s="80">
        <f>AA62/AB62</f>
        <v>1.8904138268382472E-5</v>
      </c>
      <c r="AD62" s="80">
        <f>AC62/AC63</f>
        <v>0.48442913249697017</v>
      </c>
      <c r="AE62" s="80">
        <v>3.29</v>
      </c>
      <c r="AF62">
        <f>FDIST(AD62,AB62,AB63)</f>
        <v>0.69810576488089593</v>
      </c>
    </row>
    <row r="63" spans="5:69" ht="15.75" thickBot="1" x14ac:dyDescent="0.3">
      <c r="F63" s="80">
        <f t="shared" si="0"/>
        <v>0</v>
      </c>
      <c r="G63" s="491">
        <v>14</v>
      </c>
      <c r="H63" s="55"/>
      <c r="J63" s="55"/>
      <c r="K63" s="320"/>
      <c r="L63" s="43"/>
      <c r="N63" s="55"/>
      <c r="O63" s="320"/>
      <c r="P63" s="55"/>
      <c r="R63" s="55"/>
      <c r="X63" s="61"/>
      <c r="Y63" s="455"/>
      <c r="Z63" s="455" t="s">
        <v>337</v>
      </c>
      <c r="AA63" s="80">
        <f>((4-1)*(W53^2))+((6-1)*(W60^2))+((5-1)*(W61^2))+((4-1)*(W67^2))</f>
        <v>5.8535305786447638E-4</v>
      </c>
      <c r="AB63" s="80">
        <f>(4+6+5+4)-4</f>
        <v>15</v>
      </c>
      <c r="AC63" s="80">
        <f>AA63/AB63</f>
        <v>3.9023537190965094E-5</v>
      </c>
      <c r="AD63" s="80"/>
      <c r="AE63" s="80" t="s">
        <v>345</v>
      </c>
    </row>
    <row r="64" spans="5:69" ht="15.75" thickBot="1" x14ac:dyDescent="0.3">
      <c r="F64" s="80">
        <f t="shared" si="0"/>
        <v>1</v>
      </c>
      <c r="G64" s="491">
        <v>15</v>
      </c>
      <c r="H64" s="55"/>
      <c r="I64" s="43"/>
      <c r="J64" s="55"/>
      <c r="K64" s="320"/>
      <c r="L64" s="43"/>
      <c r="M64" s="43"/>
      <c r="N64" s="55"/>
      <c r="O64" s="320"/>
      <c r="P64" s="407"/>
      <c r="Q64" s="405"/>
      <c r="R64" s="407"/>
      <c r="S64" s="253">
        <v>2.5999999999999999E-2</v>
      </c>
      <c r="T64">
        <f>AVERAGE(H64:S64)</f>
        <v>2.5999999999999999E-2</v>
      </c>
      <c r="V64">
        <f>AVERAGE(H64:K64,M64,O64:S64)</f>
        <v>2.5999999999999999E-2</v>
      </c>
      <c r="X64" s="61"/>
      <c r="Y64" s="455"/>
      <c r="Z64" s="455" t="s">
        <v>341</v>
      </c>
      <c r="AA64" s="80">
        <f>AA62+AA63</f>
        <v>6.4206547266962375E-4</v>
      </c>
      <c r="AB64" s="80"/>
      <c r="AC64" s="80"/>
      <c r="AD64" s="80"/>
      <c r="AE64" s="80"/>
    </row>
    <row r="65" spans="4:45" ht="15.75" thickBot="1" x14ac:dyDescent="0.3">
      <c r="F65" s="80">
        <f t="shared" si="0"/>
        <v>1</v>
      </c>
      <c r="G65" s="491">
        <v>16</v>
      </c>
      <c r="H65" s="46"/>
      <c r="I65" s="61"/>
      <c r="J65" s="55"/>
      <c r="K65" s="320"/>
      <c r="L65" s="61"/>
      <c r="M65" s="61"/>
      <c r="N65" s="55"/>
      <c r="O65" s="320"/>
      <c r="P65" s="407"/>
      <c r="Q65" s="61"/>
      <c r="R65" s="278">
        <v>2.7E-2</v>
      </c>
      <c r="S65" s="43"/>
      <c r="T65">
        <f>AVERAGE(H65:S65)</f>
        <v>2.7E-2</v>
      </c>
      <c r="V65">
        <f>AVERAGE(H65:K65,M65,O65:S65)</f>
        <v>2.7E-2</v>
      </c>
      <c r="X65" s="61"/>
      <c r="Y65" s="61"/>
      <c r="Z65" s="61"/>
      <c r="AA65" s="61"/>
      <c r="AB65" s="61"/>
      <c r="AC65" s="61"/>
      <c r="AD65" s="61"/>
      <c r="AE65" s="61"/>
      <c r="AF65" s="61"/>
    </row>
    <row r="66" spans="4:45" ht="15.75" thickBot="1" x14ac:dyDescent="0.3">
      <c r="E66">
        <v>2</v>
      </c>
      <c r="F66" s="591">
        <f t="shared" si="0"/>
        <v>3</v>
      </c>
      <c r="G66" s="491">
        <v>17</v>
      </c>
      <c r="H66" s="252">
        <v>1.2E-2</v>
      </c>
      <c r="I66" s="253">
        <v>1.15E-2</v>
      </c>
      <c r="J66" s="55"/>
      <c r="K66" s="320"/>
      <c r="L66" s="498">
        <f>(0.009)/1</f>
        <v>8.9999999999999993E-3</v>
      </c>
      <c r="M66" s="43"/>
      <c r="N66" s="55"/>
      <c r="O66" s="320"/>
      <c r="P66" s="407"/>
      <c r="R66" s="55"/>
      <c r="T66" s="226">
        <f>AVERAGE(H66:S66)</f>
        <v>1.0833333333333334E-2</v>
      </c>
      <c r="U66">
        <f>_xlfn.STDEV.S(H66:S66)</f>
        <v>1.6072751268321596E-3</v>
      </c>
      <c r="V66">
        <f>AVERAGE(H66:K66,M66,O66:S66)</f>
        <v>1.175E-2</v>
      </c>
      <c r="W66">
        <f>_xlfn.STDEV.S(H66:K66,M66,O66:S66)</f>
        <v>3.5355339059327408E-4</v>
      </c>
      <c r="X66" s="61"/>
      <c r="Y66" s="87"/>
      <c r="Z66" s="61"/>
      <c r="AA66" s="61"/>
      <c r="AB66" s="61"/>
      <c r="AC66" s="61"/>
      <c r="AD66" s="61"/>
      <c r="AE66" s="61"/>
      <c r="AF66" s="61"/>
    </row>
    <row r="67" spans="4:45" ht="15.75" thickBot="1" x14ac:dyDescent="0.3">
      <c r="E67" s="318">
        <v>4</v>
      </c>
      <c r="F67" s="591">
        <f t="shared" si="0"/>
        <v>6</v>
      </c>
      <c r="G67" s="491">
        <v>18</v>
      </c>
      <c r="H67" s="279">
        <v>1.1666666666666665E-2</v>
      </c>
      <c r="J67" s="279">
        <v>1.4500000000000001E-2</v>
      </c>
      <c r="K67" s="320"/>
      <c r="L67" s="499">
        <v>1.35E-2</v>
      </c>
      <c r="M67" s="257">
        <v>1.5333333333333332E-2</v>
      </c>
      <c r="N67" s="265">
        <f>(0.01+0.011+0.016+0.014+0.011+0.011+0.014+0.015)/8</f>
        <v>1.2749999999999999E-2</v>
      </c>
      <c r="O67" s="320"/>
      <c r="P67" s="252">
        <v>1.8749999999999999E-2</v>
      </c>
      <c r="Q67" s="43"/>
      <c r="R67" s="55"/>
      <c r="T67" s="226">
        <f>AVERAGE(H67:S67)</f>
        <v>1.4416666666666666E-2</v>
      </c>
      <c r="U67">
        <f>_xlfn.STDEV.S(H67:S67)</f>
        <v>2.4821585588175286E-3</v>
      </c>
      <c r="V67">
        <f>AVERAGE(H67:K67,M67,O67:S67)</f>
        <v>1.50625E-2</v>
      </c>
      <c r="W67">
        <f>_xlfn.STDEV.S(H67:K67,M67,O67:S67)</f>
        <v>2.9165674586302203E-3</v>
      </c>
      <c r="X67" s="61"/>
      <c r="Y67" s="61"/>
      <c r="Z67" s="458"/>
      <c r="AA67" s="458"/>
      <c r="AB67" s="458"/>
      <c r="AC67" s="458"/>
      <c r="AD67" s="458"/>
      <c r="AE67" s="458"/>
      <c r="AF67" s="61"/>
    </row>
    <row r="68" spans="4:45" ht="15.75" thickBot="1" x14ac:dyDescent="0.3">
      <c r="E68">
        <v>2</v>
      </c>
      <c r="F68" s="591">
        <f t="shared" si="0"/>
        <v>3</v>
      </c>
      <c r="G68" s="491">
        <v>19</v>
      </c>
      <c r="H68" s="500"/>
      <c r="I68" s="43"/>
      <c r="J68" s="279">
        <v>1.2499999999999999E-2</v>
      </c>
      <c r="K68" s="320"/>
      <c r="L68" s="262">
        <v>9.4285714285714285E-3</v>
      </c>
      <c r="M68" s="253">
        <v>2.4E-2</v>
      </c>
      <c r="N68" s="55"/>
      <c r="O68" s="320"/>
      <c r="P68" s="55"/>
      <c r="R68" s="55"/>
      <c r="T68" s="226">
        <f>AVERAGE(H68:S68)</f>
        <v>1.5309523809523809E-2</v>
      </c>
      <c r="U68">
        <f>_xlfn.STDEV.S(H68:S68)</f>
        <v>7.6812564519271216E-3</v>
      </c>
      <c r="V68">
        <f>AVERAGE(H68:K68,M68,O68:S68)</f>
        <v>1.8249999999999999E-2</v>
      </c>
      <c r="W68">
        <f>_xlfn.STDEV.S(H68:K68,M68,O68:S68)</f>
        <v>8.1317279836453024E-3</v>
      </c>
      <c r="X68" s="61"/>
      <c r="Y68" s="455"/>
      <c r="Z68" s="61"/>
      <c r="AA68" s="61"/>
      <c r="AB68" s="61"/>
      <c r="AC68" s="61"/>
      <c r="AD68" s="61"/>
      <c r="AE68" s="61"/>
      <c r="AF68" s="61"/>
    </row>
    <row r="69" spans="4:45" ht="15.75" thickBot="1" x14ac:dyDescent="0.3">
      <c r="F69" s="80">
        <f t="shared" si="0"/>
        <v>0</v>
      </c>
      <c r="G69" s="491">
        <v>20</v>
      </c>
      <c r="H69" s="55"/>
      <c r="J69" s="55"/>
      <c r="K69" s="320"/>
      <c r="L69" s="43"/>
      <c r="N69" s="55"/>
      <c r="O69" s="320"/>
      <c r="P69" s="55"/>
      <c r="R69" s="55"/>
      <c r="X69" s="61"/>
      <c r="Y69" s="455"/>
      <c r="Z69" s="61"/>
      <c r="AA69" s="61"/>
      <c r="AB69" s="61"/>
      <c r="AC69" s="61"/>
      <c r="AD69" s="61"/>
      <c r="AE69" s="61"/>
      <c r="AF69" s="61"/>
    </row>
    <row r="70" spans="4:45" x14ac:dyDescent="0.25">
      <c r="E70" s="80">
        <f>SUM(E50:E69)</f>
        <v>28</v>
      </c>
      <c r="F70" s="80">
        <f>SUM(F50:F69)</f>
        <v>38</v>
      </c>
      <c r="T70" s="226">
        <f>AVERAGE(H50:S69)</f>
        <v>1.6353661947780266E-2</v>
      </c>
      <c r="U70">
        <f>_xlfn.STDEV.S(H50:S68)</f>
        <v>5.8104371876752849E-3</v>
      </c>
      <c r="V70" s="226">
        <f>AVERAGE(H50:K69,M50:M69,O50:S69)</f>
        <v>1.7462574975124844E-2</v>
      </c>
      <c r="W70">
        <f>_xlfn.STDEV.S(H50:K69,M50:M69,O50:S69)</f>
        <v>5.9806191899009079E-3</v>
      </c>
      <c r="X70" s="61"/>
      <c r="Y70" s="455"/>
      <c r="Z70" s="61"/>
      <c r="AA70" s="61"/>
      <c r="AB70" s="61"/>
      <c r="AC70" s="61"/>
      <c r="AD70" s="61"/>
      <c r="AE70" s="61"/>
      <c r="AF70" s="61"/>
    </row>
    <row r="71" spans="4:45" x14ac:dyDescent="0.25">
      <c r="X71" s="61"/>
      <c r="Y71" s="61"/>
      <c r="Z71" s="61"/>
      <c r="AA71" s="61"/>
      <c r="AB71" s="61"/>
      <c r="AC71" s="61"/>
      <c r="AD71" s="61"/>
      <c r="AE71" s="61"/>
      <c r="AF71" s="61"/>
    </row>
    <row r="73" spans="4:45" x14ac:dyDescent="0.25"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</row>
    <row r="74" spans="4:45" ht="15.75" thickBot="1" x14ac:dyDescent="0.3">
      <c r="D74" s="61"/>
      <c r="E74" s="61"/>
      <c r="F74" s="61"/>
      <c r="G74" s="61"/>
      <c r="H74" s="61"/>
      <c r="I74" s="61"/>
      <c r="J74" s="146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X74" s="320"/>
      <c r="Y74" s="320"/>
      <c r="Z74" s="491">
        <v>1</v>
      </c>
      <c r="AA74" s="491">
        <v>2</v>
      </c>
      <c r="AB74" s="491">
        <v>3</v>
      </c>
      <c r="AC74" s="491">
        <v>4</v>
      </c>
      <c r="AD74" s="491">
        <v>5</v>
      </c>
      <c r="AE74" s="491">
        <v>6</v>
      </c>
      <c r="AF74" s="491">
        <v>7</v>
      </c>
      <c r="AG74" s="491">
        <v>8</v>
      </c>
      <c r="AH74" s="491">
        <v>9</v>
      </c>
      <c r="AI74" s="491">
        <v>10</v>
      </c>
      <c r="AJ74" s="502">
        <v>11</v>
      </c>
      <c r="AK74" s="491">
        <v>12</v>
      </c>
      <c r="AL74" s="491">
        <v>13</v>
      </c>
      <c r="AM74" s="491">
        <v>14</v>
      </c>
      <c r="AN74" s="491">
        <v>15</v>
      </c>
      <c r="AO74" s="491">
        <v>16</v>
      </c>
      <c r="AP74" s="491">
        <v>17</v>
      </c>
      <c r="AQ74" s="491">
        <v>18</v>
      </c>
      <c r="AR74" s="491">
        <v>19</v>
      </c>
      <c r="AS74" s="491">
        <v>20</v>
      </c>
    </row>
    <row r="75" spans="4:45" x14ac:dyDescent="0.25">
      <c r="D75" s="61"/>
      <c r="E75" s="61"/>
      <c r="F75" s="61"/>
      <c r="G75" s="61"/>
      <c r="H75" s="61"/>
      <c r="I75" s="61"/>
      <c r="J75" s="405"/>
      <c r="K75" s="405"/>
      <c r="L75" s="61"/>
      <c r="M75" s="61"/>
      <c r="N75" s="61"/>
      <c r="O75" s="61"/>
      <c r="P75" s="405"/>
      <c r="Q75" s="404"/>
      <c r="R75" s="404"/>
      <c r="S75" s="61"/>
      <c r="T75" s="61"/>
      <c r="U75" s="61"/>
      <c r="V75" s="61"/>
      <c r="X75" s="55" t="s">
        <v>79</v>
      </c>
      <c r="Y75" s="55" t="s">
        <v>212</v>
      </c>
      <c r="Z75" s="55"/>
      <c r="AA75" s="407"/>
      <c r="AB75" s="411">
        <f>(0.017+0.02)/2</f>
        <v>1.8500000000000003E-2</v>
      </c>
      <c r="AC75" s="407"/>
      <c r="AD75" s="55"/>
      <c r="AE75" s="55"/>
      <c r="AF75" s="55"/>
      <c r="AG75" s="55"/>
      <c r="AH75" s="55"/>
      <c r="AI75" s="55"/>
      <c r="AJ75" s="278">
        <v>1.2666666666666666E-2</v>
      </c>
      <c r="AK75" s="278">
        <v>1.5333333333333332E-2</v>
      </c>
      <c r="AL75" s="55"/>
      <c r="AM75" s="55"/>
      <c r="AN75" s="55"/>
      <c r="AO75" s="46"/>
      <c r="AP75" s="252">
        <v>1.2E-2</v>
      </c>
      <c r="AQ75" s="279">
        <v>1.1666666666666665E-2</v>
      </c>
      <c r="AR75" s="500"/>
      <c r="AS75" s="55"/>
    </row>
    <row r="76" spans="4:45" x14ac:dyDescent="0.25"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405"/>
      <c r="Q76" s="61"/>
      <c r="R76" s="61"/>
      <c r="S76" s="61"/>
      <c r="T76" s="61"/>
      <c r="U76" s="61"/>
      <c r="V76" s="61"/>
      <c r="Y76" t="s">
        <v>213</v>
      </c>
      <c r="AA76" s="61"/>
      <c r="AC76" s="405"/>
      <c r="AN76" s="43"/>
      <c r="AO76" s="61"/>
      <c r="AP76" s="253">
        <v>1.15E-2</v>
      </c>
      <c r="AR76" s="43"/>
    </row>
    <row r="77" spans="4:45" x14ac:dyDescent="0.25">
      <c r="D77" s="61"/>
      <c r="E77" s="61"/>
      <c r="F77" s="61"/>
      <c r="G77" s="61"/>
      <c r="H77" s="61"/>
      <c r="I77" s="61"/>
      <c r="J77" s="61"/>
      <c r="K77" s="404"/>
      <c r="L77" s="61"/>
      <c r="M77" s="61"/>
      <c r="N77" s="61"/>
      <c r="O77" s="61"/>
      <c r="P77" s="61"/>
      <c r="Q77" s="404"/>
      <c r="R77" s="404"/>
      <c r="S77" s="61"/>
      <c r="T77" s="61"/>
      <c r="U77" s="61"/>
      <c r="V77" s="61"/>
      <c r="Y77" s="55" t="s">
        <v>214</v>
      </c>
      <c r="Z77" s="55"/>
      <c r="AA77" s="252">
        <v>1.3333333333333334E-2</v>
      </c>
      <c r="AB77" s="55"/>
      <c r="AC77" s="504">
        <v>1.7500000000000002E-2</v>
      </c>
      <c r="AD77" s="55"/>
      <c r="AE77" s="55"/>
      <c r="AF77" s="55"/>
      <c r="AG77" s="55"/>
      <c r="AH77" s="55"/>
      <c r="AI77" s="55"/>
      <c r="AJ77" s="55"/>
      <c r="AK77" s="279">
        <v>1.44E-2</v>
      </c>
      <c r="AL77" s="55"/>
      <c r="AM77" s="55"/>
      <c r="AN77" s="55"/>
      <c r="AO77" s="55"/>
      <c r="AP77" s="55"/>
      <c r="AQ77" s="279">
        <v>1.4500000000000001E-2</v>
      </c>
      <c r="AR77" s="279">
        <v>1.2499999999999999E-2</v>
      </c>
      <c r="AS77" s="55"/>
    </row>
    <row r="78" spans="4:45" ht="15.75" thickBot="1" x14ac:dyDescent="0.3">
      <c r="D78" s="61"/>
      <c r="E78" s="61"/>
      <c r="F78" s="61"/>
      <c r="G78" s="61"/>
      <c r="H78" s="61"/>
      <c r="I78" s="61"/>
      <c r="J78" s="61"/>
      <c r="K78" s="404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X78" s="320"/>
      <c r="Y78" s="320" t="s">
        <v>215</v>
      </c>
      <c r="Z78" s="320"/>
      <c r="AA78" s="320"/>
      <c r="AB78" s="320"/>
      <c r="AC78" s="505">
        <v>1.2E-2</v>
      </c>
      <c r="AD78" s="320"/>
      <c r="AE78" s="320"/>
      <c r="AF78" s="320"/>
      <c r="AG78" s="320"/>
      <c r="AH78" s="320"/>
      <c r="AI78" s="320"/>
      <c r="AJ78" s="320"/>
      <c r="AK78" s="501">
        <v>1.2999999999999999E-2</v>
      </c>
      <c r="AL78" s="320"/>
      <c r="AM78" s="320"/>
      <c r="AN78" s="320"/>
      <c r="AO78" s="320"/>
      <c r="AP78" s="320"/>
      <c r="AQ78" s="320"/>
      <c r="AR78" s="320"/>
      <c r="AS78" s="320"/>
    </row>
    <row r="79" spans="4:45" x14ac:dyDescent="0.25">
      <c r="D79" s="61"/>
      <c r="E79" s="61"/>
      <c r="F79" s="61"/>
      <c r="G79" s="61"/>
      <c r="H79" s="61"/>
      <c r="I79" s="61"/>
      <c r="J79" s="404"/>
      <c r="K79" s="403"/>
      <c r="L79" s="455"/>
      <c r="U79" s="61"/>
      <c r="V79" s="61"/>
      <c r="X79" s="43" t="s">
        <v>41</v>
      </c>
      <c r="Y79" s="43" t="s">
        <v>212</v>
      </c>
      <c r="Z79" s="403"/>
      <c r="AA79" s="403"/>
      <c r="AB79" s="262">
        <v>1.555E-2</v>
      </c>
      <c r="AC79" s="403"/>
      <c r="AD79" s="43"/>
      <c r="AE79" s="43"/>
      <c r="AF79" s="43"/>
      <c r="AG79" s="43"/>
      <c r="AH79" s="43"/>
      <c r="AI79" s="43"/>
      <c r="AJ79" s="262">
        <v>1.15E-2</v>
      </c>
      <c r="AK79" s="403"/>
      <c r="AL79" s="43"/>
      <c r="AM79" s="43"/>
      <c r="AN79" s="43"/>
      <c r="AO79" s="61"/>
      <c r="AP79" s="498">
        <f>(0.009)/1</f>
        <v>8.9999999999999993E-3</v>
      </c>
      <c r="AQ79" s="499">
        <v>1.35E-2</v>
      </c>
      <c r="AR79" s="262">
        <v>9.4285714285714285E-3</v>
      </c>
      <c r="AS79" s="43"/>
    </row>
    <row r="80" spans="4:45" ht="15.75" thickBot="1" x14ac:dyDescent="0.3">
      <c r="D80" s="61"/>
      <c r="E80" s="61"/>
      <c r="F80" s="61"/>
      <c r="G80" s="61"/>
      <c r="H80" s="61"/>
      <c r="I80" s="61"/>
      <c r="J80" s="403"/>
      <c r="K80" s="61"/>
      <c r="L80" s="455"/>
      <c r="N80" s="87" t="s">
        <v>339</v>
      </c>
      <c r="P80" t="s">
        <v>347</v>
      </c>
      <c r="U80" s="61"/>
      <c r="V80" s="61"/>
      <c r="Y80" t="s">
        <v>213</v>
      </c>
      <c r="Z80" s="43"/>
      <c r="AA80" s="403"/>
      <c r="AB80" s="257">
        <v>2.4550000000000002E-2</v>
      </c>
      <c r="AC80" s="43"/>
      <c r="AJ80" s="257">
        <v>3.6999999999999998E-2</v>
      </c>
      <c r="AK80" s="43"/>
      <c r="AN80" s="43"/>
      <c r="AO80" s="61"/>
      <c r="AP80" s="43"/>
      <c r="AQ80" s="257">
        <v>1.5333333333333332E-2</v>
      </c>
      <c r="AR80" s="253">
        <v>2.4E-2</v>
      </c>
    </row>
    <row r="81" spans="4:47" x14ac:dyDescent="0.25">
      <c r="D81" s="61"/>
      <c r="E81" s="61"/>
      <c r="F81" s="61"/>
      <c r="G81" s="61"/>
      <c r="H81" s="61"/>
      <c r="I81" s="61"/>
      <c r="J81" s="404"/>
      <c r="K81" s="404"/>
      <c r="L81" s="455"/>
      <c r="O81" s="457" t="s">
        <v>330</v>
      </c>
      <c r="P81" s="457" t="s">
        <v>331</v>
      </c>
      <c r="Q81" s="457" t="s">
        <v>332</v>
      </c>
      <c r="R81" s="457" t="s">
        <v>333</v>
      </c>
      <c r="S81" s="459" t="s">
        <v>335</v>
      </c>
      <c r="T81" s="459" t="s">
        <v>350</v>
      </c>
      <c r="U81" s="61"/>
      <c r="V81" s="61"/>
      <c r="Y81" s="55" t="s">
        <v>214</v>
      </c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265">
        <v>1.15E-2</v>
      </c>
      <c r="AK81" s="265">
        <v>1.4333333333333332E-2</v>
      </c>
      <c r="AL81" s="55"/>
      <c r="AM81" s="55"/>
      <c r="AN81" s="55"/>
      <c r="AO81" s="55"/>
      <c r="AP81" s="55"/>
      <c r="AQ81" s="265">
        <f>(0.01+0.011+0.016+0.014+0.011+0.011+0.014+0.015)/8</f>
        <v>1.2749999999999999E-2</v>
      </c>
      <c r="AR81" s="55"/>
      <c r="AS81" s="55"/>
    </row>
    <row r="82" spans="4:47" ht="15.75" thickBot="1" x14ac:dyDescent="0.3">
      <c r="D82" s="61"/>
      <c r="E82" s="61"/>
      <c r="F82" s="61"/>
      <c r="G82" s="61"/>
      <c r="H82" s="61"/>
      <c r="I82" s="61"/>
      <c r="J82" s="405"/>
      <c r="K82" s="61"/>
      <c r="L82" s="455"/>
      <c r="N82" s="455" t="s">
        <v>336</v>
      </c>
      <c r="O82">
        <f>(13*(N88-M88)^2)+(13*(O88-M88)^2)+(12*(P88-M88)^2)</f>
        <v>1.4484695651094932E-4</v>
      </c>
      <c r="P82">
        <f>3-1</f>
        <v>2</v>
      </c>
      <c r="Q82">
        <f>O82/P82</f>
        <v>7.2423478255474659E-5</v>
      </c>
      <c r="R82">
        <f>Q82/Q83</f>
        <v>2.2953756874652953</v>
      </c>
      <c r="S82">
        <v>3.27</v>
      </c>
      <c r="T82">
        <f>FDIST(R82,P82,P83)</f>
        <v>0.11569118093698107</v>
      </c>
      <c r="U82" s="61"/>
      <c r="V82" s="61"/>
      <c r="X82" s="320"/>
      <c r="Y82" s="320" t="s">
        <v>215</v>
      </c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503">
        <v>2.2993915920411868E-2</v>
      </c>
      <c r="AK82" s="320"/>
      <c r="AL82" s="320"/>
      <c r="AM82" s="320"/>
      <c r="AN82" s="320"/>
      <c r="AO82" s="320"/>
      <c r="AP82" s="320"/>
      <c r="AQ82" s="320"/>
      <c r="AR82" s="320"/>
      <c r="AS82" s="320"/>
    </row>
    <row r="83" spans="4:47" x14ac:dyDescent="0.25">
      <c r="D83" s="61"/>
      <c r="E83" s="61"/>
      <c r="F83" s="61"/>
      <c r="G83" s="61"/>
      <c r="H83" s="61"/>
      <c r="I83" s="61"/>
      <c r="J83" s="405"/>
      <c r="K83" s="405"/>
      <c r="L83" s="61"/>
      <c r="N83" s="455" t="s">
        <v>337</v>
      </c>
      <c r="O83">
        <f>((13-1)*(S89^2))+((13-1)*(T89^2))+((12-1)*(U89^2))</f>
        <v>1.1043167150300915E-3</v>
      </c>
      <c r="P83">
        <f>(13+13+12)-3</f>
        <v>35</v>
      </c>
      <c r="Q83">
        <f>O83/P83</f>
        <v>3.1551906143716902E-5</v>
      </c>
      <c r="S83" t="s">
        <v>345</v>
      </c>
      <c r="X83" s="55" t="s">
        <v>78</v>
      </c>
      <c r="Y83" s="55" t="s">
        <v>212</v>
      </c>
      <c r="Z83" s="278">
        <f>(0.013+0.014+0.014+0.016)/4</f>
        <v>1.4250000000000001E-2</v>
      </c>
      <c r="AA83" s="407"/>
      <c r="AB83" s="407"/>
      <c r="AC83" s="407"/>
      <c r="AD83" s="55"/>
      <c r="AE83" s="55"/>
      <c r="AF83" s="55"/>
      <c r="AG83" s="55"/>
      <c r="AH83" s="55"/>
      <c r="AI83" s="55"/>
      <c r="AJ83" s="278">
        <v>1.7000000000000001E-2</v>
      </c>
      <c r="AK83" s="278">
        <f>(0.015+0.0145+0.016+0.018+0.022)/5</f>
        <v>1.7099999999999997E-2</v>
      </c>
      <c r="AL83" s="55"/>
      <c r="AM83" s="55"/>
      <c r="AN83" s="407"/>
      <c r="AO83" s="407"/>
      <c r="AP83" s="407"/>
      <c r="AQ83" s="252">
        <v>1.8749999999999999E-2</v>
      </c>
      <c r="AR83" s="55"/>
      <c r="AS83" s="55"/>
    </row>
    <row r="84" spans="4:47" x14ac:dyDescent="0.25">
      <c r="D84" s="61"/>
      <c r="E84" s="61"/>
      <c r="F84" s="61"/>
      <c r="G84" s="61"/>
      <c r="H84" s="61"/>
      <c r="I84" s="61"/>
      <c r="J84" s="405"/>
      <c r="K84" s="405"/>
      <c r="L84" s="61"/>
      <c r="N84" s="455" t="s">
        <v>341</v>
      </c>
      <c r="O84">
        <f>O82+O83</f>
        <v>1.2491636715410408E-3</v>
      </c>
      <c r="Y84" t="s">
        <v>213</v>
      </c>
      <c r="Z84" s="80"/>
      <c r="AA84" s="405"/>
      <c r="AC84" s="405"/>
      <c r="AJ84" s="261">
        <v>0.01</v>
      </c>
      <c r="AK84" s="261">
        <v>0.02</v>
      </c>
      <c r="AN84" s="405"/>
      <c r="AO84" s="61"/>
      <c r="AQ84" s="43"/>
    </row>
    <row r="85" spans="4:47" x14ac:dyDescent="0.25">
      <c r="D85" s="61"/>
      <c r="E85" s="61"/>
      <c r="F85" s="61"/>
      <c r="G85" s="61"/>
      <c r="H85" s="61"/>
      <c r="I85" s="61"/>
      <c r="J85" s="405"/>
      <c r="K85" s="61"/>
      <c r="L85" s="61"/>
      <c r="Y85" s="55" t="s">
        <v>214</v>
      </c>
      <c r="Z85" s="55"/>
      <c r="AA85" s="55"/>
      <c r="AB85" s="55"/>
      <c r="AC85" s="278">
        <f>0.023</f>
        <v>2.3E-2</v>
      </c>
      <c r="AD85" s="55"/>
      <c r="AE85" s="55"/>
      <c r="AF85" s="55"/>
      <c r="AG85" s="55"/>
      <c r="AH85" s="55"/>
      <c r="AI85" s="55"/>
      <c r="AJ85" s="278">
        <f>(0.016+0.016+0.014+0.017+0.017+0.018+0.018+0.017+0.017)/9</f>
        <v>1.666666666666667E-2</v>
      </c>
      <c r="AK85" s="55"/>
      <c r="AL85" s="55"/>
      <c r="AM85" s="55"/>
      <c r="AN85" s="407"/>
      <c r="AO85" s="278">
        <v>2.7E-2</v>
      </c>
      <c r="AP85" s="55"/>
      <c r="AQ85" s="55"/>
      <c r="AR85" s="55"/>
      <c r="AS85" s="55"/>
    </row>
    <row r="86" spans="4:47" x14ac:dyDescent="0.25">
      <c r="D86" s="61"/>
      <c r="E86" s="61"/>
      <c r="F86" s="61"/>
      <c r="G86" s="61"/>
      <c r="H86" s="61"/>
      <c r="I86" s="61"/>
      <c r="J86" s="61"/>
      <c r="K86" s="61"/>
      <c r="L86" s="61"/>
      <c r="Q86" s="458" t="s">
        <v>320</v>
      </c>
      <c r="Y86" t="s">
        <v>215</v>
      </c>
      <c r="AA86" s="253">
        <v>1.2999999999999999E-2</v>
      </c>
      <c r="AC86" s="261">
        <f>(0.017+0.019+0.019)/3</f>
        <v>1.8333333333333337E-2</v>
      </c>
      <c r="AN86" s="253">
        <v>2.5999999999999999E-2</v>
      </c>
      <c r="AO86" s="43"/>
    </row>
    <row r="87" spans="4:47" x14ac:dyDescent="0.25">
      <c r="D87" s="61"/>
      <c r="E87" s="61"/>
      <c r="F87" s="61"/>
      <c r="G87" s="61"/>
      <c r="H87" s="61"/>
      <c r="I87" s="61"/>
      <c r="J87" s="404"/>
      <c r="K87" s="61"/>
      <c r="L87" s="458"/>
      <c r="M87" s="458" t="s">
        <v>340</v>
      </c>
      <c r="N87" s="458" t="s">
        <v>342</v>
      </c>
      <c r="O87" s="458" t="s">
        <v>343</v>
      </c>
      <c r="P87" s="458" t="s">
        <v>344</v>
      </c>
      <c r="R87" s="460" t="s">
        <v>340</v>
      </c>
      <c r="S87" s="460" t="s">
        <v>342</v>
      </c>
      <c r="T87" s="460" t="s">
        <v>343</v>
      </c>
      <c r="U87" s="460" t="s">
        <v>344</v>
      </c>
      <c r="X87" t="s">
        <v>316</v>
      </c>
      <c r="Y87" t="s">
        <v>217</v>
      </c>
      <c r="AA87" s="226">
        <f>MEDIAN(AA75:AA78)</f>
        <v>1.3333333333333334E-2</v>
      </c>
      <c r="AB87">
        <f>MEDIAN(AB75:AB78)</f>
        <v>1.8500000000000003E-2</v>
      </c>
      <c r="AC87" s="226">
        <f>MEDIAN($AC$75:$AC$78)</f>
        <v>1.4750000000000001E-2</v>
      </c>
      <c r="AJ87">
        <f>MEDIAN(AJ75:AJ78)</f>
        <v>1.2666666666666666E-2</v>
      </c>
      <c r="AK87">
        <f>MEDIAN(AK75:AK78)</f>
        <v>1.44E-2</v>
      </c>
      <c r="AP87" s="226">
        <f>MEDIAN(AP75:AP78)</f>
        <v>1.175E-2</v>
      </c>
      <c r="AQ87" s="227">
        <f>MEDIAN(AQ75:AQ78)</f>
        <v>1.3083333333333332E-2</v>
      </c>
      <c r="AR87">
        <f>MEDIAN(AR75:AR78)</f>
        <v>1.2499999999999999E-2</v>
      </c>
    </row>
    <row r="88" spans="4:47" x14ac:dyDescent="0.25">
      <c r="D88" s="61"/>
      <c r="E88" s="61"/>
      <c r="F88" s="61"/>
      <c r="G88" s="61"/>
      <c r="H88" s="61"/>
      <c r="I88" s="61"/>
      <c r="J88" s="61"/>
      <c r="K88" s="404"/>
      <c r="L88" s="61"/>
      <c r="M88">
        <f>(SUM(Z75:AS86))/(13+13+12)</f>
        <v>1.6353661947780266E-2</v>
      </c>
      <c r="N88">
        <f>(SUM(Z75:AS78))/13</f>
        <v>1.3761538461538464E-2</v>
      </c>
      <c r="O88">
        <f>(SUM(Z79:AS82))/13</f>
        <v>1.7033781078126923E-2</v>
      </c>
      <c r="P88">
        <f>(SUM(Z83:AS86))/12</f>
        <v>1.8425E-2</v>
      </c>
      <c r="R88" s="100"/>
      <c r="S88" s="100"/>
      <c r="T88" s="100"/>
      <c r="U88" s="100"/>
      <c r="Y88" t="s">
        <v>218</v>
      </c>
      <c r="Z88" s="226"/>
      <c r="AA88" s="226"/>
      <c r="AB88" s="226">
        <f>MEDIAN(AB79:AB82)</f>
        <v>2.0050000000000002E-2</v>
      </c>
      <c r="AC88" s="226"/>
      <c r="AD88" s="226"/>
      <c r="AE88" s="226"/>
      <c r="AF88" s="226"/>
      <c r="AG88" s="226"/>
      <c r="AH88" s="226"/>
      <c r="AI88" s="226"/>
      <c r="AJ88" s="226">
        <f>MEDIAN(AJ79:AJ82)</f>
        <v>1.7246957960205936E-2</v>
      </c>
      <c r="AK88" s="226">
        <f>MEDIAN(AK79:AK82)</f>
        <v>1.4333333333333332E-2</v>
      </c>
      <c r="AL88" s="226"/>
      <c r="AM88" s="226"/>
      <c r="AN88" s="226"/>
      <c r="AO88" s="226"/>
      <c r="AP88" s="226">
        <f>MEDIAN(AP79:AP82)</f>
        <v>8.9999999999999993E-3</v>
      </c>
      <c r="AQ88" s="227">
        <f>MEDIAN(AQ79:AQ82)</f>
        <v>1.35E-2</v>
      </c>
      <c r="AR88" s="226">
        <f>MEDIAN(AR79:AR82)</f>
        <v>1.6714285714285716E-2</v>
      </c>
      <c r="AS88" s="226"/>
    </row>
    <row r="89" spans="4:47" x14ac:dyDescent="0.25">
      <c r="D89" s="61"/>
      <c r="E89" s="61"/>
      <c r="F89" s="61"/>
      <c r="G89" s="61"/>
      <c r="H89" s="61"/>
      <c r="I89" s="61"/>
      <c r="J89" s="61"/>
      <c r="K89" s="61"/>
      <c r="L89" s="61"/>
      <c r="Q89" t="s">
        <v>348</v>
      </c>
      <c r="R89">
        <f>_xlfn.STDEV.S(Z75:AS86)</f>
        <v>5.8104371876752893E-3</v>
      </c>
      <c r="S89">
        <f>_xlfn.STDEV.S(Z75:AS78)</f>
        <v>2.2195197242349095E-3</v>
      </c>
      <c r="T89">
        <f>_xlfn.STDEV.S(Z79:AS82)</f>
        <v>7.9898118066384395E-3</v>
      </c>
      <c r="U89">
        <f>_xlfn.STDEV.S(Z83:AS86)</f>
        <v>5.0376436491035787E-3</v>
      </c>
      <c r="Y89" t="s">
        <v>219</v>
      </c>
      <c r="Z89" s="226">
        <f>MEDIAN(Z83:Z85)</f>
        <v>1.4250000000000001E-2</v>
      </c>
      <c r="AA89" s="226"/>
      <c r="AB89" s="226"/>
      <c r="AC89" s="226">
        <f>MEDIAN(AC83:AC85)</f>
        <v>2.3E-2</v>
      </c>
      <c r="AD89" s="226"/>
      <c r="AE89" s="226"/>
      <c r="AF89" s="226"/>
      <c r="AG89" s="226"/>
      <c r="AH89" s="226"/>
      <c r="AI89" s="226"/>
      <c r="AJ89" s="226">
        <f>MEDIAN(AJ83:AJ85)</f>
        <v>1.666666666666667E-2</v>
      </c>
      <c r="AK89" s="226">
        <f>MEDIAN(AK83:AK85)</f>
        <v>1.8549999999999997E-2</v>
      </c>
      <c r="AL89" s="226"/>
      <c r="AM89" s="226"/>
      <c r="AN89" s="226"/>
      <c r="AO89" s="226">
        <f>MEDIAN(AO83:AO85)</f>
        <v>2.7E-2</v>
      </c>
      <c r="AP89" s="226"/>
      <c r="AQ89" s="227">
        <f>MEDIAN(AQ83:AQ85)</f>
        <v>1.8749999999999999E-2</v>
      </c>
      <c r="AR89" s="226"/>
      <c r="AS89" s="226"/>
    </row>
    <row r="90" spans="4:47" x14ac:dyDescent="0.25">
      <c r="D90" s="61"/>
      <c r="E90" s="61"/>
      <c r="F90" s="61"/>
      <c r="G90" s="61"/>
      <c r="H90" s="61"/>
      <c r="I90" s="61"/>
      <c r="J90" s="61"/>
      <c r="K90" s="61"/>
      <c r="L90" s="61"/>
      <c r="X90" t="s">
        <v>317</v>
      </c>
      <c r="Y90" t="s">
        <v>217</v>
      </c>
      <c r="Z90" s="55"/>
      <c r="AA90" s="454">
        <f>AVERAGE(AA75:AA78)</f>
        <v>1.3333333333333334E-2</v>
      </c>
      <c r="AB90" s="454">
        <f>AVERAGE(AB75:AB78)</f>
        <v>1.8500000000000003E-2</v>
      </c>
      <c r="AC90" s="454">
        <f>AVERAGE(AC75:AC78)</f>
        <v>1.4750000000000001E-2</v>
      </c>
      <c r="AD90" s="454"/>
      <c r="AE90" s="454"/>
      <c r="AF90" s="454"/>
      <c r="AG90" s="454"/>
      <c r="AH90" s="454"/>
      <c r="AI90" s="454"/>
      <c r="AJ90" s="454">
        <f>AVERAGE(AJ75:AJ78)</f>
        <v>1.2666666666666666E-2</v>
      </c>
      <c r="AK90" s="454">
        <f>AVERAGE(AK75:AK78)</f>
        <v>1.4244444444444443E-2</v>
      </c>
      <c r="AL90" s="454"/>
      <c r="AM90" s="454"/>
      <c r="AN90" s="454"/>
      <c r="AO90" s="454"/>
      <c r="AP90" s="454">
        <f>AVERAGE(AP75:AP78)</f>
        <v>1.175E-2</v>
      </c>
      <c r="AQ90" s="454">
        <f>AVERAGE(AQ75:AQ78)</f>
        <v>1.3083333333333332E-2</v>
      </c>
      <c r="AR90" s="454">
        <f>AVERAGE(AR75:AR78)</f>
        <v>1.2499999999999999E-2</v>
      </c>
      <c r="AS90" s="454"/>
    </row>
    <row r="91" spans="4:47" x14ac:dyDescent="0.25">
      <c r="D91" s="61"/>
      <c r="E91" s="61"/>
      <c r="F91" s="61"/>
      <c r="G91" s="61"/>
      <c r="H91" s="61"/>
      <c r="I91" s="61"/>
      <c r="J91" s="61"/>
      <c r="K91" s="61"/>
      <c r="Y91" t="s">
        <v>218</v>
      </c>
      <c r="Z91" s="226"/>
      <c r="AA91" s="226"/>
      <c r="AB91" s="226">
        <f>AVERAGE(AB79:AB82)</f>
        <v>2.0050000000000002E-2</v>
      </c>
      <c r="AC91" s="226"/>
      <c r="AD91" s="226"/>
      <c r="AE91" s="226"/>
      <c r="AF91" s="226"/>
      <c r="AG91" s="226"/>
      <c r="AH91" s="226"/>
      <c r="AI91" s="226"/>
      <c r="AJ91" s="226">
        <f>AVERAGE(AJ79:AJ82)</f>
        <v>2.0748478980102965E-2</v>
      </c>
      <c r="AK91" s="226">
        <f>AVERAGE(AK79:AK82)</f>
        <v>1.4333333333333332E-2</v>
      </c>
      <c r="AL91" s="226"/>
      <c r="AM91" s="226"/>
      <c r="AN91" s="226"/>
      <c r="AO91" s="226"/>
      <c r="AP91" s="226">
        <f>AVERAGE(AP79:AP82)</f>
        <v>8.9999999999999993E-3</v>
      </c>
      <c r="AQ91" s="226">
        <f>AVERAGE(AQ79:AQ82)</f>
        <v>1.3861111111111111E-2</v>
      </c>
      <c r="AR91" s="226">
        <f>AVERAGE(AR79:AR82)</f>
        <v>1.6714285714285716E-2</v>
      </c>
      <c r="AS91" s="226"/>
    </row>
    <row r="92" spans="4:47" x14ac:dyDescent="0.25"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130"/>
      <c r="T92" s="130"/>
      <c r="U92" s="61"/>
      <c r="V92" s="61"/>
      <c r="Y92" t="s">
        <v>219</v>
      </c>
      <c r="Z92" s="226">
        <f>AVERAGE(Z83:Z86)</f>
        <v>1.4250000000000001E-2</v>
      </c>
      <c r="AA92" s="226">
        <f>AVERAGE(AA83:AA86)</f>
        <v>1.2999999999999999E-2</v>
      </c>
      <c r="AB92" s="226"/>
      <c r="AC92" s="226">
        <f>AVERAGE(AC83:AC86)</f>
        <v>2.0666666666666667E-2</v>
      </c>
      <c r="AD92" s="226"/>
      <c r="AE92" s="226"/>
      <c r="AF92" s="226"/>
      <c r="AG92" s="226"/>
      <c r="AH92" s="226"/>
      <c r="AI92" s="226"/>
      <c r="AJ92" s="226">
        <f>AVERAGE(AJ83:AJ86)</f>
        <v>1.4555555555555558E-2</v>
      </c>
      <c r="AK92" s="226">
        <f>AVERAGE(AK83:AK86)</f>
        <v>1.8549999999999997E-2</v>
      </c>
      <c r="AL92" s="226"/>
      <c r="AM92" s="226"/>
      <c r="AN92" s="226">
        <f>AVERAGE(AN83:AN86)</f>
        <v>2.5999999999999999E-2</v>
      </c>
      <c r="AO92" s="226">
        <f>AVERAGE(AO83:AO86)</f>
        <v>2.7E-2</v>
      </c>
      <c r="AP92" s="226"/>
      <c r="AQ92" s="226">
        <f>AVERAGE(AQ83:AQ86)</f>
        <v>1.8749999999999999E-2</v>
      </c>
      <c r="AR92" s="226"/>
      <c r="AS92" s="226"/>
    </row>
    <row r="93" spans="4:47" x14ac:dyDescent="0.25"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130"/>
      <c r="T93" s="130"/>
      <c r="U93" s="61"/>
      <c r="V93" s="61"/>
    </row>
    <row r="94" spans="4:47" x14ac:dyDescent="0.25"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130"/>
      <c r="T94" s="130"/>
      <c r="U94" s="61"/>
      <c r="V94" s="61"/>
    </row>
    <row r="95" spans="4:47" x14ac:dyDescent="0.25"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130"/>
      <c r="T95" s="130"/>
      <c r="U95" s="61"/>
      <c r="V95" s="61"/>
    </row>
    <row r="96" spans="4:47" x14ac:dyDescent="0.25">
      <c r="D96" s="61"/>
      <c r="E96" s="61"/>
      <c r="F96" s="458"/>
      <c r="G96" s="458"/>
      <c r="H96" s="458"/>
      <c r="I96" s="458"/>
      <c r="J96" s="458"/>
      <c r="K96" s="61"/>
      <c r="L96" s="61"/>
      <c r="M96" s="61"/>
      <c r="N96" s="61"/>
      <c r="O96" s="61"/>
      <c r="P96" s="61"/>
      <c r="Q96" s="61"/>
      <c r="R96" s="61"/>
      <c r="S96" s="130"/>
      <c r="T96" s="130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</row>
    <row r="97" spans="4:47" x14ac:dyDescent="0.25">
      <c r="D97" s="61"/>
      <c r="E97" s="61"/>
      <c r="F97" s="455"/>
      <c r="G97" s="455"/>
      <c r="H97" s="455"/>
      <c r="I97" s="455"/>
      <c r="J97" s="455"/>
      <c r="K97" s="61"/>
      <c r="L97" s="61"/>
      <c r="M97" s="61"/>
      <c r="N97" s="61"/>
      <c r="O97" s="61"/>
      <c r="P97" s="61"/>
      <c r="Q97" s="61"/>
      <c r="R97" s="61"/>
      <c r="S97" s="130"/>
      <c r="T97" s="130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</row>
    <row r="98" spans="4:47" x14ac:dyDescent="0.25">
      <c r="D98" s="61"/>
      <c r="E98" s="61"/>
      <c r="F98" s="455"/>
      <c r="G98" s="455"/>
      <c r="H98" s="455"/>
      <c r="I98" s="455"/>
      <c r="J98" s="455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</row>
    <row r="99" spans="4:47" x14ac:dyDescent="0.25">
      <c r="D99" s="61"/>
      <c r="E99" s="61"/>
      <c r="F99" s="455"/>
      <c r="G99" s="455"/>
      <c r="H99" s="455"/>
      <c r="I99" s="455"/>
      <c r="J99" s="455"/>
      <c r="K99" s="61"/>
      <c r="L99" s="61"/>
      <c r="M99" s="61"/>
      <c r="N99" s="61"/>
      <c r="O99" s="61"/>
      <c r="P99" s="61"/>
      <c r="Q99" s="61"/>
      <c r="R99" s="61"/>
      <c r="S99" s="130"/>
      <c r="T99" s="130"/>
      <c r="U99" s="61"/>
      <c r="V99" s="61"/>
      <c r="W99" s="61"/>
      <c r="X99" s="61"/>
      <c r="Y99" s="61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675"/>
      <c r="AK99" s="47"/>
      <c r="AL99" s="47"/>
      <c r="AM99" s="47"/>
      <c r="AN99" s="47"/>
      <c r="AO99" s="47"/>
      <c r="AP99" s="47"/>
      <c r="AQ99" s="47"/>
      <c r="AR99" s="47"/>
      <c r="AS99" s="47"/>
      <c r="AT99" s="61"/>
      <c r="AU99" s="61"/>
    </row>
    <row r="100" spans="4:47" x14ac:dyDescent="0.25"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130"/>
      <c r="T100" s="130"/>
      <c r="U100" s="61"/>
      <c r="V100" s="61"/>
      <c r="W100" s="61"/>
      <c r="X100" s="61"/>
      <c r="Y100" s="61"/>
      <c r="Z100" s="61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61"/>
      <c r="AL100" s="349"/>
      <c r="AM100" s="349"/>
      <c r="AN100" s="349"/>
      <c r="AO100" s="349"/>
      <c r="AP100" s="349"/>
      <c r="AQ100" s="349"/>
      <c r="AR100" s="349"/>
      <c r="AS100" s="349"/>
      <c r="AT100" s="61"/>
      <c r="AU100" s="61"/>
    </row>
    <row r="101" spans="4:47" x14ac:dyDescent="0.25"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130"/>
      <c r="T101" s="130"/>
      <c r="U101" s="61"/>
      <c r="V101" s="61"/>
      <c r="W101" s="61"/>
      <c r="X101" s="61"/>
      <c r="Y101" s="61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  <c r="AL101" s="349"/>
      <c r="AM101" s="349"/>
      <c r="AN101" s="349"/>
      <c r="AO101" s="349"/>
      <c r="AP101" s="349"/>
      <c r="AQ101" s="349"/>
      <c r="AR101" s="349"/>
      <c r="AS101" s="349"/>
      <c r="AT101" s="61"/>
      <c r="AU101" s="61"/>
    </row>
    <row r="102" spans="4:47" x14ac:dyDescent="0.25"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130"/>
      <c r="T102" s="130"/>
      <c r="U102" s="61"/>
      <c r="V102" s="61"/>
      <c r="W102" s="61"/>
      <c r="X102" s="61"/>
      <c r="Y102" s="61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  <c r="AO102" s="349"/>
      <c r="AP102" s="349"/>
      <c r="AQ102" s="349"/>
      <c r="AR102" s="349"/>
      <c r="AS102" s="349"/>
      <c r="AT102" s="61"/>
      <c r="AU102" s="61"/>
    </row>
    <row r="103" spans="4:47" x14ac:dyDescent="0.25">
      <c r="D103" s="61"/>
      <c r="E103" s="61"/>
      <c r="F103" s="458"/>
      <c r="G103" s="458"/>
      <c r="H103" s="458"/>
      <c r="I103" s="458"/>
      <c r="J103" s="458"/>
      <c r="K103" s="458"/>
      <c r="L103" s="458"/>
      <c r="M103" s="61"/>
      <c r="N103" s="61"/>
      <c r="O103" s="61"/>
      <c r="P103" s="61"/>
      <c r="Q103" s="61"/>
      <c r="R103" s="61"/>
      <c r="S103" s="130"/>
      <c r="T103" s="130"/>
      <c r="U103" s="61"/>
      <c r="V103" s="61"/>
      <c r="W103" s="61"/>
      <c r="X103" s="61"/>
      <c r="Y103" s="61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61"/>
      <c r="AU103" s="61"/>
    </row>
    <row r="104" spans="4:47" x14ac:dyDescent="0.25">
      <c r="D104" s="61"/>
      <c r="E104" s="61"/>
      <c r="F104" s="455"/>
      <c r="G104" s="455"/>
      <c r="H104" s="455"/>
      <c r="I104" s="455"/>
      <c r="J104" s="455"/>
      <c r="K104" s="455"/>
      <c r="W104" s="61"/>
      <c r="X104" s="61"/>
      <c r="Y104" s="61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61"/>
      <c r="AU104" s="61"/>
    </row>
    <row r="105" spans="4:47" x14ac:dyDescent="0.25">
      <c r="D105" s="61"/>
      <c r="E105" s="61"/>
      <c r="F105" s="455"/>
      <c r="G105" s="455"/>
      <c r="H105" s="455"/>
      <c r="I105" s="455"/>
      <c r="J105" s="455"/>
      <c r="K105" s="455"/>
      <c r="W105" s="61"/>
      <c r="X105" s="61"/>
      <c r="Y105" s="61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675"/>
      <c r="AK105" s="47"/>
      <c r="AL105" s="47"/>
      <c r="AM105" s="47"/>
      <c r="AN105" s="47"/>
      <c r="AO105" s="47"/>
      <c r="AP105" s="47"/>
      <c r="AQ105" s="47"/>
      <c r="AR105" s="47"/>
      <c r="AS105" s="47"/>
      <c r="AT105" s="61"/>
      <c r="AU105" s="61"/>
    </row>
    <row r="106" spans="4:47" x14ac:dyDescent="0.25">
      <c r="D106" s="61"/>
      <c r="E106" s="61"/>
      <c r="F106" s="455"/>
      <c r="G106" s="455"/>
      <c r="H106" s="455"/>
      <c r="I106" s="455"/>
      <c r="J106" s="455"/>
      <c r="K106" s="455"/>
      <c r="W106" s="61"/>
      <c r="X106" s="61"/>
      <c r="Y106" s="61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349"/>
      <c r="AQ106" s="47"/>
      <c r="AR106" s="47"/>
      <c r="AS106" s="47"/>
      <c r="AT106" s="61"/>
      <c r="AU106" s="61"/>
    </row>
    <row r="107" spans="4:47" x14ac:dyDescent="0.25">
      <c r="D107" s="61"/>
      <c r="E107" s="61"/>
      <c r="F107" s="455"/>
      <c r="G107" s="455"/>
      <c r="H107" s="455"/>
      <c r="I107" s="455"/>
      <c r="J107" s="455"/>
      <c r="K107" s="455"/>
      <c r="W107" s="61"/>
      <c r="X107" s="61"/>
      <c r="Y107" s="61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61"/>
      <c r="AU107" s="61"/>
    </row>
    <row r="108" spans="4:47" x14ac:dyDescent="0.25">
      <c r="F108" s="61"/>
      <c r="G108" s="61"/>
      <c r="H108" s="61"/>
      <c r="I108" s="61"/>
      <c r="J108" s="61"/>
      <c r="K108" s="61"/>
      <c r="W108" s="61"/>
      <c r="X108" s="61"/>
      <c r="Y108" s="61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61"/>
      <c r="AU108" s="61"/>
    </row>
    <row r="109" spans="4:47" x14ac:dyDescent="0.25">
      <c r="F109" s="61"/>
      <c r="G109" s="61"/>
      <c r="H109" s="61"/>
      <c r="I109" s="61"/>
      <c r="J109" s="61"/>
      <c r="K109" s="61"/>
      <c r="W109" s="61"/>
      <c r="X109" s="61"/>
      <c r="Y109" s="61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61"/>
      <c r="AU109" s="61"/>
    </row>
    <row r="110" spans="4:47" x14ac:dyDescent="0.25">
      <c r="F110" s="61"/>
      <c r="G110" s="61"/>
      <c r="H110" s="61"/>
      <c r="I110" s="61"/>
      <c r="J110" s="61"/>
      <c r="K110" s="61"/>
      <c r="W110" s="61"/>
      <c r="X110" s="61"/>
      <c r="Y110" s="61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61"/>
      <c r="AU110" s="61"/>
    </row>
    <row r="111" spans="4:47" x14ac:dyDescent="0.25">
      <c r="F111" s="87"/>
      <c r="G111" s="61"/>
      <c r="H111" s="61"/>
      <c r="I111" s="61"/>
      <c r="J111" s="61"/>
      <c r="K111" s="61"/>
      <c r="W111" s="61"/>
      <c r="X111" s="61"/>
      <c r="Y111" s="61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675"/>
      <c r="AK111" s="47"/>
      <c r="AL111" s="47"/>
      <c r="AM111" s="47"/>
      <c r="AN111" s="47"/>
      <c r="AO111" s="47"/>
      <c r="AP111" s="47"/>
      <c r="AQ111" s="47"/>
      <c r="AR111" s="47"/>
      <c r="AS111" s="47"/>
      <c r="AT111" s="61"/>
      <c r="AU111" s="61"/>
    </row>
    <row r="112" spans="4:47" x14ac:dyDescent="0.25">
      <c r="F112" s="61"/>
      <c r="G112" s="458"/>
      <c r="H112" s="458"/>
      <c r="I112" s="458"/>
      <c r="J112" s="458"/>
      <c r="K112" s="458"/>
      <c r="W112" s="61"/>
      <c r="X112" s="61"/>
      <c r="Y112" s="61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61"/>
      <c r="AU112" s="61"/>
    </row>
    <row r="113" spans="6:47" x14ac:dyDescent="0.25">
      <c r="F113" s="455"/>
      <c r="G113" s="61"/>
      <c r="H113" s="61"/>
      <c r="I113" s="61"/>
      <c r="J113" s="61"/>
      <c r="K113" s="61"/>
      <c r="W113" s="61"/>
      <c r="X113" s="61"/>
      <c r="Y113" s="61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61"/>
      <c r="AU113" s="61"/>
    </row>
    <row r="114" spans="6:47" x14ac:dyDescent="0.25">
      <c r="F114" s="455"/>
      <c r="G114" s="61"/>
      <c r="H114" s="61"/>
      <c r="I114" s="61"/>
      <c r="J114" s="61"/>
      <c r="K114" s="61"/>
      <c r="W114" s="61"/>
      <c r="X114" s="61"/>
      <c r="Y114" s="61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349"/>
      <c r="AM114" s="47"/>
      <c r="AN114" s="47"/>
      <c r="AO114" s="47"/>
      <c r="AP114" s="47"/>
      <c r="AQ114" s="47"/>
      <c r="AR114" s="47"/>
      <c r="AS114" s="47"/>
      <c r="AT114" s="61"/>
      <c r="AU114" s="61"/>
    </row>
    <row r="115" spans="6:47" x14ac:dyDescent="0.25">
      <c r="F115" s="455"/>
      <c r="G115" s="61"/>
      <c r="H115" s="61"/>
      <c r="I115" s="61"/>
      <c r="J115" s="61"/>
      <c r="K115" s="61"/>
      <c r="W115" s="61"/>
      <c r="X115" s="61"/>
      <c r="Y115" s="61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349"/>
      <c r="AM115" s="47"/>
      <c r="AN115" s="47"/>
      <c r="AO115" s="47"/>
      <c r="AP115" s="47"/>
      <c r="AQ115" s="47"/>
      <c r="AR115" s="47"/>
      <c r="AS115" s="47"/>
      <c r="AT115" s="61"/>
      <c r="AU115" s="61"/>
    </row>
    <row r="116" spans="6:47" x14ac:dyDescent="0.25">
      <c r="W116" s="61"/>
      <c r="X116" s="61"/>
      <c r="Y116" s="61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61"/>
      <c r="AU116" s="61"/>
    </row>
    <row r="117" spans="6:47" x14ac:dyDescent="0.25">
      <c r="W117" s="61"/>
      <c r="X117" s="61"/>
      <c r="Y117" s="61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675"/>
      <c r="AK117" s="47"/>
      <c r="AL117" s="47"/>
      <c r="AM117" s="47"/>
      <c r="AN117" s="47"/>
      <c r="AO117" s="47"/>
      <c r="AP117" s="47"/>
      <c r="AQ117" s="47"/>
      <c r="AR117" s="47"/>
      <c r="AS117" s="47"/>
      <c r="AT117" s="61"/>
      <c r="AU117" s="61"/>
    </row>
    <row r="118" spans="6:47" x14ac:dyDescent="0.25">
      <c r="M118" s="458"/>
      <c r="N118" s="458"/>
      <c r="O118" s="458"/>
      <c r="W118" s="61"/>
      <c r="X118" s="61"/>
      <c r="Y118" s="61"/>
      <c r="Z118" s="47"/>
      <c r="AA118" s="349"/>
      <c r="AB118" s="47"/>
      <c r="AC118" s="349"/>
      <c r="AD118" s="47"/>
      <c r="AE118" s="47"/>
      <c r="AF118" s="47"/>
      <c r="AG118" s="47"/>
      <c r="AH118" s="47"/>
      <c r="AI118" s="47"/>
      <c r="AJ118" s="47"/>
      <c r="AK118" s="349"/>
      <c r="AL118" s="47"/>
      <c r="AM118" s="47"/>
      <c r="AN118" s="47"/>
      <c r="AO118" s="47"/>
      <c r="AP118" s="47"/>
      <c r="AQ118" s="349"/>
      <c r="AR118" s="349"/>
      <c r="AS118" s="47"/>
      <c r="AT118" s="61"/>
      <c r="AU118" s="61"/>
    </row>
    <row r="119" spans="6:47" x14ac:dyDescent="0.25">
      <c r="W119" s="61"/>
      <c r="X119" s="61"/>
      <c r="Y119" s="61"/>
      <c r="Z119" s="349"/>
      <c r="AA119" s="61"/>
      <c r="AB119" s="349"/>
      <c r="AC119" s="61"/>
      <c r="AD119" s="349"/>
      <c r="AE119" s="349"/>
      <c r="AF119" s="349"/>
      <c r="AG119" s="349"/>
      <c r="AH119" s="349"/>
      <c r="AI119" s="349"/>
      <c r="AJ119" s="349"/>
      <c r="AK119" s="61"/>
      <c r="AL119" s="349"/>
      <c r="AM119" s="349"/>
      <c r="AN119" s="349"/>
      <c r="AO119" s="349"/>
      <c r="AP119" s="349"/>
      <c r="AQ119" s="61"/>
      <c r="AR119" s="61"/>
      <c r="AS119" s="349"/>
      <c r="AT119" s="61"/>
      <c r="AU119" s="61"/>
    </row>
    <row r="120" spans="6:47" x14ac:dyDescent="0.25">
      <c r="W120" s="61"/>
      <c r="X120" s="61"/>
      <c r="Y120" s="61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61"/>
      <c r="AU120" s="61"/>
    </row>
    <row r="121" spans="6:47" x14ac:dyDescent="0.25">
      <c r="W121" s="61"/>
      <c r="X121" s="61"/>
      <c r="Y121" s="61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61"/>
      <c r="AU121" s="61"/>
    </row>
    <row r="122" spans="6:47" x14ac:dyDescent="0.25"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</row>
    <row r="123" spans="6:47" x14ac:dyDescent="0.25"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</row>
    <row r="124" spans="6:47" x14ac:dyDescent="0.25"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</row>
    <row r="125" spans="6:47" x14ac:dyDescent="0.25"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</row>
    <row r="126" spans="6:47" x14ac:dyDescent="0.25"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</row>
    <row r="127" spans="6:47" x14ac:dyDescent="0.25"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</row>
    <row r="128" spans="6:47" x14ac:dyDescent="0.25"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</row>
    <row r="129" spans="23:47" x14ac:dyDescent="0.25"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</row>
    <row r="130" spans="23:47" x14ac:dyDescent="0.25"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</row>
    <row r="131" spans="23:47" x14ac:dyDescent="0.25"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</row>
    <row r="132" spans="23:47" x14ac:dyDescent="0.25"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</row>
    <row r="133" spans="23:47" x14ac:dyDescent="0.25"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</row>
    <row r="134" spans="23:47" x14ac:dyDescent="0.25"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</row>
    <row r="135" spans="23:47" x14ac:dyDescent="0.25"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</row>
    <row r="136" spans="23:47" x14ac:dyDescent="0.25"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</row>
    <row r="137" spans="23:47" x14ac:dyDescent="0.25"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</row>
    <row r="138" spans="23:47" x14ac:dyDescent="0.25"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</row>
    <row r="139" spans="23:47" x14ac:dyDescent="0.25"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</row>
    <row r="140" spans="23:47" x14ac:dyDescent="0.25"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</row>
    <row r="141" spans="23:47" x14ac:dyDescent="0.25"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</row>
    <row r="142" spans="23:47" x14ac:dyDescent="0.25"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</row>
    <row r="143" spans="23:47" x14ac:dyDescent="0.25"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</row>
    <row r="144" spans="23:47" x14ac:dyDescent="0.25"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</row>
    <row r="145" spans="23:47" x14ac:dyDescent="0.25"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</row>
    <row r="146" spans="23:47" x14ac:dyDescent="0.25"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</row>
    <row r="147" spans="23:47" x14ac:dyDescent="0.25"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</row>
    <row r="148" spans="23:47" x14ac:dyDescent="0.25"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</row>
    <row r="149" spans="23:47" x14ac:dyDescent="0.25"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</row>
    <row r="150" spans="23:47" x14ac:dyDescent="0.25"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</row>
    <row r="151" spans="23:47" x14ac:dyDescent="0.25"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</row>
    <row r="152" spans="23:47" x14ac:dyDescent="0.25"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</row>
    <row r="153" spans="23:47" x14ac:dyDescent="0.25"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</row>
    <row r="154" spans="23:47" x14ac:dyDescent="0.25"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</row>
    <row r="155" spans="23:47" x14ac:dyDescent="0.25"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</row>
    <row r="156" spans="23:47" x14ac:dyDescent="0.25"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</row>
    <row r="157" spans="23:47" x14ac:dyDescent="0.25"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</row>
    <row r="158" spans="23:47" x14ac:dyDescent="0.25"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</row>
    <row r="159" spans="23:47" x14ac:dyDescent="0.25"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</row>
    <row r="160" spans="23:47" x14ac:dyDescent="0.25"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</row>
    <row r="161" spans="23:47" x14ac:dyDescent="0.25"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</row>
    <row r="162" spans="23:47" x14ac:dyDescent="0.25"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</row>
    <row r="163" spans="23:47" x14ac:dyDescent="0.25"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</row>
    <row r="164" spans="23:47" x14ac:dyDescent="0.25"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</row>
    <row r="165" spans="23:47" x14ac:dyDescent="0.25"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</row>
    <row r="166" spans="23:47" x14ac:dyDescent="0.25"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256D2-3155-4B76-8161-F2BFFCFAD888}">
  <dimension ref="B3:DE85"/>
  <sheetViews>
    <sheetView zoomScale="80" zoomScaleNormal="80" workbookViewId="0">
      <selection activeCell="AH64" sqref="E64:AH72"/>
    </sheetView>
  </sheetViews>
  <sheetFormatPr defaultRowHeight="15" x14ac:dyDescent="0.25"/>
  <cols>
    <col min="2" max="3" width="11.42578125"/>
    <col min="4" max="4" width="11.42578125" bestFit="1" customWidth="1"/>
    <col min="5" max="5" width="39" customWidth="1"/>
    <col min="6" max="8" width="11.42578125" bestFit="1" customWidth="1"/>
    <col min="9" max="9" width="12" bestFit="1" customWidth="1"/>
    <col min="10" max="10" width="11.42578125" bestFit="1" customWidth="1"/>
    <col min="11" max="25" width="12" bestFit="1" customWidth="1"/>
    <col min="26" max="26" width="12.85546875" bestFit="1" customWidth="1"/>
    <col min="27" max="27" width="13.5703125" bestFit="1" customWidth="1"/>
    <col min="28" max="30" width="12" bestFit="1" customWidth="1"/>
    <col min="31" max="31" width="11.85546875" customWidth="1"/>
    <col min="32" max="32" width="14" customWidth="1"/>
    <col min="33" max="33" width="12" customWidth="1"/>
    <col min="34" max="34" width="10.5703125" customWidth="1"/>
    <col min="35" max="35" width="35.140625" customWidth="1"/>
    <col min="36" max="36" width="39" customWidth="1"/>
    <col min="37" max="62" width="14.7109375"/>
    <col min="63" max="63" width="17.42578125" customWidth="1"/>
    <col min="64" max="64" width="12.42578125" customWidth="1"/>
    <col min="65" max="65" width="12.140625" customWidth="1"/>
    <col min="66" max="66" width="13.7109375" customWidth="1"/>
    <col min="67" max="67" width="16.42578125" customWidth="1"/>
    <col min="68" max="75" width="11.42578125"/>
    <col min="76" max="76" width="16.42578125" customWidth="1"/>
    <col min="77" max="89" width="11.42578125"/>
    <col min="90" max="90" width="30.42578125" customWidth="1"/>
  </cols>
  <sheetData>
    <row r="3" spans="4:109" x14ac:dyDescent="0.25">
      <c r="BW3" t="s">
        <v>297</v>
      </c>
      <c r="CB3" t="s">
        <v>296</v>
      </c>
      <c r="CX3" t="s">
        <v>297</v>
      </c>
      <c r="DC3" t="s">
        <v>296</v>
      </c>
    </row>
    <row r="4" spans="4:109" x14ac:dyDescent="0.25">
      <c r="BW4" t="s">
        <v>367</v>
      </c>
      <c r="CB4" t="s">
        <v>367</v>
      </c>
    </row>
    <row r="5" spans="4:109" ht="15.75" thickBot="1" x14ac:dyDescent="0.3">
      <c r="CX5" t="s">
        <v>367</v>
      </c>
      <c r="DC5" t="s">
        <v>367</v>
      </c>
    </row>
    <row r="6" spans="4:109" ht="15.75" thickBot="1" x14ac:dyDescent="0.3">
      <c r="BW6" s="457"/>
      <c r="BX6" s="457" t="s">
        <v>358</v>
      </c>
      <c r="BY6" s="457" t="s">
        <v>359</v>
      </c>
      <c r="CB6" s="457"/>
      <c r="CC6" s="457" t="s">
        <v>358</v>
      </c>
      <c r="CD6" s="457" t="s">
        <v>359</v>
      </c>
    </row>
    <row r="7" spans="4:109" x14ac:dyDescent="0.25">
      <c r="D7" t="s">
        <v>320</v>
      </c>
      <c r="Z7" t="s">
        <v>368</v>
      </c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W7" s="455" t="s">
        <v>353</v>
      </c>
      <c r="BX7" s="455">
        <v>280.44892484209316</v>
      </c>
      <c r="BY7" s="455">
        <v>194.45409071944377</v>
      </c>
      <c r="CB7" s="455" t="s">
        <v>353</v>
      </c>
      <c r="CC7" s="455">
        <v>150.21123360247049</v>
      </c>
      <c r="CD7" s="455">
        <v>194.45409071944377</v>
      </c>
      <c r="CH7" t="s">
        <v>78</v>
      </c>
      <c r="CX7" s="457"/>
      <c r="CY7" s="457" t="s">
        <v>358</v>
      </c>
      <c r="CZ7" s="457" t="s">
        <v>359</v>
      </c>
      <c r="DC7" s="457"/>
      <c r="DD7" s="457" t="s">
        <v>358</v>
      </c>
      <c r="DE7" s="457" t="s">
        <v>359</v>
      </c>
    </row>
    <row r="8" spans="4:109" x14ac:dyDescent="0.25">
      <c r="AA8" t="s">
        <v>93</v>
      </c>
      <c r="AB8" s="472">
        <v>0.1928</v>
      </c>
      <c r="AC8" s="253">
        <v>0.20280000000000001</v>
      </c>
      <c r="AD8" s="280">
        <v>0.92279999999999995</v>
      </c>
      <c r="AE8" s="253">
        <v>1.175</v>
      </c>
      <c r="AF8" s="504">
        <v>1.2328000000000001</v>
      </c>
      <c r="AG8" s="252">
        <v>1.5628000000000002</v>
      </c>
      <c r="AH8" s="252">
        <v>1.6228</v>
      </c>
      <c r="AI8" s="279">
        <v>1.6428</v>
      </c>
      <c r="AJ8" s="261">
        <v>1.7849999999999999</v>
      </c>
      <c r="AK8" s="411">
        <v>1.7928000000000002</v>
      </c>
      <c r="AL8" s="279">
        <v>1.8628</v>
      </c>
      <c r="AM8" s="279">
        <v>2.0528</v>
      </c>
      <c r="AN8" s="261">
        <v>2.0550000000000002</v>
      </c>
      <c r="AO8" s="278">
        <v>2.0627999999999997</v>
      </c>
      <c r="AP8" s="279">
        <v>2.1328</v>
      </c>
      <c r="AQ8" s="278">
        <v>2.1928000000000001</v>
      </c>
      <c r="AR8" s="253">
        <v>3.4750000000000001</v>
      </c>
      <c r="AS8" s="261">
        <v>4.5650000000000004</v>
      </c>
      <c r="AT8" s="278">
        <v>5.0250000000000004</v>
      </c>
      <c r="AU8" s="278">
        <v>5.2650000000000006</v>
      </c>
      <c r="AV8" s="278">
        <v>5.6550000000000002</v>
      </c>
      <c r="AW8" s="278">
        <v>6.2250000000000005</v>
      </c>
      <c r="AX8" s="252">
        <v>6.415</v>
      </c>
      <c r="AY8" s="278">
        <v>8.8249999999999993</v>
      </c>
      <c r="AZ8" s="278">
        <v>12.864999999999998</v>
      </c>
      <c r="BW8" s="455" t="s">
        <v>327</v>
      </c>
      <c r="BX8" s="455">
        <v>37706.375289584546</v>
      </c>
      <c r="BY8" s="455">
        <v>20739.047155545162</v>
      </c>
      <c r="CB8" s="455" t="s">
        <v>327</v>
      </c>
      <c r="CC8" s="455">
        <v>13402.556554125616</v>
      </c>
      <c r="CD8" s="455">
        <v>20739.047155545162</v>
      </c>
      <c r="CH8" t="s">
        <v>93</v>
      </c>
      <c r="CI8" s="253">
        <v>1.175</v>
      </c>
      <c r="CJ8" s="261">
        <v>1.7849999999999999</v>
      </c>
      <c r="CK8" s="261">
        <v>2.0550000000000002</v>
      </c>
      <c r="CL8" s="278">
        <v>2.1928000000000001</v>
      </c>
      <c r="CM8" s="253">
        <v>3.4750000000000001</v>
      </c>
      <c r="CN8" s="261">
        <v>4.5650000000000004</v>
      </c>
      <c r="CO8" s="278">
        <v>5.0250000000000004</v>
      </c>
      <c r="CP8" s="278">
        <v>5.2650000000000006</v>
      </c>
      <c r="CQ8" s="278">
        <v>5.6550000000000002</v>
      </c>
      <c r="CR8" s="278">
        <v>6.2250000000000005</v>
      </c>
      <c r="CS8" s="252">
        <v>6.415</v>
      </c>
      <c r="CT8" s="278">
        <v>8.8249999999999993</v>
      </c>
      <c r="CU8" s="278">
        <v>12.864999999999998</v>
      </c>
      <c r="CX8" s="455" t="s">
        <v>353</v>
      </c>
      <c r="CY8" s="455">
        <v>278.37540388259345</v>
      </c>
      <c r="CZ8" s="455">
        <v>391.26542989220877</v>
      </c>
      <c r="DC8" s="455" t="s">
        <v>353</v>
      </c>
      <c r="DD8" s="455">
        <v>278.37540388259345</v>
      </c>
      <c r="DE8" s="455">
        <v>218.0448348152409</v>
      </c>
    </row>
    <row r="9" spans="4:109" ht="15.75" thickBot="1" x14ac:dyDescent="0.3">
      <c r="D9" s="320"/>
      <c r="E9" s="320"/>
      <c r="F9" s="491">
        <v>1</v>
      </c>
      <c r="G9" s="491">
        <v>2</v>
      </c>
      <c r="H9" s="491">
        <v>3</v>
      </c>
      <c r="I9" s="491">
        <v>4</v>
      </c>
      <c r="J9" s="491">
        <v>5</v>
      </c>
      <c r="K9" s="491">
        <v>6</v>
      </c>
      <c r="L9" s="491">
        <v>7</v>
      </c>
      <c r="M9" s="491">
        <v>8</v>
      </c>
      <c r="N9" s="491">
        <v>9</v>
      </c>
      <c r="O9" s="491">
        <v>10</v>
      </c>
      <c r="P9" s="502">
        <v>11</v>
      </c>
      <c r="Q9" s="491">
        <v>12</v>
      </c>
      <c r="R9" s="491">
        <v>13</v>
      </c>
      <c r="S9" s="491">
        <v>14</v>
      </c>
      <c r="T9" s="491">
        <v>15</v>
      </c>
      <c r="U9" s="491">
        <v>16</v>
      </c>
      <c r="V9" s="491">
        <v>17</v>
      </c>
      <c r="W9" s="491">
        <v>18</v>
      </c>
      <c r="X9" s="491">
        <v>19</v>
      </c>
      <c r="Y9" s="491">
        <v>20</v>
      </c>
      <c r="AA9" t="s">
        <v>357</v>
      </c>
      <c r="AB9" s="508">
        <v>16.066666666666666</v>
      </c>
      <c r="AC9" s="508">
        <v>17.634782608695652</v>
      </c>
      <c r="AD9" s="498">
        <v>70.984615384615381</v>
      </c>
      <c r="AE9" s="275">
        <v>90.384615384615387</v>
      </c>
      <c r="AF9" s="509">
        <v>70.445714285714288</v>
      </c>
      <c r="AG9" s="507">
        <v>130.23333333333335</v>
      </c>
      <c r="AH9" s="275">
        <v>121.71</v>
      </c>
      <c r="AI9" s="498">
        <v>131.42400000000001</v>
      </c>
      <c r="AJ9" s="275">
        <v>89.25</v>
      </c>
      <c r="AK9" s="506">
        <v>96.908108108108109</v>
      </c>
      <c r="AL9" s="498">
        <v>128.46896551724137</v>
      </c>
      <c r="AM9" s="507">
        <v>175.95428571428573</v>
      </c>
      <c r="AN9" s="275">
        <v>205.5</v>
      </c>
      <c r="AO9" s="507">
        <v>134.53043478260869</v>
      </c>
      <c r="AP9" s="498">
        <v>148.11111111111111</v>
      </c>
      <c r="AQ9" s="507">
        <v>173.11578947368423</v>
      </c>
      <c r="AR9" s="275">
        <v>133.65384615384616</v>
      </c>
      <c r="AS9" s="275">
        <v>248.99999999999997</v>
      </c>
      <c r="AT9" s="275">
        <v>301.49999999999994</v>
      </c>
      <c r="AU9" s="275">
        <v>195.00000000000003</v>
      </c>
      <c r="AV9" s="275">
        <v>396.84210526315792</v>
      </c>
      <c r="AW9" s="275">
        <v>364.03508771929836</v>
      </c>
      <c r="AX9" s="275">
        <v>342.13333333333333</v>
      </c>
      <c r="AY9" s="275">
        <v>519.11764705882342</v>
      </c>
      <c r="AZ9" s="275">
        <v>559.3478260869565</v>
      </c>
      <c r="BW9" s="455" t="s">
        <v>360</v>
      </c>
      <c r="BX9" s="455">
        <v>25</v>
      </c>
      <c r="BY9" s="455">
        <v>25</v>
      </c>
      <c r="CB9" s="455" t="s">
        <v>360</v>
      </c>
      <c r="CC9" s="455">
        <v>25</v>
      </c>
      <c r="CD9" s="455">
        <v>25</v>
      </c>
      <c r="CH9" t="s">
        <v>357</v>
      </c>
      <c r="CI9" s="275">
        <v>90.384615384615387</v>
      </c>
      <c r="CJ9" s="275">
        <v>89.25</v>
      </c>
      <c r="CK9" s="275">
        <v>205.5</v>
      </c>
      <c r="CL9" s="507">
        <v>173.11578947368423</v>
      </c>
      <c r="CM9" s="275">
        <v>133.65384615384616</v>
      </c>
      <c r="CN9" s="275">
        <v>248.99999999999997</v>
      </c>
      <c r="CO9" s="275">
        <v>301.49999999999994</v>
      </c>
      <c r="CP9" s="275">
        <v>195.00000000000003</v>
      </c>
      <c r="CQ9" s="275">
        <v>396.84210526315792</v>
      </c>
      <c r="CR9" s="275">
        <v>364.03508771929836</v>
      </c>
      <c r="CS9" s="275">
        <v>342.13333333333333</v>
      </c>
      <c r="CT9" s="275">
        <v>519.11764705882342</v>
      </c>
      <c r="CU9" s="275">
        <v>559.3478260869565</v>
      </c>
      <c r="CX9" s="455" t="s">
        <v>327</v>
      </c>
      <c r="CY9" s="455">
        <v>23261.013203419996</v>
      </c>
      <c r="CZ9" s="455">
        <v>41536.453150722395</v>
      </c>
      <c r="DC9" s="455" t="s">
        <v>327</v>
      </c>
      <c r="DD9" s="455">
        <v>23261.013203419996</v>
      </c>
      <c r="DE9" s="455">
        <v>15188.387549562865</v>
      </c>
    </row>
    <row r="10" spans="4:109" x14ac:dyDescent="0.25">
      <c r="D10" s="55" t="s">
        <v>79</v>
      </c>
      <c r="E10" s="55" t="s">
        <v>212</v>
      </c>
      <c r="F10" s="55"/>
      <c r="G10" s="407"/>
      <c r="H10" s="411">
        <f>(0.004+0.004)/2</f>
        <v>4.0000000000000001E-3</v>
      </c>
      <c r="I10" s="407"/>
      <c r="J10" s="55"/>
      <c r="K10" s="55"/>
      <c r="L10" s="55"/>
      <c r="M10" s="55"/>
      <c r="N10" s="55"/>
      <c r="O10" s="55"/>
      <c r="P10" s="278">
        <v>3.0000000000000001E-3</v>
      </c>
      <c r="Q10" s="278">
        <v>3.0000000000000001E-3</v>
      </c>
      <c r="R10" s="55"/>
      <c r="S10" s="55"/>
      <c r="T10" s="55"/>
      <c r="U10" s="46"/>
      <c r="V10" s="252">
        <v>3.0000000000000001E-3</v>
      </c>
      <c r="W10" s="279">
        <v>3.0000000000000001E-3</v>
      </c>
      <c r="X10" s="500"/>
      <c r="Y10" s="55"/>
      <c r="AA10" t="s">
        <v>372</v>
      </c>
      <c r="AB10" s="510">
        <v>1.2E-2</v>
      </c>
      <c r="AC10" s="510">
        <v>1.15E-2</v>
      </c>
      <c r="AD10" s="510">
        <v>1.2999999999999999E-2</v>
      </c>
      <c r="AE10" s="510">
        <v>1.2999999999999999E-2</v>
      </c>
      <c r="AF10" s="125">
        <v>1.7500000000000002E-2</v>
      </c>
      <c r="AG10" s="510">
        <v>1.2E-2</v>
      </c>
      <c r="AH10" s="510">
        <v>1.3333333333333334E-2</v>
      </c>
      <c r="AI10" s="510">
        <v>1.2499999999999999E-2</v>
      </c>
      <c r="AJ10" s="510">
        <v>0.02</v>
      </c>
      <c r="AK10" s="511">
        <v>1.8500000000000003E-2</v>
      </c>
      <c r="AL10" s="510">
        <v>1.4500000000000001E-2</v>
      </c>
      <c r="AM10" s="510">
        <v>1.1666666666666665E-2</v>
      </c>
      <c r="AN10" s="510">
        <v>0.01</v>
      </c>
      <c r="AO10" s="510">
        <v>1.5333333333333332E-2</v>
      </c>
      <c r="AP10" s="510">
        <v>1.44E-2</v>
      </c>
      <c r="AQ10" s="510">
        <v>1.2666666666666666E-2</v>
      </c>
      <c r="AR10" s="510">
        <v>2.5999999999999999E-2</v>
      </c>
      <c r="AS10" s="510">
        <v>1.8333333333333337E-2</v>
      </c>
      <c r="AT10" s="510">
        <v>1.666666666666667E-2</v>
      </c>
      <c r="AU10" s="510">
        <v>2.7E-2</v>
      </c>
      <c r="AV10" s="510">
        <v>1.4250000000000001E-2</v>
      </c>
      <c r="AW10" s="510">
        <v>1.7099999999999997E-2</v>
      </c>
      <c r="AX10" s="510">
        <v>1.8749999999999999E-2</v>
      </c>
      <c r="AY10" s="510">
        <v>1.7000000000000001E-2</v>
      </c>
      <c r="AZ10" s="510">
        <v>2.3E-2</v>
      </c>
      <c r="BA10" s="226">
        <f>AVERAGE(AB10:AZ10)</f>
        <v>1.6E-2</v>
      </c>
      <c r="BW10" s="455" t="s">
        <v>361</v>
      </c>
      <c r="BX10" s="455">
        <v>0</v>
      </c>
      <c r="BY10" s="455"/>
      <c r="CB10" s="455" t="s">
        <v>361</v>
      </c>
      <c r="CC10" s="455">
        <v>0</v>
      </c>
      <c r="CD10" s="455"/>
      <c r="CH10" t="s">
        <v>372</v>
      </c>
      <c r="CI10" s="510">
        <v>1.2999999999999999E-2</v>
      </c>
      <c r="CJ10" s="510">
        <v>0.02</v>
      </c>
      <c r="CK10" s="510">
        <v>0.01</v>
      </c>
      <c r="CL10" s="510">
        <v>1.2666666666666666E-2</v>
      </c>
      <c r="CM10" s="510">
        <v>2.5999999999999999E-2</v>
      </c>
      <c r="CN10" s="510">
        <v>1.8333333333333337E-2</v>
      </c>
      <c r="CO10" s="510">
        <v>1.666666666666667E-2</v>
      </c>
      <c r="CP10" s="510">
        <v>2.7E-2</v>
      </c>
      <c r="CQ10" s="510">
        <v>1.4250000000000001E-2</v>
      </c>
      <c r="CR10" s="510">
        <v>1.7099999999999997E-2</v>
      </c>
      <c r="CS10" s="510">
        <v>1.8749999999999999E-2</v>
      </c>
      <c r="CT10" s="510">
        <v>1.7000000000000001E-2</v>
      </c>
      <c r="CU10" s="510">
        <v>2.3E-2</v>
      </c>
      <c r="CX10" s="455" t="s">
        <v>360</v>
      </c>
      <c r="CY10" s="455">
        <v>13</v>
      </c>
      <c r="CZ10" s="455">
        <v>13</v>
      </c>
      <c r="DC10" s="455" t="s">
        <v>360</v>
      </c>
      <c r="DD10" s="455">
        <v>13</v>
      </c>
      <c r="DE10" s="455">
        <v>13</v>
      </c>
    </row>
    <row r="11" spans="4:109" x14ac:dyDescent="0.25">
      <c r="E11" t="s">
        <v>213</v>
      </c>
      <c r="G11" s="61"/>
      <c r="I11" s="405"/>
      <c r="T11" s="43"/>
      <c r="U11" s="61"/>
      <c r="V11" s="253">
        <v>2.5000000000000001E-3</v>
      </c>
      <c r="X11" s="43"/>
      <c r="AA11" s="512" t="s">
        <v>369</v>
      </c>
      <c r="AB11" s="513">
        <f>(AB8/(AB10-E26))</f>
        <v>26.739401784475987</v>
      </c>
      <c r="AC11" s="513">
        <f t="shared" ref="AC11:AZ11" si="0">(AC8/(AC10-$E$26))</f>
        <v>30.222045601311418</v>
      </c>
      <c r="AD11" s="513">
        <f t="shared" si="0"/>
        <v>112.39494945394017</v>
      </c>
      <c r="AE11" s="513">
        <f t="shared" si="0"/>
        <v>143.11233811051119</v>
      </c>
      <c r="AF11" s="513">
        <f t="shared" si="0"/>
        <v>96.991948808056435</v>
      </c>
      <c r="AG11" s="513">
        <f t="shared" si="0"/>
        <v>216.74448707872966</v>
      </c>
      <c r="AH11" s="513">
        <f t="shared" si="0"/>
        <v>189.94186727010262</v>
      </c>
      <c r="AI11" s="513">
        <f t="shared" si="0"/>
        <v>213.06471834334883</v>
      </c>
      <c r="AJ11" s="513">
        <f t="shared" si="0"/>
        <v>117.3544301023427</v>
      </c>
      <c r="AK11" s="513">
        <f t="shared" si="0"/>
        <v>130.7626850793805</v>
      </c>
      <c r="AL11" s="513">
        <f t="shared" si="0"/>
        <v>191.83687480690674</v>
      </c>
      <c r="AM11" s="513">
        <f t="shared" si="0"/>
        <v>298.50225388977759</v>
      </c>
      <c r="AN11" s="513">
        <f t="shared" si="0"/>
        <v>394.40854711790683</v>
      </c>
      <c r="AO11" s="513">
        <f t="shared" si="0"/>
        <v>195.64351427397176</v>
      </c>
      <c r="AP11" s="513">
        <f t="shared" si="0"/>
        <v>221.92778606361213</v>
      </c>
      <c r="AQ11" s="513">
        <f t="shared" si="0"/>
        <v>278.38009394439513</v>
      </c>
      <c r="AR11" s="513">
        <f t="shared" si="0"/>
        <v>163.83523754144994</v>
      </c>
      <c r="AS11" s="513">
        <f t="shared" si="0"/>
        <v>337.05791144692472</v>
      </c>
      <c r="AT11" s="513">
        <f t="shared" si="0"/>
        <v>423.08663803990902</v>
      </c>
      <c r="AU11" s="513">
        <f t="shared" si="0"/>
        <v>237.05182272515799</v>
      </c>
      <c r="AV11" s="513">
        <f t="shared" si="0"/>
        <v>597.75906416264411</v>
      </c>
      <c r="AW11" s="513">
        <f t="shared" si="0"/>
        <v>505.67274105764824</v>
      </c>
      <c r="AX11" s="513">
        <f t="shared" si="0"/>
        <v>459.51624841813714</v>
      </c>
      <c r="AY11" s="513">
        <f t="shared" si="0"/>
        <v>722.74849171466781</v>
      </c>
      <c r="AZ11" s="513">
        <f t="shared" si="0"/>
        <v>706.46702421701957</v>
      </c>
      <c r="BW11" s="455" t="s">
        <v>331</v>
      </c>
      <c r="BX11" s="455">
        <v>44</v>
      </c>
      <c r="BY11" s="455"/>
      <c r="CB11" s="455" t="s">
        <v>331</v>
      </c>
      <c r="CC11" s="455">
        <v>46</v>
      </c>
      <c r="CD11" s="455"/>
      <c r="CH11" s="512" t="s">
        <v>369</v>
      </c>
      <c r="CI11" s="513">
        <v>143.11233811051119</v>
      </c>
      <c r="CJ11" s="513">
        <v>117.3544301023427</v>
      </c>
      <c r="CK11" s="513">
        <v>394.40854711790683</v>
      </c>
      <c r="CL11" s="513">
        <v>278.38009394439513</v>
      </c>
      <c r="CM11" s="513">
        <v>163.83523754144994</v>
      </c>
      <c r="CN11" s="513">
        <v>337.05791144692472</v>
      </c>
      <c r="CO11" s="513">
        <v>423.08663803990902</v>
      </c>
      <c r="CP11" s="513">
        <v>237.05182272515799</v>
      </c>
      <c r="CQ11" s="513">
        <v>597.75906416264411</v>
      </c>
      <c r="CR11" s="513">
        <v>505.67274105764824</v>
      </c>
      <c r="CS11" s="513">
        <v>459.51624841813714</v>
      </c>
      <c r="CT11" s="513">
        <v>722.74849171466781</v>
      </c>
      <c r="CU11" s="513">
        <v>706.46702421701957</v>
      </c>
      <c r="CX11" s="455" t="s">
        <v>361</v>
      </c>
      <c r="CY11" s="455">
        <v>0</v>
      </c>
      <c r="CZ11" s="455"/>
      <c r="DC11" s="455" t="s">
        <v>361</v>
      </c>
      <c r="DD11" s="455">
        <v>0</v>
      </c>
      <c r="DE11" s="455"/>
    </row>
    <row r="12" spans="4:109" x14ac:dyDescent="0.25">
      <c r="E12" s="55"/>
      <c r="F12" s="55"/>
      <c r="G12" s="252">
        <f>0.003</f>
        <v>3.0000000000000001E-3</v>
      </c>
      <c r="H12" s="55"/>
      <c r="I12" s="504">
        <v>4.7999999999999996E-3</v>
      </c>
      <c r="J12" s="55"/>
      <c r="K12" s="55"/>
      <c r="L12" s="55"/>
      <c r="M12" s="55"/>
      <c r="N12" s="55"/>
      <c r="O12" s="55"/>
      <c r="P12" s="55"/>
      <c r="Q12" s="279">
        <v>3.7000000000000002E-3</v>
      </c>
      <c r="R12" s="55"/>
      <c r="S12" s="55"/>
      <c r="T12" s="55"/>
      <c r="U12" s="55"/>
      <c r="V12" s="55"/>
      <c r="W12" s="279">
        <v>3.0000000000000001E-3</v>
      </c>
      <c r="X12" s="279">
        <v>2.8E-3</v>
      </c>
      <c r="Y12" s="55"/>
      <c r="AA12" s="512" t="s">
        <v>370</v>
      </c>
      <c r="AB12" s="513">
        <f t="shared" ref="AB12:AZ12" si="1">(AB8/(AB10+$E$26))</f>
        <v>11.483253588516746</v>
      </c>
      <c r="AC12" s="513">
        <f t="shared" si="1"/>
        <v>12.449610182324173</v>
      </c>
      <c r="AD12" s="513">
        <f t="shared" si="1"/>
        <v>51.872810058273522</v>
      </c>
      <c r="AE12" s="513">
        <f t="shared" si="1"/>
        <v>66.049579343813818</v>
      </c>
      <c r="AF12" s="513">
        <f t="shared" si="1"/>
        <v>55.308139795719988</v>
      </c>
      <c r="AG12" s="513">
        <f t="shared" si="1"/>
        <v>93.081061764180347</v>
      </c>
      <c r="AH12" s="513">
        <f t="shared" si="1"/>
        <v>89.543673784693482</v>
      </c>
      <c r="AI12" s="513">
        <f t="shared" si="1"/>
        <v>95.016291040891474</v>
      </c>
      <c r="AJ12" s="513">
        <f t="shared" si="1"/>
        <v>72.005808871976214</v>
      </c>
      <c r="AK12" s="513">
        <f t="shared" si="1"/>
        <v>76.978345188853424</v>
      </c>
      <c r="AL12" s="513">
        <f t="shared" si="1"/>
        <v>96.569838773782152</v>
      </c>
      <c r="AM12" s="513">
        <f t="shared" si="1"/>
        <v>124.74224715914845</v>
      </c>
      <c r="AN12" s="513">
        <f t="shared" si="1"/>
        <v>138.94836484933174</v>
      </c>
      <c r="AO12" s="513">
        <f t="shared" si="1"/>
        <v>102.50956616806637</v>
      </c>
      <c r="AP12" s="513">
        <f t="shared" si="1"/>
        <v>111.14314995917941</v>
      </c>
      <c r="AQ12" s="513">
        <f t="shared" si="1"/>
        <v>125.61629971929959</v>
      </c>
      <c r="AR12" s="513">
        <f t="shared" si="1"/>
        <v>112.86254046270935</v>
      </c>
      <c r="AS12" s="513">
        <f t="shared" si="1"/>
        <v>197.42247978203517</v>
      </c>
      <c r="AT12" s="513">
        <f t="shared" si="1"/>
        <v>234.19658531280584</v>
      </c>
      <c r="AU12" s="513">
        <f t="shared" si="1"/>
        <v>165.61985550860345</v>
      </c>
      <c r="AV12" s="513">
        <f t="shared" si="1"/>
        <v>297.01150230221111</v>
      </c>
      <c r="AW12" s="513">
        <f t="shared" si="1"/>
        <v>284.38075804413046</v>
      </c>
      <c r="AX12" s="513">
        <f t="shared" si="1"/>
        <v>272.5187272547048</v>
      </c>
      <c r="AY12" s="513">
        <f t="shared" si="1"/>
        <v>405.00849026296862</v>
      </c>
      <c r="AZ12" s="513">
        <f t="shared" si="1"/>
        <v>462.94186088354178</v>
      </c>
      <c r="BW12" s="455" t="s">
        <v>362</v>
      </c>
      <c r="BX12" s="455">
        <v>1.778554248790766</v>
      </c>
      <c r="BY12" s="455"/>
      <c r="CB12" s="455" t="s">
        <v>362</v>
      </c>
      <c r="CC12" s="455">
        <v>-1.197212412514691</v>
      </c>
      <c r="CD12" s="455"/>
      <c r="CH12" s="512" t="s">
        <v>370</v>
      </c>
      <c r="CI12" s="513">
        <v>66.049579343813818</v>
      </c>
      <c r="CJ12" s="513">
        <v>72.005808871976214</v>
      </c>
      <c r="CK12" s="513">
        <v>138.94836484933174</v>
      </c>
      <c r="CL12" s="513">
        <v>125.61629971929959</v>
      </c>
      <c r="CM12" s="513">
        <v>112.86254046270935</v>
      </c>
      <c r="CN12" s="513">
        <v>197.42247978203517</v>
      </c>
      <c r="CO12" s="513">
        <v>234.19658531280584</v>
      </c>
      <c r="CP12" s="513">
        <v>165.61985550860345</v>
      </c>
      <c r="CQ12" s="513">
        <v>297.01150230221111</v>
      </c>
      <c r="CR12" s="513">
        <v>284.38075804413046</v>
      </c>
      <c r="CS12" s="513">
        <v>272.5187272547048</v>
      </c>
      <c r="CT12" s="513">
        <v>405.00849026296862</v>
      </c>
      <c r="CU12" s="513">
        <v>462.94186088354178</v>
      </c>
      <c r="CX12" s="455" t="s">
        <v>331</v>
      </c>
      <c r="CY12" s="455">
        <v>22</v>
      </c>
      <c r="CZ12" s="455"/>
      <c r="DC12" s="455" t="s">
        <v>331</v>
      </c>
      <c r="DD12" s="455">
        <v>23</v>
      </c>
      <c r="DE12" s="455"/>
    </row>
    <row r="13" spans="4:109" ht="15.75" thickBot="1" x14ac:dyDescent="0.3">
      <c r="D13" s="320"/>
      <c r="E13" s="320"/>
      <c r="F13" s="320"/>
      <c r="G13" s="320"/>
      <c r="H13" s="320"/>
      <c r="I13" s="505">
        <v>3.0000000000000001E-3</v>
      </c>
      <c r="J13" s="320"/>
      <c r="K13" s="320"/>
      <c r="L13" s="320"/>
      <c r="M13" s="320"/>
      <c r="N13" s="320"/>
      <c r="O13" s="320"/>
      <c r="P13" s="320"/>
      <c r="Q13" s="501">
        <v>3.0000000000000001E-3</v>
      </c>
      <c r="R13" s="320"/>
      <c r="S13" s="320"/>
      <c r="T13" s="320"/>
      <c r="U13" s="320"/>
      <c r="V13" s="320"/>
      <c r="W13" s="320"/>
      <c r="X13" s="320"/>
      <c r="Y13" s="320"/>
      <c r="AA13" t="s">
        <v>373</v>
      </c>
      <c r="AB13">
        <f t="shared" ref="AB13:AZ13" si="2">AB11-AB9</f>
        <v>10.672735117809321</v>
      </c>
      <c r="AC13">
        <f t="shared" si="2"/>
        <v>12.587262992615766</v>
      </c>
      <c r="AD13">
        <f t="shared" si="2"/>
        <v>41.41033406932479</v>
      </c>
      <c r="AE13">
        <f t="shared" si="2"/>
        <v>52.727722725895802</v>
      </c>
      <c r="AF13">
        <f t="shared" si="2"/>
        <v>26.546234522342147</v>
      </c>
      <c r="AG13">
        <f t="shared" si="2"/>
        <v>86.511153745396314</v>
      </c>
      <c r="AH13" s="226">
        <f t="shared" si="2"/>
        <v>68.231867270102626</v>
      </c>
      <c r="AI13">
        <f t="shared" si="2"/>
        <v>81.640718343348823</v>
      </c>
      <c r="AJ13">
        <f t="shared" si="2"/>
        <v>28.104430102342704</v>
      </c>
      <c r="AK13">
        <f t="shared" si="2"/>
        <v>33.854576971272394</v>
      </c>
      <c r="AL13">
        <f t="shared" si="2"/>
        <v>63.367909289665363</v>
      </c>
      <c r="AM13">
        <f t="shared" si="2"/>
        <v>122.54796817549186</v>
      </c>
      <c r="AN13">
        <f t="shared" si="2"/>
        <v>188.90854711790683</v>
      </c>
      <c r="AO13">
        <f t="shared" si="2"/>
        <v>61.113079491363067</v>
      </c>
      <c r="AP13">
        <f t="shared" si="2"/>
        <v>73.816674952501018</v>
      </c>
      <c r="AQ13">
        <f t="shared" si="2"/>
        <v>105.2643044707109</v>
      </c>
      <c r="AR13">
        <f t="shared" si="2"/>
        <v>30.181391387603782</v>
      </c>
      <c r="AS13">
        <f t="shared" si="2"/>
        <v>88.057911446924749</v>
      </c>
      <c r="AT13">
        <f t="shared" si="2"/>
        <v>121.58663803990908</v>
      </c>
      <c r="AU13">
        <f t="shared" si="2"/>
        <v>42.051822725157962</v>
      </c>
      <c r="AV13">
        <f t="shared" si="2"/>
        <v>200.91695889948619</v>
      </c>
      <c r="AW13">
        <f t="shared" si="2"/>
        <v>141.63765333834988</v>
      </c>
      <c r="AX13">
        <f t="shared" si="2"/>
        <v>117.38291508480381</v>
      </c>
      <c r="AY13">
        <f t="shared" si="2"/>
        <v>203.63084465584438</v>
      </c>
      <c r="AZ13">
        <f t="shared" si="2"/>
        <v>147.11919813006307</v>
      </c>
      <c r="BW13" s="455" t="s">
        <v>363</v>
      </c>
      <c r="BX13" s="455">
        <v>4.1111391694378094E-2</v>
      </c>
      <c r="BY13" s="455"/>
      <c r="CB13" s="455" t="s">
        <v>363</v>
      </c>
      <c r="CC13" s="455">
        <v>0.11867856416703564</v>
      </c>
      <c r="CD13" s="455"/>
      <c r="CH13" t="s">
        <v>373</v>
      </c>
      <c r="CI13">
        <v>52.727722725895802</v>
      </c>
      <c r="CJ13">
        <v>28.104430102342704</v>
      </c>
      <c r="CK13">
        <v>188.90854711790683</v>
      </c>
      <c r="CL13">
        <v>105.2643044707109</v>
      </c>
      <c r="CM13">
        <v>30.181391387603782</v>
      </c>
      <c r="CN13">
        <v>88.057911446924749</v>
      </c>
      <c r="CO13">
        <v>121.58663803990908</v>
      </c>
      <c r="CP13">
        <v>42.051822725157962</v>
      </c>
      <c r="CQ13">
        <v>200.91695889948619</v>
      </c>
      <c r="CR13">
        <v>141.63765333834988</v>
      </c>
      <c r="CS13">
        <v>117.38291508480381</v>
      </c>
      <c r="CT13">
        <v>203.63084465584438</v>
      </c>
      <c r="CU13">
        <v>147.11919813006307</v>
      </c>
      <c r="CX13" s="455" t="s">
        <v>362</v>
      </c>
      <c r="CY13" s="455">
        <v>-1.5989991645208361</v>
      </c>
      <c r="CZ13" s="455"/>
      <c r="DC13" s="455" t="s">
        <v>362</v>
      </c>
      <c r="DD13" s="455">
        <v>1.1093390736685322</v>
      </c>
      <c r="DE13" s="455"/>
    </row>
    <row r="14" spans="4:109" x14ac:dyDescent="0.25">
      <c r="D14" s="43" t="s">
        <v>41</v>
      </c>
      <c r="E14" s="43" t="s">
        <v>212</v>
      </c>
      <c r="F14" s="403"/>
      <c r="G14" s="403"/>
      <c r="H14" s="262"/>
      <c r="I14" s="403"/>
      <c r="J14" s="43"/>
      <c r="K14" s="43"/>
      <c r="L14" s="43"/>
      <c r="M14" s="43"/>
      <c r="N14" s="43"/>
      <c r="O14" s="43"/>
      <c r="P14" s="262"/>
      <c r="Q14" s="403"/>
      <c r="R14" s="43"/>
      <c r="S14" s="43"/>
      <c r="T14" s="43"/>
      <c r="U14" s="61"/>
      <c r="V14" s="498"/>
      <c r="W14" s="499"/>
      <c r="X14" s="262"/>
      <c r="Y14" s="43"/>
      <c r="AA14" t="s">
        <v>374</v>
      </c>
      <c r="AB14">
        <f t="shared" ref="AB14:AZ14" si="3">AB12-AB9</f>
        <v>-4.5834130781499205</v>
      </c>
      <c r="AC14">
        <f t="shared" si="3"/>
        <v>-5.1851724263714782</v>
      </c>
      <c r="AD14">
        <f t="shared" si="3"/>
        <v>-19.111805326341859</v>
      </c>
      <c r="AE14">
        <f t="shared" si="3"/>
        <v>-24.335036040801569</v>
      </c>
      <c r="AF14">
        <f t="shared" si="3"/>
        <v>-15.1375744899943</v>
      </c>
      <c r="AG14">
        <f t="shared" si="3"/>
        <v>-37.152271569153001</v>
      </c>
      <c r="AH14" s="226">
        <f t="shared" si="3"/>
        <v>-32.166326215306512</v>
      </c>
      <c r="AI14">
        <f t="shared" si="3"/>
        <v>-36.407708959108533</v>
      </c>
      <c r="AJ14">
        <f t="shared" si="3"/>
        <v>-17.244191128023786</v>
      </c>
      <c r="AK14">
        <f t="shared" si="3"/>
        <v>-19.929762919254685</v>
      </c>
      <c r="AL14">
        <f t="shared" si="3"/>
        <v>-31.89912674345922</v>
      </c>
      <c r="AM14">
        <f t="shared" si="3"/>
        <v>-51.212038555137283</v>
      </c>
      <c r="AN14">
        <f t="shared" si="3"/>
        <v>-66.551635150668261</v>
      </c>
      <c r="AO14">
        <f t="shared" si="3"/>
        <v>-32.020868614542323</v>
      </c>
      <c r="AP14">
        <f t="shared" si="3"/>
        <v>-36.967961151931704</v>
      </c>
      <c r="AQ14">
        <f t="shared" si="3"/>
        <v>-47.499489754384641</v>
      </c>
      <c r="AR14">
        <f t="shared" si="3"/>
        <v>-20.791305691136813</v>
      </c>
      <c r="AS14">
        <f t="shared" si="3"/>
        <v>-51.577520217964803</v>
      </c>
      <c r="AT14">
        <f t="shared" si="3"/>
        <v>-67.303414687194106</v>
      </c>
      <c r="AU14">
        <f t="shared" si="3"/>
        <v>-29.380144491396578</v>
      </c>
      <c r="AV14">
        <f t="shared" si="3"/>
        <v>-99.830602960946806</v>
      </c>
      <c r="AW14">
        <f t="shared" si="3"/>
        <v>-79.654329675167901</v>
      </c>
      <c r="AX14">
        <f t="shared" si="3"/>
        <v>-69.614606078628526</v>
      </c>
      <c r="AY14">
        <f t="shared" si="3"/>
        <v>-114.1091567958548</v>
      </c>
      <c r="AZ14">
        <f t="shared" si="3"/>
        <v>-96.405965203414723</v>
      </c>
      <c r="BW14" s="455" t="s">
        <v>364</v>
      </c>
      <c r="BX14" s="455">
        <v>1.680229976572116</v>
      </c>
      <c r="BY14" s="455"/>
      <c r="CB14" s="455" t="s">
        <v>364</v>
      </c>
      <c r="CC14" s="455">
        <v>1.678660413556865</v>
      </c>
      <c r="CD14" s="455"/>
      <c r="CH14" t="s">
        <v>374</v>
      </c>
      <c r="CI14">
        <v>-24.335036040801569</v>
      </c>
      <c r="CJ14">
        <v>-17.244191128023786</v>
      </c>
      <c r="CK14">
        <v>-66.551635150668261</v>
      </c>
      <c r="CL14">
        <v>-47.499489754384641</v>
      </c>
      <c r="CM14">
        <v>-20.791305691136813</v>
      </c>
      <c r="CN14">
        <v>-51.577520217964803</v>
      </c>
      <c r="CO14">
        <v>-67.303414687194106</v>
      </c>
      <c r="CP14">
        <v>-29.380144491396578</v>
      </c>
      <c r="CQ14">
        <v>-99.830602960946806</v>
      </c>
      <c r="CR14">
        <v>-79.654329675167901</v>
      </c>
      <c r="CS14">
        <v>-69.614606078628526</v>
      </c>
      <c r="CT14">
        <v>-114.1091567958548</v>
      </c>
      <c r="CU14">
        <v>-96.405965203414723</v>
      </c>
      <c r="CX14" s="455" t="s">
        <v>363</v>
      </c>
      <c r="CY14" s="455">
        <v>6.2042494421422401E-2</v>
      </c>
      <c r="CZ14" s="455"/>
      <c r="DC14" s="455" t="s">
        <v>363</v>
      </c>
      <c r="DD14" s="455">
        <v>0.13937440111388183</v>
      </c>
      <c r="DE14" s="455"/>
    </row>
    <row r="15" spans="4:109" x14ac:dyDescent="0.25">
      <c r="E15" t="s">
        <v>213</v>
      </c>
      <c r="F15" s="43"/>
      <c r="G15" s="403"/>
      <c r="H15" s="257">
        <v>2.4599999999999999E-3</v>
      </c>
      <c r="I15" s="43"/>
      <c r="P15" s="257">
        <v>1.0999999999999999E-2</v>
      </c>
      <c r="Q15" s="43"/>
      <c r="T15" s="43"/>
      <c r="U15" s="61"/>
      <c r="V15" s="43"/>
      <c r="W15" s="257">
        <v>3.7000000000000002E-3</v>
      </c>
      <c r="X15" s="253">
        <v>4.0000000000000001E-3</v>
      </c>
      <c r="AA15" t="s">
        <v>377</v>
      </c>
      <c r="AB15">
        <f t="shared" ref="AB15:AZ15" si="4">((AB11/AB$9)*100)-100</f>
        <v>66.427811936572539</v>
      </c>
      <c r="AC15">
        <f t="shared" si="4"/>
        <v>71.377477522229441</v>
      </c>
      <c r="AD15">
        <f t="shared" si="4"/>
        <v>58.337054930778322</v>
      </c>
      <c r="AE15">
        <f t="shared" si="4"/>
        <v>58.337054930778351</v>
      </c>
      <c r="AF15">
        <f t="shared" si="4"/>
        <v>37.68324984920406</v>
      </c>
      <c r="AG15">
        <f t="shared" si="4"/>
        <v>66.427811936572539</v>
      </c>
      <c r="AH15">
        <f t="shared" si="4"/>
        <v>56.06101985876478</v>
      </c>
      <c r="AI15">
        <f t="shared" si="4"/>
        <v>62.120098569020001</v>
      </c>
      <c r="AJ15">
        <f t="shared" si="4"/>
        <v>31.489557537638888</v>
      </c>
      <c r="AK15">
        <f t="shared" si="4"/>
        <v>34.934720770221958</v>
      </c>
      <c r="AL15">
        <f t="shared" si="4"/>
        <v>49.325460849267131</v>
      </c>
      <c r="AM15">
        <f t="shared" si="4"/>
        <v>69.647617662740572</v>
      </c>
      <c r="AN15">
        <f t="shared" si="4"/>
        <v>91.926300300684574</v>
      </c>
      <c r="AO15">
        <f t="shared" si="4"/>
        <v>45.426954569884003</v>
      </c>
      <c r="AP15">
        <f t="shared" si="4"/>
        <v>49.838715271756115</v>
      </c>
      <c r="AQ15">
        <f t="shared" si="4"/>
        <v>60.805721298294628</v>
      </c>
      <c r="AR15">
        <f t="shared" si="4"/>
        <v>22.581760462667575</v>
      </c>
      <c r="AS15">
        <f t="shared" si="4"/>
        <v>35.364623071054126</v>
      </c>
      <c r="AT15">
        <f t="shared" si="4"/>
        <v>40.327243130981458</v>
      </c>
      <c r="AU15">
        <f t="shared" si="4"/>
        <v>21.565037294952802</v>
      </c>
      <c r="AV15">
        <f t="shared" si="4"/>
        <v>50.628941897748518</v>
      </c>
      <c r="AW15">
        <f t="shared" si="4"/>
        <v>38.907692724269594</v>
      </c>
      <c r="AX15">
        <f t="shared" si="4"/>
        <v>34.309113918005806</v>
      </c>
      <c r="AY15">
        <f t="shared" si="4"/>
        <v>39.226338347301464</v>
      </c>
      <c r="AZ15">
        <f t="shared" si="4"/>
        <v>26.301916494298098</v>
      </c>
      <c r="BA15" s="226">
        <f>AVERAGE(AB15:AZ15)</f>
        <v>48.77517180542749</v>
      </c>
      <c r="BW15" s="455" t="s">
        <v>365</v>
      </c>
      <c r="BX15" s="455">
        <v>8.2222783388756188E-2</v>
      </c>
      <c r="BY15" s="455"/>
      <c r="CB15" s="455" t="s">
        <v>365</v>
      </c>
      <c r="CC15" s="455">
        <v>0.23735712833407127</v>
      </c>
      <c r="CD15" s="455"/>
      <c r="CH15" t="s">
        <v>377</v>
      </c>
      <c r="CI15">
        <v>58.337054930778351</v>
      </c>
      <c r="CJ15">
        <v>31.489557537638888</v>
      </c>
      <c r="CK15">
        <v>91.926300300684574</v>
      </c>
      <c r="CL15">
        <v>60.805721298294628</v>
      </c>
      <c r="CM15">
        <v>22.581760462667575</v>
      </c>
      <c r="CN15">
        <v>35.364623071054126</v>
      </c>
      <c r="CO15">
        <v>40.327243130981458</v>
      </c>
      <c r="CP15">
        <v>21.565037294952802</v>
      </c>
      <c r="CQ15">
        <v>50.628941897748518</v>
      </c>
      <c r="CR15">
        <v>38.907692724269594</v>
      </c>
      <c r="CS15">
        <v>34.309113918005806</v>
      </c>
      <c r="CT15">
        <v>39.226338347301464</v>
      </c>
      <c r="CU15">
        <v>26.301916494298098</v>
      </c>
      <c r="CX15" s="455" t="s">
        <v>364</v>
      </c>
      <c r="CY15" s="455">
        <v>1.7171443743802424</v>
      </c>
      <c r="CZ15" s="455"/>
      <c r="DC15" s="455" t="s">
        <v>364</v>
      </c>
      <c r="DD15" s="455">
        <v>1.7138715277470482</v>
      </c>
      <c r="DE15" s="455"/>
    </row>
    <row r="16" spans="4:109" ht="15.75" thickBot="1" x14ac:dyDescent="0.3"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265"/>
      <c r="Q16" s="265"/>
      <c r="R16" s="55"/>
      <c r="S16" s="55"/>
      <c r="T16" s="55"/>
      <c r="U16" s="55"/>
      <c r="V16" s="55"/>
      <c r="W16" s="265"/>
      <c r="X16" s="55"/>
      <c r="Y16" s="55"/>
      <c r="AA16" t="s">
        <v>378</v>
      </c>
      <c r="AB16">
        <f t="shared" ref="AB16:AZ16" si="5">((AB12/AB$9)*100)-100</f>
        <v>-28.527467291389556</v>
      </c>
      <c r="AC16">
        <f t="shared" si="5"/>
        <v>-29.403098078536487</v>
      </c>
      <c r="AD16">
        <f t="shared" si="5"/>
        <v>-26.92386966216344</v>
      </c>
      <c r="AE16">
        <f t="shared" si="5"/>
        <v>-26.92386966216344</v>
      </c>
      <c r="AF16">
        <f t="shared" si="5"/>
        <v>-21.488283060910135</v>
      </c>
      <c r="AG16">
        <f t="shared" si="5"/>
        <v>-28.527467291389556</v>
      </c>
      <c r="AH16">
        <f t="shared" si="5"/>
        <v>-26.42866339274218</v>
      </c>
      <c r="AI16">
        <f t="shared" si="5"/>
        <v>-27.702481250843476</v>
      </c>
      <c r="AJ16">
        <f t="shared" si="5"/>
        <v>-19.321222552407605</v>
      </c>
      <c r="AK16">
        <f t="shared" si="5"/>
        <v>-20.565629964648124</v>
      </c>
      <c r="AL16">
        <f t="shared" si="5"/>
        <v>-24.830219979609126</v>
      </c>
      <c r="AM16">
        <f t="shared" si="5"/>
        <v>-29.105308999574646</v>
      </c>
      <c r="AN16">
        <f t="shared" si="5"/>
        <v>-32.385223917600129</v>
      </c>
      <c r="AO16">
        <f t="shared" si="5"/>
        <v>-23.801951332637628</v>
      </c>
      <c r="AP16">
        <f t="shared" si="5"/>
        <v>-24.959613680974144</v>
      </c>
      <c r="AQ16">
        <f t="shared" si="5"/>
        <v>-27.437988122744372</v>
      </c>
      <c r="AR16">
        <f t="shared" si="5"/>
        <v>-15.556084833656328</v>
      </c>
      <c r="AS16">
        <f t="shared" si="5"/>
        <v>-20.71386354135133</v>
      </c>
      <c r="AT16">
        <f t="shared" si="5"/>
        <v>-22.322857276017942</v>
      </c>
      <c r="AU16">
        <f t="shared" si="5"/>
        <v>-15.066740764818746</v>
      </c>
      <c r="AV16">
        <f t="shared" si="5"/>
        <v>-25.156252735517086</v>
      </c>
      <c r="AW16">
        <f t="shared" si="5"/>
        <v>-21.880948392696723</v>
      </c>
      <c r="AX16">
        <f t="shared" si="5"/>
        <v>-20.347215338648255</v>
      </c>
      <c r="AY16">
        <f t="shared" si="5"/>
        <v>-21.981367314782233</v>
      </c>
      <c r="AZ16">
        <f t="shared" si="5"/>
        <v>-17.23542323885377</v>
      </c>
      <c r="BA16" s="226">
        <f>AVERAGE(AB16:AZ16)</f>
        <v>-23.943724467067049</v>
      </c>
      <c r="BW16" s="456" t="s">
        <v>366</v>
      </c>
      <c r="BX16" s="456">
        <v>2.0153675744437649</v>
      </c>
      <c r="BY16" s="456"/>
      <c r="CB16" s="456" t="s">
        <v>366</v>
      </c>
      <c r="CC16" s="456">
        <v>2.0128955989194299</v>
      </c>
      <c r="CD16" s="456"/>
      <c r="CH16" t="s">
        <v>378</v>
      </c>
      <c r="CI16">
        <v>-26.92386966216344</v>
      </c>
      <c r="CJ16">
        <v>-19.321222552407605</v>
      </c>
      <c r="CK16">
        <v>-32.385223917600129</v>
      </c>
      <c r="CL16">
        <v>-27.437988122744372</v>
      </c>
      <c r="CM16">
        <v>-15.556084833656328</v>
      </c>
      <c r="CN16">
        <v>-20.71386354135133</v>
      </c>
      <c r="CO16">
        <v>-22.322857276017942</v>
      </c>
      <c r="CP16">
        <v>-15.066740764818746</v>
      </c>
      <c r="CQ16">
        <v>-25.156252735517086</v>
      </c>
      <c r="CR16">
        <v>-21.880948392696723</v>
      </c>
      <c r="CS16">
        <v>-20.347215338648255</v>
      </c>
      <c r="CT16">
        <v>-21.981367314782233</v>
      </c>
      <c r="CU16">
        <v>-17.23542323885377</v>
      </c>
      <c r="CX16" s="455" t="s">
        <v>365</v>
      </c>
      <c r="CY16" s="455">
        <v>0.1240849888428448</v>
      </c>
      <c r="CZ16" s="455"/>
      <c r="DC16" s="455" t="s">
        <v>365</v>
      </c>
      <c r="DD16" s="455">
        <v>0.27874880222776366</v>
      </c>
      <c r="DE16" s="455"/>
    </row>
    <row r="17" spans="2:109" ht="15.75" thickBot="1" x14ac:dyDescent="0.3"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503">
        <v>1.4999999999999999E-2</v>
      </c>
      <c r="Q17" s="320"/>
      <c r="R17" s="320"/>
      <c r="S17" s="320"/>
      <c r="T17" s="320"/>
      <c r="U17" s="320"/>
      <c r="V17" s="320"/>
      <c r="W17" s="320"/>
      <c r="X17" s="320"/>
      <c r="Y17" s="320"/>
      <c r="AA17" s="514" t="s">
        <v>375</v>
      </c>
      <c r="AB17" s="514">
        <f>(AB8/(AB10-I13))</f>
        <v>21.422222222222221</v>
      </c>
      <c r="AC17" s="514">
        <f>(AC8/(AC10-V11))</f>
        <v>22.533333333333335</v>
      </c>
      <c r="AD17" s="514">
        <f>(AD8/(AD10-Q13))</f>
        <v>92.280000000000015</v>
      </c>
      <c r="AE17" s="514">
        <f>(AE8/(AE10-G21))</f>
        <v>126.34408602150539</v>
      </c>
      <c r="AF17" s="514">
        <f>(AF8/(AF10-I12))</f>
        <v>97.070866141732267</v>
      </c>
      <c r="AG17" s="514">
        <f>(AG8/(AG10-V10))</f>
        <v>173.64444444444445</v>
      </c>
      <c r="AH17" s="514">
        <f>(AH8/(AH10-G12))</f>
        <v>157.0451612903226</v>
      </c>
      <c r="AI17" s="514">
        <f>(AI8/(AI10-X12))</f>
        <v>169.36082474226808</v>
      </c>
      <c r="AJ17" s="514">
        <f>(AJ8/(AJ10-Q19))</f>
        <v>122.26027397260273</v>
      </c>
      <c r="AK17" s="514">
        <f>(AK8/(AK10-H10))</f>
        <v>123.64137931034482</v>
      </c>
      <c r="AL17" s="514">
        <f>(AL8/(AL10-W12))</f>
        <v>161.98260869565217</v>
      </c>
      <c r="AM17" s="514">
        <f>(AM8/(AM10-W10))</f>
        <v>236.86153846153846</v>
      </c>
      <c r="AN17" s="514">
        <f>(AN8/(AN10-P19))</f>
        <v>256.875</v>
      </c>
      <c r="AO17" s="514">
        <f>(AO8/(AO10-Q10))</f>
        <v>167.25405405405405</v>
      </c>
      <c r="AP17" s="514">
        <f>(AP8/(AP10-Q12))</f>
        <v>199.32710280373834</v>
      </c>
      <c r="AQ17" s="514">
        <f>(AQ8/(AQ10-P10))</f>
        <v>226.84137931034482</v>
      </c>
      <c r="AR17" s="514">
        <f>(AR8/(AR10-T21))</f>
        <v>193.05555555555557</v>
      </c>
      <c r="AS17" s="514">
        <f>(AS8/(AS10-I21))</f>
        <v>325.99381099738156</v>
      </c>
      <c r="AT17" s="514">
        <f>(AT8/(AT10-P20))</f>
        <v>381.64556962025307</v>
      </c>
      <c r="AU17" s="514">
        <f>(AU8/(AU10-U20))</f>
        <v>256.82926829268297</v>
      </c>
      <c r="AV17" s="514">
        <f>(AV8/(AV10-F18))</f>
        <v>904.8</v>
      </c>
      <c r="AW17" s="514">
        <f>(AW8/(AW10-Q18))</f>
        <v>1020.491803278689</v>
      </c>
      <c r="AX17" s="514">
        <f>(AX8/(AX10-W18))</f>
        <v>476.95167286245351</v>
      </c>
      <c r="AY17" s="514">
        <f>(AY8/(AY10-P18))</f>
        <v>630.35714285714266</v>
      </c>
      <c r="AZ17" s="514">
        <f>(AZ8/(AZ10-I20))</f>
        <v>714.72222222222217</v>
      </c>
      <c r="CH17" s="514" t="s">
        <v>375</v>
      </c>
      <c r="CI17" s="514">
        <v>126.34408602150539</v>
      </c>
      <c r="CJ17" s="514">
        <v>122.26027397260273</v>
      </c>
      <c r="CK17" s="514">
        <v>256.875</v>
      </c>
      <c r="CL17" s="514">
        <v>226.84137931034482</v>
      </c>
      <c r="CM17" s="514">
        <v>193.05555555555557</v>
      </c>
      <c r="CN17" s="514">
        <v>325.99381099738156</v>
      </c>
      <c r="CO17" s="514">
        <v>381.64556962025307</v>
      </c>
      <c r="CP17" s="514">
        <v>256.82926829268297</v>
      </c>
      <c r="CQ17" s="514">
        <v>904.8</v>
      </c>
      <c r="CR17" s="514">
        <v>1020.491803278689</v>
      </c>
      <c r="CS17" s="514">
        <v>476.95167286245351</v>
      </c>
      <c r="CT17" s="514">
        <v>630.35714285714266</v>
      </c>
      <c r="CU17" s="514">
        <v>714.72222222222217</v>
      </c>
      <c r="CX17" s="456" t="s">
        <v>366</v>
      </c>
      <c r="CY17" s="456">
        <v>2.0738730679040258</v>
      </c>
      <c r="CZ17" s="456"/>
      <c r="DC17" s="456" t="s">
        <v>366</v>
      </c>
      <c r="DD17" s="456">
        <v>2.0686576104190491</v>
      </c>
      <c r="DE17" s="456"/>
    </row>
    <row r="18" spans="2:109" x14ac:dyDescent="0.25">
      <c r="D18" s="55" t="s">
        <v>78</v>
      </c>
      <c r="E18" s="55" t="s">
        <v>212</v>
      </c>
      <c r="F18" s="278">
        <v>8.0000000000000002E-3</v>
      </c>
      <c r="G18" s="407"/>
      <c r="H18" s="407"/>
      <c r="J18" s="55"/>
      <c r="K18" s="55"/>
      <c r="L18" s="55"/>
      <c r="M18" s="55"/>
      <c r="N18" s="55"/>
      <c r="O18" s="55"/>
      <c r="P18" s="278">
        <v>3.0000000000000001E-3</v>
      </c>
      <c r="Q18" s="278">
        <v>1.0999999999999999E-2</v>
      </c>
      <c r="R18" s="55"/>
      <c r="S18" s="55"/>
      <c r="T18" s="407"/>
      <c r="U18" s="407"/>
      <c r="V18" s="407"/>
      <c r="W18" s="252">
        <v>5.3E-3</v>
      </c>
      <c r="X18" s="55"/>
      <c r="Y18" s="55"/>
      <c r="AA18" s="514" t="s">
        <v>376</v>
      </c>
      <c r="AB18" s="514">
        <f>(AB8/(AB10+I13))</f>
        <v>12.853333333333333</v>
      </c>
      <c r="AC18" s="514">
        <f>(AC8/(AC10+V11))</f>
        <v>14.485714285714286</v>
      </c>
      <c r="AD18" s="514">
        <f>(AD8/(AD10+Q13))</f>
        <v>57.674999999999997</v>
      </c>
      <c r="AE18" s="514">
        <f>(AE8/(AE10+G21))</f>
        <v>70.359281437125759</v>
      </c>
      <c r="AF18" s="514">
        <f>(AF8/(AF10+I12))</f>
        <v>55.282511210762337</v>
      </c>
      <c r="AG18" s="514">
        <f>(AG8/(AG10+G12))</f>
        <v>104.18666666666668</v>
      </c>
      <c r="AH18" s="514">
        <f>(AH8/(AH10+G12))</f>
        <v>99.35510204081632</v>
      </c>
      <c r="AI18" s="514">
        <f>(AI8/(AI10+X12))</f>
        <v>107.37254901960785</v>
      </c>
      <c r="AJ18" s="514">
        <f>(AJ8/(AJ10+Q19))</f>
        <v>70.275590551181097</v>
      </c>
      <c r="AK18" s="514">
        <f>(AK8/(AK10+H10))</f>
        <v>79.679999999999993</v>
      </c>
      <c r="AL18" s="514">
        <f>(AL8/(AL10+W12))</f>
        <v>106.44571428571427</v>
      </c>
      <c r="AM18" s="514">
        <f>(AM8/(AM10+W10))</f>
        <v>139.96363636363637</v>
      </c>
      <c r="AN18" s="514">
        <f>(AN8/(AN10+P19))</f>
        <v>171.25</v>
      </c>
      <c r="AO18" s="514">
        <f>(AO8/(AO10+Q10))</f>
        <v>112.51636363636362</v>
      </c>
      <c r="AP18" s="514">
        <f>(AP8/(AP10+Q12))</f>
        <v>117.83425414364642</v>
      </c>
      <c r="AQ18" s="514">
        <f>(AQ8/(AQ10+P10))</f>
        <v>139.96595744680852</v>
      </c>
      <c r="AR18" s="514">
        <f>(AR8/(AR10+T21))</f>
        <v>102.20588235294117</v>
      </c>
      <c r="AS18" s="514">
        <f>(AS8/(AS10+I21))</f>
        <v>201.42668039417561</v>
      </c>
      <c r="AT18" s="514">
        <f>(AT8/(AT10+P20))</f>
        <v>249.17355371900825</v>
      </c>
      <c r="AU18" s="514">
        <f>(AU8/(AU10+U20))</f>
        <v>157.16417910447763</v>
      </c>
      <c r="AV18" s="514">
        <f>(AV8/(AV10+F18))</f>
        <v>254.15730337078654</v>
      </c>
      <c r="AW18" s="514">
        <f>(AW8/(AW10+Q18))</f>
        <v>221.53024911032034</v>
      </c>
      <c r="AX18" s="514">
        <f>(AX8/(AX10+W18))</f>
        <v>266.73596673596677</v>
      </c>
      <c r="AY18" s="514">
        <f>(AY8/(AY10+P18))</f>
        <v>441.24999999999994</v>
      </c>
      <c r="AZ18" s="514">
        <f>(AZ8/(AZ10+I20))</f>
        <v>459.46428571428567</v>
      </c>
      <c r="CH18" s="514" t="s">
        <v>376</v>
      </c>
      <c r="CI18" s="514">
        <v>70.359281437125759</v>
      </c>
      <c r="CJ18" s="514">
        <v>70.275590551181097</v>
      </c>
      <c r="CK18" s="514">
        <v>171.25</v>
      </c>
      <c r="CL18" s="514">
        <v>139.96595744680852</v>
      </c>
      <c r="CM18" s="514">
        <v>102.20588235294117</v>
      </c>
      <c r="CN18" s="514">
        <v>201.42668039417561</v>
      </c>
      <c r="CO18" s="514">
        <v>249.17355371900825</v>
      </c>
      <c r="CP18" s="514">
        <v>157.16417910447763</v>
      </c>
      <c r="CQ18" s="514">
        <v>254.15730337078654</v>
      </c>
      <c r="CR18" s="514">
        <v>221.53024911032034</v>
      </c>
      <c r="CS18" s="514">
        <v>266.73596673596677</v>
      </c>
      <c r="CT18" s="514">
        <v>441.24999999999994</v>
      </c>
      <c r="CU18" s="514">
        <v>459.46428571428567</v>
      </c>
    </row>
    <row r="19" spans="2:109" x14ac:dyDescent="0.25">
      <c r="E19" t="s">
        <v>213</v>
      </c>
      <c r="F19" s="80"/>
      <c r="G19" s="405"/>
      <c r="P19" s="261">
        <v>2E-3</v>
      </c>
      <c r="Q19" s="261">
        <v>5.4000000000000003E-3</v>
      </c>
      <c r="T19" s="405"/>
      <c r="U19" s="61"/>
      <c r="W19" s="43"/>
      <c r="AA19" t="s">
        <v>373</v>
      </c>
      <c r="AB19">
        <f t="shared" ref="AB19:AZ19" si="6">AB17-AB9</f>
        <v>5.3555555555555543</v>
      </c>
      <c r="AC19">
        <f t="shared" si="6"/>
        <v>4.8985507246376834</v>
      </c>
      <c r="AD19">
        <f t="shared" si="6"/>
        <v>21.295384615384634</v>
      </c>
      <c r="AE19">
        <f t="shared" si="6"/>
        <v>35.959470636890003</v>
      </c>
      <c r="AF19">
        <f t="shared" si="6"/>
        <v>26.625151856017979</v>
      </c>
      <c r="AG19">
        <f t="shared" si="6"/>
        <v>43.411111111111097</v>
      </c>
      <c r="AH19" s="226">
        <f t="shared" si="6"/>
        <v>35.335161290322603</v>
      </c>
      <c r="AI19">
        <f t="shared" si="6"/>
        <v>37.936824742268072</v>
      </c>
      <c r="AJ19">
        <f t="shared" si="6"/>
        <v>33.010273972602732</v>
      </c>
      <c r="AK19">
        <f t="shared" si="6"/>
        <v>26.733271202236708</v>
      </c>
      <c r="AL19">
        <f t="shared" si="6"/>
        <v>33.513643178410803</v>
      </c>
      <c r="AM19">
        <f t="shared" si="6"/>
        <v>60.907252747252727</v>
      </c>
      <c r="AN19">
        <f t="shared" si="6"/>
        <v>51.375</v>
      </c>
      <c r="AO19">
        <f t="shared" si="6"/>
        <v>32.723619271445358</v>
      </c>
      <c r="AP19">
        <f t="shared" si="6"/>
        <v>51.215991692627227</v>
      </c>
      <c r="AQ19">
        <f t="shared" si="6"/>
        <v>53.725589836660589</v>
      </c>
      <c r="AR19">
        <f t="shared" si="6"/>
        <v>59.401709401709411</v>
      </c>
      <c r="AS19">
        <f t="shared" si="6"/>
        <v>76.993810997381587</v>
      </c>
      <c r="AT19">
        <f t="shared" si="6"/>
        <v>80.145569620253127</v>
      </c>
      <c r="AU19">
        <f t="shared" si="6"/>
        <v>61.82926829268294</v>
      </c>
      <c r="AV19">
        <f t="shared" si="6"/>
        <v>507.95789473684204</v>
      </c>
      <c r="AW19">
        <f t="shared" si="6"/>
        <v>656.45671555939066</v>
      </c>
      <c r="AX19">
        <f t="shared" si="6"/>
        <v>134.81833952912018</v>
      </c>
      <c r="AY19">
        <f t="shared" si="6"/>
        <v>111.23949579831924</v>
      </c>
      <c r="AZ19">
        <f t="shared" si="6"/>
        <v>155.37439613526567</v>
      </c>
      <c r="CH19" t="s">
        <v>373</v>
      </c>
      <c r="CI19">
        <v>35.959470636890003</v>
      </c>
      <c r="CJ19">
        <v>33.010273972602732</v>
      </c>
      <c r="CK19">
        <v>51.375</v>
      </c>
      <c r="CL19">
        <v>53.725589836660589</v>
      </c>
      <c r="CM19">
        <v>59.401709401709411</v>
      </c>
      <c r="CN19">
        <v>76.993810997381587</v>
      </c>
      <c r="CO19">
        <v>80.145569620253127</v>
      </c>
      <c r="CP19">
        <v>61.82926829268294</v>
      </c>
      <c r="CQ19">
        <v>507.95789473684204</v>
      </c>
      <c r="CR19">
        <v>656.45671555939066</v>
      </c>
      <c r="CS19">
        <v>134.81833952912018</v>
      </c>
      <c r="CT19">
        <v>111.23949579831924</v>
      </c>
      <c r="CU19">
        <v>155.37439613526567</v>
      </c>
    </row>
    <row r="20" spans="2:109" x14ac:dyDescent="0.25">
      <c r="E20" s="55"/>
      <c r="F20" s="55"/>
      <c r="G20" s="55"/>
      <c r="H20" s="55"/>
      <c r="I20" s="252">
        <v>5.0000000000000001E-3</v>
      </c>
      <c r="J20" s="55"/>
      <c r="K20" s="55"/>
      <c r="L20" s="55"/>
      <c r="M20" s="55"/>
      <c r="N20" s="55"/>
      <c r="O20" s="55"/>
      <c r="P20" s="278">
        <v>3.5000000000000001E-3</v>
      </c>
      <c r="Q20" s="55"/>
      <c r="R20" s="55"/>
      <c r="S20" s="55"/>
      <c r="T20" s="407"/>
      <c r="U20" s="278">
        <v>6.4999999999999997E-3</v>
      </c>
      <c r="V20" s="55"/>
      <c r="W20" s="55"/>
      <c r="X20" s="55"/>
      <c r="Y20" s="55"/>
      <c r="AA20" t="s">
        <v>374</v>
      </c>
      <c r="AB20">
        <f t="shared" ref="AB20:AZ20" si="7">AB18-AB9</f>
        <v>-3.2133333333333329</v>
      </c>
      <c r="AC20">
        <f t="shared" si="7"/>
        <v>-3.1490683229813659</v>
      </c>
      <c r="AD20">
        <f t="shared" si="7"/>
        <v>-13.309615384615384</v>
      </c>
      <c r="AE20">
        <f t="shared" si="7"/>
        <v>-20.025333947489628</v>
      </c>
      <c r="AF20">
        <f t="shared" si="7"/>
        <v>-15.163203074951952</v>
      </c>
      <c r="AG20">
        <f t="shared" si="7"/>
        <v>-26.046666666666667</v>
      </c>
      <c r="AH20" s="226">
        <f t="shared" si="7"/>
        <v>-22.354897959183674</v>
      </c>
      <c r="AI20">
        <f t="shared" si="7"/>
        <v>-24.051450980392161</v>
      </c>
      <c r="AJ20">
        <f t="shared" si="7"/>
        <v>-18.974409448818903</v>
      </c>
      <c r="AK20">
        <f t="shared" si="7"/>
        <v>-17.228108108108117</v>
      </c>
      <c r="AL20">
        <f t="shared" si="7"/>
        <v>-22.023251231527098</v>
      </c>
      <c r="AM20">
        <f t="shared" si="7"/>
        <v>-35.990649350649363</v>
      </c>
      <c r="AN20">
        <f t="shared" si="7"/>
        <v>-34.25</v>
      </c>
      <c r="AO20">
        <f t="shared" si="7"/>
        <v>-22.014071146245072</v>
      </c>
      <c r="AP20">
        <f t="shared" si="7"/>
        <v>-30.276856967464695</v>
      </c>
      <c r="AQ20">
        <f t="shared" si="7"/>
        <v>-33.149832026875714</v>
      </c>
      <c r="AR20">
        <f t="shared" si="7"/>
        <v>-31.447963800904986</v>
      </c>
      <c r="AS20">
        <f t="shared" si="7"/>
        <v>-47.573319605824366</v>
      </c>
      <c r="AT20">
        <f t="shared" si="7"/>
        <v>-52.326446280991689</v>
      </c>
      <c r="AU20">
        <f t="shared" si="7"/>
        <v>-37.835820895522403</v>
      </c>
      <c r="AV20">
        <f t="shared" si="7"/>
        <v>-142.68480189237138</v>
      </c>
      <c r="AW20">
        <f t="shared" si="7"/>
        <v>-142.50483860897802</v>
      </c>
      <c r="AX20">
        <f t="shared" si="7"/>
        <v>-75.397366597366556</v>
      </c>
      <c r="AY20">
        <f t="shared" si="7"/>
        <v>-77.867647058823479</v>
      </c>
      <c r="AZ20">
        <f t="shared" si="7"/>
        <v>-99.883540372670836</v>
      </c>
      <c r="CH20" t="s">
        <v>374</v>
      </c>
      <c r="CI20">
        <v>-20.025333947489628</v>
      </c>
      <c r="CJ20">
        <v>-18.974409448818903</v>
      </c>
      <c r="CK20">
        <v>-34.25</v>
      </c>
      <c r="CL20">
        <v>-33.149832026875714</v>
      </c>
      <c r="CM20">
        <v>-31.447963800904986</v>
      </c>
      <c r="CN20">
        <v>-47.573319605824366</v>
      </c>
      <c r="CO20">
        <v>-52.326446280991689</v>
      </c>
      <c r="CP20">
        <v>-37.835820895522403</v>
      </c>
      <c r="CQ20">
        <v>-142.68480189237138</v>
      </c>
      <c r="CR20">
        <v>-142.50483860897802</v>
      </c>
      <c r="CS20">
        <v>-75.397366597366556</v>
      </c>
      <c r="CT20">
        <v>-77.867647058823479</v>
      </c>
      <c r="CU20">
        <v>-99.883540372670836</v>
      </c>
    </row>
    <row r="21" spans="2:109" x14ac:dyDescent="0.25">
      <c r="G21" s="253">
        <v>3.7000000000000002E-3</v>
      </c>
      <c r="I21" s="253">
        <v>4.3299999999999996E-3</v>
      </c>
      <c r="T21" s="253">
        <v>8.0000000000000002E-3</v>
      </c>
      <c r="U21" s="43"/>
      <c r="Z21" t="s">
        <v>777</v>
      </c>
      <c r="AA21" t="s">
        <v>377</v>
      </c>
      <c r="AB21">
        <f t="shared" ref="AB21:AZ21" si="8">((AB17/AB$9)*100)-100</f>
        <v>33.333333333333314</v>
      </c>
      <c r="AC21">
        <f t="shared" si="8"/>
        <v>27.777777777777786</v>
      </c>
      <c r="AD21">
        <f t="shared" si="8"/>
        <v>30.000000000000028</v>
      </c>
      <c r="AE21">
        <f t="shared" si="8"/>
        <v>39.784946236559136</v>
      </c>
      <c r="AF21">
        <f t="shared" si="8"/>
        <v>37.795275590551171</v>
      </c>
      <c r="AG21">
        <f t="shared" si="8"/>
        <v>33.333333333333314</v>
      </c>
      <c r="AH21">
        <f t="shared" si="8"/>
        <v>29.032258064516157</v>
      </c>
      <c r="AI21">
        <f t="shared" si="8"/>
        <v>28.865979381443339</v>
      </c>
      <c r="AJ21">
        <f t="shared" si="8"/>
        <v>36.986301369863014</v>
      </c>
      <c r="AK21">
        <f t="shared" si="8"/>
        <v>27.586206896551715</v>
      </c>
      <c r="AL21">
        <f t="shared" si="8"/>
        <v>26.08695652173914</v>
      </c>
      <c r="AM21">
        <f t="shared" si="8"/>
        <v>34.615384615384613</v>
      </c>
      <c r="AN21">
        <f t="shared" si="8"/>
        <v>25</v>
      </c>
      <c r="AO21">
        <f t="shared" si="8"/>
        <v>24.324324324324323</v>
      </c>
      <c r="AP21">
        <f t="shared" si="8"/>
        <v>34.579439252336471</v>
      </c>
      <c r="AQ21">
        <f t="shared" si="8"/>
        <v>31.034482758620669</v>
      </c>
      <c r="AR21">
        <f t="shared" si="8"/>
        <v>44.444444444444429</v>
      </c>
      <c r="AS21">
        <f t="shared" si="8"/>
        <v>30.921209235896242</v>
      </c>
      <c r="AT21">
        <f t="shared" si="8"/>
        <v>26.582278481012651</v>
      </c>
      <c r="AU21">
        <f t="shared" si="8"/>
        <v>31.707317073170742</v>
      </c>
      <c r="AV21">
        <f t="shared" si="8"/>
        <v>127.99999999999997</v>
      </c>
      <c r="AW21">
        <f t="shared" si="8"/>
        <v>180.32786885245906</v>
      </c>
      <c r="AX21">
        <f t="shared" si="8"/>
        <v>39.40520446096653</v>
      </c>
      <c r="AY21">
        <f t="shared" si="8"/>
        <v>21.428571428571416</v>
      </c>
      <c r="AZ21">
        <f t="shared" si="8"/>
        <v>27.777777777777771</v>
      </c>
      <c r="BA21" s="226">
        <f>AVERAGE(AB21:AZ21)</f>
        <v>41.229226848425334</v>
      </c>
      <c r="CH21" t="s">
        <v>377</v>
      </c>
      <c r="CI21">
        <v>39.784946236559136</v>
      </c>
      <c r="CJ21">
        <v>36.986301369863014</v>
      </c>
      <c r="CK21">
        <v>25</v>
      </c>
      <c r="CL21">
        <v>31.034482758620669</v>
      </c>
      <c r="CM21">
        <v>44.444444444444429</v>
      </c>
      <c r="CN21">
        <v>30.921209235896242</v>
      </c>
      <c r="CO21">
        <v>26.582278481012651</v>
      </c>
      <c r="CP21">
        <v>31.707317073170742</v>
      </c>
      <c r="CQ21">
        <v>127.99999999999997</v>
      </c>
      <c r="CR21">
        <v>180.32786885245906</v>
      </c>
      <c r="CS21">
        <v>39.40520446096653</v>
      </c>
      <c r="CT21">
        <v>21.428571428571416</v>
      </c>
      <c r="CU21">
        <v>27.777777777777771</v>
      </c>
    </row>
    <row r="22" spans="2:109" x14ac:dyDescent="0.25">
      <c r="D22" t="s">
        <v>317</v>
      </c>
      <c r="E22" t="s">
        <v>217</v>
      </c>
      <c r="G22" s="226">
        <f>G12</f>
        <v>3.0000000000000001E-3</v>
      </c>
      <c r="H22" s="65">
        <f>H10</f>
        <v>4.0000000000000001E-3</v>
      </c>
      <c r="I22">
        <f>(I12+I13)/2</f>
        <v>3.8999999999999998E-3</v>
      </c>
      <c r="P22" s="226">
        <f>P10</f>
        <v>3.0000000000000001E-3</v>
      </c>
      <c r="Q22">
        <f>(Q10+Q12+Q13)/3</f>
        <v>3.2333333333333333E-3</v>
      </c>
      <c r="V22">
        <f>(V10+V11)/2</f>
        <v>2.7499999999999998E-3</v>
      </c>
      <c r="W22">
        <f>(W10+W12)/2</f>
        <v>3.0000000000000001E-3</v>
      </c>
      <c r="X22" s="226">
        <f>X12</f>
        <v>2.8E-3</v>
      </c>
      <c r="Z22">
        <v>38</v>
      </c>
      <c r="AA22" s="61" t="s">
        <v>378</v>
      </c>
      <c r="AB22" s="61">
        <f t="shared" ref="AB22:AZ22" si="9">((AB18/AB$9)*100)-100</f>
        <v>-20</v>
      </c>
      <c r="AC22" s="61">
        <f t="shared" si="9"/>
        <v>-17.857142857142847</v>
      </c>
      <c r="AD22" s="61">
        <f t="shared" si="9"/>
        <v>-18.75</v>
      </c>
      <c r="AE22" s="61">
        <f t="shared" si="9"/>
        <v>-22.155688622754482</v>
      </c>
      <c r="AF22" s="61">
        <f t="shared" si="9"/>
        <v>-21.524663677130036</v>
      </c>
      <c r="AG22" s="61">
        <f t="shared" si="9"/>
        <v>-20</v>
      </c>
      <c r="AH22" s="61">
        <f t="shared" si="9"/>
        <v>-18.367346938775512</v>
      </c>
      <c r="AI22" s="61">
        <f t="shared" si="9"/>
        <v>-18.300653594771248</v>
      </c>
      <c r="AJ22" s="61">
        <f t="shared" si="9"/>
        <v>-21.259842519685051</v>
      </c>
      <c r="AK22" s="61">
        <f t="shared" si="9"/>
        <v>-17.777777777777786</v>
      </c>
      <c r="AL22" s="61">
        <f t="shared" si="9"/>
        <v>-17.142857142857153</v>
      </c>
      <c r="AM22" s="61">
        <f t="shared" si="9"/>
        <v>-20.454545454545453</v>
      </c>
      <c r="AN22" s="61">
        <f t="shared" si="9"/>
        <v>-16.666666666666657</v>
      </c>
      <c r="AO22" s="61">
        <f t="shared" si="9"/>
        <v>-16.363636363636374</v>
      </c>
      <c r="AP22" s="61">
        <f t="shared" si="9"/>
        <v>-20.44198895027624</v>
      </c>
      <c r="AQ22" s="61">
        <f t="shared" si="9"/>
        <v>-19.148936170212778</v>
      </c>
      <c r="AR22" s="61">
        <f t="shared" si="9"/>
        <v>-23.529411764705884</v>
      </c>
      <c r="AS22" s="61">
        <f t="shared" si="9"/>
        <v>-19.105750845712606</v>
      </c>
      <c r="AT22" s="61">
        <f t="shared" si="9"/>
        <v>-17.355371900826427</v>
      </c>
      <c r="AU22" s="61">
        <f t="shared" si="9"/>
        <v>-19.402985074626869</v>
      </c>
      <c r="AV22" s="61">
        <f t="shared" si="9"/>
        <v>-35.955056179775283</v>
      </c>
      <c r="AW22" s="61">
        <f t="shared" si="9"/>
        <v>-39.145907473309613</v>
      </c>
      <c r="AX22" s="61">
        <f t="shared" si="9"/>
        <v>-22.037422037422033</v>
      </c>
      <c r="AY22" s="61">
        <f t="shared" si="9"/>
        <v>-14.999999999999986</v>
      </c>
      <c r="AZ22" s="61">
        <f t="shared" si="9"/>
        <v>-17.857142857142861</v>
      </c>
      <c r="BA22" s="226">
        <f>AVERAGE(AB22:AZ22)</f>
        <v>-20.624031794790127</v>
      </c>
      <c r="CH22" s="61" t="s">
        <v>378</v>
      </c>
      <c r="CI22" s="61">
        <v>-22.155688622754482</v>
      </c>
      <c r="CJ22" s="61">
        <v>-21.259842519685051</v>
      </c>
      <c r="CK22" s="61">
        <v>-16.666666666666657</v>
      </c>
      <c r="CL22" s="61">
        <v>-19.148936170212778</v>
      </c>
      <c r="CM22" s="61">
        <v>-23.529411764705884</v>
      </c>
      <c r="CN22" s="61">
        <v>-19.105750845712606</v>
      </c>
      <c r="CO22" s="61">
        <v>-17.355371900826427</v>
      </c>
      <c r="CP22" s="61">
        <v>-19.402985074626869</v>
      </c>
      <c r="CQ22" s="61">
        <v>-35.955056179775283</v>
      </c>
      <c r="CR22" s="61">
        <v>-39.145907473309613</v>
      </c>
      <c r="CS22" s="61">
        <v>-22.037422037422033</v>
      </c>
      <c r="CT22" s="61">
        <v>-14.999999999999986</v>
      </c>
      <c r="CU22" s="61">
        <v>-17.857142857142861</v>
      </c>
    </row>
    <row r="23" spans="2:109" x14ac:dyDescent="0.25">
      <c r="E23" t="s">
        <v>218</v>
      </c>
      <c r="H23">
        <f>(H14+H15)/2</f>
        <v>1.23E-3</v>
      </c>
      <c r="P23">
        <f>(P14+P15+P16+P17)/4</f>
        <v>6.4999999999999997E-3</v>
      </c>
      <c r="Q23" s="226">
        <f>Q16</f>
        <v>0</v>
      </c>
      <c r="V23" s="226">
        <f>V14</f>
        <v>0</v>
      </c>
      <c r="W23">
        <f>(W14+W15+W16)/3</f>
        <v>1.2333333333333335E-3</v>
      </c>
      <c r="X23">
        <f>(X14+X15)/2</f>
        <v>2E-3</v>
      </c>
      <c r="Z23">
        <v>9</v>
      </c>
      <c r="AA23" s="61" t="s">
        <v>575</v>
      </c>
      <c r="AB23" s="61">
        <v>3.0000000000000001E-3</v>
      </c>
      <c r="AC23" s="405">
        <v>2.5000000000000001E-3</v>
      </c>
      <c r="AD23" s="404">
        <v>3.0000000000000001E-3</v>
      </c>
      <c r="AE23" s="405">
        <v>3.7000000000000002E-3</v>
      </c>
      <c r="AF23" s="61">
        <v>4.7999999999999996E-3</v>
      </c>
      <c r="AG23" s="405">
        <v>3.0000000000000001E-3</v>
      </c>
      <c r="AH23" s="405">
        <f>0.003</f>
        <v>3.0000000000000001E-3</v>
      </c>
      <c r="AI23" s="404">
        <v>2.8E-3</v>
      </c>
      <c r="AJ23" s="405">
        <v>5.4000000000000003E-3</v>
      </c>
      <c r="AK23" s="532">
        <f>(0.004+0.004)/2</f>
        <v>4.0000000000000001E-3</v>
      </c>
      <c r="AL23" s="404">
        <v>3.0000000000000001E-3</v>
      </c>
      <c r="AM23" s="404">
        <v>3.0000000000000001E-3</v>
      </c>
      <c r="AN23" s="405">
        <v>2E-3</v>
      </c>
      <c r="AO23" s="405">
        <v>3.0000000000000001E-3</v>
      </c>
      <c r="AP23" s="404">
        <v>3.7000000000000002E-3</v>
      </c>
      <c r="AQ23" s="405">
        <v>3.0000000000000001E-3</v>
      </c>
      <c r="AR23" s="405">
        <v>8.0000000000000002E-3</v>
      </c>
      <c r="AS23" s="405">
        <v>4.3299999999999996E-3</v>
      </c>
      <c r="AT23" s="405">
        <v>3.5000000000000001E-3</v>
      </c>
      <c r="AU23" s="405">
        <v>6.4999999999999997E-3</v>
      </c>
      <c r="AV23" s="405">
        <v>8.0000000000000002E-3</v>
      </c>
      <c r="AW23" s="405">
        <v>1.0999999999999999E-2</v>
      </c>
      <c r="AX23" s="405">
        <v>5.3E-3</v>
      </c>
      <c r="AY23" s="405">
        <v>3.0000000000000001E-3</v>
      </c>
      <c r="AZ23" s="405">
        <v>5.0000000000000001E-3</v>
      </c>
      <c r="BA23" s="226">
        <f>AVERAGE(AB23:AZ23)</f>
        <v>4.3012000000000015E-3</v>
      </c>
      <c r="CH23" s="61" t="s">
        <v>575</v>
      </c>
      <c r="CI23" s="405">
        <v>3.7000000000000002E-3</v>
      </c>
      <c r="CJ23" s="405">
        <v>5.4000000000000003E-3</v>
      </c>
      <c r="CK23" s="405">
        <v>2E-3</v>
      </c>
      <c r="CL23" s="405">
        <v>3.0000000000000001E-3</v>
      </c>
      <c r="CM23" s="405">
        <v>8.0000000000000002E-3</v>
      </c>
      <c r="CN23" s="405">
        <v>4.3299999999999996E-3</v>
      </c>
      <c r="CO23" s="405">
        <v>3.5000000000000001E-3</v>
      </c>
      <c r="CP23" s="405">
        <v>6.4999999999999997E-3</v>
      </c>
      <c r="CQ23" s="405">
        <v>8.0000000000000002E-3</v>
      </c>
      <c r="CR23" s="405">
        <v>1.0999999999999999E-2</v>
      </c>
      <c r="CS23" s="405">
        <v>5.3E-3</v>
      </c>
      <c r="CT23" s="405">
        <v>3.0000000000000001E-3</v>
      </c>
      <c r="CU23" s="405">
        <v>5.0000000000000001E-3</v>
      </c>
    </row>
    <row r="24" spans="2:109" x14ac:dyDescent="0.25">
      <c r="E24" t="s">
        <v>219</v>
      </c>
      <c r="F24" s="226">
        <f>F18</f>
        <v>8.0000000000000002E-3</v>
      </c>
      <c r="G24" s="226">
        <f>G21</f>
        <v>3.7000000000000002E-3</v>
      </c>
      <c r="I24">
        <f>(I20+I21)/2</f>
        <v>4.6649999999999999E-3</v>
      </c>
      <c r="P24">
        <f>(P18+P19+P20)/3</f>
        <v>2.8333333333333335E-3</v>
      </c>
      <c r="Q24">
        <f>(Q18+Q19)/2</f>
        <v>8.199999999999999E-3</v>
      </c>
      <c r="T24" s="226">
        <f>T21</f>
        <v>8.0000000000000002E-3</v>
      </c>
      <c r="U24" s="226">
        <f>U20</f>
        <v>6.4999999999999997E-3</v>
      </c>
      <c r="W24" s="226">
        <f>W18</f>
        <v>5.3E-3</v>
      </c>
      <c r="Z24">
        <v>40</v>
      </c>
      <c r="BA24">
        <f>E26</f>
        <v>4.7896666666666678E-3</v>
      </c>
      <c r="CX24" t="s">
        <v>297</v>
      </c>
      <c r="DC24" t="s">
        <v>296</v>
      </c>
    </row>
    <row r="25" spans="2:109" x14ac:dyDescent="0.25">
      <c r="Z25">
        <f>SUM(Z22:Z24)</f>
        <v>87</v>
      </c>
      <c r="AT25" t="s">
        <v>779</v>
      </c>
      <c r="BA25">
        <f>BA23/BA10</f>
        <v>0.26882500000000009</v>
      </c>
      <c r="CH25" t="s">
        <v>79</v>
      </c>
    </row>
    <row r="26" spans="2:109" x14ac:dyDescent="0.25">
      <c r="D26" t="s">
        <v>371</v>
      </c>
      <c r="E26" s="227">
        <f>AVERAGE(F10:Y21)</f>
        <v>4.7896666666666678E-3</v>
      </c>
      <c r="AA26" t="s">
        <v>379</v>
      </c>
      <c r="AD26" t="s">
        <v>429</v>
      </c>
      <c r="AE26" s="65">
        <f>AVERAGE(AB10:AZ10)</f>
        <v>1.6E-2</v>
      </c>
      <c r="AG26" t="s">
        <v>778</v>
      </c>
      <c r="AH26">
        <f>E26/AE26</f>
        <v>0.29935416666666675</v>
      </c>
      <c r="AT26">
        <f>AT23/AT10</f>
        <v>0.20999999999999996</v>
      </c>
      <c r="AZ26">
        <f>BA10/BA24</f>
        <v>3.3405247407613605</v>
      </c>
      <c r="BA26">
        <f>BA24/BA10</f>
        <v>0.29935416666666675</v>
      </c>
      <c r="CH26" t="s">
        <v>93</v>
      </c>
      <c r="CI26" s="472">
        <v>0.1928</v>
      </c>
      <c r="CJ26" s="253">
        <v>0.20280000000000001</v>
      </c>
      <c r="CK26" s="280">
        <v>0.92279999999999995</v>
      </c>
      <c r="CL26" s="504">
        <v>1.2328000000000001</v>
      </c>
      <c r="CM26" s="252">
        <v>1.5628000000000002</v>
      </c>
      <c r="CN26" s="252">
        <v>1.6228</v>
      </c>
      <c r="CO26" s="279">
        <v>1.6428</v>
      </c>
      <c r="CP26" s="411">
        <v>1.7928000000000002</v>
      </c>
      <c r="CQ26" s="279">
        <v>1.8628</v>
      </c>
      <c r="CR26" s="279">
        <v>2.0528</v>
      </c>
      <c r="CS26" s="278">
        <v>2.0627999999999997</v>
      </c>
      <c r="CT26" s="279">
        <v>2.1328</v>
      </c>
      <c r="CX26" t="s">
        <v>367</v>
      </c>
      <c r="DC26" t="s">
        <v>367</v>
      </c>
    </row>
    <row r="27" spans="2:109" ht="15.75" thickBot="1" x14ac:dyDescent="0.3">
      <c r="CH27" t="s">
        <v>357</v>
      </c>
      <c r="CI27" s="508">
        <v>16.066666666666666</v>
      </c>
      <c r="CJ27" s="508">
        <v>17.634782608695652</v>
      </c>
      <c r="CK27" s="498">
        <v>70.984615384615381</v>
      </c>
      <c r="CL27" s="509">
        <v>70.445714285714288</v>
      </c>
      <c r="CM27" s="507">
        <v>130.23333333333335</v>
      </c>
      <c r="CN27" s="275">
        <v>121.71</v>
      </c>
      <c r="CO27" s="498">
        <v>131.42400000000001</v>
      </c>
      <c r="CP27" s="506">
        <v>96.908108108108109</v>
      </c>
      <c r="CQ27" s="498">
        <v>128.46896551724137</v>
      </c>
      <c r="CR27" s="507">
        <v>175.95428571428573</v>
      </c>
      <c r="CS27" s="507">
        <v>134.53043478260869</v>
      </c>
      <c r="CT27" s="498">
        <v>148.11111111111111</v>
      </c>
    </row>
    <row r="28" spans="2:109" x14ac:dyDescent="0.25">
      <c r="B28" t="s">
        <v>356</v>
      </c>
      <c r="F28" s="61">
        <v>1</v>
      </c>
      <c r="G28" s="61">
        <v>2</v>
      </c>
      <c r="H28" s="61">
        <v>3</v>
      </c>
      <c r="I28" s="61">
        <v>4</v>
      </c>
      <c r="J28" s="61">
        <v>5</v>
      </c>
      <c r="K28" s="61">
        <v>6</v>
      </c>
      <c r="L28" s="61">
        <v>7</v>
      </c>
      <c r="M28" s="61">
        <v>8</v>
      </c>
      <c r="N28" s="61">
        <v>9</v>
      </c>
      <c r="O28" s="61">
        <v>10</v>
      </c>
      <c r="P28" s="146">
        <v>11</v>
      </c>
      <c r="Q28" s="61">
        <v>12</v>
      </c>
      <c r="R28" s="61">
        <v>13</v>
      </c>
      <c r="S28" s="61">
        <v>14</v>
      </c>
      <c r="T28" s="61">
        <v>15</v>
      </c>
      <c r="U28" s="61">
        <v>16</v>
      </c>
      <c r="V28" s="61">
        <v>17</v>
      </c>
      <c r="W28" s="61">
        <v>18</v>
      </c>
      <c r="X28" s="61">
        <v>19</v>
      </c>
      <c r="Y28" s="61">
        <v>20</v>
      </c>
      <c r="AK28" s="512"/>
      <c r="AL28" s="512"/>
      <c r="BW28" t="s">
        <v>297</v>
      </c>
      <c r="CB28" t="s">
        <v>296</v>
      </c>
      <c r="CH28" t="s">
        <v>372</v>
      </c>
      <c r="CI28" s="510">
        <v>1.2E-2</v>
      </c>
      <c r="CJ28" s="510">
        <v>1.15E-2</v>
      </c>
      <c r="CK28" s="510">
        <v>1.2999999999999999E-2</v>
      </c>
      <c r="CL28" s="125">
        <v>1.7500000000000002E-2</v>
      </c>
      <c r="CM28" s="510">
        <v>1.2E-2</v>
      </c>
      <c r="CN28" s="510">
        <v>1.3333333333333334E-2</v>
      </c>
      <c r="CO28" s="510">
        <v>1.2499999999999999E-2</v>
      </c>
      <c r="CP28" s="511">
        <v>1.8500000000000003E-2</v>
      </c>
      <c r="CQ28" s="510">
        <v>1.4500000000000001E-2</v>
      </c>
      <c r="CR28" s="510">
        <v>1.1666666666666665E-2</v>
      </c>
      <c r="CS28" s="510">
        <v>1.5333333333333332E-2</v>
      </c>
      <c r="CT28" s="510">
        <v>1.44E-2</v>
      </c>
      <c r="CX28" s="457"/>
      <c r="CY28" s="457" t="s">
        <v>358</v>
      </c>
      <c r="CZ28" s="457" t="s">
        <v>359</v>
      </c>
      <c r="DC28" s="457"/>
      <c r="DD28" s="457" t="s">
        <v>358</v>
      </c>
      <c r="DE28" s="457" t="s">
        <v>359</v>
      </c>
    </row>
    <row r="29" spans="2:109" x14ac:dyDescent="0.25">
      <c r="D29" s="55" t="s">
        <v>79</v>
      </c>
      <c r="E29" s="55" t="s">
        <v>212</v>
      </c>
      <c r="F29" s="55">
        <v>1.4328000000000001</v>
      </c>
      <c r="G29" s="407">
        <v>1.7728000000000002</v>
      </c>
      <c r="H29" s="411">
        <v>1.7928000000000002</v>
      </c>
      <c r="I29" s="407">
        <v>1.4328000000000001</v>
      </c>
      <c r="J29" s="55">
        <v>1.7628000000000001</v>
      </c>
      <c r="K29" s="55">
        <v>1.6928000000000001</v>
      </c>
      <c r="L29" s="55">
        <v>2.4327999999999999</v>
      </c>
      <c r="M29" s="55">
        <v>1.7928000000000002</v>
      </c>
      <c r="N29" s="55">
        <v>2.5127999999999999</v>
      </c>
      <c r="O29" s="55">
        <v>1.8328000000000002</v>
      </c>
      <c r="P29" s="278">
        <v>2.1928000000000001</v>
      </c>
      <c r="Q29" s="278">
        <v>2.0627999999999997</v>
      </c>
      <c r="R29" s="55">
        <v>2.1027999999999998</v>
      </c>
      <c r="S29" s="55">
        <v>2.2827999999999999</v>
      </c>
      <c r="T29" s="55">
        <v>1.3528</v>
      </c>
      <c r="U29" s="46">
        <v>2.3028</v>
      </c>
      <c r="V29" s="252">
        <v>1.5628000000000002</v>
      </c>
      <c r="W29" s="279">
        <v>2.0528</v>
      </c>
      <c r="X29" s="500">
        <v>1.3528</v>
      </c>
      <c r="Y29" s="55">
        <v>1.7528000000000001</v>
      </c>
      <c r="AB29" s="515"/>
      <c r="AC29" s="515"/>
      <c r="AD29" s="515"/>
      <c r="AE29" s="515"/>
      <c r="AF29" s="515"/>
      <c r="AG29" s="515"/>
      <c r="BW29" t="s">
        <v>367</v>
      </c>
      <c r="CB29" t="s">
        <v>367</v>
      </c>
      <c r="CH29" s="512" t="s">
        <v>369</v>
      </c>
      <c r="CI29" s="513">
        <v>26.739401784475987</v>
      </c>
      <c r="CJ29" s="513">
        <v>30.222045601311418</v>
      </c>
      <c r="CK29" s="513">
        <v>112.39494945394017</v>
      </c>
      <c r="CL29" s="513">
        <v>96.991948808056435</v>
      </c>
      <c r="CM29" s="513">
        <v>216.74448707872966</v>
      </c>
      <c r="CN29" s="513">
        <v>189.94186727010262</v>
      </c>
      <c r="CO29" s="513">
        <v>213.06471834334883</v>
      </c>
      <c r="CP29" s="513">
        <v>130.7626850793805</v>
      </c>
      <c r="CQ29" s="513">
        <v>191.83687480690674</v>
      </c>
      <c r="CR29" s="513">
        <v>298.50225388977759</v>
      </c>
      <c r="CS29" s="513">
        <v>195.64351427397176</v>
      </c>
      <c r="CT29" s="513">
        <v>221.92778606361213</v>
      </c>
      <c r="CX29" s="455" t="s">
        <v>353</v>
      </c>
      <c r="CY29" s="455">
        <v>103.53933479269836</v>
      </c>
      <c r="CZ29" s="455">
        <v>160.39771103780114</v>
      </c>
      <c r="DC29" s="455" t="s">
        <v>353</v>
      </c>
      <c r="DD29" s="455">
        <v>103.53933479269836</v>
      </c>
      <c r="DE29" s="455">
        <v>76.724832288635795</v>
      </c>
    </row>
    <row r="30" spans="2:109" ht="15.75" thickBot="1" x14ac:dyDescent="0.3">
      <c r="E30" t="s">
        <v>213</v>
      </c>
      <c r="F30">
        <v>0.1628</v>
      </c>
      <c r="G30" s="61">
        <v>0.77280000000000004</v>
      </c>
      <c r="H30">
        <v>0.53280000000000005</v>
      </c>
      <c r="I30" s="405">
        <v>0.31280000000000002</v>
      </c>
      <c r="J30">
        <v>0.56279999999999997</v>
      </c>
      <c r="K30">
        <v>0.4728</v>
      </c>
      <c r="L30">
        <v>0.95279999999999998</v>
      </c>
      <c r="M30">
        <v>0.6028</v>
      </c>
      <c r="N30">
        <v>1.2228000000000001</v>
      </c>
      <c r="O30">
        <v>0.50280000000000002</v>
      </c>
      <c r="P30">
        <v>0.93279999999999996</v>
      </c>
      <c r="Q30">
        <v>0.42280000000000001</v>
      </c>
      <c r="R30">
        <v>1.0628000000000002</v>
      </c>
      <c r="S30">
        <v>0.61280000000000001</v>
      </c>
      <c r="T30" s="43">
        <v>0.2828</v>
      </c>
      <c r="U30" s="61">
        <v>0.75280000000000002</v>
      </c>
      <c r="V30" s="253">
        <v>0.20280000000000001</v>
      </c>
      <c r="W30">
        <v>0.45279999999999998</v>
      </c>
      <c r="X30" s="43"/>
      <c r="Y30">
        <v>0.33279999999999998</v>
      </c>
      <c r="AB30" s="515"/>
      <c r="AC30" s="515"/>
      <c r="AD30" s="515"/>
      <c r="AE30" s="515"/>
      <c r="AF30" s="515"/>
      <c r="AG30" s="515"/>
      <c r="CH30" s="512" t="s">
        <v>370</v>
      </c>
      <c r="CI30" s="513">
        <v>11.483253588516746</v>
      </c>
      <c r="CJ30" s="513">
        <v>12.449610182324173</v>
      </c>
      <c r="CK30" s="513">
        <v>51.872810058273522</v>
      </c>
      <c r="CL30" s="513">
        <v>55.308139795719988</v>
      </c>
      <c r="CM30" s="513">
        <v>93.081061764180347</v>
      </c>
      <c r="CN30" s="513">
        <v>89.543673784693482</v>
      </c>
      <c r="CO30" s="513">
        <v>95.016291040891474</v>
      </c>
      <c r="CP30" s="513">
        <v>76.978345188853424</v>
      </c>
      <c r="CQ30" s="513">
        <v>96.569838773782152</v>
      </c>
      <c r="CR30" s="513">
        <v>124.74224715914845</v>
      </c>
      <c r="CS30" s="513">
        <v>102.50956616806637</v>
      </c>
      <c r="CT30" s="513">
        <v>111.14314995917941</v>
      </c>
      <c r="CX30" s="455" t="s">
        <v>327</v>
      </c>
      <c r="CY30" s="455">
        <v>2532.9846100045834</v>
      </c>
      <c r="CZ30" s="455">
        <v>6720.3791473604824</v>
      </c>
      <c r="DC30" s="455" t="s">
        <v>327</v>
      </c>
      <c r="DD30" s="455">
        <v>2532.9846100045834</v>
      </c>
      <c r="DE30" s="455">
        <v>1343.5932429230704</v>
      </c>
    </row>
    <row r="31" spans="2:109" x14ac:dyDescent="0.25">
      <c r="E31" s="55" t="s">
        <v>214</v>
      </c>
      <c r="F31" s="55">
        <v>2.1427999999999998</v>
      </c>
      <c r="G31" s="252">
        <v>1.6228</v>
      </c>
      <c r="H31" s="55">
        <v>1.8428000000000002</v>
      </c>
      <c r="I31" s="504">
        <v>1.2328000000000001</v>
      </c>
      <c r="J31" s="55">
        <v>1.5728000000000002</v>
      </c>
      <c r="K31" s="55">
        <v>1.9228000000000001</v>
      </c>
      <c r="L31" s="55">
        <v>1.0828000000000002</v>
      </c>
      <c r="M31" s="55">
        <v>1.7028000000000001</v>
      </c>
      <c r="N31" s="55">
        <v>1.1128</v>
      </c>
      <c r="O31" s="55">
        <v>1.8128000000000002</v>
      </c>
      <c r="P31" s="55">
        <v>1.4928000000000001</v>
      </c>
      <c r="Q31" s="279">
        <v>2.1328</v>
      </c>
      <c r="R31" s="55">
        <v>1.8128000000000002</v>
      </c>
      <c r="S31" s="55">
        <v>2.2827999999999999</v>
      </c>
      <c r="T31" s="55">
        <v>1.5728000000000002</v>
      </c>
      <c r="U31" s="55">
        <v>2.0427999999999997</v>
      </c>
      <c r="V31" s="55">
        <v>1.4128000000000001</v>
      </c>
      <c r="W31" s="279">
        <v>1.8628</v>
      </c>
      <c r="X31" s="279">
        <v>1.6428</v>
      </c>
      <c r="Y31" s="55">
        <v>2.8327999999999998</v>
      </c>
      <c r="AB31" s="515"/>
      <c r="AC31" s="515"/>
      <c r="AD31" s="515"/>
      <c r="AE31" s="515"/>
      <c r="AF31" s="515"/>
      <c r="AG31" s="515"/>
      <c r="BW31" s="457"/>
      <c r="BX31" s="457" t="s">
        <v>358</v>
      </c>
      <c r="BY31" s="457" t="s">
        <v>359</v>
      </c>
      <c r="CB31" s="457"/>
      <c r="CC31" s="457" t="s">
        <v>358</v>
      </c>
      <c r="CD31" s="457" t="s">
        <v>359</v>
      </c>
      <c r="CH31" t="s">
        <v>373</v>
      </c>
      <c r="CI31">
        <v>10.672735117809321</v>
      </c>
      <c r="CJ31">
        <v>12.587262992615766</v>
      </c>
      <c r="CK31">
        <v>41.41033406932479</v>
      </c>
      <c r="CL31">
        <v>26.546234522342147</v>
      </c>
      <c r="CM31">
        <v>86.511153745396314</v>
      </c>
      <c r="CN31" s="226">
        <v>68.231867270102626</v>
      </c>
      <c r="CO31">
        <v>81.640718343348823</v>
      </c>
      <c r="CP31">
        <v>33.854576971272394</v>
      </c>
      <c r="CQ31">
        <v>63.367909289665363</v>
      </c>
      <c r="CR31">
        <v>122.54796817549186</v>
      </c>
      <c r="CS31">
        <v>61.113079491363067</v>
      </c>
      <c r="CT31">
        <v>73.816674952501018</v>
      </c>
      <c r="CX31" s="455" t="s">
        <v>360</v>
      </c>
      <c r="CY31" s="455">
        <v>12</v>
      </c>
      <c r="CZ31" s="455">
        <v>12</v>
      </c>
      <c r="DC31" s="455" t="s">
        <v>360</v>
      </c>
      <c r="DD31" s="455">
        <v>12</v>
      </c>
      <c r="DE31" s="455">
        <v>12</v>
      </c>
    </row>
    <row r="32" spans="2:109" x14ac:dyDescent="0.25">
      <c r="E32" t="s">
        <v>215</v>
      </c>
      <c r="F32">
        <v>0.66279999999999994</v>
      </c>
      <c r="G32">
        <v>0.82279999999999998</v>
      </c>
      <c r="H32">
        <v>0.54279999999999995</v>
      </c>
      <c r="I32" s="472">
        <v>0.1928</v>
      </c>
      <c r="J32">
        <v>0.32279999999999998</v>
      </c>
      <c r="K32">
        <v>0.56279999999999997</v>
      </c>
      <c r="L32">
        <v>0.17280000000000001</v>
      </c>
      <c r="M32">
        <v>0.45279999999999998</v>
      </c>
      <c r="N32">
        <v>0.1628</v>
      </c>
      <c r="O32">
        <v>0.46279999999999999</v>
      </c>
      <c r="P32">
        <v>0.2828</v>
      </c>
      <c r="Q32" s="280">
        <v>0.92279999999999995</v>
      </c>
      <c r="R32">
        <v>0.45279999999999998</v>
      </c>
      <c r="S32">
        <v>0.83279999999999998</v>
      </c>
      <c r="T32">
        <v>0.23280000000000001</v>
      </c>
      <c r="U32">
        <v>0.53280000000000005</v>
      </c>
      <c r="V32">
        <v>0.15279999999999999</v>
      </c>
      <c r="W32">
        <v>0.43280000000000002</v>
      </c>
      <c r="X32">
        <v>0.11280000000000001</v>
      </c>
      <c r="Y32">
        <v>0.30280000000000001</v>
      </c>
      <c r="AB32" s="515"/>
      <c r="AC32" s="515"/>
      <c r="AD32" s="515"/>
      <c r="AE32" s="515"/>
      <c r="AF32" s="515"/>
      <c r="AG32" s="515"/>
      <c r="BW32" s="455" t="s">
        <v>353</v>
      </c>
      <c r="BX32" s="455">
        <v>290.38365281961939</v>
      </c>
      <c r="BY32" s="455">
        <v>194.45409071944377</v>
      </c>
      <c r="CB32" s="455" t="s">
        <v>353</v>
      </c>
      <c r="CC32" s="455">
        <v>152.50439099693355</v>
      </c>
      <c r="CD32" s="455">
        <v>194.45409071944377</v>
      </c>
      <c r="CH32" t="s">
        <v>374</v>
      </c>
      <c r="CI32">
        <v>-4.5834130781499205</v>
      </c>
      <c r="CJ32">
        <v>-5.1851724263714782</v>
      </c>
      <c r="CK32">
        <v>-19.111805326341859</v>
      </c>
      <c r="CL32">
        <v>-15.1375744899943</v>
      </c>
      <c r="CM32">
        <v>-37.152271569153001</v>
      </c>
      <c r="CN32" s="226">
        <v>-32.166326215306512</v>
      </c>
      <c r="CO32">
        <v>-36.407708959108533</v>
      </c>
      <c r="CP32">
        <v>-19.929762919254685</v>
      </c>
      <c r="CQ32">
        <v>-31.89912674345922</v>
      </c>
      <c r="CR32">
        <v>-51.212038555137283</v>
      </c>
      <c r="CS32">
        <v>-32.020868614542323</v>
      </c>
      <c r="CT32">
        <v>-36.967961151931704</v>
      </c>
      <c r="CX32" s="455" t="s">
        <v>361</v>
      </c>
      <c r="CY32" s="455">
        <v>0</v>
      </c>
      <c r="CZ32" s="455"/>
      <c r="DC32" s="455" t="s">
        <v>361</v>
      </c>
      <c r="DD32" s="455">
        <v>0</v>
      </c>
      <c r="DE32" s="455"/>
    </row>
    <row r="33" spans="4:109" x14ac:dyDescent="0.25">
      <c r="D33" s="55" t="s">
        <v>78</v>
      </c>
      <c r="E33" s="55" t="s">
        <v>212</v>
      </c>
      <c r="F33" s="278">
        <v>5.6550000000000002</v>
      </c>
      <c r="G33" s="407">
        <v>8.0549999999999997</v>
      </c>
      <c r="H33" s="407">
        <v>11.455</v>
      </c>
      <c r="I33" s="407"/>
      <c r="J33" s="55">
        <v>8.6449999999999996</v>
      </c>
      <c r="K33" s="55">
        <v>7.2050000000000001</v>
      </c>
      <c r="L33" s="55">
        <v>1.1850000000000001</v>
      </c>
      <c r="M33" s="55">
        <v>5.4550000000000001</v>
      </c>
      <c r="N33" s="55">
        <v>12.725</v>
      </c>
      <c r="O33" s="55">
        <v>6.0250000000000004</v>
      </c>
      <c r="P33" s="278">
        <v>8.8249999999999993</v>
      </c>
      <c r="Q33" s="278">
        <v>6.2250000000000005</v>
      </c>
      <c r="R33" s="55">
        <v>6.2149999999999999</v>
      </c>
      <c r="S33" s="55"/>
      <c r="T33" s="407">
        <v>10.434999999999999</v>
      </c>
      <c r="U33" s="407">
        <v>6.8550000000000004</v>
      </c>
      <c r="V33" s="407">
        <v>7.7650000000000006</v>
      </c>
      <c r="W33" s="252">
        <v>6.415</v>
      </c>
      <c r="X33" s="55">
        <v>6.1749999999999998</v>
      </c>
      <c r="Y33" s="55">
        <v>4.5550000000000006</v>
      </c>
      <c r="AB33" s="515"/>
      <c r="AC33" s="515"/>
      <c r="AD33" s="515"/>
      <c r="AE33" s="515"/>
      <c r="AF33" s="515"/>
      <c r="AG33" s="515"/>
      <c r="BW33" s="455" t="s">
        <v>327</v>
      </c>
      <c r="BX33" s="455">
        <v>69121.159897479185</v>
      </c>
      <c r="BY33" s="455">
        <v>20739.047155545162</v>
      </c>
      <c r="CB33" s="455" t="s">
        <v>327</v>
      </c>
      <c r="CC33" s="455">
        <v>12859.535577826406</v>
      </c>
      <c r="CD33" s="455">
        <v>20739.047155545162</v>
      </c>
      <c r="CH33" t="s">
        <v>377</v>
      </c>
      <c r="CI33">
        <v>66.427811936572539</v>
      </c>
      <c r="CJ33">
        <v>71.377477522229441</v>
      </c>
      <c r="CK33">
        <v>58.337054930778322</v>
      </c>
      <c r="CL33">
        <v>37.68324984920406</v>
      </c>
      <c r="CM33">
        <v>66.427811936572539</v>
      </c>
      <c r="CN33">
        <v>56.06101985876478</v>
      </c>
      <c r="CO33">
        <v>62.120098569020001</v>
      </c>
      <c r="CP33">
        <v>34.934720770221958</v>
      </c>
      <c r="CQ33">
        <v>49.325460849267131</v>
      </c>
      <c r="CR33">
        <v>69.647617662740572</v>
      </c>
      <c r="CS33">
        <v>45.426954569884003</v>
      </c>
      <c r="CT33">
        <v>49.838715271756115</v>
      </c>
      <c r="CX33" s="455" t="s">
        <v>331</v>
      </c>
      <c r="CY33" s="455">
        <v>18</v>
      </c>
      <c r="CZ33" s="455"/>
      <c r="DC33" s="455" t="s">
        <v>331</v>
      </c>
      <c r="DD33" s="455">
        <v>20</v>
      </c>
      <c r="DE33" s="455"/>
    </row>
    <row r="34" spans="4:109" x14ac:dyDescent="0.25">
      <c r="E34" t="s">
        <v>213</v>
      </c>
      <c r="F34" s="80">
        <v>3.145</v>
      </c>
      <c r="G34" s="405">
        <v>4.7949999999999999</v>
      </c>
      <c r="I34" s="405">
        <v>2.9650000000000003</v>
      </c>
      <c r="J34">
        <v>2.9650000000000003</v>
      </c>
      <c r="K34">
        <v>3.915</v>
      </c>
      <c r="P34" s="261">
        <v>2.0550000000000002</v>
      </c>
      <c r="Q34" s="261">
        <v>1.7849999999999999</v>
      </c>
      <c r="R34">
        <v>0.95499999999999985</v>
      </c>
      <c r="T34" s="405">
        <v>4.2250000000000005</v>
      </c>
      <c r="U34" s="61">
        <v>1.4350000000000001</v>
      </c>
      <c r="V34">
        <v>2.9050000000000002</v>
      </c>
      <c r="W34" s="43">
        <v>1.6850000000000001</v>
      </c>
      <c r="AB34" s="515"/>
      <c r="AC34" s="515"/>
      <c r="AD34" s="515"/>
      <c r="AE34" s="515"/>
      <c r="AF34" s="515"/>
      <c r="AG34" s="515"/>
      <c r="BW34" s="455" t="s">
        <v>360</v>
      </c>
      <c r="BX34" s="455">
        <v>25</v>
      </c>
      <c r="BY34" s="455">
        <v>25</v>
      </c>
      <c r="CB34" s="455" t="s">
        <v>360</v>
      </c>
      <c r="CC34" s="455">
        <v>25</v>
      </c>
      <c r="CD34" s="455">
        <v>25</v>
      </c>
      <c r="CH34" t="s">
        <v>378</v>
      </c>
      <c r="CI34">
        <v>-28.527467291389556</v>
      </c>
      <c r="CJ34">
        <v>-29.403098078536487</v>
      </c>
      <c r="CK34">
        <v>-26.92386966216344</v>
      </c>
      <c r="CL34">
        <v>-21.488283060910135</v>
      </c>
      <c r="CM34">
        <v>-28.527467291389556</v>
      </c>
      <c r="CN34">
        <v>-26.42866339274218</v>
      </c>
      <c r="CO34">
        <v>-27.702481250843476</v>
      </c>
      <c r="CP34">
        <v>-20.565629964648124</v>
      </c>
      <c r="CQ34">
        <v>-24.830219979609126</v>
      </c>
      <c r="CR34">
        <v>-29.105308999574646</v>
      </c>
      <c r="CS34">
        <v>-23.801951332637628</v>
      </c>
      <c r="CT34">
        <v>-24.959613680974144</v>
      </c>
      <c r="CX34" s="455" t="s">
        <v>362</v>
      </c>
      <c r="CY34" s="455">
        <v>-2.0475535018174096</v>
      </c>
      <c r="CZ34" s="455"/>
      <c r="DC34" s="455" t="s">
        <v>362</v>
      </c>
      <c r="DD34" s="455">
        <v>1.491887625445472</v>
      </c>
      <c r="DE34" s="455"/>
    </row>
    <row r="35" spans="4:109" x14ac:dyDescent="0.25">
      <c r="E35" s="55" t="s">
        <v>214</v>
      </c>
      <c r="F35" s="55"/>
      <c r="G35" s="55">
        <v>4.625</v>
      </c>
      <c r="H35" s="55"/>
      <c r="I35" s="278">
        <v>12.864999999999998</v>
      </c>
      <c r="J35" s="55">
        <v>7.4249999999999998</v>
      </c>
      <c r="K35" s="55">
        <v>5.5650000000000004</v>
      </c>
      <c r="L35" s="55">
        <v>4.3849999999999998</v>
      </c>
      <c r="M35" s="55">
        <v>4.2149999999999999</v>
      </c>
      <c r="N35" s="55">
        <v>5.5650000000000004</v>
      </c>
      <c r="O35" s="55">
        <v>4.5550000000000006</v>
      </c>
      <c r="P35" s="278">
        <v>5.0250000000000004</v>
      </c>
      <c r="Q35" s="55">
        <v>9.4749999999999996</v>
      </c>
      <c r="R35" s="55">
        <v>11.975</v>
      </c>
      <c r="S35" s="55">
        <v>7.7050000000000001</v>
      </c>
      <c r="T35" s="407">
        <v>6.9750000000000005</v>
      </c>
      <c r="U35" s="278">
        <v>5.2650000000000006</v>
      </c>
      <c r="V35" s="55"/>
      <c r="W35" s="55"/>
      <c r="X35" s="55"/>
      <c r="Y35" s="55"/>
      <c r="AB35" s="515"/>
      <c r="AC35" s="515"/>
      <c r="AD35" s="515"/>
      <c r="AE35" s="515"/>
      <c r="AF35" s="515"/>
      <c r="AG35" s="515"/>
      <c r="BW35" s="455" t="s">
        <v>361</v>
      </c>
      <c r="BX35" s="455">
        <v>0</v>
      </c>
      <c r="BY35" s="455"/>
      <c r="CB35" s="455" t="s">
        <v>361</v>
      </c>
      <c r="CC35" s="455">
        <v>0</v>
      </c>
      <c r="CD35" s="455"/>
      <c r="CH35" s="514" t="s">
        <v>375</v>
      </c>
      <c r="CI35" s="514">
        <v>21.422222222222221</v>
      </c>
      <c r="CJ35" s="514">
        <v>22.533333333333335</v>
      </c>
      <c r="CK35" s="514">
        <v>92.280000000000015</v>
      </c>
      <c r="CL35" s="514">
        <v>97.070866141732267</v>
      </c>
      <c r="CM35" s="514">
        <v>173.64444444444445</v>
      </c>
      <c r="CN35" s="514">
        <v>157.0451612903226</v>
      </c>
      <c r="CO35" s="514">
        <v>169.36082474226808</v>
      </c>
      <c r="CP35" s="514">
        <v>123.64137931034482</v>
      </c>
      <c r="CQ35" s="514">
        <v>161.98260869565217</v>
      </c>
      <c r="CR35" s="514">
        <v>236.86153846153846</v>
      </c>
      <c r="CS35" s="514">
        <v>167.25405405405405</v>
      </c>
      <c r="CT35" s="514">
        <v>199.32710280373834</v>
      </c>
      <c r="CX35" s="455" t="s">
        <v>363</v>
      </c>
      <c r="CY35" s="455">
        <v>2.7741811587966857E-2</v>
      </c>
      <c r="CZ35" s="455"/>
      <c r="DC35" s="455" t="s">
        <v>363</v>
      </c>
      <c r="DD35" s="455">
        <v>7.5667365511751669E-2</v>
      </c>
      <c r="DE35" s="455"/>
    </row>
    <row r="36" spans="4:109" x14ac:dyDescent="0.25">
      <c r="E36" t="s">
        <v>215</v>
      </c>
      <c r="G36" s="253">
        <v>1.175</v>
      </c>
      <c r="I36" s="261">
        <v>4.5650000000000004</v>
      </c>
      <c r="J36">
        <v>2.5050000000000003</v>
      </c>
      <c r="K36">
        <v>3.1150000000000002</v>
      </c>
      <c r="L36">
        <v>1.135</v>
      </c>
      <c r="M36">
        <v>1.8749999999999998</v>
      </c>
      <c r="N36">
        <v>3.3650000000000002</v>
      </c>
      <c r="O36">
        <v>1.5449999999999999</v>
      </c>
      <c r="Q36">
        <v>2.3450000000000002</v>
      </c>
      <c r="R36">
        <v>3.9249999999999998</v>
      </c>
      <c r="T36" s="253">
        <v>3.4750000000000001</v>
      </c>
      <c r="U36" s="43">
        <v>0.98499999999999988</v>
      </c>
      <c r="V36">
        <v>0.98499999999999988</v>
      </c>
      <c r="AB36" s="515"/>
      <c r="AC36" s="515"/>
      <c r="AD36" s="515"/>
      <c r="AE36" s="515"/>
      <c r="AF36" s="515"/>
      <c r="AG36" s="515"/>
      <c r="BW36" s="455" t="s">
        <v>331</v>
      </c>
      <c r="BX36" s="455">
        <v>37</v>
      </c>
      <c r="BY36" s="455"/>
      <c r="CB36" s="455" t="s">
        <v>331</v>
      </c>
      <c r="CC36" s="455">
        <v>45</v>
      </c>
      <c r="CD36" s="455"/>
      <c r="CH36" s="514" t="s">
        <v>376</v>
      </c>
      <c r="CI36" s="514">
        <v>12.853333333333333</v>
      </c>
      <c r="CJ36" s="514">
        <v>14.485714285714286</v>
      </c>
      <c r="CK36" s="514">
        <v>57.674999999999997</v>
      </c>
      <c r="CL36" s="514">
        <v>55.282511210762337</v>
      </c>
      <c r="CM36" s="514">
        <v>104.18666666666668</v>
      </c>
      <c r="CN36" s="514">
        <v>99.35510204081632</v>
      </c>
      <c r="CO36" s="514">
        <v>107.37254901960785</v>
      </c>
      <c r="CP36" s="514">
        <v>79.679999999999993</v>
      </c>
      <c r="CQ36" s="514">
        <v>106.44571428571427</v>
      </c>
      <c r="CR36" s="514">
        <v>139.96363636363637</v>
      </c>
      <c r="CS36" s="514">
        <v>112.51636363636362</v>
      </c>
      <c r="CT36" s="514">
        <v>117.83425414364642</v>
      </c>
      <c r="CX36" s="455" t="s">
        <v>364</v>
      </c>
      <c r="CY36" s="455">
        <v>1.7340636066175394</v>
      </c>
      <c r="CZ36" s="455"/>
      <c r="DC36" s="455" t="s">
        <v>364</v>
      </c>
      <c r="DD36" s="455">
        <v>1.7247182429207868</v>
      </c>
      <c r="DE36" s="455"/>
    </row>
    <row r="37" spans="4:109" x14ac:dyDescent="0.25">
      <c r="AB37" s="515"/>
      <c r="AC37" s="515"/>
      <c r="AD37" s="515"/>
      <c r="AE37" s="515"/>
      <c r="AF37" s="515"/>
      <c r="AG37" s="515"/>
      <c r="BW37" s="455" t="s">
        <v>362</v>
      </c>
      <c r="BX37" s="455">
        <v>1.6000691756159069</v>
      </c>
      <c r="BY37" s="455"/>
      <c r="CB37" s="455" t="s">
        <v>362</v>
      </c>
      <c r="CC37" s="455">
        <v>-1.1442960049593971</v>
      </c>
      <c r="CD37" s="455"/>
      <c r="CH37" t="s">
        <v>373</v>
      </c>
      <c r="CI37">
        <v>5.3555555555555543</v>
      </c>
      <c r="CJ37">
        <v>4.8985507246376834</v>
      </c>
      <c r="CK37">
        <v>21.295384615384634</v>
      </c>
      <c r="CL37">
        <v>26.625151856017979</v>
      </c>
      <c r="CM37">
        <v>43.411111111111097</v>
      </c>
      <c r="CN37" s="226">
        <v>35.335161290322603</v>
      </c>
      <c r="CO37">
        <v>37.936824742268072</v>
      </c>
      <c r="CP37">
        <v>26.733271202236708</v>
      </c>
      <c r="CQ37">
        <v>33.513643178410803</v>
      </c>
      <c r="CR37">
        <v>60.907252747252727</v>
      </c>
      <c r="CS37">
        <v>32.723619271445358</v>
      </c>
      <c r="CT37">
        <v>51.215991692627227</v>
      </c>
      <c r="CX37" s="455" t="s">
        <v>365</v>
      </c>
      <c r="CY37" s="455">
        <v>5.5483623175933715E-2</v>
      </c>
      <c r="CZ37" s="455"/>
      <c r="DC37" s="455" t="s">
        <v>365</v>
      </c>
      <c r="DD37" s="455">
        <v>0.15133473102350334</v>
      </c>
      <c r="DE37" s="455"/>
    </row>
    <row r="38" spans="4:109" ht="15.75" thickBot="1" x14ac:dyDescent="0.3">
      <c r="AB38" s="515"/>
      <c r="AC38" s="515"/>
      <c r="AD38" s="515"/>
      <c r="AE38" s="515"/>
      <c r="AF38" s="515"/>
      <c r="AG38" s="515"/>
      <c r="BW38" s="455" t="s">
        <v>363</v>
      </c>
      <c r="BX38" s="455">
        <v>5.9044268777180886E-2</v>
      </c>
      <c r="BY38" s="455"/>
      <c r="CB38" s="455" t="s">
        <v>363</v>
      </c>
      <c r="CC38" s="455">
        <v>0.12927561760441506</v>
      </c>
      <c r="CD38" s="455"/>
      <c r="CH38" t="s">
        <v>374</v>
      </c>
      <c r="CI38">
        <v>-3.2133333333333329</v>
      </c>
      <c r="CJ38">
        <v>-3.1490683229813659</v>
      </c>
      <c r="CK38">
        <v>-13.309615384615384</v>
      </c>
      <c r="CL38">
        <v>-15.163203074951952</v>
      </c>
      <c r="CM38">
        <v>-26.046666666666667</v>
      </c>
      <c r="CN38" s="226">
        <v>-22.354897959183674</v>
      </c>
      <c r="CO38">
        <v>-24.051450980392161</v>
      </c>
      <c r="CP38">
        <v>-17.228108108108117</v>
      </c>
      <c r="CQ38">
        <v>-22.023251231527098</v>
      </c>
      <c r="CR38">
        <v>-35.990649350649363</v>
      </c>
      <c r="CS38">
        <v>-22.014071146245072</v>
      </c>
      <c r="CT38">
        <v>-30.276856967464695</v>
      </c>
      <c r="CX38" s="456" t="s">
        <v>366</v>
      </c>
      <c r="CY38" s="456">
        <v>2.1009220402410378</v>
      </c>
      <c r="CZ38" s="456"/>
      <c r="DC38" s="456" t="s">
        <v>366</v>
      </c>
      <c r="DD38" s="456">
        <v>2.0859634472658648</v>
      </c>
      <c r="DE38" s="456"/>
    </row>
    <row r="39" spans="4:109" x14ac:dyDescent="0.25">
      <c r="AB39" s="515"/>
      <c r="AC39" s="515"/>
      <c r="AD39" s="515"/>
      <c r="AE39" s="515"/>
      <c r="AF39" s="515"/>
      <c r="AG39" s="515"/>
      <c r="BW39" s="455" t="s">
        <v>364</v>
      </c>
      <c r="BX39" s="455">
        <v>1.6870936195962629</v>
      </c>
      <c r="BY39" s="455"/>
      <c r="CB39" s="455" t="s">
        <v>364</v>
      </c>
      <c r="CC39" s="455">
        <v>1.6794273926523535</v>
      </c>
      <c r="CD39" s="455"/>
      <c r="CH39" t="s">
        <v>377</v>
      </c>
      <c r="CI39">
        <v>33.333333333333314</v>
      </c>
      <c r="CJ39">
        <v>27.777777777777786</v>
      </c>
      <c r="CK39">
        <v>30.000000000000028</v>
      </c>
      <c r="CL39">
        <v>37.795275590551171</v>
      </c>
      <c r="CM39">
        <v>33.333333333333314</v>
      </c>
      <c r="CN39">
        <v>29.032258064516157</v>
      </c>
      <c r="CO39">
        <v>28.865979381443339</v>
      </c>
      <c r="CP39">
        <v>27.586206896551715</v>
      </c>
      <c r="CQ39">
        <v>26.08695652173914</v>
      </c>
      <c r="CR39">
        <v>34.615384615384613</v>
      </c>
      <c r="CS39">
        <v>24.324324324324323</v>
      </c>
      <c r="CT39">
        <v>34.579439252336471</v>
      </c>
    </row>
    <row r="40" spans="4:109" x14ac:dyDescent="0.25">
      <c r="AB40" s="515"/>
      <c r="AC40" s="515"/>
      <c r="AD40" s="515"/>
      <c r="AE40" s="515"/>
      <c r="AF40" s="515"/>
      <c r="AG40" s="515"/>
      <c r="BW40" s="455" t="s">
        <v>365</v>
      </c>
      <c r="BX40" s="455">
        <v>0.11808853755436177</v>
      </c>
      <c r="BY40" s="455"/>
      <c r="CB40" s="455" t="s">
        <v>365</v>
      </c>
      <c r="CC40" s="455">
        <v>0.25855123520883011</v>
      </c>
      <c r="CD40" s="455"/>
      <c r="CH40" s="61" t="s">
        <v>378</v>
      </c>
      <c r="CI40" s="61">
        <v>-20</v>
      </c>
      <c r="CJ40" s="61">
        <v>-17.857142857142847</v>
      </c>
      <c r="CK40" s="61">
        <v>-18.75</v>
      </c>
      <c r="CL40" s="61">
        <v>-21.524663677130036</v>
      </c>
      <c r="CM40" s="61">
        <v>-20</v>
      </c>
      <c r="CN40" s="61">
        <v>-18.367346938775512</v>
      </c>
      <c r="CO40" s="61">
        <v>-18.300653594771248</v>
      </c>
      <c r="CP40" s="61">
        <v>-17.777777777777786</v>
      </c>
      <c r="CQ40" s="61">
        <v>-17.142857142857153</v>
      </c>
      <c r="CR40" s="61">
        <v>-20.454545454545453</v>
      </c>
      <c r="CS40" s="61">
        <v>-16.363636363636374</v>
      </c>
      <c r="CT40" s="61">
        <v>-20.44198895027624</v>
      </c>
    </row>
    <row r="41" spans="4:109" ht="15.75" thickBot="1" x14ac:dyDescent="0.3">
      <c r="AB41" s="515"/>
      <c r="AC41" s="515"/>
      <c r="AD41" s="515"/>
      <c r="AE41" s="515"/>
      <c r="AF41" s="515"/>
      <c r="AG41" s="515"/>
      <c r="BW41" s="456" t="s">
        <v>366</v>
      </c>
      <c r="BX41" s="456">
        <v>2.026192463029111</v>
      </c>
      <c r="BY41" s="456"/>
      <c r="CB41" s="456" t="s">
        <v>366</v>
      </c>
      <c r="CC41" s="456">
        <v>2.0141033888808457</v>
      </c>
      <c r="CD41" s="456"/>
      <c r="CH41" s="61" t="s">
        <v>575</v>
      </c>
      <c r="CI41" s="61">
        <v>3.0000000000000001E-3</v>
      </c>
      <c r="CJ41" s="405">
        <v>2.5000000000000001E-3</v>
      </c>
      <c r="CK41" s="404">
        <v>3.0000000000000001E-3</v>
      </c>
      <c r="CL41" s="61">
        <v>4.7999999999999996E-3</v>
      </c>
      <c r="CM41" s="405">
        <v>3.0000000000000001E-3</v>
      </c>
      <c r="CN41" s="405">
        <v>3.0000000000000001E-3</v>
      </c>
      <c r="CO41" s="404">
        <v>2.8E-3</v>
      </c>
      <c r="CP41" s="532">
        <v>4.0000000000000001E-3</v>
      </c>
      <c r="CQ41" s="404">
        <v>3.0000000000000001E-3</v>
      </c>
      <c r="CR41" s="404">
        <v>3.0000000000000001E-3</v>
      </c>
      <c r="CS41" s="405">
        <v>3.0000000000000001E-3</v>
      </c>
      <c r="CT41" s="404">
        <v>3.7000000000000002E-3</v>
      </c>
    </row>
    <row r="42" spans="4:109" x14ac:dyDescent="0.25">
      <c r="D42" t="s">
        <v>806</v>
      </c>
      <c r="AB42" s="515"/>
      <c r="AC42" s="515"/>
      <c r="AD42" s="515"/>
      <c r="AE42" s="515"/>
      <c r="AF42" s="515"/>
      <c r="AG42" s="515"/>
      <c r="CB42" t="s">
        <v>365</v>
      </c>
      <c r="CC42">
        <v>8.2222783388756188E-2</v>
      </c>
    </row>
    <row r="43" spans="4:109" x14ac:dyDescent="0.25">
      <c r="AB43" s="515"/>
      <c r="AC43" s="515"/>
      <c r="AD43" s="515"/>
      <c r="AE43" s="515"/>
      <c r="AF43" s="515"/>
      <c r="AG43" s="515"/>
      <c r="CB43" t="s">
        <v>366</v>
      </c>
      <c r="CC43">
        <v>2.0153675744437649</v>
      </c>
    </row>
    <row r="44" spans="4:109" ht="15.75" thickBot="1" x14ac:dyDescent="0.3">
      <c r="D44" s="320"/>
      <c r="E44" s="320"/>
      <c r="F44" s="491">
        <v>1</v>
      </c>
      <c r="G44" s="491">
        <v>2</v>
      </c>
      <c r="H44" s="491">
        <v>3</v>
      </c>
      <c r="I44" s="491">
        <v>4</v>
      </c>
      <c r="J44" s="491">
        <v>5</v>
      </c>
      <c r="K44" s="491">
        <v>6</v>
      </c>
      <c r="L44" s="491">
        <v>7</v>
      </c>
      <c r="M44" s="491">
        <v>8</v>
      </c>
      <c r="N44" s="491">
        <v>9</v>
      </c>
      <c r="O44" s="491">
        <v>10</v>
      </c>
      <c r="P44" s="502">
        <v>11</v>
      </c>
      <c r="Q44" s="491">
        <v>12</v>
      </c>
      <c r="R44" s="491">
        <v>13</v>
      </c>
      <c r="S44" s="491">
        <v>14</v>
      </c>
      <c r="T44" s="491">
        <v>15</v>
      </c>
      <c r="U44" s="491">
        <v>16</v>
      </c>
      <c r="V44" s="491">
        <v>17</v>
      </c>
      <c r="W44" s="491">
        <v>18</v>
      </c>
      <c r="X44" s="491">
        <v>19</v>
      </c>
      <c r="Y44" s="491">
        <v>20</v>
      </c>
      <c r="AB44" s="515"/>
      <c r="AC44" s="515"/>
      <c r="AD44" s="515"/>
      <c r="AE44" s="515"/>
      <c r="AF44" s="515"/>
      <c r="AG44" s="515"/>
    </row>
    <row r="45" spans="4:109" x14ac:dyDescent="0.25">
      <c r="D45" s="55" t="s">
        <v>79</v>
      </c>
      <c r="E45" s="55" t="s">
        <v>212</v>
      </c>
      <c r="F45" s="55"/>
      <c r="G45" s="407"/>
      <c r="H45" s="638">
        <f>(37+28)</f>
        <v>65</v>
      </c>
      <c r="I45" s="407"/>
      <c r="J45" s="55"/>
      <c r="K45" s="55"/>
      <c r="L45" s="55"/>
      <c r="M45" s="55"/>
      <c r="N45" s="55"/>
      <c r="O45" s="55"/>
      <c r="P45" s="638">
        <f>31+31+27</f>
        <v>89</v>
      </c>
      <c r="Q45" s="638">
        <f>91+68+53</f>
        <v>212</v>
      </c>
      <c r="R45" s="55"/>
      <c r="S45" s="55"/>
      <c r="T45" s="55"/>
      <c r="U45" s="46"/>
      <c r="V45" s="643">
        <f>26</f>
        <v>26</v>
      </c>
      <c r="W45" s="641">
        <f>83+95+78</f>
        <v>256</v>
      </c>
      <c r="X45" s="500"/>
      <c r="Y45" s="55"/>
      <c r="AB45" s="515"/>
      <c r="AC45" s="515"/>
      <c r="AD45" s="515"/>
      <c r="AE45" s="515"/>
      <c r="AF45" s="515"/>
      <c r="AG45" s="515"/>
      <c r="AH45" s="294"/>
    </row>
    <row r="46" spans="4:109" x14ac:dyDescent="0.25">
      <c r="E46" t="s">
        <v>213</v>
      </c>
      <c r="G46" s="61"/>
      <c r="I46" s="405"/>
      <c r="T46" s="43"/>
      <c r="U46" s="61"/>
      <c r="V46" s="639">
        <f>29+26</f>
        <v>55</v>
      </c>
      <c r="X46" s="43"/>
      <c r="AB46" s="294"/>
      <c r="AC46" s="294"/>
      <c r="AD46" s="294"/>
      <c r="AE46" s="294"/>
      <c r="AF46" s="294"/>
      <c r="AG46" s="294"/>
    </row>
    <row r="47" spans="4:109" x14ac:dyDescent="0.25">
      <c r="E47" s="55"/>
      <c r="F47" s="55"/>
      <c r="G47" s="638">
        <f>82+41+69</f>
        <v>192</v>
      </c>
      <c r="H47" s="55"/>
      <c r="I47" s="641">
        <f>65+101+(24+12)</f>
        <v>202</v>
      </c>
      <c r="J47" s="55"/>
      <c r="K47" s="55"/>
      <c r="L47" s="55"/>
      <c r="M47" s="55"/>
      <c r="N47" s="55"/>
      <c r="O47" s="55"/>
      <c r="P47" s="55"/>
      <c r="Q47" s="641">
        <f>(59+54)+(37+54)+(57+64)+(55+72)+(57+53)</f>
        <v>562</v>
      </c>
      <c r="R47" s="55"/>
      <c r="S47" s="55"/>
      <c r="T47" s="55"/>
      <c r="U47" s="55"/>
      <c r="V47" s="55"/>
      <c r="W47" s="641">
        <f>51+58+46+58</f>
        <v>213</v>
      </c>
      <c r="X47" s="641">
        <f>51+28+56+54</f>
        <v>189</v>
      </c>
      <c r="Y47" s="55"/>
    </row>
    <row r="48" spans="4:109" ht="15.75" thickBot="1" x14ac:dyDescent="0.3">
      <c r="D48" s="320"/>
      <c r="E48" s="320"/>
      <c r="F48" s="320"/>
      <c r="G48" s="320"/>
      <c r="H48" s="320"/>
      <c r="I48" s="642">
        <f>37+26</f>
        <v>63</v>
      </c>
      <c r="J48" s="320"/>
      <c r="K48" s="320"/>
      <c r="L48" s="320"/>
      <c r="M48" s="320"/>
      <c r="N48" s="320"/>
      <c r="O48" s="320"/>
      <c r="P48" s="320"/>
      <c r="Q48" s="642">
        <f>53+53+58+53</f>
        <v>217</v>
      </c>
      <c r="R48" s="320"/>
      <c r="S48" s="320"/>
      <c r="T48" s="320"/>
      <c r="U48" s="320"/>
      <c r="V48" s="320"/>
      <c r="W48" s="320"/>
      <c r="X48" s="320"/>
      <c r="Y48" s="320"/>
    </row>
    <row r="49" spans="4:66" x14ac:dyDescent="0.25">
      <c r="D49" s="43" t="s">
        <v>41</v>
      </c>
      <c r="E49" s="43" t="s">
        <v>212</v>
      </c>
      <c r="F49" s="403"/>
      <c r="G49" s="403"/>
      <c r="H49" s="262"/>
      <c r="I49" s="403"/>
      <c r="J49" s="43"/>
      <c r="K49" s="43"/>
      <c r="L49" s="43"/>
      <c r="M49" s="43"/>
      <c r="N49" s="43"/>
      <c r="O49" s="43"/>
      <c r="P49" s="262"/>
      <c r="Q49" s="403"/>
      <c r="R49" s="43"/>
      <c r="S49" s="43"/>
      <c r="T49" s="43"/>
      <c r="U49" s="61"/>
      <c r="V49" s="498"/>
      <c r="W49" s="499"/>
      <c r="X49" s="262"/>
      <c r="Y49" s="43"/>
    </row>
    <row r="50" spans="4:66" x14ac:dyDescent="0.25">
      <c r="E50" t="s">
        <v>213</v>
      </c>
      <c r="F50" s="43"/>
      <c r="G50" s="403"/>
      <c r="H50" s="640">
        <f>13+19</f>
        <v>32</v>
      </c>
      <c r="I50" s="43"/>
      <c r="P50" s="640">
        <f>15</f>
        <v>15</v>
      </c>
      <c r="Q50" s="43"/>
      <c r="T50" s="43"/>
      <c r="U50" s="61"/>
      <c r="V50" s="43"/>
      <c r="W50" s="640">
        <f>14+15+16</f>
        <v>45</v>
      </c>
      <c r="X50" s="639">
        <f>20+18</f>
        <v>38</v>
      </c>
    </row>
    <row r="51" spans="4:66" x14ac:dyDescent="0.25"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265"/>
      <c r="Q51" s="265"/>
      <c r="R51" s="55"/>
      <c r="S51" s="55"/>
      <c r="T51" s="55"/>
      <c r="U51" s="55"/>
      <c r="V51" s="55"/>
      <c r="W51" s="265"/>
      <c r="X51" s="55"/>
      <c r="Y51" s="55"/>
    </row>
    <row r="52" spans="4:66" ht="15.75" thickBot="1" x14ac:dyDescent="0.3"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644">
        <f>10</f>
        <v>10</v>
      </c>
      <c r="Q52" s="320"/>
      <c r="R52" s="320"/>
      <c r="S52" s="320"/>
      <c r="T52" s="320"/>
      <c r="U52" s="320"/>
      <c r="V52" s="320"/>
      <c r="W52" s="320"/>
      <c r="X52" s="320"/>
      <c r="Y52" s="320"/>
    </row>
    <row r="53" spans="4:66" x14ac:dyDescent="0.25">
      <c r="D53" s="55" t="s">
        <v>78</v>
      </c>
      <c r="E53" s="55" t="s">
        <v>212</v>
      </c>
      <c r="F53" s="638">
        <f>95+85+98+85</f>
        <v>363</v>
      </c>
      <c r="G53" s="407"/>
      <c r="H53" s="407"/>
      <c r="J53" s="55"/>
      <c r="K53" s="55"/>
      <c r="L53" s="55"/>
      <c r="M53" s="55"/>
      <c r="N53" s="55"/>
      <c r="O53" s="55"/>
      <c r="P53" s="638">
        <f>(24+9)</f>
        <v>33</v>
      </c>
      <c r="Q53" s="638">
        <f>101+(58+36)+(31+51)+49+22</f>
        <v>348</v>
      </c>
      <c r="R53" s="55"/>
      <c r="S53" s="55"/>
      <c r="T53" s="407"/>
      <c r="U53" s="407"/>
      <c r="V53" s="407"/>
      <c r="W53" s="643">
        <f>(36+91)+93+60+105</f>
        <v>385</v>
      </c>
      <c r="X53" s="55"/>
      <c r="Y53" s="55"/>
    </row>
    <row r="54" spans="4:66" x14ac:dyDescent="0.25">
      <c r="E54" t="s">
        <v>213</v>
      </c>
      <c r="F54" s="80"/>
      <c r="G54" s="405"/>
      <c r="P54" s="645">
        <f>21</f>
        <v>21</v>
      </c>
      <c r="Q54" s="645">
        <f>23+33+31</f>
        <v>87</v>
      </c>
      <c r="T54" s="405"/>
      <c r="U54" s="61"/>
      <c r="W54" s="43"/>
      <c r="BA54" s="61"/>
      <c r="BB54" s="497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</row>
    <row r="55" spans="4:66" x14ac:dyDescent="0.25">
      <c r="E55" s="55"/>
      <c r="F55" s="55"/>
      <c r="G55" s="55"/>
      <c r="H55" s="55"/>
      <c r="I55" s="643">
        <f>57</f>
        <v>57</v>
      </c>
      <c r="J55" s="55"/>
      <c r="K55" s="55"/>
      <c r="L55" s="55"/>
      <c r="M55" s="55"/>
      <c r="N55" s="55"/>
      <c r="O55" s="55"/>
      <c r="P55" s="638">
        <f>86+82+91+63+38+47+71+42</f>
        <v>520</v>
      </c>
      <c r="Q55" s="55"/>
      <c r="R55" s="55"/>
      <c r="S55" s="55"/>
      <c r="T55" s="407"/>
      <c r="U55" s="638">
        <f>34</f>
        <v>34</v>
      </c>
      <c r="V55" s="55"/>
      <c r="W55" s="55"/>
      <c r="X55" s="55"/>
      <c r="Y55" s="55"/>
      <c r="BA55" s="61"/>
      <c r="BB55" s="61"/>
      <c r="BC55" s="677"/>
      <c r="BD55" s="61"/>
      <c r="BE55" s="677"/>
      <c r="BF55" s="61"/>
      <c r="BG55" s="61"/>
      <c r="BH55" s="61"/>
      <c r="BI55" s="61"/>
      <c r="BJ55" s="61"/>
      <c r="BK55" s="61"/>
      <c r="BL55" s="61"/>
      <c r="BM55" s="61"/>
    </row>
    <row r="56" spans="4:66" x14ac:dyDescent="0.25">
      <c r="G56" s="639">
        <f>53+60+65</f>
        <v>178</v>
      </c>
      <c r="I56" s="639">
        <f>45+47+38</f>
        <v>130</v>
      </c>
      <c r="T56" s="639">
        <f>17</f>
        <v>17</v>
      </c>
      <c r="U56" s="43"/>
      <c r="BA56" s="61"/>
      <c r="BB56" s="61"/>
      <c r="BC56" s="677"/>
      <c r="BD56" s="61"/>
      <c r="BE56" s="677"/>
      <c r="BF56" s="61"/>
      <c r="BG56" s="61"/>
      <c r="BH56" s="61"/>
      <c r="BI56" s="61"/>
      <c r="BJ56" s="61"/>
      <c r="BK56" s="61"/>
      <c r="BL56" s="61"/>
      <c r="BM56" s="61"/>
    </row>
    <row r="57" spans="4:66" x14ac:dyDescent="0.25">
      <c r="AB57" s="286"/>
      <c r="AK57" s="512"/>
      <c r="AL57" s="512"/>
      <c r="BA57" s="61"/>
      <c r="BB57" s="61"/>
      <c r="BC57" s="677"/>
      <c r="BD57" s="61"/>
      <c r="BE57" s="677"/>
      <c r="BF57" s="61"/>
      <c r="BG57" s="61"/>
      <c r="BH57" s="61"/>
      <c r="BI57" s="61"/>
      <c r="BJ57" s="61"/>
      <c r="BK57" s="61"/>
      <c r="BL57" s="61"/>
      <c r="BM57" s="61"/>
    </row>
    <row r="58" spans="4:66" x14ac:dyDescent="0.25">
      <c r="E58">
        <f>SUM(F45:X56)</f>
        <v>4654</v>
      </c>
      <c r="AB58" s="286"/>
      <c r="AC58" s="286"/>
      <c r="AD58" s="286"/>
      <c r="AE58" s="286"/>
      <c r="AF58" s="286"/>
      <c r="AG58" s="286"/>
      <c r="AH58" s="286"/>
      <c r="BA58" s="61"/>
      <c r="BB58" s="61"/>
      <c r="BC58" s="677"/>
      <c r="BD58" s="61"/>
      <c r="BE58" s="677"/>
      <c r="BF58" s="61"/>
      <c r="BG58" s="61"/>
      <c r="BH58" s="61"/>
      <c r="BI58" s="61"/>
      <c r="BJ58" s="61"/>
      <c r="BK58" s="61"/>
      <c r="BL58" s="61"/>
      <c r="BM58" s="61"/>
    </row>
    <row r="59" spans="4:66" x14ac:dyDescent="0.25">
      <c r="AB59" s="286"/>
      <c r="AC59" s="286"/>
      <c r="AD59" s="286"/>
      <c r="AE59" s="286"/>
      <c r="AF59" s="286"/>
      <c r="AG59" s="286"/>
      <c r="AH59" s="286"/>
      <c r="BA59" s="61"/>
      <c r="BB59" s="61"/>
      <c r="BC59" s="677"/>
      <c r="BD59" s="61"/>
      <c r="BE59" s="677"/>
      <c r="BF59" s="61"/>
      <c r="BG59" s="61"/>
      <c r="BH59" s="61"/>
      <c r="BI59" s="61"/>
      <c r="BJ59" s="61"/>
      <c r="BK59" s="61"/>
      <c r="BL59" s="61"/>
      <c r="BM59" s="61"/>
    </row>
    <row r="60" spans="4:66" x14ac:dyDescent="0.25">
      <c r="AB60" s="286"/>
      <c r="AC60" s="286"/>
      <c r="AD60" s="286"/>
      <c r="AE60" s="286"/>
      <c r="AF60" s="286"/>
      <c r="AG60" s="286"/>
      <c r="AH60" s="286"/>
      <c r="BA60" s="61"/>
      <c r="BB60" s="61"/>
      <c r="BC60" s="677"/>
      <c r="BD60" s="61"/>
      <c r="BE60" s="677"/>
      <c r="BF60" s="61"/>
      <c r="BG60" s="61"/>
      <c r="BH60" s="61"/>
      <c r="BI60" s="61"/>
      <c r="BJ60" s="61"/>
      <c r="BK60" s="61"/>
      <c r="BL60" s="61"/>
      <c r="BM60" s="61"/>
    </row>
    <row r="61" spans="4:66" x14ac:dyDescent="0.25"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</row>
    <row r="62" spans="4:66" x14ac:dyDescent="0.25"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</row>
    <row r="63" spans="4:66" x14ac:dyDescent="0.25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</row>
    <row r="64" spans="4:66" ht="18.75" x14ac:dyDescent="0.3">
      <c r="D64" s="61"/>
      <c r="E64" s="537" t="s">
        <v>566</v>
      </c>
      <c r="F64" s="465">
        <v>0.1928</v>
      </c>
      <c r="G64" s="418">
        <v>0.20280000000000001</v>
      </c>
      <c r="H64" s="465">
        <v>0.92279999999999995</v>
      </c>
      <c r="I64" s="418">
        <v>1.175</v>
      </c>
      <c r="J64" s="465">
        <v>1.2328000000000001</v>
      </c>
      <c r="K64" s="418">
        <v>1.5628000000000002</v>
      </c>
      <c r="L64" s="418">
        <v>1.6228</v>
      </c>
      <c r="M64" s="465">
        <v>1.6428</v>
      </c>
      <c r="N64" s="423">
        <v>1.7849999999999999</v>
      </c>
      <c r="O64" s="423">
        <v>1.7928000000000002</v>
      </c>
      <c r="P64" s="465">
        <v>1.8628</v>
      </c>
      <c r="Q64" s="465">
        <v>2.0528</v>
      </c>
      <c r="R64" s="423">
        <v>2.0550000000000002</v>
      </c>
      <c r="S64" s="423">
        <v>2.0627999999999997</v>
      </c>
      <c r="T64" s="465">
        <v>2.1328</v>
      </c>
      <c r="U64" s="423">
        <v>2.1928000000000001</v>
      </c>
      <c r="V64" s="418">
        <v>3.4750000000000001</v>
      </c>
      <c r="W64" s="423">
        <v>4.5650000000000004</v>
      </c>
      <c r="X64" s="423">
        <v>5.0250000000000004</v>
      </c>
      <c r="Y64" s="423">
        <v>5.2650000000000006</v>
      </c>
      <c r="Z64" s="423">
        <v>5.6550000000000002</v>
      </c>
      <c r="AA64" s="423">
        <v>6.2250000000000005</v>
      </c>
      <c r="AB64" s="418">
        <v>6.415</v>
      </c>
      <c r="AC64" s="423">
        <v>8.8249999999999993</v>
      </c>
      <c r="AD64" s="423">
        <v>12.864999999999998</v>
      </c>
      <c r="AE64" s="539" t="s">
        <v>353</v>
      </c>
      <c r="AF64" s="539" t="s">
        <v>327</v>
      </c>
      <c r="AG64" s="537" t="s">
        <v>577</v>
      </c>
      <c r="AH64" s="537" t="s">
        <v>244</v>
      </c>
      <c r="AJ64" s="537" t="s">
        <v>566</v>
      </c>
      <c r="AK64" s="465">
        <v>0.1928</v>
      </c>
      <c r="AL64" s="418">
        <v>0.20280000000000001</v>
      </c>
      <c r="AM64" s="465">
        <v>0.92279999999999995</v>
      </c>
      <c r="AN64" s="418">
        <v>1.175</v>
      </c>
      <c r="AO64" s="465">
        <v>1.2328000000000001</v>
      </c>
      <c r="AP64" s="418">
        <v>1.5628000000000002</v>
      </c>
      <c r="AQ64" s="418">
        <v>1.6228</v>
      </c>
      <c r="AR64" s="465">
        <v>1.6428</v>
      </c>
      <c r="AS64" s="423">
        <v>1.7849999999999999</v>
      </c>
      <c r="AT64" s="423">
        <v>1.7928000000000002</v>
      </c>
      <c r="AU64" s="465">
        <v>1.8628</v>
      </c>
      <c r="AV64" s="465">
        <v>2.0528</v>
      </c>
      <c r="AW64" s="423">
        <v>2.0550000000000002</v>
      </c>
      <c r="AX64" s="423">
        <v>2.0627999999999997</v>
      </c>
      <c r="AY64" s="465">
        <v>2.1328</v>
      </c>
      <c r="AZ64" s="423">
        <v>2.1928000000000001</v>
      </c>
      <c r="BA64" s="418">
        <v>3.4750000000000001</v>
      </c>
      <c r="BB64" s="423">
        <v>4.5650000000000004</v>
      </c>
      <c r="BC64" s="423">
        <v>5.0250000000000004</v>
      </c>
      <c r="BD64" s="423">
        <v>5.2650000000000006</v>
      </c>
      <c r="BE64" s="423">
        <v>5.6550000000000002</v>
      </c>
      <c r="BF64" s="423">
        <v>6.2250000000000005</v>
      </c>
      <c r="BG64" s="418">
        <v>6.415</v>
      </c>
      <c r="BH64" s="423">
        <v>8.8249999999999993</v>
      </c>
      <c r="BI64" s="423">
        <v>12.864999999999998</v>
      </c>
      <c r="BJ64" s="539" t="s">
        <v>353</v>
      </c>
      <c r="BK64" s="539" t="s">
        <v>327</v>
      </c>
      <c r="BL64" s="537" t="s">
        <v>577</v>
      </c>
      <c r="BM64" s="537" t="s">
        <v>244</v>
      </c>
      <c r="BN64" s="61"/>
    </row>
    <row r="65" spans="4:66" ht="18.75" x14ac:dyDescent="0.3">
      <c r="D65" s="61"/>
      <c r="E65" s="537" t="s">
        <v>568</v>
      </c>
      <c r="F65" s="526">
        <v>16.066666666666666</v>
      </c>
      <c r="G65" s="526">
        <v>17.634782608695652</v>
      </c>
      <c r="H65" s="526">
        <v>70.984615384615381</v>
      </c>
      <c r="I65" s="527">
        <v>90.384615384615387</v>
      </c>
      <c r="J65" s="526">
        <v>70.445714285714288</v>
      </c>
      <c r="K65" s="527">
        <v>130.23333333333335</v>
      </c>
      <c r="L65" s="527">
        <v>121.71</v>
      </c>
      <c r="M65" s="526">
        <v>131.42400000000001</v>
      </c>
      <c r="N65" s="527">
        <v>89.25</v>
      </c>
      <c r="O65" s="528">
        <v>96.908108108108109</v>
      </c>
      <c r="P65" s="526">
        <v>128.46896551724137</v>
      </c>
      <c r="Q65" s="527">
        <v>175.95428571428573</v>
      </c>
      <c r="R65" s="527">
        <v>205.5</v>
      </c>
      <c r="S65" s="527">
        <v>134.53043478260869</v>
      </c>
      <c r="T65" s="526">
        <v>148.11111111111111</v>
      </c>
      <c r="U65" s="527">
        <v>173.11578947368423</v>
      </c>
      <c r="V65" s="527">
        <v>133.65384615384616</v>
      </c>
      <c r="W65" s="527">
        <v>248.99999999999997</v>
      </c>
      <c r="X65" s="527">
        <v>301.49999999999994</v>
      </c>
      <c r="Y65" s="527">
        <v>195.00000000000003</v>
      </c>
      <c r="Z65" s="527">
        <v>396.84210526315792</v>
      </c>
      <c r="AA65" s="527">
        <v>364.03508771929836</v>
      </c>
      <c r="AB65" s="527">
        <v>342.13333333333333</v>
      </c>
      <c r="AC65" s="527">
        <v>519.11764705882342</v>
      </c>
      <c r="AD65" s="527">
        <v>559.3478260869565</v>
      </c>
      <c r="AE65" s="540">
        <v>194.45409071944377</v>
      </c>
      <c r="AF65" s="542">
        <v>20739.047155545162</v>
      </c>
      <c r="AG65" s="537"/>
      <c r="AH65" s="537"/>
      <c r="AJ65" s="537" t="s">
        <v>568</v>
      </c>
      <c r="AK65" s="526">
        <v>16.066666666666666</v>
      </c>
      <c r="AL65" s="526">
        <v>17.634782608695652</v>
      </c>
      <c r="AM65" s="526">
        <v>70.984615384615381</v>
      </c>
      <c r="AN65" s="527">
        <v>90.384615384615387</v>
      </c>
      <c r="AO65" s="526">
        <v>70.445714285714288</v>
      </c>
      <c r="AP65" s="527">
        <v>130.23333333333335</v>
      </c>
      <c r="AQ65" s="527">
        <v>121.71</v>
      </c>
      <c r="AR65" s="526">
        <v>131.42400000000001</v>
      </c>
      <c r="AS65" s="527">
        <v>89.25</v>
      </c>
      <c r="AT65" s="528">
        <v>96.908108108108109</v>
      </c>
      <c r="AU65" s="526">
        <v>128.46896551724137</v>
      </c>
      <c r="AV65" s="527">
        <v>175.95428571428573</v>
      </c>
      <c r="AW65" s="527">
        <v>205.5</v>
      </c>
      <c r="AX65" s="527">
        <v>134.53043478260869</v>
      </c>
      <c r="AY65" s="526">
        <v>148.11111111111111</v>
      </c>
      <c r="AZ65" s="527">
        <v>173.11578947368423</v>
      </c>
      <c r="BA65" s="527">
        <v>133.65384615384616</v>
      </c>
      <c r="BB65" s="527">
        <v>248.99999999999997</v>
      </c>
      <c r="BC65" s="527">
        <v>301.49999999999994</v>
      </c>
      <c r="BD65" s="527">
        <v>195.00000000000003</v>
      </c>
      <c r="BE65" s="527">
        <v>396.84210526315792</v>
      </c>
      <c r="BF65" s="527">
        <v>364.03508771929836</v>
      </c>
      <c r="BG65" s="527">
        <v>342.13333333333333</v>
      </c>
      <c r="BH65" s="527">
        <v>519.11764705882342</v>
      </c>
      <c r="BI65" s="527">
        <v>559.3478260869565</v>
      </c>
      <c r="BJ65" s="544">
        <v>194.45409071944377</v>
      </c>
      <c r="BK65" s="545">
        <v>20739.047155545162</v>
      </c>
      <c r="BL65" s="421"/>
      <c r="BM65" s="421"/>
      <c r="BN65" s="61"/>
    </row>
    <row r="66" spans="4:66" ht="18.75" x14ac:dyDescent="0.3">
      <c r="D66" s="61"/>
      <c r="E66" s="537" t="s">
        <v>567</v>
      </c>
      <c r="F66" s="529">
        <v>1.2E-2</v>
      </c>
      <c r="G66" s="529">
        <v>1.15E-2</v>
      </c>
      <c r="H66" s="529">
        <v>1.2999999999999999E-2</v>
      </c>
      <c r="I66" s="529">
        <v>1.2999999999999999E-2</v>
      </c>
      <c r="J66" s="529">
        <v>1.7500000000000002E-2</v>
      </c>
      <c r="K66" s="529">
        <v>1.2E-2</v>
      </c>
      <c r="L66" s="529">
        <v>1.3333333333333334E-2</v>
      </c>
      <c r="M66" s="529">
        <v>1.2499999999999999E-2</v>
      </c>
      <c r="N66" s="529">
        <v>0.02</v>
      </c>
      <c r="O66" s="529">
        <v>1.8500000000000003E-2</v>
      </c>
      <c r="P66" s="529">
        <v>1.4500000000000001E-2</v>
      </c>
      <c r="Q66" s="529">
        <v>1.1666666666666665E-2</v>
      </c>
      <c r="R66" s="529">
        <v>0.01</v>
      </c>
      <c r="S66" s="529">
        <v>1.5333333333333332E-2</v>
      </c>
      <c r="T66" s="529">
        <v>1.44E-2</v>
      </c>
      <c r="U66" s="529">
        <v>1.2666666666666666E-2</v>
      </c>
      <c r="V66" s="529">
        <v>2.5999999999999999E-2</v>
      </c>
      <c r="W66" s="529">
        <v>1.8333333333333337E-2</v>
      </c>
      <c r="X66" s="529">
        <v>1.666666666666667E-2</v>
      </c>
      <c r="Y66" s="529">
        <v>2.7E-2</v>
      </c>
      <c r="Z66" s="529">
        <v>1.4250000000000001E-2</v>
      </c>
      <c r="AA66" s="529">
        <v>1.7099999999999997E-2</v>
      </c>
      <c r="AB66" s="529">
        <v>1.8749999999999999E-2</v>
      </c>
      <c r="AC66" s="529">
        <v>1.7000000000000001E-2</v>
      </c>
      <c r="AD66" s="529">
        <v>2.3E-2</v>
      </c>
      <c r="AE66" s="537"/>
      <c r="AF66" s="543"/>
      <c r="AG66" s="537"/>
      <c r="AH66" s="537"/>
      <c r="AJ66" s="537" t="s">
        <v>567</v>
      </c>
      <c r="AK66" s="529">
        <v>1.2E-2</v>
      </c>
      <c r="AL66" s="529">
        <v>1.15E-2</v>
      </c>
      <c r="AM66" s="529">
        <v>1.2999999999999999E-2</v>
      </c>
      <c r="AN66" s="529">
        <v>1.2999999999999999E-2</v>
      </c>
      <c r="AO66" s="529">
        <v>1.7500000000000002E-2</v>
      </c>
      <c r="AP66" s="529">
        <v>1.2E-2</v>
      </c>
      <c r="AQ66" s="529">
        <v>1.3333333333333334E-2</v>
      </c>
      <c r="AR66" s="529">
        <v>1.2499999999999999E-2</v>
      </c>
      <c r="AS66" s="529">
        <v>0.02</v>
      </c>
      <c r="AT66" s="529">
        <v>1.8500000000000003E-2</v>
      </c>
      <c r="AU66" s="529">
        <v>1.4500000000000001E-2</v>
      </c>
      <c r="AV66" s="529">
        <v>1.1666666666666665E-2</v>
      </c>
      <c r="AW66" s="529">
        <v>0.01</v>
      </c>
      <c r="AX66" s="529">
        <v>1.5333333333333332E-2</v>
      </c>
      <c r="AY66" s="529">
        <v>1.44E-2</v>
      </c>
      <c r="AZ66" s="529">
        <v>1.2666666666666666E-2</v>
      </c>
      <c r="BA66" s="529">
        <v>2.5999999999999999E-2</v>
      </c>
      <c r="BB66" s="529">
        <v>1.8333333333333337E-2</v>
      </c>
      <c r="BC66" s="529">
        <v>1.666666666666667E-2</v>
      </c>
      <c r="BD66" s="529">
        <v>2.7E-2</v>
      </c>
      <c r="BE66" s="529">
        <v>1.4250000000000001E-2</v>
      </c>
      <c r="BF66" s="529">
        <v>1.7099999999999997E-2</v>
      </c>
      <c r="BG66" s="529">
        <v>1.8749999999999999E-2</v>
      </c>
      <c r="BH66" s="529">
        <v>1.7000000000000001E-2</v>
      </c>
      <c r="BI66" s="529">
        <v>2.3E-2</v>
      </c>
      <c r="BJ66" s="421"/>
      <c r="BK66" s="546"/>
      <c r="BL66" s="421"/>
      <c r="BM66" s="421"/>
      <c r="BN66" s="61"/>
    </row>
    <row r="67" spans="4:66" ht="18.75" x14ac:dyDescent="0.3">
      <c r="D67" s="61"/>
      <c r="E67" s="530" t="s">
        <v>569</v>
      </c>
      <c r="F67" s="531">
        <v>26.739401784475987</v>
      </c>
      <c r="G67" s="531">
        <v>30.222045601311418</v>
      </c>
      <c r="H67" s="531">
        <v>112.39494945394017</v>
      </c>
      <c r="I67" s="531">
        <v>143.11233811051119</v>
      </c>
      <c r="J67" s="531">
        <v>96.991948808056435</v>
      </c>
      <c r="K67" s="531">
        <v>216.74448707872966</v>
      </c>
      <c r="L67" s="531">
        <v>189.94186727010262</v>
      </c>
      <c r="M67" s="531">
        <v>213.06471834334883</v>
      </c>
      <c r="N67" s="531">
        <v>117.3544301023427</v>
      </c>
      <c r="O67" s="531">
        <v>130.7626850793805</v>
      </c>
      <c r="P67" s="531">
        <v>191.83687480690674</v>
      </c>
      <c r="Q67" s="531">
        <v>298.50225388977759</v>
      </c>
      <c r="R67" s="531">
        <v>394.40854711790683</v>
      </c>
      <c r="S67" s="531">
        <v>195.64351427397176</v>
      </c>
      <c r="T67" s="531">
        <v>221.92778606361213</v>
      </c>
      <c r="U67" s="531">
        <v>278.38009394439513</v>
      </c>
      <c r="V67" s="531">
        <v>163.83523754144994</v>
      </c>
      <c r="W67" s="531">
        <v>337.05791144692472</v>
      </c>
      <c r="X67" s="531">
        <v>423.08663803990902</v>
      </c>
      <c r="Y67" s="531">
        <v>237.05182272515799</v>
      </c>
      <c r="Z67" s="531">
        <v>597.75906416264411</v>
      </c>
      <c r="AA67" s="531">
        <v>505.67274105764824</v>
      </c>
      <c r="AB67" s="531">
        <v>459.51624841813714</v>
      </c>
      <c r="AC67" s="531">
        <v>722.74849171466781</v>
      </c>
      <c r="AD67" s="531">
        <v>706.46702421701957</v>
      </c>
      <c r="AE67" s="540">
        <v>280.44892484209316</v>
      </c>
      <c r="AF67" s="542">
        <v>37706.375289584546</v>
      </c>
      <c r="AG67" s="541">
        <v>1.778554248790766</v>
      </c>
      <c r="AH67" s="541">
        <v>4.1111391694378094E-2</v>
      </c>
      <c r="AJ67" s="537" t="s">
        <v>576</v>
      </c>
      <c r="AK67" s="533">
        <v>3.0000000000000001E-3</v>
      </c>
      <c r="AL67" s="534">
        <v>2.5000000000000001E-3</v>
      </c>
      <c r="AM67" s="535">
        <v>3.0000000000000001E-3</v>
      </c>
      <c r="AN67" s="534">
        <v>3.7000000000000002E-3</v>
      </c>
      <c r="AO67" s="533">
        <v>4.7999999999999996E-3</v>
      </c>
      <c r="AP67" s="534">
        <v>3.0000000000000001E-3</v>
      </c>
      <c r="AQ67" s="534">
        <f>0.003</f>
        <v>3.0000000000000001E-3</v>
      </c>
      <c r="AR67" s="535">
        <v>2.8E-3</v>
      </c>
      <c r="AS67" s="534">
        <v>5.4000000000000003E-3</v>
      </c>
      <c r="AT67" s="536">
        <f>(0.004+0.004)/2</f>
        <v>4.0000000000000001E-3</v>
      </c>
      <c r="AU67" s="535">
        <v>3.0000000000000001E-3</v>
      </c>
      <c r="AV67" s="535">
        <v>3.0000000000000001E-3</v>
      </c>
      <c r="AW67" s="534">
        <v>2E-3</v>
      </c>
      <c r="AX67" s="534">
        <v>3.0000000000000001E-3</v>
      </c>
      <c r="AY67" s="535">
        <v>3.7000000000000002E-3</v>
      </c>
      <c r="AZ67" s="534">
        <v>3.0000000000000001E-3</v>
      </c>
      <c r="BA67" s="534">
        <v>8.0000000000000002E-3</v>
      </c>
      <c r="BB67" s="534">
        <v>4.3299999999999996E-3</v>
      </c>
      <c r="BC67" s="534">
        <v>3.5000000000000001E-3</v>
      </c>
      <c r="BD67" s="534">
        <v>6.4999999999999997E-3</v>
      </c>
      <c r="BE67" s="534">
        <v>8.0000000000000002E-3</v>
      </c>
      <c r="BF67" s="534">
        <v>1.0999999999999999E-2</v>
      </c>
      <c r="BG67" s="534">
        <v>5.3E-3</v>
      </c>
      <c r="BH67" s="534">
        <v>3.0000000000000001E-3</v>
      </c>
      <c r="BI67" s="534">
        <v>5.0000000000000001E-3</v>
      </c>
      <c r="BJ67" s="421"/>
      <c r="BK67" s="546"/>
      <c r="BL67" s="421"/>
      <c r="BM67" s="421"/>
      <c r="BN67" s="61"/>
    </row>
    <row r="68" spans="4:66" ht="18.75" x14ac:dyDescent="0.3">
      <c r="D68" s="61"/>
      <c r="E68" s="530" t="s">
        <v>570</v>
      </c>
      <c r="F68" s="531">
        <v>11.483253588516746</v>
      </c>
      <c r="G68" s="531">
        <v>12.449610182324173</v>
      </c>
      <c r="H68" s="531">
        <v>51.872810058273522</v>
      </c>
      <c r="I68" s="531">
        <v>66.049579343813818</v>
      </c>
      <c r="J68" s="531">
        <v>55.308139795719988</v>
      </c>
      <c r="K68" s="531">
        <v>93.081061764180347</v>
      </c>
      <c r="L68" s="531">
        <v>89.543673784693482</v>
      </c>
      <c r="M68" s="531">
        <v>95.016291040891474</v>
      </c>
      <c r="N68" s="531">
        <v>72.005808871976214</v>
      </c>
      <c r="O68" s="531">
        <v>76.978345188853424</v>
      </c>
      <c r="P68" s="531">
        <v>96.569838773782152</v>
      </c>
      <c r="Q68" s="531">
        <v>124.74224715914845</v>
      </c>
      <c r="R68" s="531">
        <v>138.94836484933174</v>
      </c>
      <c r="S68" s="531">
        <v>102.50956616806637</v>
      </c>
      <c r="T68" s="531">
        <v>111.14314995917941</v>
      </c>
      <c r="U68" s="531">
        <v>125.61629971929959</v>
      </c>
      <c r="V68" s="531">
        <v>112.86254046270935</v>
      </c>
      <c r="W68" s="531">
        <v>197.42247978203517</v>
      </c>
      <c r="X68" s="531">
        <v>234.19658531280584</v>
      </c>
      <c r="Y68" s="531">
        <v>165.61985550860345</v>
      </c>
      <c r="Z68" s="531">
        <v>297.01150230221111</v>
      </c>
      <c r="AA68" s="531">
        <v>284.38075804413046</v>
      </c>
      <c r="AB68" s="531">
        <v>272.5187272547048</v>
      </c>
      <c r="AC68" s="531">
        <v>405.00849026296862</v>
      </c>
      <c r="AD68" s="531">
        <v>462.94186088354178</v>
      </c>
      <c r="AE68" s="540">
        <v>150.21123360247049</v>
      </c>
      <c r="AF68" s="542">
        <v>13402.556554125616</v>
      </c>
      <c r="AG68" s="540">
        <v>-1.197212412514691</v>
      </c>
      <c r="AH68" s="540">
        <v>0.11867856416703564</v>
      </c>
      <c r="AJ68" s="530" t="s">
        <v>573</v>
      </c>
      <c r="AK68" s="531">
        <v>21.422222222222221</v>
      </c>
      <c r="AL68" s="531">
        <v>22.533333333333335</v>
      </c>
      <c r="AM68" s="531">
        <v>92.280000000000015</v>
      </c>
      <c r="AN68" s="531">
        <v>126.34408602150539</v>
      </c>
      <c r="AO68" s="531">
        <v>97.070866141732267</v>
      </c>
      <c r="AP68" s="531">
        <v>173.64444444444445</v>
      </c>
      <c r="AQ68" s="531">
        <v>157.0451612903226</v>
      </c>
      <c r="AR68" s="531">
        <v>169.36082474226808</v>
      </c>
      <c r="AS68" s="531">
        <v>122.26027397260273</v>
      </c>
      <c r="AT68" s="531">
        <v>123.64137931034482</v>
      </c>
      <c r="AU68" s="531">
        <v>161.98260869565217</v>
      </c>
      <c r="AV68" s="531">
        <v>236.86153846153846</v>
      </c>
      <c r="AW68" s="531">
        <v>256.875</v>
      </c>
      <c r="AX68" s="531">
        <v>167.25405405405405</v>
      </c>
      <c r="AY68" s="531">
        <v>199.32710280373834</v>
      </c>
      <c r="AZ68" s="531">
        <v>226.84137931034482</v>
      </c>
      <c r="BA68" s="531">
        <v>193.05555555555557</v>
      </c>
      <c r="BB68" s="531">
        <v>325.99381099738156</v>
      </c>
      <c r="BC68" s="531">
        <v>381.64556962025307</v>
      </c>
      <c r="BD68" s="531">
        <v>256.82926829268297</v>
      </c>
      <c r="BE68" s="531">
        <v>904.8</v>
      </c>
      <c r="BF68" s="531">
        <v>1020.491803278689</v>
      </c>
      <c r="BG68" s="531">
        <v>476.95167286245351</v>
      </c>
      <c r="BH68" s="531">
        <v>630.35714285714266</v>
      </c>
      <c r="BI68" s="531">
        <v>714.72222222222217</v>
      </c>
      <c r="BJ68" s="544">
        <v>290.38365281961939</v>
      </c>
      <c r="BK68" s="545">
        <v>69121.159897479185</v>
      </c>
      <c r="BL68" s="544">
        <v>1.6000691756159069</v>
      </c>
      <c r="BM68" s="544">
        <v>5.9044268777180886E-2</v>
      </c>
      <c r="BN68" s="61"/>
    </row>
    <row r="69" spans="4:66" ht="18.75" x14ac:dyDescent="0.3">
      <c r="D69" s="61"/>
      <c r="E69" s="537" t="s">
        <v>571</v>
      </c>
      <c r="F69" s="538">
        <v>10.672735117809321</v>
      </c>
      <c r="G69" s="538">
        <v>12.587262992615766</v>
      </c>
      <c r="H69" s="538">
        <v>41.41033406932479</v>
      </c>
      <c r="I69" s="538">
        <v>52.727722725895802</v>
      </c>
      <c r="J69" s="538">
        <v>26.546234522342147</v>
      </c>
      <c r="K69" s="538">
        <v>86.511153745396314</v>
      </c>
      <c r="L69" s="538">
        <v>68.231867270102626</v>
      </c>
      <c r="M69" s="538">
        <v>81.640718343348823</v>
      </c>
      <c r="N69" s="538">
        <v>28.104430102342704</v>
      </c>
      <c r="O69" s="538">
        <v>33.854576971272394</v>
      </c>
      <c r="P69" s="538">
        <v>63.367909289665363</v>
      </c>
      <c r="Q69" s="538">
        <v>122.54796817549186</v>
      </c>
      <c r="R69" s="538">
        <v>188.90854711790683</v>
      </c>
      <c r="S69" s="538">
        <v>61.113079491363067</v>
      </c>
      <c r="T69" s="538">
        <v>73.816674952501018</v>
      </c>
      <c r="U69" s="538">
        <v>105.2643044707109</v>
      </c>
      <c r="V69" s="538">
        <v>30.181391387603782</v>
      </c>
      <c r="W69" s="538">
        <v>88.057911446924749</v>
      </c>
      <c r="X69" s="538">
        <v>121.58663803990908</v>
      </c>
      <c r="Y69" s="538">
        <v>42.051822725157962</v>
      </c>
      <c r="Z69" s="538">
        <v>200.91695889948619</v>
      </c>
      <c r="AA69" s="538">
        <v>141.63765333834988</v>
      </c>
      <c r="AB69" s="538">
        <v>117.38291508480381</v>
      </c>
      <c r="AC69" s="538">
        <v>203.63084465584438</v>
      </c>
      <c r="AD69" s="538">
        <v>147.11919813006307</v>
      </c>
      <c r="AE69" s="537"/>
      <c r="AF69" s="537"/>
      <c r="AG69" s="537"/>
      <c r="AH69" s="537"/>
      <c r="AJ69" s="530" t="s">
        <v>574</v>
      </c>
      <c r="AK69" s="531">
        <v>12.853333333333333</v>
      </c>
      <c r="AL69" s="531">
        <v>14.485714285714286</v>
      </c>
      <c r="AM69" s="531">
        <v>57.674999999999997</v>
      </c>
      <c r="AN69" s="531">
        <v>70.359281437125759</v>
      </c>
      <c r="AO69" s="531">
        <v>55.282511210762337</v>
      </c>
      <c r="AP69" s="531">
        <v>104.18666666666668</v>
      </c>
      <c r="AQ69" s="531">
        <v>99.35510204081632</v>
      </c>
      <c r="AR69" s="531">
        <v>107.37254901960785</v>
      </c>
      <c r="AS69" s="531">
        <v>70.275590551181097</v>
      </c>
      <c r="AT69" s="531">
        <v>79.679999999999993</v>
      </c>
      <c r="AU69" s="531">
        <v>106.44571428571427</v>
      </c>
      <c r="AV69" s="531">
        <v>139.96363636363637</v>
      </c>
      <c r="AW69" s="531">
        <v>171.25</v>
      </c>
      <c r="AX69" s="531">
        <v>112.51636363636362</v>
      </c>
      <c r="AY69" s="531">
        <v>117.83425414364642</v>
      </c>
      <c r="AZ69" s="531">
        <v>139.96595744680852</v>
      </c>
      <c r="BA69" s="531">
        <v>102.20588235294117</v>
      </c>
      <c r="BB69" s="531">
        <v>201.42668039417561</v>
      </c>
      <c r="BC69" s="531">
        <v>249.17355371900825</v>
      </c>
      <c r="BD69" s="531">
        <v>157.16417910447763</v>
      </c>
      <c r="BE69" s="531">
        <v>254.15730337078654</v>
      </c>
      <c r="BF69" s="531">
        <v>221.53024911032034</v>
      </c>
      <c r="BG69" s="531">
        <v>266.73596673596677</v>
      </c>
      <c r="BH69" s="531">
        <v>441.24999999999994</v>
      </c>
      <c r="BI69" s="531">
        <v>459.46428571428567</v>
      </c>
      <c r="BJ69" s="544">
        <v>152.50439099693355</v>
      </c>
      <c r="BK69" s="545">
        <v>12859.535577826406</v>
      </c>
      <c r="BL69" s="544">
        <v>-1.1442960049593971</v>
      </c>
      <c r="BM69" s="544">
        <v>0.12927561760441506</v>
      </c>
      <c r="BN69" s="61"/>
    </row>
    <row r="70" spans="4:66" ht="18.75" x14ac:dyDescent="0.3">
      <c r="D70" s="61"/>
      <c r="E70" s="537" t="s">
        <v>572</v>
      </c>
      <c r="F70" s="538">
        <v>-4.5834130781499205</v>
      </c>
      <c r="G70" s="538">
        <v>-5.1851724263714782</v>
      </c>
      <c r="H70" s="538">
        <v>-19.111805326341859</v>
      </c>
      <c r="I70" s="538">
        <v>-24.335036040801569</v>
      </c>
      <c r="J70" s="538">
        <v>-15.1375744899943</v>
      </c>
      <c r="K70" s="538">
        <v>-37.152271569153001</v>
      </c>
      <c r="L70" s="538">
        <v>-32.166326215306512</v>
      </c>
      <c r="M70" s="538">
        <v>-36.407708959108533</v>
      </c>
      <c r="N70" s="538">
        <v>-17.244191128023786</v>
      </c>
      <c r="O70" s="538">
        <v>-19.929762919254685</v>
      </c>
      <c r="P70" s="538">
        <v>-31.89912674345922</v>
      </c>
      <c r="Q70" s="538">
        <v>-51.212038555137283</v>
      </c>
      <c r="R70" s="538">
        <v>-66.551635150668261</v>
      </c>
      <c r="S70" s="538">
        <v>-32.020868614542323</v>
      </c>
      <c r="T70" s="538">
        <v>-36.967961151931704</v>
      </c>
      <c r="U70" s="538">
        <v>-47.499489754384641</v>
      </c>
      <c r="V70" s="538">
        <v>-20.791305691136813</v>
      </c>
      <c r="W70" s="538">
        <v>-51.577520217964803</v>
      </c>
      <c r="X70" s="538">
        <v>-67.303414687194106</v>
      </c>
      <c r="Y70" s="538">
        <v>-29.380144491396578</v>
      </c>
      <c r="Z70" s="538">
        <v>-99.830602960946806</v>
      </c>
      <c r="AA70" s="538">
        <v>-79.654329675167901</v>
      </c>
      <c r="AB70" s="538">
        <v>-69.614606078628526</v>
      </c>
      <c r="AC70" s="538">
        <v>-114.1091567958548</v>
      </c>
      <c r="AD70" s="538">
        <v>-96.405965203414723</v>
      </c>
      <c r="AE70" s="537"/>
      <c r="AF70" s="537"/>
      <c r="AG70" s="537"/>
      <c r="AH70" s="537"/>
      <c r="AJ70" s="537" t="s">
        <v>571</v>
      </c>
      <c r="AK70" s="538">
        <v>5.3555555555555543</v>
      </c>
      <c r="AL70" s="538">
        <v>4.8985507246376834</v>
      </c>
      <c r="AM70" s="538">
        <v>21.295384615384634</v>
      </c>
      <c r="AN70" s="538">
        <v>35.959470636890003</v>
      </c>
      <c r="AO70" s="538">
        <v>26.625151856017979</v>
      </c>
      <c r="AP70" s="538">
        <v>43.411111111111097</v>
      </c>
      <c r="AQ70" s="538">
        <v>35.335161290322603</v>
      </c>
      <c r="AR70" s="538">
        <v>37.936824742268072</v>
      </c>
      <c r="AS70" s="538">
        <v>33.010273972602732</v>
      </c>
      <c r="AT70" s="538">
        <v>26.733271202236708</v>
      </c>
      <c r="AU70" s="538">
        <v>33.513643178410803</v>
      </c>
      <c r="AV70" s="538">
        <v>60.907252747252727</v>
      </c>
      <c r="AW70" s="538">
        <v>51.375</v>
      </c>
      <c r="AX70" s="538">
        <v>32.723619271445358</v>
      </c>
      <c r="AY70" s="538">
        <v>51.215991692627227</v>
      </c>
      <c r="AZ70" s="538">
        <v>53.725589836660589</v>
      </c>
      <c r="BA70" s="538">
        <v>59.401709401709411</v>
      </c>
      <c r="BB70" s="538">
        <v>76.993810997381587</v>
      </c>
      <c r="BC70" s="538">
        <v>80.145569620253127</v>
      </c>
      <c r="BD70" s="538">
        <v>61.82926829268294</v>
      </c>
      <c r="BE70" s="538">
        <v>507.95789473684204</v>
      </c>
      <c r="BF70" s="538">
        <v>656.45671555939066</v>
      </c>
      <c r="BG70" s="538">
        <v>134.81833952912018</v>
      </c>
      <c r="BH70" s="538">
        <v>111.23949579831924</v>
      </c>
      <c r="BI70" s="538">
        <v>155.37439613526567</v>
      </c>
      <c r="BJ70" s="421"/>
      <c r="BK70" s="421"/>
      <c r="BL70" s="420"/>
      <c r="BM70" s="421"/>
      <c r="BN70" s="61"/>
    </row>
    <row r="71" spans="4:66" ht="18.75" x14ac:dyDescent="0.3">
      <c r="D71" s="61"/>
      <c r="E71" s="537" t="s">
        <v>377</v>
      </c>
      <c r="F71" s="538">
        <v>66.427811936572539</v>
      </c>
      <c r="G71" s="538">
        <v>71.377477522229441</v>
      </c>
      <c r="H71" s="538">
        <v>58.337054930778322</v>
      </c>
      <c r="I71" s="538">
        <v>58.337054930778351</v>
      </c>
      <c r="J71" s="538">
        <v>37.68324984920406</v>
      </c>
      <c r="K71" s="538">
        <v>66.427811936572539</v>
      </c>
      <c r="L71" s="538">
        <v>56.06101985876478</v>
      </c>
      <c r="M71" s="538">
        <v>62.120098569020001</v>
      </c>
      <c r="N71" s="538">
        <v>31.489557537638888</v>
      </c>
      <c r="O71" s="538">
        <v>34.934720770221958</v>
      </c>
      <c r="P71" s="538">
        <v>49.325460849267131</v>
      </c>
      <c r="Q71" s="538">
        <v>69.647617662740572</v>
      </c>
      <c r="R71" s="538">
        <v>91.926300300684574</v>
      </c>
      <c r="S71" s="538">
        <v>45.426954569884003</v>
      </c>
      <c r="T71" s="538">
        <v>49.838715271756115</v>
      </c>
      <c r="U71" s="538">
        <v>60.805721298294628</v>
      </c>
      <c r="V71" s="538">
        <v>22.581760462667575</v>
      </c>
      <c r="W71" s="538">
        <v>35.364623071054126</v>
      </c>
      <c r="X71" s="538">
        <v>40.327243130981458</v>
      </c>
      <c r="Y71" s="538">
        <v>21.565037294952802</v>
      </c>
      <c r="Z71" s="538">
        <v>50.628941897748518</v>
      </c>
      <c r="AA71" s="538">
        <v>38.907692724269594</v>
      </c>
      <c r="AB71" s="538">
        <v>34.309113918005806</v>
      </c>
      <c r="AC71" s="538">
        <v>39.226338347301464</v>
      </c>
      <c r="AD71" s="538">
        <v>26.301916494298098</v>
      </c>
      <c r="AE71" s="537"/>
      <c r="AF71" s="537"/>
      <c r="AG71" s="537"/>
      <c r="AH71" s="537"/>
      <c r="AJ71" s="537" t="s">
        <v>572</v>
      </c>
      <c r="AK71" s="538">
        <v>-3.2133333333333329</v>
      </c>
      <c r="AL71" s="538">
        <v>-3.1490683229813659</v>
      </c>
      <c r="AM71" s="538">
        <v>-13.309615384615384</v>
      </c>
      <c r="AN71" s="538">
        <v>-20.025333947489628</v>
      </c>
      <c r="AO71" s="538">
        <v>-15.163203074951952</v>
      </c>
      <c r="AP71" s="538">
        <v>-26.046666666666667</v>
      </c>
      <c r="AQ71" s="538">
        <v>-22.354897959183674</v>
      </c>
      <c r="AR71" s="538">
        <v>-24.051450980392161</v>
      </c>
      <c r="AS71" s="538">
        <v>-18.974409448818903</v>
      </c>
      <c r="AT71" s="538">
        <v>-17.228108108108117</v>
      </c>
      <c r="AU71" s="538">
        <v>-22.023251231527098</v>
      </c>
      <c r="AV71" s="538">
        <v>-35.990649350649363</v>
      </c>
      <c r="AW71" s="538">
        <v>-34.25</v>
      </c>
      <c r="AX71" s="538">
        <v>-22.014071146245072</v>
      </c>
      <c r="AY71" s="538">
        <v>-30.276856967464695</v>
      </c>
      <c r="AZ71" s="538">
        <v>-33.149832026875714</v>
      </c>
      <c r="BA71" s="538">
        <v>-31.447963800904986</v>
      </c>
      <c r="BB71" s="538">
        <v>-47.573319605824366</v>
      </c>
      <c r="BC71" s="538">
        <v>-52.326446280991689</v>
      </c>
      <c r="BD71" s="538">
        <v>-37.835820895522403</v>
      </c>
      <c r="BE71" s="538">
        <v>-142.68480189237138</v>
      </c>
      <c r="BF71" s="538">
        <v>-142.50483860897802</v>
      </c>
      <c r="BG71" s="538">
        <v>-75.397366597366556</v>
      </c>
      <c r="BH71" s="538">
        <v>-77.867647058823479</v>
      </c>
      <c r="BI71" s="538">
        <v>-99.883540372670836</v>
      </c>
      <c r="BJ71" s="421"/>
      <c r="BK71" s="421"/>
      <c r="BL71" s="420"/>
      <c r="BM71" s="421"/>
      <c r="BN71" s="61"/>
    </row>
    <row r="72" spans="4:66" ht="18.75" x14ac:dyDescent="0.3">
      <c r="D72" s="61"/>
      <c r="E72" s="537" t="s">
        <v>378</v>
      </c>
      <c r="F72" s="538">
        <v>-28.527467291389556</v>
      </c>
      <c r="G72" s="538">
        <v>-29.403098078536487</v>
      </c>
      <c r="H72" s="538">
        <v>-26.92386966216344</v>
      </c>
      <c r="I72" s="538">
        <v>-26.92386966216344</v>
      </c>
      <c r="J72" s="538">
        <v>-21.488283060910135</v>
      </c>
      <c r="K72" s="538">
        <v>-28.527467291389556</v>
      </c>
      <c r="L72" s="538">
        <v>-26.42866339274218</v>
      </c>
      <c r="M72" s="538">
        <v>-27.702481250843476</v>
      </c>
      <c r="N72" s="538">
        <v>-19.321222552407605</v>
      </c>
      <c r="O72" s="538">
        <v>-20.565629964648124</v>
      </c>
      <c r="P72" s="538">
        <v>-24.830219979609126</v>
      </c>
      <c r="Q72" s="538">
        <v>-29.105308999574646</v>
      </c>
      <c r="R72" s="538">
        <v>-32.385223917600129</v>
      </c>
      <c r="S72" s="538">
        <v>-23.801951332637628</v>
      </c>
      <c r="T72" s="538">
        <v>-24.959613680974144</v>
      </c>
      <c r="U72" s="538">
        <v>-27.437988122744372</v>
      </c>
      <c r="V72" s="538">
        <v>-15.556084833656328</v>
      </c>
      <c r="W72" s="538">
        <v>-20.71386354135133</v>
      </c>
      <c r="X72" s="538">
        <v>-22.322857276017942</v>
      </c>
      <c r="Y72" s="538">
        <v>-15.066740764818746</v>
      </c>
      <c r="Z72" s="538">
        <v>-25.156252735517086</v>
      </c>
      <c r="AA72" s="538">
        <v>-21.880948392696723</v>
      </c>
      <c r="AB72" s="538">
        <v>-20.347215338648255</v>
      </c>
      <c r="AC72" s="538">
        <v>-21.981367314782233</v>
      </c>
      <c r="AD72" s="538">
        <v>-17.23542323885377</v>
      </c>
      <c r="AE72" s="537"/>
      <c r="AF72" s="537"/>
      <c r="AG72" s="537"/>
      <c r="AH72" s="537"/>
      <c r="AJ72" s="537" t="s">
        <v>377</v>
      </c>
      <c r="AK72" s="538">
        <v>33.333333333333314</v>
      </c>
      <c r="AL72" s="538">
        <v>27.777777777777786</v>
      </c>
      <c r="AM72" s="538">
        <v>30.000000000000028</v>
      </c>
      <c r="AN72" s="538">
        <v>39.784946236559136</v>
      </c>
      <c r="AO72" s="538">
        <v>37.795275590551171</v>
      </c>
      <c r="AP72" s="538">
        <v>33.333333333333314</v>
      </c>
      <c r="AQ72" s="538">
        <v>29.032258064516157</v>
      </c>
      <c r="AR72" s="538">
        <v>28.865979381443339</v>
      </c>
      <c r="AS72" s="538">
        <v>36.986301369863014</v>
      </c>
      <c r="AT72" s="538">
        <v>27.586206896551715</v>
      </c>
      <c r="AU72" s="538">
        <v>26.08695652173914</v>
      </c>
      <c r="AV72" s="538">
        <v>34.615384615384613</v>
      </c>
      <c r="AW72" s="538">
        <v>25</v>
      </c>
      <c r="AX72" s="538">
        <v>24.324324324324323</v>
      </c>
      <c r="AY72" s="538">
        <v>34.579439252336471</v>
      </c>
      <c r="AZ72" s="538">
        <v>31.034482758620669</v>
      </c>
      <c r="BA72" s="538">
        <v>44.444444444444429</v>
      </c>
      <c r="BB72" s="538">
        <v>30.921209235896242</v>
      </c>
      <c r="BC72" s="538">
        <v>26.582278481012651</v>
      </c>
      <c r="BD72" s="538">
        <v>31.707317073170742</v>
      </c>
      <c r="BE72" s="538">
        <v>127.99999999999997</v>
      </c>
      <c r="BF72" s="538">
        <v>180.32786885245906</v>
      </c>
      <c r="BG72" s="538">
        <v>39.40520446096653</v>
      </c>
      <c r="BH72" s="538">
        <v>21.428571428571416</v>
      </c>
      <c r="BI72" s="538">
        <v>27.777777777777771</v>
      </c>
      <c r="BJ72" s="421"/>
      <c r="BK72" s="421"/>
      <c r="BL72" s="420"/>
      <c r="BM72" s="421"/>
      <c r="BN72" s="61"/>
    </row>
    <row r="73" spans="4:66" ht="18.75" x14ac:dyDescent="0.3">
      <c r="D73" s="61"/>
      <c r="E73" s="61"/>
      <c r="F73" s="463"/>
      <c r="G73" s="490"/>
      <c r="H73" s="463"/>
      <c r="I73" s="463"/>
      <c r="J73" s="463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3"/>
      <c r="V73" s="463"/>
      <c r="W73" s="463"/>
      <c r="X73" s="463"/>
      <c r="Y73" s="463"/>
      <c r="Z73" s="463"/>
      <c r="AA73" s="463"/>
      <c r="AB73" s="463"/>
      <c r="AC73" s="463"/>
      <c r="AD73" s="463"/>
      <c r="AE73" s="61"/>
      <c r="AJ73" s="537" t="s">
        <v>378</v>
      </c>
      <c r="AK73" s="538">
        <v>-20</v>
      </c>
      <c r="AL73" s="538">
        <v>-17.857142857142847</v>
      </c>
      <c r="AM73" s="538">
        <v>-18.75</v>
      </c>
      <c r="AN73" s="538">
        <v>-22.155688622754482</v>
      </c>
      <c r="AO73" s="538">
        <v>-21.524663677130036</v>
      </c>
      <c r="AP73" s="538">
        <v>-20</v>
      </c>
      <c r="AQ73" s="538">
        <v>-18.367346938775512</v>
      </c>
      <c r="AR73" s="538">
        <v>-18.300653594771248</v>
      </c>
      <c r="AS73" s="538">
        <v>-21.259842519685051</v>
      </c>
      <c r="AT73" s="538">
        <v>-17.777777777777786</v>
      </c>
      <c r="AU73" s="538">
        <v>-17.142857142857153</v>
      </c>
      <c r="AV73" s="538">
        <v>-20.454545454545453</v>
      </c>
      <c r="AW73" s="538">
        <v>-16.666666666666657</v>
      </c>
      <c r="AX73" s="538">
        <v>-16.363636363636374</v>
      </c>
      <c r="AY73" s="538">
        <v>-20.44198895027624</v>
      </c>
      <c r="AZ73" s="538">
        <v>-19.148936170212778</v>
      </c>
      <c r="BA73" s="538">
        <v>-23.529411764705884</v>
      </c>
      <c r="BB73" s="538">
        <v>-19.105750845712606</v>
      </c>
      <c r="BC73" s="538">
        <v>-17.355371900826427</v>
      </c>
      <c r="BD73" s="538">
        <v>-19.402985074626869</v>
      </c>
      <c r="BE73" s="538">
        <v>-35.955056179775283</v>
      </c>
      <c r="BF73" s="538">
        <v>-39.145907473309613</v>
      </c>
      <c r="BG73" s="538">
        <v>-22.037422037422033</v>
      </c>
      <c r="BH73" s="538">
        <v>-14.999999999999986</v>
      </c>
      <c r="BI73" s="538">
        <v>-17.857142857142861</v>
      </c>
      <c r="BJ73" s="421"/>
      <c r="BK73" s="421"/>
      <c r="BL73" s="421"/>
      <c r="BM73" s="421"/>
      <c r="BN73" s="61"/>
    </row>
    <row r="74" spans="4:66" ht="18.75" x14ac:dyDescent="0.3">
      <c r="D74" s="61"/>
      <c r="E74" s="61"/>
      <c r="F74" s="463"/>
      <c r="G74" s="463"/>
      <c r="H74" s="463"/>
      <c r="I74" s="489"/>
      <c r="J74" s="489"/>
      <c r="K74" s="489"/>
      <c r="L74" s="489"/>
      <c r="M74" s="489"/>
      <c r="N74" s="489"/>
      <c r="O74" s="489"/>
      <c r="P74" s="489"/>
      <c r="Q74" s="489"/>
      <c r="R74" s="489"/>
      <c r="S74" s="492"/>
      <c r="T74" s="489"/>
      <c r="U74" s="489"/>
      <c r="V74" s="489"/>
      <c r="W74" s="489"/>
      <c r="X74" s="489"/>
      <c r="Y74" s="489"/>
      <c r="Z74" s="489"/>
      <c r="AA74" s="489"/>
      <c r="AB74" s="489"/>
      <c r="AC74" s="489"/>
      <c r="AD74" s="61"/>
      <c r="AE74" s="395"/>
      <c r="AF74" s="386"/>
      <c r="AG74" s="386"/>
      <c r="AH74" s="386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</row>
    <row r="75" spans="4:66" x14ac:dyDescent="0.25">
      <c r="D75" s="61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95"/>
      <c r="AF75" s="386"/>
      <c r="AG75" s="386"/>
      <c r="AH75" s="386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61"/>
    </row>
    <row r="76" spans="4:66" x14ac:dyDescent="0.25">
      <c r="D76" s="61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95"/>
      <c r="AF76" s="386"/>
      <c r="AG76" s="386"/>
      <c r="AH76" s="386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61"/>
    </row>
    <row r="77" spans="4:66" x14ac:dyDescent="0.25">
      <c r="D77" s="61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488"/>
      <c r="AF77" s="386"/>
      <c r="AG77" s="386"/>
      <c r="AH77" s="386"/>
      <c r="AJ77" s="488"/>
      <c r="AK77" s="488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61"/>
    </row>
    <row r="78" spans="4:66" x14ac:dyDescent="0.25">
      <c r="D78" s="61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488"/>
      <c r="AF78" s="386"/>
      <c r="AG78" s="386"/>
      <c r="AH78" s="386"/>
      <c r="AJ78" s="488"/>
      <c r="AK78" s="488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61"/>
    </row>
    <row r="79" spans="4:66" x14ac:dyDescent="0.25">
      <c r="D79" s="61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488"/>
      <c r="AF79" s="386"/>
      <c r="AG79" s="386"/>
      <c r="AH79" s="386"/>
      <c r="AJ79" s="488"/>
      <c r="AK79" s="488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61"/>
    </row>
    <row r="80" spans="4:66" x14ac:dyDescent="0.25">
      <c r="D80" s="61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488"/>
      <c r="AF80" s="386"/>
      <c r="AG80" s="386"/>
      <c r="AH80" s="386"/>
      <c r="AJ80" s="488"/>
      <c r="AK80" s="488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61"/>
    </row>
    <row r="81" spans="4:66" x14ac:dyDescent="0.25">
      <c r="D81" s="61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488"/>
      <c r="AF81" s="386"/>
      <c r="AG81" s="386"/>
      <c r="AH81" s="386"/>
      <c r="AJ81" s="488"/>
      <c r="AK81" s="488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61"/>
    </row>
    <row r="82" spans="4:66" x14ac:dyDescent="0.25">
      <c r="D82" s="61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488"/>
      <c r="AF82" s="386"/>
      <c r="AG82" s="386"/>
      <c r="AH82" s="386"/>
      <c r="AJ82" s="488"/>
      <c r="AK82" s="488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5"/>
      <c r="BJ82" s="395"/>
      <c r="BK82" s="395"/>
      <c r="BL82" s="395"/>
      <c r="BM82" s="395"/>
      <c r="BN82" s="61"/>
    </row>
    <row r="83" spans="4:66" x14ac:dyDescent="0.25">
      <c r="D83" s="61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488"/>
      <c r="AF83" s="386"/>
      <c r="AG83" s="386"/>
      <c r="AH83" s="386"/>
      <c r="AJ83" s="488"/>
      <c r="AK83" s="488"/>
      <c r="AL83" s="395"/>
      <c r="AM83" s="395"/>
      <c r="AN83" s="395"/>
      <c r="AO83" s="395"/>
      <c r="AP83" s="395"/>
      <c r="AQ83" s="395"/>
      <c r="AR83" s="395"/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61"/>
    </row>
    <row r="84" spans="4:66" ht="18.75" x14ac:dyDescent="0.3">
      <c r="D84" s="61"/>
      <c r="E84" s="61"/>
      <c r="F84" s="463"/>
      <c r="G84" s="463"/>
      <c r="H84" s="46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  <c r="AA84" s="493"/>
      <c r="AB84" s="493"/>
      <c r="AC84" s="489"/>
      <c r="AD84" s="404"/>
      <c r="AE84" s="488"/>
      <c r="AF84" s="386"/>
      <c r="AG84" s="386"/>
      <c r="AH84" s="386"/>
      <c r="AJ84" s="404"/>
      <c r="AK84" s="404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395"/>
      <c r="BK84" s="395"/>
      <c r="BL84" s="395"/>
      <c r="BM84" s="395"/>
      <c r="BN84" s="61"/>
    </row>
    <row r="85" spans="4:66" ht="18.75" x14ac:dyDescent="0.3">
      <c r="D85" s="61"/>
      <c r="E85" s="61"/>
      <c r="F85" s="463"/>
      <c r="G85" s="463"/>
      <c r="H85" s="463"/>
      <c r="I85" s="489"/>
      <c r="J85" s="489"/>
      <c r="K85" s="489"/>
      <c r="L85" s="489"/>
      <c r="M85" s="489"/>
      <c r="N85" s="489"/>
      <c r="O85" s="489"/>
      <c r="P85" s="489"/>
      <c r="Q85" s="489"/>
      <c r="R85" s="489"/>
      <c r="S85" s="489"/>
      <c r="T85" s="489"/>
      <c r="U85" s="489"/>
      <c r="V85" s="489"/>
      <c r="W85" s="489"/>
      <c r="X85" s="489"/>
      <c r="Y85" s="489"/>
      <c r="Z85" s="489"/>
      <c r="AA85" s="489"/>
      <c r="AB85" s="489"/>
      <c r="AC85" s="489"/>
      <c r="AD85" s="61"/>
      <c r="AE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i 6 Z q U E O x 9 u O n A A A A + A A A A B I A H A B D b 2 5 m a W c v U G F j a 2 F n Z S 5 4 b W w g o h g A K K A U A A A A A A A A A A A A A A A A A A A A A A A A A A A A h Y 9 B D o I w F E S v Q r q n L R X U k E 9 Z u J X E h G j c k l K h E Y q h x X I 3 F x 7 J K 0 i i q D u X M 3 m T v H n c 7 p C O b e N d Z W 9 U p x M U Y I o 8 q U V X K l 0 l a L A n f 4 1 S D r t C n I t K e h O s T T w a l a D a 2 k t M i H M O u w X u + o o w S g N y z L a 5 q G V b + E o b W 2 g h 0 W d V / l 8 h D o e X D G d 4 x X A U R U s c h g G Q u Y Z M 6 S / C J m N M g f y U s B k a O / S S S + 3 v c y B z B P J + w Z 9 Q S w M E F A A C A A g A i 6 Z q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u m a l A o i k e 4 D g A A A B E A A A A T A B w A R m 9 y b X V s Y X M v U 2 V j d G l v b j E u b S C i G A A o o B Q A A A A A A A A A A A A A A A A A A A A A A A A A A A A r T k 0 u y c z P U w i G 0 I b W A F B L A Q I t A B Q A A g A I A I u m a l B D s f b j p w A A A P g A A A A S A A A A A A A A A A A A A A A A A A A A A A B D b 2 5 m a W c v U G F j a 2 F n Z S 5 4 b W x Q S w E C L Q A U A A I A C A C L p m p Q D 8 r p q 6 Q A A A D p A A A A E w A A A A A A A A A A A A A A A A D z A A A A W 0 N v b n R l b n R f V H l w Z X N d L n h t b F B L A Q I t A B Q A A g A I A I u m a l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v i U p D 5 t x l S 4 4 y s x L T g m u c A A A A A A I A A A A A A B B m A A A A A Q A A I A A A A E h f 9 d J L 7 5 i F a D E H M p o A F o b o 6 v g e V Z y 9 / E F n i F c D d 3 x R A A A A A A 6 A A A A A A g A A I A A A A G 1 C W I n B j A 9 8 T g x y X a 0 s K 2 + W S M D Q w 3 u 7 D Q l E / X F N i y y X U A A A A I 8 3 O i C e L Q i O v h q L w U j q K j 9 q Z g U d + t c r Q j o t S 9 z r k H q U W N A 5 5 N 4 8 Z 4 v C O l E 7 9 x x I B H K L D j O B b V l 7 P O B 4 w E A D 0 h d q f b P B c K o I + U i C u q u 6 b E L s Q A A A A H x m 9 m m n m Q T g 5 y 9 3 R H c T j + y y a n u 3 N 1 i 9 d a k 2 v p 6 7 J y h n 2 X 6 y b + / t o z 3 M q c B 0 q C 0 d E s e k v / 7 q K 6 s Q w G 1 v 4 m L U p H w = < / D a t a M a s h u p > 
</file>

<file path=customXml/itemProps1.xml><?xml version="1.0" encoding="utf-8"?>
<ds:datastoreItem xmlns:ds="http://schemas.openxmlformats.org/officeDocument/2006/customXml" ds:itemID="{F78F302B-C79E-4D8E-84FE-D3BAD2F6AD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Tooth measurements raw data</vt:lpstr>
      <vt:lpstr>Tooth measurements</vt:lpstr>
      <vt:lpstr>Tooth size Developmental st</vt:lpstr>
      <vt:lpstr>Enamel thickness</vt:lpstr>
      <vt:lpstr>Oblique and perpendicular trans</vt:lpstr>
      <vt:lpstr>VEIW var along CA</vt:lpstr>
      <vt:lpstr>VEIW near and far CA </vt:lpstr>
      <vt:lpstr>VEIW by tooth position</vt:lpstr>
      <vt:lpstr>TFT +- SD</vt:lpstr>
      <vt:lpstr>Body length vs. VEIW, TRR</vt:lpstr>
      <vt:lpstr>TFTs in Archosaurs</vt:lpstr>
      <vt:lpstr>TRR in Sauropods</vt:lpstr>
      <vt:lpstr>TH, CAH, TFT relations</vt:lpstr>
      <vt:lpstr>Collected fig and table illus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niemand</dc:creator>
  <cp:lastModifiedBy>Jens Kosch</cp:lastModifiedBy>
  <cp:lastPrinted>2019-06-20T18:02:39Z</cp:lastPrinted>
  <dcterms:created xsi:type="dcterms:W3CDTF">2013-02-14T16:24:19Z</dcterms:created>
  <dcterms:modified xsi:type="dcterms:W3CDTF">2020-07-17T20:25:23Z</dcterms:modified>
</cp:coreProperties>
</file>