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2" sheetId="1" r:id="rId1"/>
  </sheets>
  <definedNames/>
  <calcPr fullCalcOnLoad="1"/>
</workbook>
</file>

<file path=xl/sharedStrings.xml><?xml version="1.0" encoding="utf-8"?>
<sst xmlns="http://schemas.openxmlformats.org/spreadsheetml/2006/main" count="153" uniqueCount="90">
  <si>
    <t>DSD-BLYP aug-pcseg2</t>
  </si>
  <si>
    <t>aug-pcseg2</t>
  </si>
  <si>
    <t>DSD-BLYP aug-pcseg2 solution</t>
  </si>
  <si>
    <t>E</t>
  </si>
  <si>
    <t>H</t>
  </si>
  <si>
    <t>G</t>
  </si>
  <si>
    <t>Cv</t>
  </si>
  <si>
    <t>Cp</t>
  </si>
  <si>
    <t>S</t>
  </si>
  <si>
    <t>in solution</t>
  </si>
  <si>
    <t>no C*PT2 (gas phase)</t>
  </si>
  <si>
    <t>including C*PT2 (gas phase)</t>
  </si>
  <si>
    <t>C*PT2 correction</t>
  </si>
  <si>
    <t xml:space="preserve">+ C*PT2 correction from gas phase </t>
  </si>
  <si>
    <t>benzaldehyde_isolated</t>
  </si>
  <si>
    <t>benzaldonium_isolated</t>
  </si>
  <si>
    <t>h2o</t>
  </si>
  <si>
    <t xml:space="preserve">E (Kcal/mol) vs. infinitely separated reactants </t>
  </si>
  <si>
    <t>E (Kcal/mol) vs. corresponding pre-reactional complex</t>
  </si>
  <si>
    <t>Aniline</t>
  </si>
  <si>
    <t>aniline_isolated</t>
  </si>
  <si>
    <t>anilinium_isolated</t>
  </si>
  <si>
    <t>PRC_aniline_benzaldehyde.out</t>
  </si>
  <si>
    <t>aniline_TS</t>
  </si>
  <si>
    <t>aniline_carbinolamine.out</t>
  </si>
  <si>
    <t>aniline_final_P</t>
  </si>
  <si>
    <t>base_assisted_carbinolamine_formation_reactant</t>
  </si>
  <si>
    <t>base_assisted_carbinolamine_formation_TS</t>
  </si>
  <si>
    <t>base_assisted_carbinolamine_formation_product</t>
  </si>
  <si>
    <t>base_assisted_carbinolamine_formation_product_newer</t>
  </si>
  <si>
    <t>Base-assisted TS2</t>
  </si>
  <si>
    <t>extra_protonated_aniline_carbinolamine.out</t>
  </si>
  <si>
    <t>deprotonated_aniline_carbinolamine.out</t>
  </si>
  <si>
    <t>aniline_P</t>
  </si>
  <si>
    <t>aniline_TS_protonated_pathway</t>
  </si>
  <si>
    <t>anilinium_Int1</t>
  </si>
  <si>
    <t>bimolecular carbinolamine start</t>
  </si>
  <si>
    <t>bimolecular carbinolamine TS</t>
  </si>
  <si>
    <t>bimolecular carbinolamine end</t>
  </si>
  <si>
    <t>protonated_Int1_with extra_base</t>
  </si>
  <si>
    <t>protonated_Int1_with extra_base TS</t>
  </si>
  <si>
    <t>barrier &lt; 2 kcal.mol-1. N/D</t>
  </si>
  <si>
    <t>Int1_with extra_protonated_base</t>
  </si>
  <si>
    <t>Int1_with extra_protonated_base TS</t>
  </si>
  <si>
    <t>proton transfer from protonated Int1 to base</t>
  </si>
  <si>
    <t>o-toluidine</t>
  </si>
  <si>
    <t>o-toluidine_isolated</t>
  </si>
  <si>
    <t>PRC_o-toluidine_benzaldehyde.out</t>
  </si>
  <si>
    <t>o-toluidine_TS</t>
  </si>
  <si>
    <t>o-toluidine_carbinolamine.out</t>
  </si>
  <si>
    <t>o-toluidine_isomer_1_final_P</t>
  </si>
  <si>
    <t>o-toluidine_isomer_2_final_P</t>
  </si>
  <si>
    <t>extra_protonated_o-toluidine_carbinolamine.out</t>
  </si>
  <si>
    <t>deprotonated_o-toluidine_carbinolamine.out</t>
  </si>
  <si>
    <t>o-toluidine_P_isomer_1</t>
  </si>
  <si>
    <t>o-toluidine_P_isomer_2</t>
  </si>
  <si>
    <t>o-toluidinium_isolated</t>
  </si>
  <si>
    <t>o-toluidine_protonated_Int1_isomer_1</t>
  </si>
  <si>
    <t>o-toluidine_protonated_Int1_isomer_2</t>
  </si>
  <si>
    <t>o-toluidine_isomer_a_TS_protonated_pathway</t>
  </si>
  <si>
    <t>o-toluidine_isomer_b_TS_protonated_pathway</t>
  </si>
  <si>
    <t>m-toluidine</t>
  </si>
  <si>
    <t>m-toluidine_isolated</t>
  </si>
  <si>
    <t>PRC_m-toluidine_benzaldehyde.out</t>
  </si>
  <si>
    <t>m-toluidine_TS</t>
  </si>
  <si>
    <t>m-toluidine_carbinolamine.out</t>
  </si>
  <si>
    <t>m-toluidine_isomer_1_final_P</t>
  </si>
  <si>
    <t>m-toluidine_isomer_2_final_P</t>
  </si>
  <si>
    <t>extra_protonated_m-toluidine_carbinolamine.out</t>
  </si>
  <si>
    <t>deprotonated_m-toluidine_carbinolamine.out</t>
  </si>
  <si>
    <t>m-toluidine_P_isomer_1</t>
  </si>
  <si>
    <t>m-toluidine_P_isomer_2</t>
  </si>
  <si>
    <t>m-toluidinium_isolated</t>
  </si>
  <si>
    <t>m-toluidine_protonated_Int1_isomer_1</t>
  </si>
  <si>
    <t>m-toluidine_protonated_Int1_isomer_2</t>
  </si>
  <si>
    <t>m-toluidine_isomer_a_TS_protonated_pathway</t>
  </si>
  <si>
    <t>p-toluidine</t>
  </si>
  <si>
    <t>p-toluidine_isolated</t>
  </si>
  <si>
    <t>PRC_p-toluidine_benzaldehyde.out</t>
  </si>
  <si>
    <t>p-toluidine_TS</t>
  </si>
  <si>
    <t>p-toluidine_carbinolamine.out</t>
  </si>
  <si>
    <t>p-toluidine_final_P</t>
  </si>
  <si>
    <t>computed from the respective PRC</t>
  </si>
  <si>
    <t>extra_protonated_p-toluidine_carbinolamine.out</t>
  </si>
  <si>
    <t>deprotonated_p-toluidine_carbinolamine.out</t>
  </si>
  <si>
    <t>p-toluidine_P</t>
  </si>
  <si>
    <t>p-toluidinium_isolated</t>
  </si>
  <si>
    <t>p-toluidine_protonated_Int1</t>
  </si>
  <si>
    <t>p-toluidine_TS_protonated_pathway</t>
  </si>
  <si>
    <t>P with extra base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</si>
</sst>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DejaVu Sans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2" borderId="1" applyNumberFormat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 wrapText="1"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5" borderId="0" xfId="0" applyFill="1" applyAlignment="1">
      <alignment/>
    </xf>
    <xf numFmtId="164" fontId="1" fillId="3" borderId="0" xfId="20" applyFill="1">
      <alignment/>
      <protection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4" fontId="3" fillId="8" borderId="0" xfId="0" applyFont="1" applyFill="1" applyAlignment="1">
      <alignment/>
    </xf>
    <xf numFmtId="164" fontId="0" fillId="8" borderId="0" xfId="0" applyFill="1" applyAlignment="1">
      <alignment/>
    </xf>
    <xf numFmtId="164" fontId="5" fillId="8" borderId="0" xfId="0" applyFont="1" applyFill="1" applyAlignment="1">
      <alignment/>
    </xf>
    <xf numFmtId="164" fontId="0" fillId="8" borderId="0" xfId="0" applyFont="1" applyFill="1" applyAlignment="1">
      <alignment/>
    </xf>
    <xf numFmtId="164" fontId="1" fillId="8" borderId="0" xfId="20" applyFill="1">
      <alignment/>
      <protection/>
    </xf>
    <xf numFmtId="165" fontId="0" fillId="8" borderId="0" xfId="0" applyNumberFormat="1" applyFont="1" applyFill="1" applyAlignment="1">
      <alignment/>
    </xf>
    <xf numFmtId="164" fontId="6" fillId="8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Alignment="1">
      <alignment/>
    </xf>
    <xf numFmtId="164" fontId="0" fillId="9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9" borderId="0" xfId="20" applyFill="1">
      <alignment/>
      <protection/>
    </xf>
    <xf numFmtId="165" fontId="0" fillId="10" borderId="0" xfId="0" applyNumberFormat="1" applyFill="1" applyAlignment="1">
      <alignment/>
    </xf>
    <xf numFmtId="165" fontId="7" fillId="7" borderId="0" xfId="0" applyNumberFormat="1" applyFont="1" applyFill="1" applyAlignment="1">
      <alignment/>
    </xf>
    <xf numFmtId="165" fontId="0" fillId="9" borderId="0" xfId="0" applyNumberFormat="1" applyFont="1" applyFill="1" applyAlignment="1">
      <alignment/>
    </xf>
    <xf numFmtId="164" fontId="0" fillId="11" borderId="0" xfId="0" applyFill="1" applyAlignment="1">
      <alignment/>
    </xf>
    <xf numFmtId="164" fontId="1" fillId="11" borderId="0" xfId="20" applyFill="1">
      <alignment/>
      <protection/>
    </xf>
    <xf numFmtId="165" fontId="0" fillId="11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ta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FF99CC"/>
      <rgbColor rgb="00CC99FF"/>
      <rgbColor rgb="00FFE994"/>
      <rgbColor rgb="003366FF"/>
      <rgbColor rgb="0033CCCC"/>
      <rgbColor rgb="0099CC00"/>
      <rgbColor rgb="00FFBF00"/>
      <rgbColor rgb="00FF860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workbookViewId="0" topLeftCell="N1">
      <selection activeCell="P109" sqref="P109"/>
    </sheetView>
  </sheetViews>
  <sheetFormatPr defaultColWidth="9.140625" defaultRowHeight="12.75"/>
  <cols>
    <col min="1" max="10" width="11.57421875" style="0" customWidth="1"/>
    <col min="11" max="11" width="21.421875" style="0" customWidth="1"/>
    <col min="12" max="12" width="20.421875" style="0" customWidth="1"/>
    <col min="13" max="13" width="26.28125" style="0" customWidth="1"/>
    <col min="14" max="14" width="17.7109375" style="0" customWidth="1"/>
    <col min="15" max="15" width="32.7109375" style="0" customWidth="1"/>
    <col min="16" max="17" width="11.57421875" style="0" customWidth="1"/>
    <col min="18" max="18" width="15.421875" style="0" customWidth="1"/>
    <col min="19" max="19" width="11.57421875" style="0" customWidth="1"/>
    <col min="20" max="20" width="16.00390625" style="0" customWidth="1"/>
    <col min="21" max="16384" width="11.57421875" style="0" customWidth="1"/>
  </cols>
  <sheetData>
    <row r="1" spans="5:21" ht="14.25">
      <c r="E1" s="1"/>
      <c r="F1" s="1"/>
      <c r="G1" s="1"/>
      <c r="H1" s="1"/>
      <c r="I1" s="1"/>
      <c r="J1" s="1"/>
      <c r="K1" s="1" t="s">
        <v>0</v>
      </c>
      <c r="L1" s="1" t="s">
        <v>0</v>
      </c>
      <c r="M1" s="1" t="s">
        <v>0</v>
      </c>
      <c r="N1" s="1" t="s">
        <v>1</v>
      </c>
      <c r="O1" s="1" t="s">
        <v>2</v>
      </c>
      <c r="R1" s="1"/>
      <c r="S1" s="1"/>
      <c r="T1" s="1"/>
      <c r="U1" s="2"/>
    </row>
    <row r="2" spans="5:21" ht="14.25"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U2" s="2"/>
    </row>
    <row r="3" spans="4:21" ht="14.25">
      <c r="D3" t="s">
        <v>14</v>
      </c>
      <c r="E3">
        <v>72.693</v>
      </c>
      <c r="F3">
        <v>73.286</v>
      </c>
      <c r="G3">
        <v>49.154</v>
      </c>
      <c r="H3">
        <v>24.768</v>
      </c>
      <c r="I3">
        <v>26.755</v>
      </c>
      <c r="J3">
        <v>80.939</v>
      </c>
      <c r="K3">
        <v>-216066.13</v>
      </c>
      <c r="L3">
        <v>-344.3587512808</v>
      </c>
      <c r="M3">
        <v>-344.9757676412</v>
      </c>
      <c r="N3">
        <f aca="true" t="shared" si="0" ref="N3:N5">627.51*(M3-L3)</f>
        <v>-387.18393631459566</v>
      </c>
      <c r="O3">
        <f aca="true" t="shared" si="1" ref="O3:O5">K3+N3</f>
        <v>-216453.3139363146</v>
      </c>
      <c r="U3" s="2"/>
    </row>
    <row r="4" spans="4:21" ht="14.25">
      <c r="D4" t="s">
        <v>15</v>
      </c>
      <c r="E4">
        <v>81.188</v>
      </c>
      <c r="F4">
        <v>81.78</v>
      </c>
      <c r="G4">
        <v>57.002</v>
      </c>
      <c r="H4">
        <v>26.28</v>
      </c>
      <c r="I4">
        <v>28.268</v>
      </c>
      <c r="J4">
        <v>83.106</v>
      </c>
      <c r="K4">
        <v>-216316.68</v>
      </c>
      <c r="L4">
        <v>-344.759253641</v>
      </c>
      <c r="M4">
        <v>-345.3694183928</v>
      </c>
      <c r="N4">
        <f t="shared" si="0"/>
        <v>-382.8844834020354</v>
      </c>
      <c r="O4">
        <f t="shared" si="1"/>
        <v>-216699.56448340203</v>
      </c>
      <c r="U4" s="2"/>
    </row>
    <row r="5" spans="4:21" ht="14.25">
      <c r="D5" t="s">
        <v>16</v>
      </c>
      <c r="E5">
        <v>15.266</v>
      </c>
      <c r="F5">
        <v>15.858</v>
      </c>
      <c r="G5">
        <v>2.003</v>
      </c>
      <c r="H5">
        <v>6.007</v>
      </c>
      <c r="I5">
        <v>7.994</v>
      </c>
      <c r="J5">
        <v>46.47</v>
      </c>
      <c r="K5">
        <v>-47808.28</v>
      </c>
      <c r="L5">
        <v>-76.1975001172</v>
      </c>
      <c r="M5">
        <v>-76.3148433251</v>
      </c>
      <c r="N5">
        <f t="shared" si="0"/>
        <v>-73.63403638933309</v>
      </c>
      <c r="O5">
        <f t="shared" si="1"/>
        <v>-47881.91403638933</v>
      </c>
      <c r="U5" s="2"/>
    </row>
    <row r="6" spans="18:21" ht="48.75">
      <c r="R6" s="3" t="s">
        <v>17</v>
      </c>
      <c r="S6" s="3"/>
      <c r="T6" s="3" t="s">
        <v>18</v>
      </c>
      <c r="U6" s="2"/>
    </row>
    <row r="7" spans="2:21" ht="30.75">
      <c r="B7" s="4" t="s">
        <v>19</v>
      </c>
      <c r="C7" s="5"/>
      <c r="D7" s="5" t="s">
        <v>20</v>
      </c>
      <c r="E7" s="5">
        <v>75.299</v>
      </c>
      <c r="F7" s="5">
        <v>75.891</v>
      </c>
      <c r="G7" s="5">
        <v>53.598</v>
      </c>
      <c r="H7" s="5">
        <v>21.646</v>
      </c>
      <c r="I7" s="5">
        <v>23.633</v>
      </c>
      <c r="J7" s="5">
        <v>74.774</v>
      </c>
      <c r="K7" s="5">
        <v>-179771.98</v>
      </c>
      <c r="L7" s="5">
        <v>-286.518722359</v>
      </c>
      <c r="M7" s="5">
        <v>-287.0603304972</v>
      </c>
      <c r="N7" s="5">
        <f aca="true" t="shared" si="2" ref="N7:N12">627.51*(M7-L7)</f>
        <v>-339.8645228019115</v>
      </c>
      <c r="O7" s="5">
        <f aca="true" t="shared" si="3" ref="O7:O12">K7+N7</f>
        <v>-180111.84452280193</v>
      </c>
      <c r="U7" s="2"/>
    </row>
    <row r="8" spans="2:21" ht="14.25">
      <c r="B8" s="5"/>
      <c r="C8" s="5"/>
      <c r="D8" s="5" t="s">
        <v>21</v>
      </c>
      <c r="E8" s="5">
        <v>85.608</v>
      </c>
      <c r="F8" s="5">
        <v>86.201</v>
      </c>
      <c r="G8" s="5">
        <v>63.656</v>
      </c>
      <c r="H8" s="5">
        <v>22.225</v>
      </c>
      <c r="I8" s="5">
        <v>24.212</v>
      </c>
      <c r="J8" s="5">
        <v>75.615</v>
      </c>
      <c r="K8" s="5">
        <v>-180043.74</v>
      </c>
      <c r="L8" s="5">
        <v>-286.9533031736</v>
      </c>
      <c r="M8" s="5">
        <v>-287.4913809688</v>
      </c>
      <c r="N8" s="5">
        <f t="shared" si="2"/>
        <v>-337.6491972659673</v>
      </c>
      <c r="O8" s="5">
        <f t="shared" si="3"/>
        <v>-180381.38919726596</v>
      </c>
      <c r="R8" s="6"/>
      <c r="S8" s="6"/>
      <c r="T8" s="6"/>
      <c r="U8" s="7"/>
    </row>
    <row r="9" spans="2:21" ht="14.25">
      <c r="B9" s="5"/>
      <c r="C9" s="5"/>
      <c r="D9" s="5" t="s">
        <v>22</v>
      </c>
      <c r="E9" s="5">
        <v>152.405</v>
      </c>
      <c r="F9" s="5">
        <v>152.998</v>
      </c>
      <c r="G9" s="5">
        <v>117.017</v>
      </c>
      <c r="H9" s="5">
        <v>52.894</v>
      </c>
      <c r="I9" s="5">
        <v>54.882</v>
      </c>
      <c r="J9" s="5">
        <v>120.68</v>
      </c>
      <c r="K9" s="5">
        <v>-395889.08</v>
      </c>
      <c r="L9" s="5">
        <v>-630.957029689</v>
      </c>
      <c r="M9" s="5">
        <v>-632.1358462688</v>
      </c>
      <c r="N9" s="5">
        <f t="shared" si="2"/>
        <v>-739.7191919903065</v>
      </c>
      <c r="O9" s="5">
        <f t="shared" si="3"/>
        <v>-396628.79919199034</v>
      </c>
      <c r="R9" s="6">
        <f aca="true" t="shared" si="4" ref="R9:R11">(O9-O$7-O$3)+$G9-$G$7-$G$3</f>
        <v>-49.375732873813256</v>
      </c>
      <c r="S9" s="6"/>
      <c r="T9" s="8">
        <v>0</v>
      </c>
      <c r="U9" s="7"/>
    </row>
    <row r="10" spans="2:21" ht="14.25">
      <c r="B10" s="5"/>
      <c r="C10" s="5"/>
      <c r="D10" s="5" t="s">
        <v>23</v>
      </c>
      <c r="E10" s="5">
        <v>149.511</v>
      </c>
      <c r="F10" s="5">
        <v>150.103</v>
      </c>
      <c r="G10" s="5">
        <v>117.981</v>
      </c>
      <c r="H10" s="5">
        <v>46.515</v>
      </c>
      <c r="I10" s="5">
        <v>48.502</v>
      </c>
      <c r="J10" s="5">
        <v>107.739</v>
      </c>
      <c r="K10" s="5">
        <v>-395831.59</v>
      </c>
      <c r="L10" s="5">
        <v>-630.8615591862</v>
      </c>
      <c r="M10" s="5">
        <v>-632.0452233777</v>
      </c>
      <c r="N10" s="5">
        <f t="shared" si="2"/>
        <v>-742.7611168081918</v>
      </c>
      <c r="O10" s="5">
        <f t="shared" si="3"/>
        <v>-396574.3511168082</v>
      </c>
      <c r="R10" s="6">
        <f t="shared" si="4"/>
        <v>6.036342308340586</v>
      </c>
      <c r="S10" s="6"/>
      <c r="T10" s="8">
        <f aca="true" t="shared" si="5" ref="T10:T12">R10-R$9</f>
        <v>55.41207518215384</v>
      </c>
      <c r="U10" s="7"/>
    </row>
    <row r="11" spans="2:21" ht="14.25">
      <c r="B11" s="5"/>
      <c r="C11" s="5"/>
      <c r="D11" s="5" t="s">
        <v>24</v>
      </c>
      <c r="E11" s="5">
        <v>153.328</v>
      </c>
      <c r="F11" s="5">
        <v>153.921</v>
      </c>
      <c r="G11" s="5">
        <v>119.989</v>
      </c>
      <c r="H11" s="5">
        <v>50.731</v>
      </c>
      <c r="I11" s="5">
        <v>52.718</v>
      </c>
      <c r="J11" s="5">
        <v>113.808</v>
      </c>
      <c r="K11" s="5">
        <v>-395876.69</v>
      </c>
      <c r="L11" s="5">
        <v>-630.9329599962</v>
      </c>
      <c r="M11" s="5">
        <v>-632.1078739777</v>
      </c>
      <c r="N11" s="5">
        <f t="shared" si="2"/>
        <v>-737.2702725310814</v>
      </c>
      <c r="O11" s="5">
        <f t="shared" si="3"/>
        <v>-396613.9602725311</v>
      </c>
      <c r="R11" s="6">
        <f t="shared" si="4"/>
        <v>-31.56481341455318</v>
      </c>
      <c r="S11" s="6"/>
      <c r="T11" s="8">
        <f t="shared" si="5"/>
        <v>17.810919459260077</v>
      </c>
      <c r="U11" s="7"/>
    </row>
    <row r="12" spans="2:21" ht="14.25">
      <c r="B12" s="5"/>
      <c r="C12" s="5"/>
      <c r="D12" s="5" t="s">
        <v>25</v>
      </c>
      <c r="E12" s="5">
        <v>134.367</v>
      </c>
      <c r="F12" s="5">
        <v>134.96</v>
      </c>
      <c r="G12" s="5">
        <v>103.409</v>
      </c>
      <c r="H12" s="5">
        <v>44.191</v>
      </c>
      <c r="I12" s="5">
        <v>46.178</v>
      </c>
      <c r="J12" s="5">
        <v>105.821</v>
      </c>
      <c r="K12" s="5">
        <v>-348033.32</v>
      </c>
      <c r="L12" s="5">
        <v>-554.685096318</v>
      </c>
      <c r="M12" s="5">
        <v>-555.7344524203</v>
      </c>
      <c r="N12" s="5">
        <f t="shared" si="2"/>
        <v>-658.4814477543148</v>
      </c>
      <c r="O12" s="5">
        <f t="shared" si="3"/>
        <v>-348691.8014477543</v>
      </c>
      <c r="R12" s="6">
        <f>(O12+O$5-O$7-O$3)+$G12-$G$7-$G$3+$G$5</f>
        <v>-5.8970250271121</v>
      </c>
      <c r="S12" s="6"/>
      <c r="T12" s="8">
        <f t="shared" si="5"/>
        <v>43.478707846701155</v>
      </c>
      <c r="U12" s="7"/>
    </row>
    <row r="13" spans="2:21" ht="14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R13" s="6"/>
      <c r="S13" s="6"/>
      <c r="T13" s="9"/>
      <c r="U13" s="7"/>
    </row>
    <row r="14" spans="2:21" ht="14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R14" s="6"/>
      <c r="S14" s="6"/>
      <c r="T14" s="9"/>
      <c r="U14" s="7"/>
    </row>
    <row r="15" spans="2:21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aca="true" t="shared" si="6" ref="N15:N20">627.51*(M15-L15)</f>
        <v>0</v>
      </c>
      <c r="O15" s="5">
        <f aca="true" t="shared" si="7" ref="O15:O20">K15+N15</f>
        <v>0</v>
      </c>
      <c r="S15" s="6"/>
      <c r="T15" s="9"/>
      <c r="U15" s="7"/>
    </row>
    <row r="16" spans="2:21" ht="14.25">
      <c r="B16" s="5"/>
      <c r="C16" s="5"/>
      <c r="D16" s="5" t="s">
        <v>26</v>
      </c>
      <c r="E16" s="5">
        <v>231.421</v>
      </c>
      <c r="F16" s="10">
        <v>232.014</v>
      </c>
      <c r="G16" s="11">
        <v>186.312</v>
      </c>
      <c r="H16" s="11">
        <v>78.689</v>
      </c>
      <c r="I16" s="10">
        <v>80.676</v>
      </c>
      <c r="J16" s="10">
        <v>153.286</v>
      </c>
      <c r="K16" s="5">
        <v>-575708.53</v>
      </c>
      <c r="L16" s="5">
        <v>-917.5478682372</v>
      </c>
      <c r="M16" s="5">
        <v>-919.2851673522</v>
      </c>
      <c r="N16" s="5">
        <f t="shared" si="6"/>
        <v>-1090.1725676536762</v>
      </c>
      <c r="O16" s="5">
        <f t="shared" si="7"/>
        <v>-576798.7025676537</v>
      </c>
      <c r="R16" s="7">
        <f>O16-O7-O7-O$3+$G16-$G7-$G7-$G$3</f>
        <v>-91.737585735274</v>
      </c>
      <c r="S16" s="6"/>
      <c r="T16" s="9">
        <v>0</v>
      </c>
      <c r="U16" s="7"/>
    </row>
    <row r="17" spans="2:21" ht="14.25">
      <c r="B17" s="5"/>
      <c r="C17" s="5"/>
      <c r="D17" s="5" t="s">
        <v>27</v>
      </c>
      <c r="E17" s="5">
        <v>227.543</v>
      </c>
      <c r="F17" s="5">
        <v>228.136</v>
      </c>
      <c r="G17" s="5">
        <v>186.871</v>
      </c>
      <c r="H17" s="5">
        <v>72.316</v>
      </c>
      <c r="I17" s="5">
        <v>74.304</v>
      </c>
      <c r="J17" s="5">
        <v>138.402</v>
      </c>
      <c r="K17" s="5">
        <v>-575664.94</v>
      </c>
      <c r="L17" s="5">
        <v>-917.4725801142</v>
      </c>
      <c r="M17" s="5">
        <v>-919.2254395068</v>
      </c>
      <c r="N17" s="5">
        <f t="shared" si="6"/>
        <v>-1099.9367974503823</v>
      </c>
      <c r="O17" s="5">
        <f t="shared" si="7"/>
        <v>-576764.8767974504</v>
      </c>
      <c r="R17" s="6">
        <f>(O17-O$16)+($G17-$G$16)+R16</f>
        <v>-57.3528155319006</v>
      </c>
      <c r="S17" s="6"/>
      <c r="T17" s="9">
        <f aca="true" t="shared" si="8" ref="T17:T20">R17-R$16</f>
        <v>34.38477020337339</v>
      </c>
      <c r="U17" s="7"/>
    </row>
    <row r="18" spans="2:21" ht="14.25">
      <c r="B18" s="5"/>
      <c r="C18" s="5"/>
      <c r="D18" s="5" t="s">
        <v>28</v>
      </c>
      <c r="E18" s="5">
        <v>232.121</v>
      </c>
      <c r="F18" s="5">
        <v>232.713</v>
      </c>
      <c r="G18" s="5">
        <v>191.51</v>
      </c>
      <c r="H18" s="5">
        <v>73.344</v>
      </c>
      <c r="I18" s="5">
        <v>75.331</v>
      </c>
      <c r="J18" s="5">
        <v>138.196</v>
      </c>
      <c r="K18" s="5">
        <v>-575702.93</v>
      </c>
      <c r="L18" s="5">
        <v>-917.5356054163</v>
      </c>
      <c r="M18" s="5">
        <v>-919.2735749789</v>
      </c>
      <c r="N18" s="5">
        <f t="shared" si="6"/>
        <v>-1090.5932802271439</v>
      </c>
      <c r="O18" s="5">
        <f t="shared" si="7"/>
        <v>-576793.5232802272</v>
      </c>
      <c r="R18" s="6">
        <f>(O18-O$16)+($G18-$G$16)+R16</f>
        <v>-81.36029830875108</v>
      </c>
      <c r="S18" s="6"/>
      <c r="T18" s="9">
        <f t="shared" si="8"/>
        <v>10.377287426522912</v>
      </c>
      <c r="U18" s="7"/>
    </row>
    <row r="19" spans="1:21" ht="14.25">
      <c r="A19" s="2"/>
      <c r="B19" s="5"/>
      <c r="C19" s="5"/>
      <c r="D19" s="5" t="s">
        <v>29</v>
      </c>
      <c r="E19" s="5">
        <v>233.264</v>
      </c>
      <c r="F19" s="5">
        <v>233.857</v>
      </c>
      <c r="G19" s="5">
        <v>188.86</v>
      </c>
      <c r="H19" s="5">
        <v>77.821</v>
      </c>
      <c r="I19" s="5">
        <v>79.809</v>
      </c>
      <c r="J19" s="5">
        <v>150.921</v>
      </c>
      <c r="K19" s="5">
        <f>-575711.53</f>
        <v>-575711.53</v>
      </c>
      <c r="L19" s="5">
        <v>-917.5489591147</v>
      </c>
      <c r="M19" s="5">
        <v>-919.2915593213</v>
      </c>
      <c r="N19" s="5">
        <f t="shared" si="6"/>
        <v>-1093.4990556436032</v>
      </c>
      <c r="O19" s="5">
        <f t="shared" si="7"/>
        <v>-576805.0290556436</v>
      </c>
      <c r="P19" s="2"/>
      <c r="Q19" s="2"/>
      <c r="R19" s="6">
        <f>(O19-O$16)+($G19-$G$16)+R16</f>
        <v>-95.51607372513737</v>
      </c>
      <c r="S19" s="6"/>
      <c r="T19" s="9">
        <f t="shared" si="8"/>
        <v>-3.778487989863379</v>
      </c>
      <c r="U19" s="7"/>
    </row>
    <row r="20" spans="2:21" ht="14.25">
      <c r="B20" s="5"/>
      <c r="C20" s="5"/>
      <c r="D20" s="5" t="s">
        <v>30</v>
      </c>
      <c r="E20" s="5">
        <v>227.745</v>
      </c>
      <c r="F20" s="5">
        <v>228.338</v>
      </c>
      <c r="G20" s="5">
        <v>188.798</v>
      </c>
      <c r="H20" s="5">
        <v>71.778</v>
      </c>
      <c r="I20" s="5">
        <v>73.765</v>
      </c>
      <c r="J20" s="5">
        <v>132.616</v>
      </c>
      <c r="K20" s="5">
        <v>-575663.19</v>
      </c>
      <c r="L20" s="5">
        <v>-917.4696527867</v>
      </c>
      <c r="M20" s="5">
        <v>-919.2294209213</v>
      </c>
      <c r="N20" s="5">
        <f t="shared" si="6"/>
        <v>-1104.2721021428424</v>
      </c>
      <c r="O20" s="5">
        <f t="shared" si="7"/>
        <v>-576767.4621021427</v>
      </c>
      <c r="R20" s="6">
        <f>(O20-O$16)+($G20-$G$16)+R16</f>
        <v>-58.01112022428819</v>
      </c>
      <c r="S20" s="6"/>
      <c r="T20" s="9">
        <f t="shared" si="8"/>
        <v>33.726465510985804</v>
      </c>
      <c r="U20" s="7"/>
    </row>
    <row r="21" spans="2:21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R21" s="6"/>
      <c r="S21" s="6"/>
      <c r="T21" s="9"/>
      <c r="U21" s="7"/>
    </row>
    <row r="22" spans="2:21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R22" s="6"/>
      <c r="S22" s="6"/>
      <c r="T22" s="9"/>
      <c r="U22" s="7"/>
    </row>
    <row r="23" spans="2:21" ht="14.25">
      <c r="B23" s="5"/>
      <c r="C23" s="5"/>
      <c r="D23" s="5" t="s">
        <v>31</v>
      </c>
      <c r="E23" s="5">
        <v>160.116</v>
      </c>
      <c r="F23" s="5">
        <v>160.709</v>
      </c>
      <c r="G23" s="5">
        <v>124.433</v>
      </c>
      <c r="H23" s="5">
        <v>54.246</v>
      </c>
      <c r="I23" s="5">
        <v>56.233</v>
      </c>
      <c r="J23" s="5">
        <v>121.669</v>
      </c>
      <c r="K23" s="5">
        <v>-396112.09</v>
      </c>
      <c r="L23" s="5">
        <v>-631.3107414102</v>
      </c>
      <c r="M23" s="5">
        <v>-632.48170346</v>
      </c>
      <c r="N23" s="5">
        <f aca="true" t="shared" si="9" ref="N23:N24">627.51*(M23-L23)</f>
        <v>-734.7903958699868</v>
      </c>
      <c r="O23" s="5">
        <f aca="true" t="shared" si="10" ref="O23:O24">K23+N23</f>
        <v>-396846.88039587</v>
      </c>
      <c r="R23" s="6">
        <f>(O23-O$7-O$4)+$G23-$G$7-$G$4</f>
        <v>-21.63838966605416</v>
      </c>
      <c r="S23" s="6"/>
      <c r="T23" s="9"/>
      <c r="U23" s="7"/>
    </row>
    <row r="24" spans="2:21" ht="14.25">
      <c r="B24" s="5"/>
      <c r="C24" s="5"/>
      <c r="D24" s="5" t="s">
        <v>32</v>
      </c>
      <c r="E24" s="5">
        <v>143.477</v>
      </c>
      <c r="F24" s="5">
        <v>144.07</v>
      </c>
      <c r="G24" s="5">
        <v>110.336</v>
      </c>
      <c r="H24" s="5">
        <v>49.57</v>
      </c>
      <c r="I24" s="5">
        <v>51.558</v>
      </c>
      <c r="J24" s="5">
        <v>113.142</v>
      </c>
      <c r="K24" s="5">
        <v>-395537.24</v>
      </c>
      <c r="L24" s="5">
        <v>-630.3909199566</v>
      </c>
      <c r="M24" s="5">
        <v>-631.5708750763</v>
      </c>
      <c r="N24" s="5">
        <f t="shared" si="9"/>
        <v>-740.433637162963</v>
      </c>
      <c r="O24" s="5">
        <f t="shared" si="10"/>
        <v>-396277.67363716295</v>
      </c>
      <c r="R24" s="6">
        <f>(O24-O$7-O$3)+$G24-$G$7-$G$3</f>
        <v>295.0688219535779</v>
      </c>
      <c r="S24" s="6"/>
      <c r="T24" s="9"/>
      <c r="U24" s="7"/>
    </row>
    <row r="25" spans="2:20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T25" s="12"/>
    </row>
    <row r="26" spans="2:21" ht="14.25">
      <c r="B26" s="5"/>
      <c r="C26" s="5"/>
      <c r="D26" s="5" t="s">
        <v>33</v>
      </c>
      <c r="E26" s="5">
        <v>143.256</v>
      </c>
      <c r="F26" s="5">
        <v>143.849</v>
      </c>
      <c r="G26" s="5">
        <v>111.89</v>
      </c>
      <c r="H26" s="5">
        <v>45.239</v>
      </c>
      <c r="I26" s="5">
        <v>47.227</v>
      </c>
      <c r="J26" s="5">
        <v>107.191</v>
      </c>
      <c r="K26" s="5">
        <v>-348305.38</v>
      </c>
      <c r="L26" s="5">
        <v>-555.1193543773</v>
      </c>
      <c r="M26" s="5">
        <v>-556.161522312</v>
      </c>
      <c r="N26" s="5">
        <f>627.51*(M26-L26)</f>
        <v>-653.9708007035547</v>
      </c>
      <c r="O26" s="5">
        <f>K26+N26</f>
        <v>-348959.35080070357</v>
      </c>
      <c r="R26" s="6">
        <f>(O26+O$5-O$7-O$3)+$G26-$G$7-$G$3+$G$5</f>
        <v>-264.9653779763645</v>
      </c>
      <c r="S26" s="6"/>
      <c r="T26" s="9"/>
      <c r="U26" s="7"/>
    </row>
    <row r="27" spans="2:20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T27" s="12"/>
    </row>
    <row r="28" spans="2:21" ht="14.25">
      <c r="B28" s="5"/>
      <c r="C28" s="5"/>
      <c r="D28" s="5" t="s">
        <v>34</v>
      </c>
      <c r="E28" s="5">
        <v>158.019</v>
      </c>
      <c r="F28" s="5">
        <v>158.611</v>
      </c>
      <c r="G28" s="5">
        <v>126.393</v>
      </c>
      <c r="H28" s="5">
        <v>47.782</v>
      </c>
      <c r="I28" s="5">
        <v>49.77</v>
      </c>
      <c r="J28" s="5">
        <v>108.059</v>
      </c>
      <c r="K28" s="5">
        <v>-396099.4</v>
      </c>
      <c r="L28" s="5">
        <v>-631.2894573689</v>
      </c>
      <c r="M28" s="5">
        <v>-632.4667608496</v>
      </c>
      <c r="N28" s="5">
        <f aca="true" t="shared" si="11" ref="N28:N29">627.51*(M28-L28)</f>
        <v>-738.7697071740241</v>
      </c>
      <c r="O28" s="5">
        <f aca="true" t="shared" si="12" ref="O28:O29">K28+N28</f>
        <v>-396838.16970717406</v>
      </c>
      <c r="R28" s="6">
        <f aca="true" t="shared" si="13" ref="R28:R29">(O28-O$7-O$4)+$G28-$G$7-$G$4</f>
        <v>-10.967700970102335</v>
      </c>
      <c r="S28" s="6">
        <f>O28+G28-G8-O8-G3-O3</f>
        <v>10.116426406457322</v>
      </c>
      <c r="T28" s="9"/>
      <c r="U28" s="7"/>
    </row>
    <row r="29" spans="2:21" ht="14.25">
      <c r="B29" s="5"/>
      <c r="C29" s="5"/>
      <c r="D29" s="5" t="s">
        <v>35</v>
      </c>
      <c r="E29" s="5">
        <v>162.7</v>
      </c>
      <c r="F29" s="5">
        <v>163.293</v>
      </c>
      <c r="G29" s="5">
        <v>129.251</v>
      </c>
      <c r="H29" s="5">
        <v>50.408</v>
      </c>
      <c r="I29" s="5">
        <v>52.395</v>
      </c>
      <c r="J29" s="5">
        <v>114.175</v>
      </c>
      <c r="K29" s="5">
        <v>-396152.26</v>
      </c>
      <c r="L29" s="5">
        <v>-631.3744306247</v>
      </c>
      <c r="M29" s="5">
        <v>-632.5475650177</v>
      </c>
      <c r="N29" s="5">
        <f t="shared" si="11"/>
        <v>-736.153562951393</v>
      </c>
      <c r="O29" s="5">
        <f t="shared" si="12"/>
        <v>-396888.4135629514</v>
      </c>
      <c r="R29" s="6">
        <f t="shared" si="13"/>
        <v>-58.35355674741533</v>
      </c>
      <c r="S29" s="6"/>
      <c r="T29" s="9"/>
      <c r="U29" s="7"/>
    </row>
    <row r="30" spans="2:20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T30" s="12"/>
    </row>
    <row r="31" spans="2:21" ht="15.75">
      <c r="B31" s="5"/>
      <c r="C31" s="5"/>
      <c r="D31" s="5" t="s">
        <v>36</v>
      </c>
      <c r="E31" s="5">
        <v>308.616</v>
      </c>
      <c r="F31" s="5">
        <v>309.208</v>
      </c>
      <c r="G31" s="5">
        <v>255.263</v>
      </c>
      <c r="H31" s="5">
        <v>103.884</v>
      </c>
      <c r="I31" s="5">
        <v>105.872</v>
      </c>
      <c r="J31" s="5">
        <v>180.934</v>
      </c>
      <c r="K31" s="13">
        <v>-791831.95</v>
      </c>
      <c r="L31" s="13">
        <v>-1261.9882082934</v>
      </c>
      <c r="M31" s="13">
        <v>-1264.3710016147</v>
      </c>
      <c r="N31" s="5">
        <f aca="true" t="shared" si="14" ref="N31:N37">627.51*(M31-L31)</f>
        <v>-1495.2266370489092</v>
      </c>
      <c r="O31" s="5">
        <f aca="true" t="shared" si="15" ref="O31:O37">K31+N31</f>
        <v>-793327.1766370488</v>
      </c>
      <c r="P31">
        <f>O31+G31-G11-G11-O11-O11</f>
        <v>-83.97109198651742</v>
      </c>
      <c r="R31" s="6"/>
      <c r="S31" s="6"/>
      <c r="T31" s="9"/>
      <c r="U31" s="6"/>
    </row>
    <row r="32" spans="2:21" ht="14.25">
      <c r="B32" s="5"/>
      <c r="C32" s="5"/>
      <c r="D32" s="5" t="s">
        <v>37</v>
      </c>
      <c r="E32" s="5">
        <v>304.739</v>
      </c>
      <c r="F32" s="5">
        <v>305.331</v>
      </c>
      <c r="G32" s="5">
        <v>251.734</v>
      </c>
      <c r="H32" s="5">
        <v>104.025</v>
      </c>
      <c r="I32" s="5">
        <v>106.012</v>
      </c>
      <c r="J32" s="5">
        <v>179.765</v>
      </c>
      <c r="K32" s="5">
        <v>-791797.63</v>
      </c>
      <c r="L32" s="5">
        <v>-1261.9311241656</v>
      </c>
      <c r="M32" s="5">
        <v>-1264.3295309213</v>
      </c>
      <c r="N32" s="5">
        <f t="shared" si="14"/>
        <v>-1505.0242232692144</v>
      </c>
      <c r="O32" s="5">
        <f t="shared" si="15"/>
        <v>-793302.6542232692</v>
      </c>
      <c r="R32" s="14">
        <f aca="true" t="shared" si="16" ref="R32:R33">(O32-O$31)+G32-G$31</f>
        <v>20.99341377963222</v>
      </c>
      <c r="S32" s="6"/>
      <c r="T32" s="9"/>
      <c r="U32" s="6"/>
    </row>
    <row r="33" spans="2:21" ht="15.75">
      <c r="B33" s="5"/>
      <c r="C33" s="5"/>
      <c r="D33" s="5" t="s">
        <v>38</v>
      </c>
      <c r="E33" s="5">
        <v>307.299</v>
      </c>
      <c r="F33" s="5">
        <v>307.891</v>
      </c>
      <c r="G33" s="5">
        <v>253.227</v>
      </c>
      <c r="H33" s="5">
        <v>106.283</v>
      </c>
      <c r="I33" s="5">
        <v>108.27</v>
      </c>
      <c r="J33" s="5">
        <v>183.345</v>
      </c>
      <c r="K33" s="13">
        <v>-791823.25</v>
      </c>
      <c r="L33" s="13">
        <v>-1261.9769729333</v>
      </c>
      <c r="M33" s="13">
        <v>-1264.3620658589</v>
      </c>
      <c r="N33" s="5">
        <f t="shared" si="14"/>
        <v>-1496.6696617432685</v>
      </c>
      <c r="O33" s="5">
        <f t="shared" si="15"/>
        <v>-793319.9196617432</v>
      </c>
      <c r="R33" s="14">
        <f t="shared" si="16"/>
        <v>5.2209753056158945</v>
      </c>
      <c r="S33" s="6"/>
      <c r="T33" s="9"/>
      <c r="U33" s="6"/>
    </row>
    <row r="34" spans="2:21" ht="14.25">
      <c r="B34" s="5"/>
      <c r="C34" s="5"/>
      <c r="D34" s="5" t="s">
        <v>39</v>
      </c>
      <c r="E34" s="5">
        <v>240.357</v>
      </c>
      <c r="F34" s="5">
        <v>240.95</v>
      </c>
      <c r="G34" s="5">
        <v>200.171</v>
      </c>
      <c r="H34" s="5">
        <v>71.876</v>
      </c>
      <c r="I34" s="5">
        <v>73.863</v>
      </c>
      <c r="J34" s="5">
        <v>136.772</v>
      </c>
      <c r="K34" s="5">
        <v>-575981.28</v>
      </c>
      <c r="L34" s="5">
        <v>-917.980643058</v>
      </c>
      <c r="M34" s="5">
        <v>-919.7176716724</v>
      </c>
      <c r="N34" s="5">
        <f t="shared" si="14"/>
        <v>-1090.0028258221105</v>
      </c>
      <c r="O34" s="5">
        <f t="shared" si="15"/>
        <v>-577071.2828258221</v>
      </c>
      <c r="S34" s="6"/>
      <c r="T34" s="15">
        <f aca="true" t="shared" si="17" ref="T34:T37">O34+G34-G$34-O$34</f>
        <v>0</v>
      </c>
      <c r="U34" s="6"/>
    </row>
    <row r="35" spans="2:21" ht="14.25">
      <c r="B35" s="5"/>
      <c r="C35" s="5"/>
      <c r="D35" s="5" t="s">
        <v>40</v>
      </c>
      <c r="E35" s="16" t="s">
        <v>41</v>
      </c>
      <c r="F35" s="16" t="s">
        <v>41</v>
      </c>
      <c r="G35" s="16" t="s">
        <v>41</v>
      </c>
      <c r="H35" s="16" t="s">
        <v>41</v>
      </c>
      <c r="I35" s="16" t="s">
        <v>41</v>
      </c>
      <c r="J35" s="16" t="s">
        <v>41</v>
      </c>
      <c r="K35" s="5"/>
      <c r="L35" s="5"/>
      <c r="M35" s="5"/>
      <c r="N35" s="5">
        <f t="shared" si="14"/>
        <v>0</v>
      </c>
      <c r="O35" s="5">
        <f t="shared" si="15"/>
        <v>0</v>
      </c>
      <c r="S35" s="6"/>
      <c r="T35" s="15" t="e">
        <f t="shared" si="17"/>
        <v>#VALUE!</v>
      </c>
      <c r="U35" s="6"/>
    </row>
    <row r="36" spans="2:21" ht="14.25">
      <c r="B36" s="5"/>
      <c r="C36" s="5"/>
      <c r="D36" s="5" t="s">
        <v>42</v>
      </c>
      <c r="E36" s="5">
        <v>241.708</v>
      </c>
      <c r="F36" s="5">
        <v>242.301</v>
      </c>
      <c r="G36" s="5">
        <v>197.338</v>
      </c>
      <c r="H36" s="5">
        <v>77.489</v>
      </c>
      <c r="I36" s="5">
        <v>79.476</v>
      </c>
      <c r="J36" s="5">
        <v>150.805</v>
      </c>
      <c r="K36" s="5">
        <v>-575975.82</v>
      </c>
      <c r="L36" s="5">
        <v>-917.9711067867</v>
      </c>
      <c r="M36" s="5">
        <v>-919.7071630288</v>
      </c>
      <c r="N36" s="5">
        <f t="shared" si="14"/>
        <v>-1089.3926524801386</v>
      </c>
      <c r="O36" s="5">
        <f t="shared" si="15"/>
        <v>-577065.2126524801</v>
      </c>
      <c r="S36" s="6"/>
      <c r="T36" s="15">
        <f t="shared" si="17"/>
        <v>3.237173342029564</v>
      </c>
      <c r="U36" s="6"/>
    </row>
    <row r="37" spans="2:21" ht="14.25">
      <c r="B37" s="5"/>
      <c r="C37" s="5"/>
      <c r="D37" s="5" t="s">
        <v>43</v>
      </c>
      <c r="E37" s="5">
        <v>238.227</v>
      </c>
      <c r="F37" s="5">
        <v>238.82</v>
      </c>
      <c r="G37" s="5">
        <v>196.929</v>
      </c>
      <c r="H37" s="5">
        <v>75.097</v>
      </c>
      <c r="I37" s="5">
        <v>77.084</v>
      </c>
      <c r="J37" s="5">
        <v>140.503</v>
      </c>
      <c r="K37" s="5">
        <v>-575967.66</v>
      </c>
      <c r="L37" s="5">
        <v>-917.957629422</v>
      </c>
      <c r="M37" s="5">
        <v>-919.6999038173</v>
      </c>
      <c r="N37" s="5">
        <f t="shared" si="14"/>
        <v>-1093.2946057947036</v>
      </c>
      <c r="O37" s="5">
        <f t="shared" si="15"/>
        <v>-577060.9546057947</v>
      </c>
      <c r="S37" s="6"/>
      <c r="T37" s="15">
        <f t="shared" si="17"/>
        <v>7.086220027413219</v>
      </c>
      <c r="U37" s="6"/>
    </row>
    <row r="38" spans="2:21" ht="14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S38" s="6"/>
      <c r="T38" s="9"/>
      <c r="U38" s="6"/>
    </row>
    <row r="39" spans="16:21" ht="14.25">
      <c r="P39" s="2"/>
      <c r="Q39" s="2"/>
      <c r="R39" s="7"/>
      <c r="S39" s="6"/>
      <c r="T39" s="6"/>
      <c r="U39" s="6"/>
    </row>
    <row r="40" spans="16:21" ht="14.25">
      <c r="P40" s="2"/>
      <c r="Q40" s="2" t="s">
        <v>44</v>
      </c>
      <c r="R40" s="7">
        <f>O8+G8+O11+G11-O7-G7-G29-O29</f>
        <v>5.704615956230555</v>
      </c>
      <c r="S40" s="6"/>
      <c r="T40" s="6"/>
      <c r="U40" s="6"/>
    </row>
    <row r="41" spans="16:21" ht="14.25">
      <c r="P41" s="2"/>
      <c r="Q41" s="2"/>
      <c r="R41" s="7"/>
      <c r="S41" s="6"/>
      <c r="T41" s="6"/>
      <c r="U41" s="6"/>
    </row>
    <row r="42" spans="16:21" ht="14.25">
      <c r="P42" s="2"/>
      <c r="Q42" s="2"/>
      <c r="R42" s="7"/>
      <c r="S42" s="6"/>
      <c r="T42" s="6"/>
      <c r="U42" s="6"/>
    </row>
    <row r="43" spans="16:21" ht="14.25">
      <c r="P43" s="2"/>
      <c r="Q43" s="2"/>
      <c r="R43" s="7"/>
      <c r="S43" s="6"/>
      <c r="T43" s="6"/>
      <c r="U43" s="6"/>
    </row>
    <row r="44" spans="16:21" ht="14.25">
      <c r="P44" s="2"/>
      <c r="Q44" s="2"/>
      <c r="R44" s="7"/>
      <c r="S44" s="6"/>
      <c r="T44" s="6"/>
      <c r="U44" s="6"/>
    </row>
    <row r="45" spans="16:21" ht="14.25">
      <c r="P45" s="2"/>
      <c r="Q45" s="2"/>
      <c r="R45" s="7"/>
      <c r="S45" s="6"/>
      <c r="T45" s="6"/>
      <c r="U45" s="6"/>
    </row>
    <row r="46" spans="2:21" ht="30.75">
      <c r="B46" s="17" t="s">
        <v>45</v>
      </c>
      <c r="C46" s="18"/>
      <c r="D46" s="18" t="s">
        <v>46</v>
      </c>
      <c r="E46" s="18">
        <v>94.673</v>
      </c>
      <c r="F46" s="18">
        <v>95.266</v>
      </c>
      <c r="G46" s="18">
        <v>70.653</v>
      </c>
      <c r="H46" s="18">
        <v>28.642</v>
      </c>
      <c r="I46" s="18">
        <v>30.629</v>
      </c>
      <c r="J46" s="18">
        <v>82.551</v>
      </c>
      <c r="K46" s="18">
        <v>-204337.94</v>
      </c>
      <c r="L46" s="18">
        <v>-325.6726255654</v>
      </c>
      <c r="M46" s="18">
        <v>-326.2993072574</v>
      </c>
      <c r="N46" s="18">
        <f aca="true" t="shared" si="18" ref="N46:N59">627.51*(M46-L46)</f>
        <v>-393.2490285469412</v>
      </c>
      <c r="O46" s="18">
        <f aca="true" t="shared" si="19" ref="O46:O59">K46+N46</f>
        <v>-204731.18902854694</v>
      </c>
      <c r="P46" s="2"/>
      <c r="Q46" s="2"/>
      <c r="R46" s="7"/>
      <c r="S46" s="6"/>
      <c r="T46" s="6"/>
      <c r="U46" s="6"/>
    </row>
    <row r="47" spans="2:21" ht="14.25">
      <c r="B47" s="18"/>
      <c r="C47" s="18"/>
      <c r="D47" s="18" t="s">
        <v>47</v>
      </c>
      <c r="E47" s="18">
        <v>171.05</v>
      </c>
      <c r="F47" s="18">
        <v>171.642</v>
      </c>
      <c r="G47" s="18">
        <v>134.523</v>
      </c>
      <c r="H47" s="18">
        <v>58.17</v>
      </c>
      <c r="I47" s="18">
        <v>60.157</v>
      </c>
      <c r="J47" s="18">
        <v>124.497</v>
      </c>
      <c r="K47" s="18">
        <v>-420468.3</v>
      </c>
      <c r="L47" s="18">
        <v>-670.1311062414</v>
      </c>
      <c r="M47" s="18">
        <v>-671.4000622885</v>
      </c>
      <c r="N47" s="18">
        <f t="shared" si="18"/>
        <v>-796.2826091157241</v>
      </c>
      <c r="O47" s="18">
        <f t="shared" si="19"/>
        <v>-421264.5826091157</v>
      </c>
      <c r="P47" s="2"/>
      <c r="Q47" s="2"/>
      <c r="R47" s="7">
        <f>(O47-O$46-O$3)+$G$47-$G$46-$G$3</f>
        <v>-65.36364425414686</v>
      </c>
      <c r="S47" s="6"/>
      <c r="T47" s="6"/>
      <c r="U47" s="6"/>
    </row>
    <row r="48" spans="2:21" ht="14.25">
      <c r="B48" s="18"/>
      <c r="C48" s="18"/>
      <c r="D48" s="18" t="s">
        <v>48</v>
      </c>
      <c r="E48" s="18">
        <v>167.988</v>
      </c>
      <c r="F48" s="18">
        <v>168.58</v>
      </c>
      <c r="G48" s="18">
        <v>134.795</v>
      </c>
      <c r="H48" s="18">
        <v>52.283</v>
      </c>
      <c r="I48" s="18">
        <v>54.27</v>
      </c>
      <c r="J48" s="18">
        <v>113.316</v>
      </c>
      <c r="K48" s="18">
        <v>-420403.51</v>
      </c>
      <c r="L48" s="18">
        <v>-670.0248164743</v>
      </c>
      <c r="M48" s="18">
        <v>-671.2959223246</v>
      </c>
      <c r="N48" s="18">
        <f t="shared" si="18"/>
        <v>-797.6316321217818</v>
      </c>
      <c r="O48" s="18">
        <f t="shared" si="19"/>
        <v>-421201.1416321218</v>
      </c>
      <c r="P48" s="2"/>
      <c r="Q48" s="2"/>
      <c r="R48" s="7">
        <f aca="true" t="shared" si="20" ref="R48:R49">(O48-O$46-O$3)+$G48-$G$46-$G$3</f>
        <v>-1.6506672602675607</v>
      </c>
      <c r="S48" s="6"/>
      <c r="T48" s="8">
        <f aca="true" t="shared" si="21" ref="T48:T51">R48-R$47</f>
        <v>63.7129769938793</v>
      </c>
      <c r="U48" s="6"/>
    </row>
    <row r="49" spans="2:21" ht="14.25">
      <c r="B49" s="18"/>
      <c r="C49" s="18"/>
      <c r="D49" s="18" t="s">
        <v>49</v>
      </c>
      <c r="E49" s="18">
        <v>171.768</v>
      </c>
      <c r="F49" s="18">
        <v>172.36</v>
      </c>
      <c r="G49" s="18">
        <v>136.259</v>
      </c>
      <c r="H49" s="18">
        <v>56.587</v>
      </c>
      <c r="I49" s="18">
        <v>58.574</v>
      </c>
      <c r="J49" s="18">
        <v>121.084</v>
      </c>
      <c r="K49" s="18">
        <v>-420445.69</v>
      </c>
      <c r="L49" s="18">
        <v>-670.0915380691</v>
      </c>
      <c r="M49" s="18">
        <v>-671.3529973599</v>
      </c>
      <c r="N49" s="18">
        <f t="shared" si="18"/>
        <v>-791.5783195698842</v>
      </c>
      <c r="O49" s="18">
        <f t="shared" si="19"/>
        <v>-421237.2683195699</v>
      </c>
      <c r="P49" s="2"/>
      <c r="Q49" s="2"/>
      <c r="R49" s="7">
        <f t="shared" si="20"/>
        <v>-36.31335470833189</v>
      </c>
      <c r="S49" s="6"/>
      <c r="T49" s="8">
        <f t="shared" si="21"/>
        <v>29.05028954581497</v>
      </c>
      <c r="U49" s="6"/>
    </row>
    <row r="50" spans="2:21" ht="14.25">
      <c r="B50" s="18"/>
      <c r="C50" s="18"/>
      <c r="D50" s="18" t="s">
        <v>50</v>
      </c>
      <c r="E50" s="18">
        <v>152.743</v>
      </c>
      <c r="F50" s="18">
        <v>153.335</v>
      </c>
      <c r="G50" s="18">
        <v>119.371</v>
      </c>
      <c r="H50" s="18">
        <v>50.125</v>
      </c>
      <c r="I50" s="18">
        <v>52.112</v>
      </c>
      <c r="J50" s="18">
        <v>113.915</v>
      </c>
      <c r="K50" s="18">
        <v>-372599.92</v>
      </c>
      <c r="L50" s="18">
        <v>-593.8403258709</v>
      </c>
      <c r="M50" s="18">
        <v>-594.975131416</v>
      </c>
      <c r="N50" s="18">
        <f t="shared" si="18"/>
        <v>-712.101827605697</v>
      </c>
      <c r="O50" s="18">
        <f t="shared" si="19"/>
        <v>-373312.02182760567</v>
      </c>
      <c r="P50" s="2"/>
      <c r="Q50" s="2"/>
      <c r="R50" s="7">
        <f aca="true" t="shared" si="22" ref="R50:R51">(O50+O$5-O$46-O$3)+$G50-$G$46-$G$3+$G$5</f>
        <v>-7.865899133447805</v>
      </c>
      <c r="S50" s="6"/>
      <c r="T50" s="8">
        <f t="shared" si="21"/>
        <v>57.49774512069906</v>
      </c>
      <c r="U50" s="6"/>
    </row>
    <row r="51" spans="2:21" ht="14.25">
      <c r="B51" s="18"/>
      <c r="C51" s="18"/>
      <c r="D51" s="18" t="s">
        <v>51</v>
      </c>
      <c r="E51" s="19">
        <v>152.747</v>
      </c>
      <c r="F51" s="18">
        <v>153.34</v>
      </c>
      <c r="G51" s="18">
        <v>119.348</v>
      </c>
      <c r="H51" s="18">
        <v>50.12</v>
      </c>
      <c r="I51" s="18">
        <v>52.107</v>
      </c>
      <c r="J51" s="18">
        <v>114.009</v>
      </c>
      <c r="K51" s="18">
        <v>-372599.95</v>
      </c>
      <c r="L51" s="18">
        <v>-593.8403635177</v>
      </c>
      <c r="M51" s="18">
        <v>-594.975181397</v>
      </c>
      <c r="N51" s="18">
        <f t="shared" si="18"/>
        <v>-712.1095674395708</v>
      </c>
      <c r="O51" s="18">
        <f t="shared" si="19"/>
        <v>-373312.0595674396</v>
      </c>
      <c r="P51" s="2"/>
      <c r="Q51" s="2"/>
      <c r="R51" s="7">
        <f t="shared" si="22"/>
        <v>-7.926638967381102</v>
      </c>
      <c r="S51" s="6"/>
      <c r="T51" s="8">
        <f t="shared" si="21"/>
        <v>57.43700528676576</v>
      </c>
      <c r="U51" s="6"/>
    </row>
    <row r="52" spans="2:21" ht="14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>
        <f t="shared" si="18"/>
        <v>0</v>
      </c>
      <c r="O52" s="18">
        <f t="shared" si="19"/>
        <v>0</v>
      </c>
      <c r="P52" s="2"/>
      <c r="Q52" s="2"/>
      <c r="R52" s="2"/>
      <c r="S52" s="6"/>
      <c r="T52" s="6"/>
      <c r="U52" s="6"/>
    </row>
    <row r="53" spans="2:21" ht="14.25">
      <c r="B53" s="18"/>
      <c r="C53" s="18"/>
      <c r="D53" s="18" t="s">
        <v>26</v>
      </c>
      <c r="E53" s="18">
        <v>268.879</v>
      </c>
      <c r="F53" s="18">
        <v>269.472</v>
      </c>
      <c r="G53" s="18">
        <v>217.723</v>
      </c>
      <c r="H53" s="18">
        <v>92.054</v>
      </c>
      <c r="I53" s="18">
        <v>94.041</v>
      </c>
      <c r="J53" s="18">
        <v>173.566</v>
      </c>
      <c r="K53" s="18">
        <v>-624858.32</v>
      </c>
      <c r="L53" s="18">
        <v>-995.8860046458</v>
      </c>
      <c r="M53" s="18">
        <v>-997.8007414936</v>
      </c>
      <c r="N53" s="18">
        <f t="shared" si="18"/>
        <v>-1201.5165193629693</v>
      </c>
      <c r="O53" s="18">
        <f t="shared" si="19"/>
        <v>-626059.8365193629</v>
      </c>
      <c r="P53" s="2"/>
      <c r="Q53" s="2"/>
      <c r="R53" s="7">
        <f>O53-O46-O46-O$3+$G53-$G46-$G46-$G$3</f>
        <v>-116.88152595441252</v>
      </c>
      <c r="S53" s="6"/>
      <c r="T53" s="9">
        <f aca="true" t="shared" si="23" ref="T53:T57">R53-R$53</f>
        <v>0</v>
      </c>
      <c r="U53" s="6"/>
    </row>
    <row r="54" spans="2:21" ht="14.25">
      <c r="B54" s="18"/>
      <c r="C54" s="18"/>
      <c r="D54" s="18" t="s">
        <v>27</v>
      </c>
      <c r="E54" s="18">
        <v>264.353</v>
      </c>
      <c r="F54" s="18">
        <v>264.945</v>
      </c>
      <c r="G54" s="18">
        <v>219.442</v>
      </c>
      <c r="H54" s="18">
        <v>84.011</v>
      </c>
      <c r="I54" s="18">
        <v>85.998</v>
      </c>
      <c r="J54" s="18">
        <v>152.619</v>
      </c>
      <c r="K54" s="18">
        <v>-624812.98</v>
      </c>
      <c r="L54" s="18">
        <v>-995.8068597431</v>
      </c>
      <c r="M54" s="18">
        <v>-997.7363397119</v>
      </c>
      <c r="N54" s="18">
        <f t="shared" si="18"/>
        <v>-1210.767975221703</v>
      </c>
      <c r="O54" s="18">
        <f t="shared" si="19"/>
        <v>-626023.7479752217</v>
      </c>
      <c r="P54" s="2"/>
      <c r="Q54" s="2"/>
      <c r="R54" s="7">
        <f aca="true" t="shared" si="24" ref="R54:R56">(O54-$O$53)+(G54-$G$53)+R$53</f>
        <v>-79.07398181326059</v>
      </c>
      <c r="S54" s="6"/>
      <c r="T54" s="9">
        <f t="shared" si="23"/>
        <v>37.807544141151936</v>
      </c>
      <c r="U54" s="6"/>
    </row>
    <row r="55" spans="2:21" ht="14.25">
      <c r="B55" s="18"/>
      <c r="C55" s="18"/>
      <c r="D55" s="18" t="s">
        <v>28</v>
      </c>
      <c r="E55" s="18">
        <v>269.057</v>
      </c>
      <c r="F55" s="18">
        <v>269.65</v>
      </c>
      <c r="G55" s="18">
        <v>224.987</v>
      </c>
      <c r="H55" s="18">
        <v>85.292</v>
      </c>
      <c r="I55" s="18">
        <v>87.279</v>
      </c>
      <c r="J55" s="18">
        <v>149.799</v>
      </c>
      <c r="K55" s="18">
        <v>-624856.08</v>
      </c>
      <c r="L55" s="18">
        <v>-995.8765096685</v>
      </c>
      <c r="M55" s="18">
        <v>-997.7941666418</v>
      </c>
      <c r="N55" s="18">
        <f t="shared" si="18"/>
        <v>-1203.348927315437</v>
      </c>
      <c r="O55" s="18">
        <f t="shared" si="19"/>
        <v>-626059.4289273154</v>
      </c>
      <c r="P55" s="2"/>
      <c r="Q55" s="2"/>
      <c r="R55" s="7">
        <f t="shared" si="24"/>
        <v>-109.20993390694099</v>
      </c>
      <c r="S55" s="6"/>
      <c r="T55" s="9">
        <f t="shared" si="23"/>
        <v>7.671592047471535</v>
      </c>
      <c r="U55" s="6"/>
    </row>
    <row r="56" spans="1:21" ht="14.25">
      <c r="A56" s="2"/>
      <c r="B56" s="18"/>
      <c r="C56" s="18"/>
      <c r="D56" s="18" t="s">
        <v>29</v>
      </c>
      <c r="E56" s="18">
        <v>268.974</v>
      </c>
      <c r="F56" s="18">
        <v>269.566</v>
      </c>
      <c r="G56" s="18">
        <v>224.803</v>
      </c>
      <c r="H56" s="18">
        <v>85.326</v>
      </c>
      <c r="I56" s="18">
        <v>87.314</v>
      </c>
      <c r="J56" s="18">
        <v>150.137</v>
      </c>
      <c r="K56" s="18">
        <v>-624858.54</v>
      </c>
      <c r="L56" s="18">
        <v>-995.8807319972</v>
      </c>
      <c r="M56" s="18">
        <v>-997.7991858575</v>
      </c>
      <c r="N56" s="18">
        <f t="shared" si="18"/>
        <v>-1203.848981876865</v>
      </c>
      <c r="O56" s="18">
        <f t="shared" si="19"/>
        <v>-626062.3889818769</v>
      </c>
      <c r="P56" s="2"/>
      <c r="Q56" s="2"/>
      <c r="R56" s="7">
        <f t="shared" si="24"/>
        <v>-112.35398846843677</v>
      </c>
      <c r="S56" s="7"/>
      <c r="T56" s="9">
        <f t="shared" si="23"/>
        <v>4.527537485975756</v>
      </c>
      <c r="U56" s="7"/>
    </row>
    <row r="57" spans="2:21" ht="14.25">
      <c r="B57" s="18"/>
      <c r="C57" s="18"/>
      <c r="D57" s="18" t="s">
        <v>30</v>
      </c>
      <c r="E57" s="18">
        <v>266.03</v>
      </c>
      <c r="F57" s="20">
        <v>266.622</v>
      </c>
      <c r="G57" s="20">
        <v>219.444</v>
      </c>
      <c r="H57" s="20">
        <v>87.487</v>
      </c>
      <c r="I57" s="20">
        <v>89.475</v>
      </c>
      <c r="J57" s="20">
        <v>158.253</v>
      </c>
      <c r="K57" s="18">
        <v>-624813.88</v>
      </c>
      <c r="L57" s="18">
        <v>-995.8067294025</v>
      </c>
      <c r="M57" s="18">
        <v>-997.7426362091</v>
      </c>
      <c r="N57" s="18">
        <f t="shared" si="18"/>
        <v>-1214.8008802096208</v>
      </c>
      <c r="O57" s="18">
        <f t="shared" si="19"/>
        <v>-626028.6808802097</v>
      </c>
      <c r="P57" s="2"/>
      <c r="Q57" s="2"/>
      <c r="R57" s="7">
        <f>(O57-O$53)+($G57-$G$53)+R53</f>
        <v>-84.00488680120583</v>
      </c>
      <c r="S57" s="6"/>
      <c r="T57" s="9">
        <f t="shared" si="23"/>
        <v>32.876639153206696</v>
      </c>
      <c r="U57" s="6"/>
    </row>
    <row r="58" spans="2:21" ht="14.25">
      <c r="B58" s="18"/>
      <c r="C58" s="18"/>
      <c r="D58" s="18" t="s">
        <v>52</v>
      </c>
      <c r="E58" s="18">
        <v>178.518</v>
      </c>
      <c r="F58" s="18">
        <v>179.11</v>
      </c>
      <c r="G58" s="18">
        <v>140.633</v>
      </c>
      <c r="H58" s="18">
        <v>60.106</v>
      </c>
      <c r="I58" s="18">
        <v>62.094</v>
      </c>
      <c r="J58" s="18">
        <v>129.053</v>
      </c>
      <c r="K58" s="18">
        <v>-420705.5</v>
      </c>
      <c r="L58" s="18">
        <v>-670.5101773973</v>
      </c>
      <c r="M58" s="18">
        <v>-671.7617161245</v>
      </c>
      <c r="N58" s="18">
        <f t="shared" si="18"/>
        <v>-785.3530667052719</v>
      </c>
      <c r="O58" s="18">
        <f t="shared" si="19"/>
        <v>-421490.8530667053</v>
      </c>
      <c r="P58" s="2"/>
      <c r="Q58" s="2"/>
      <c r="R58" s="7">
        <f aca="true" t="shared" si="25" ref="R58:R59">(O58-O$46-O$3)+$G58-$G$46-$G$3</f>
        <v>-285.5241018437382</v>
      </c>
      <c r="S58" s="6"/>
      <c r="T58" s="6"/>
      <c r="U58" s="6"/>
    </row>
    <row r="59" spans="2:21" ht="14.25">
      <c r="B59" s="18"/>
      <c r="C59" s="18"/>
      <c r="D59" s="18" t="s">
        <v>53</v>
      </c>
      <c r="E59" s="18">
        <v>161.842</v>
      </c>
      <c r="F59" s="18">
        <v>162.434</v>
      </c>
      <c r="G59" s="18">
        <v>126.744</v>
      </c>
      <c r="H59" s="18">
        <v>55.379</v>
      </c>
      <c r="I59" s="18">
        <v>57.366</v>
      </c>
      <c r="J59" s="18">
        <v>119.705</v>
      </c>
      <c r="K59" s="18">
        <v>-420104.15</v>
      </c>
      <c r="L59" s="18">
        <v>-669.5462497951</v>
      </c>
      <c r="M59" s="18">
        <v>-670.812438266</v>
      </c>
      <c r="N59" s="18">
        <f t="shared" si="18"/>
        <v>-794.5459273744085</v>
      </c>
      <c r="O59" s="18">
        <f t="shared" si="19"/>
        <v>-420898.6959273744</v>
      </c>
      <c r="P59" s="2"/>
      <c r="Q59" s="2"/>
      <c r="R59" s="7">
        <f t="shared" si="25"/>
        <v>292.7440374871313</v>
      </c>
      <c r="S59" s="6"/>
      <c r="T59" s="6"/>
      <c r="U59" s="6"/>
    </row>
    <row r="60" spans="2:21" ht="14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"/>
      <c r="Q60" s="2"/>
      <c r="R60" s="2"/>
      <c r="T60" s="6"/>
      <c r="U60" s="6"/>
    </row>
    <row r="61" spans="2:21" ht="14.25">
      <c r="B61" s="18"/>
      <c r="C61" s="18"/>
      <c r="D61" s="18" t="s">
        <v>54</v>
      </c>
      <c r="E61" s="18">
        <v>161.631</v>
      </c>
      <c r="F61" s="18">
        <v>162.223</v>
      </c>
      <c r="G61" s="18">
        <v>127.957</v>
      </c>
      <c r="H61" s="18">
        <v>51.084</v>
      </c>
      <c r="I61" s="18">
        <v>53.071</v>
      </c>
      <c r="J61" s="18">
        <v>114.93</v>
      </c>
      <c r="K61" s="18">
        <v>-372872.29</v>
      </c>
      <c r="L61" s="18">
        <v>-594.2747008315</v>
      </c>
      <c r="M61" s="18">
        <v>-595.4024024167</v>
      </c>
      <c r="N61" s="18">
        <f aca="true" t="shared" si="26" ref="N61:N62">627.51*(M61-L61)</f>
        <v>-707.6440217288791</v>
      </c>
      <c r="O61" s="18">
        <f aca="true" t="shared" si="27" ref="O61:O62">K61+N61</f>
        <v>-373579.93402172887</v>
      </c>
      <c r="P61" s="2"/>
      <c r="Q61" s="2"/>
      <c r="R61" s="7">
        <f aca="true" t="shared" si="28" ref="R61:R62">(O61+O$5-O$46-O$3)+$G61-$G$46-$G$3+$G$5</f>
        <v>-267.19209325664843</v>
      </c>
      <c r="S61" s="6"/>
      <c r="T61" s="6"/>
      <c r="U61" s="6"/>
    </row>
    <row r="62" spans="2:21" ht="14.25">
      <c r="B62" s="18"/>
      <c r="C62" s="18"/>
      <c r="D62" s="18" t="s">
        <v>55</v>
      </c>
      <c r="E62" s="18">
        <v>161.748</v>
      </c>
      <c r="F62" s="18">
        <v>162.341</v>
      </c>
      <c r="G62" s="18">
        <v>128.503</v>
      </c>
      <c r="H62" s="18">
        <v>50.863</v>
      </c>
      <c r="I62" s="18">
        <v>52.85</v>
      </c>
      <c r="J62" s="18">
        <v>113.492</v>
      </c>
      <c r="K62" s="18">
        <v>-372872.55</v>
      </c>
      <c r="L62" s="18">
        <v>-594.2749174429</v>
      </c>
      <c r="M62" s="18">
        <v>-595.4030048273</v>
      </c>
      <c r="N62" s="18">
        <f t="shared" si="26"/>
        <v>-707.8861145848645</v>
      </c>
      <c r="O62" s="18">
        <f t="shared" si="27"/>
        <v>-373580.43611458485</v>
      </c>
      <c r="P62" s="2"/>
      <c r="Q62" s="2"/>
      <c r="R62" s="7">
        <f t="shared" si="28"/>
        <v>-267.1481861126309</v>
      </c>
      <c r="S62" s="6"/>
      <c r="T62" s="6"/>
      <c r="U62" s="6"/>
    </row>
    <row r="63" spans="2:21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"/>
      <c r="Q63" s="2"/>
      <c r="R63" s="2"/>
      <c r="T63" s="6"/>
      <c r="U63" s="6"/>
    </row>
    <row r="64" spans="2:21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"/>
      <c r="Q64" s="2"/>
      <c r="R64" s="2"/>
      <c r="T64" s="6"/>
      <c r="U64" s="6"/>
    </row>
    <row r="65" spans="2:21" ht="14.25">
      <c r="B65" s="18"/>
      <c r="C65" s="18"/>
      <c r="D65" s="18" t="s">
        <v>56</v>
      </c>
      <c r="E65" s="18">
        <v>104.718</v>
      </c>
      <c r="F65" s="18">
        <v>105.311</v>
      </c>
      <c r="G65" s="18">
        <v>79.771</v>
      </c>
      <c r="H65" s="18">
        <v>29.839</v>
      </c>
      <c r="I65" s="18">
        <v>31.826</v>
      </c>
      <c r="J65" s="18">
        <v>85.66</v>
      </c>
      <c r="K65" s="18">
        <v>-204609.48</v>
      </c>
      <c r="L65" s="18">
        <v>-326.1071122125</v>
      </c>
      <c r="M65" s="18">
        <v>-326.7295048217</v>
      </c>
      <c r="N65" s="18">
        <f aca="true" t="shared" si="29" ref="N65:N76">627.51*(M65-L65)</f>
        <v>-390.5575861990955</v>
      </c>
      <c r="O65" s="18">
        <f aca="true" t="shared" si="30" ref="O65:O76">K65+N65</f>
        <v>-205000.03758619912</v>
      </c>
      <c r="P65" s="2"/>
      <c r="Q65" s="2"/>
      <c r="R65" s="7"/>
      <c r="S65" s="6"/>
      <c r="T65" s="6"/>
      <c r="U65" s="6"/>
    </row>
    <row r="66" spans="2:21" ht="14.25">
      <c r="B66" s="18"/>
      <c r="C66" s="18"/>
      <c r="D66" s="18" t="s">
        <v>57</v>
      </c>
      <c r="E66" s="18">
        <v>180.47</v>
      </c>
      <c r="F66" s="18">
        <v>181.063</v>
      </c>
      <c r="G66" s="18">
        <v>146.889</v>
      </c>
      <c r="H66" s="18">
        <v>54.242</v>
      </c>
      <c r="I66" s="18">
        <v>56.229</v>
      </c>
      <c r="J66" s="18">
        <v>114.618</v>
      </c>
      <c r="K66" s="18">
        <v>-420727.53</v>
      </c>
      <c r="L66" s="18">
        <v>-670.5421841035</v>
      </c>
      <c r="M66" s="18">
        <v>-671.8035168324</v>
      </c>
      <c r="N66" s="18">
        <f t="shared" si="29"/>
        <v>-791.4989007120486</v>
      </c>
      <c r="O66" s="18">
        <f t="shared" si="30"/>
        <v>-421519.0289007121</v>
      </c>
      <c r="R66" s="6">
        <f aca="true" t="shared" si="31" ref="R66:R69">(O66-O$46-O$4)+$G66-$G$46-$G$4</f>
        <v>-69.04138876311154</v>
      </c>
      <c r="S66" s="6"/>
      <c r="T66" s="6"/>
      <c r="U66" s="6"/>
    </row>
    <row r="67" spans="2:21" ht="14.25">
      <c r="B67" s="18"/>
      <c r="C67" s="18"/>
      <c r="D67" s="18" t="s">
        <v>58</v>
      </c>
      <c r="E67" s="18">
        <v>180.408</v>
      </c>
      <c r="F67" s="18">
        <v>181.001</v>
      </c>
      <c r="G67" s="18">
        <v>146.516</v>
      </c>
      <c r="H67" s="18">
        <v>54.399</v>
      </c>
      <c r="I67" s="18">
        <v>56.387</v>
      </c>
      <c r="J67" s="18">
        <v>115.662</v>
      </c>
      <c r="K67" s="18">
        <v>-420722.1</v>
      </c>
      <c r="L67" s="18">
        <v>-670.5341349998</v>
      </c>
      <c r="M67" s="18">
        <v>-671.7935395673</v>
      </c>
      <c r="N67" s="18">
        <f t="shared" si="29"/>
        <v>-790.2889601518798</v>
      </c>
      <c r="O67" s="18">
        <f t="shared" si="30"/>
        <v>-421512.3889601519</v>
      </c>
      <c r="R67" s="6">
        <f t="shared" si="31"/>
        <v>-62.77444820289828</v>
      </c>
      <c r="S67" s="6"/>
      <c r="T67" s="6"/>
      <c r="U67" s="6"/>
    </row>
    <row r="68" spans="2:21" ht="14.25">
      <c r="B68" s="18"/>
      <c r="C68" s="18"/>
      <c r="D68" s="18" t="s">
        <v>59</v>
      </c>
      <c r="E68" s="18">
        <v>177.019</v>
      </c>
      <c r="F68" s="18">
        <v>177.611</v>
      </c>
      <c r="G68" s="18">
        <v>141.549</v>
      </c>
      <c r="H68" s="18">
        <v>55.595</v>
      </c>
      <c r="I68" s="18">
        <v>57.583</v>
      </c>
      <c r="J68" s="18">
        <v>120.953</v>
      </c>
      <c r="K68" s="18">
        <v>-420671.83</v>
      </c>
      <c r="L68" s="18">
        <v>-670.4538760065</v>
      </c>
      <c r="M68" s="18">
        <v>-671.7180653263</v>
      </c>
      <c r="N68" s="18">
        <f t="shared" si="29"/>
        <v>-793.2914400677224</v>
      </c>
      <c r="O68" s="18">
        <f t="shared" si="30"/>
        <v>-421465.1214400677</v>
      </c>
      <c r="R68" s="6">
        <f t="shared" si="31"/>
        <v>-20.47392811873602</v>
      </c>
      <c r="S68" s="6"/>
      <c r="T68" s="6"/>
      <c r="U68" s="6"/>
    </row>
    <row r="69" spans="2:21" ht="14.25">
      <c r="B69" s="18"/>
      <c r="C69" s="18"/>
      <c r="D69" s="18" t="s">
        <v>60</v>
      </c>
      <c r="E69" s="18">
        <v>176.511</v>
      </c>
      <c r="F69" s="18">
        <v>177.103</v>
      </c>
      <c r="G69" s="18">
        <v>143.238</v>
      </c>
      <c r="H69" s="18">
        <v>53.406</v>
      </c>
      <c r="I69" s="18">
        <v>55.393</v>
      </c>
      <c r="J69" s="18">
        <v>113.586</v>
      </c>
      <c r="K69" s="18">
        <v>-420670.01</v>
      </c>
      <c r="L69" s="18">
        <v>-670.4507260052</v>
      </c>
      <c r="M69" s="18">
        <v>-671.7145861494</v>
      </c>
      <c r="N69" s="18">
        <f t="shared" si="29"/>
        <v>-793.0848790869836</v>
      </c>
      <c r="O69" s="18">
        <f t="shared" si="30"/>
        <v>-421463.094879087</v>
      </c>
      <c r="R69" s="6">
        <f t="shared" si="31"/>
        <v>-16.758367138025825</v>
      </c>
      <c r="S69" s="6"/>
      <c r="T69" s="6"/>
      <c r="U69" s="6"/>
    </row>
    <row r="70" spans="2:21" ht="15.75">
      <c r="B70" s="18"/>
      <c r="C70" s="18"/>
      <c r="D70" s="18" t="s">
        <v>36</v>
      </c>
      <c r="E70" s="21">
        <v>345.605</v>
      </c>
      <c r="F70" s="21">
        <v>346.198</v>
      </c>
      <c r="G70" s="21">
        <v>288.632</v>
      </c>
      <c r="H70" s="21">
        <v>115.25</v>
      </c>
      <c r="I70" s="21">
        <v>117.237</v>
      </c>
      <c r="J70" s="21">
        <v>193.078</v>
      </c>
      <c r="K70" s="21">
        <v>-840979.95</v>
      </c>
      <c r="L70" s="21">
        <v>-1340.3201824946</v>
      </c>
      <c r="M70" s="21">
        <v>-1342.8798595271</v>
      </c>
      <c r="N70" s="18">
        <f t="shared" si="29"/>
        <v>-1606.2229346641227</v>
      </c>
      <c r="O70" s="18">
        <f t="shared" si="30"/>
        <v>-842586.1729346641</v>
      </c>
      <c r="P70">
        <f>O70+G70-G49-G49-O49-O49</f>
        <v>-95.52229552424978</v>
      </c>
      <c r="R70" s="6"/>
      <c r="S70" s="6"/>
      <c r="T70" s="6"/>
      <c r="U70" s="6"/>
    </row>
    <row r="71" spans="2:21" ht="14.25">
      <c r="B71" s="18"/>
      <c r="C71" s="18"/>
      <c r="D71" s="18" t="s">
        <v>37</v>
      </c>
      <c r="E71" s="18">
        <v>341.858</v>
      </c>
      <c r="F71" s="18">
        <v>342.451</v>
      </c>
      <c r="G71" s="18">
        <v>285.582</v>
      </c>
      <c r="H71" s="18">
        <v>115.456</v>
      </c>
      <c r="I71" s="18">
        <v>117.443</v>
      </c>
      <c r="J71" s="18">
        <v>190.736</v>
      </c>
      <c r="K71" s="18">
        <v>-840949.02</v>
      </c>
      <c r="L71" s="18">
        <v>-1340.2701849684</v>
      </c>
      <c r="M71" s="18">
        <v>-1342.8461573306</v>
      </c>
      <c r="N71" s="18">
        <f t="shared" si="29"/>
        <v>-1616.4484170041164</v>
      </c>
      <c r="O71" s="18">
        <f t="shared" si="30"/>
        <v>-842565.4684170041</v>
      </c>
      <c r="R71" s="14">
        <f aca="true" t="shared" si="32" ref="R71:R72">(O71-O$70)+G71-G$70</f>
        <v>17.65451765996403</v>
      </c>
      <c r="S71" s="6"/>
      <c r="T71" s="6"/>
      <c r="U71" s="6"/>
    </row>
    <row r="72" spans="2:21" ht="14.25">
      <c r="B72" s="18"/>
      <c r="C72" s="18"/>
      <c r="D72" s="18" t="s">
        <v>38</v>
      </c>
      <c r="E72" s="18">
        <v>344.257</v>
      </c>
      <c r="F72" s="18">
        <v>344.849</v>
      </c>
      <c r="G72" s="18">
        <v>286.585</v>
      </c>
      <c r="H72" s="18">
        <v>117.733</v>
      </c>
      <c r="I72" s="18">
        <v>119.721</v>
      </c>
      <c r="J72" s="18">
        <v>195.42</v>
      </c>
      <c r="K72" s="18">
        <v>-840981.02</v>
      </c>
      <c r="L72" s="18">
        <v>-1340.3261988203</v>
      </c>
      <c r="M72" s="18">
        <v>-1342.8919743954</v>
      </c>
      <c r="N72" s="18">
        <f t="shared" si="29"/>
        <v>-1610.0498311309418</v>
      </c>
      <c r="O72" s="18">
        <f t="shared" si="30"/>
        <v>-842591.0698311309</v>
      </c>
      <c r="R72" s="14">
        <f t="shared" si="32"/>
        <v>-6.943896466845672</v>
      </c>
      <c r="S72" s="6"/>
      <c r="T72" s="6"/>
      <c r="U72" s="6"/>
    </row>
    <row r="73" spans="2:21" ht="14.25">
      <c r="B73" s="18"/>
      <c r="C73" s="18"/>
      <c r="D73" s="18" t="s">
        <v>39</v>
      </c>
      <c r="E73" s="18">
        <v>278.652</v>
      </c>
      <c r="F73" s="18">
        <v>279.245</v>
      </c>
      <c r="G73" s="18">
        <v>231.416</v>
      </c>
      <c r="H73" s="18">
        <v>87.576</v>
      </c>
      <c r="I73" s="18">
        <v>89.563</v>
      </c>
      <c r="J73" s="18">
        <v>160.418</v>
      </c>
      <c r="K73" s="18">
        <v>-625129.41</v>
      </c>
      <c r="L73" s="18">
        <v>-996.314292673</v>
      </c>
      <c r="M73" s="18">
        <v>-998.2282252878</v>
      </c>
      <c r="N73" s="18">
        <f t="shared" si="29"/>
        <v>-1201.011855113177</v>
      </c>
      <c r="O73" s="18">
        <f t="shared" si="30"/>
        <v>-626330.4218551132</v>
      </c>
      <c r="R73" s="6">
        <f>(O73-O66-O46)+$G73-$G66-$G46+R66</f>
        <v>-135.37131461731786</v>
      </c>
      <c r="S73" s="6"/>
      <c r="T73" s="15">
        <f aca="true" t="shared" si="33" ref="T73:T76">O73+G73-O$73-$G73</f>
        <v>-3.1661784305470064E-11</v>
      </c>
      <c r="U73" s="6"/>
    </row>
    <row r="74" spans="2:21" ht="14.25">
      <c r="B74" s="18"/>
      <c r="C74" s="18"/>
      <c r="D74" s="18" t="s">
        <v>40</v>
      </c>
      <c r="E74" s="22" t="s">
        <v>41</v>
      </c>
      <c r="F74" s="22" t="s">
        <v>41</v>
      </c>
      <c r="G74" s="22" t="s">
        <v>41</v>
      </c>
      <c r="H74" s="22" t="s">
        <v>41</v>
      </c>
      <c r="I74" s="22" t="s">
        <v>41</v>
      </c>
      <c r="J74" s="22" t="s">
        <v>41</v>
      </c>
      <c r="K74" s="18"/>
      <c r="L74" s="18"/>
      <c r="M74" s="18"/>
      <c r="N74" s="18">
        <f t="shared" si="29"/>
        <v>0</v>
      </c>
      <c r="O74" s="18">
        <f t="shared" si="30"/>
        <v>0</v>
      </c>
      <c r="R74" s="6" t="s">
        <v>41</v>
      </c>
      <c r="S74" s="6"/>
      <c r="T74" s="15" t="e">
        <f t="shared" si="33"/>
        <v>#VALUE!</v>
      </c>
      <c r="U74" s="6"/>
    </row>
    <row r="75" spans="2:21" ht="14.25">
      <c r="B75" s="18"/>
      <c r="C75" s="18"/>
      <c r="D75" s="18" t="s">
        <v>42</v>
      </c>
      <c r="E75" s="18">
        <v>277.427</v>
      </c>
      <c r="F75" s="18">
        <v>278.02</v>
      </c>
      <c r="G75" s="18">
        <v>230.375</v>
      </c>
      <c r="H75" s="18">
        <v>86.972</v>
      </c>
      <c r="I75" s="18">
        <v>88.959</v>
      </c>
      <c r="J75" s="18">
        <v>159.8</v>
      </c>
      <c r="K75" s="18">
        <v>-625116.47</v>
      </c>
      <c r="L75" s="18">
        <v>-996.2926432574</v>
      </c>
      <c r="M75" s="18">
        <v>-998.2049361122</v>
      </c>
      <c r="N75" s="18">
        <f t="shared" si="29"/>
        <v>-1199.9828893155839</v>
      </c>
      <c r="O75" s="18">
        <f t="shared" si="30"/>
        <v>-626316.4528893156</v>
      </c>
      <c r="R75" s="6">
        <f>(O75-O66-O46)+$G75-$G66-$G46+R66</f>
        <v>-122.44334881963279</v>
      </c>
      <c r="S75" s="6"/>
      <c r="T75" s="15">
        <f t="shared" si="33"/>
        <v>13.968965797685087</v>
      </c>
      <c r="U75" s="6"/>
    </row>
    <row r="76" spans="2:21" ht="14.25">
      <c r="B76" s="18"/>
      <c r="C76" s="18"/>
      <c r="D76" s="18" t="s">
        <v>43</v>
      </c>
      <c r="E76" s="19">
        <v>275.717</v>
      </c>
      <c r="F76" s="23">
        <v>276.309</v>
      </c>
      <c r="G76" s="23">
        <v>228.181</v>
      </c>
      <c r="H76" s="23">
        <v>88.689</v>
      </c>
      <c r="I76" s="23">
        <v>90.676</v>
      </c>
      <c r="J76" s="19">
        <v>161.423</v>
      </c>
      <c r="K76" s="18">
        <v>-625107.61</v>
      </c>
      <c r="L76" s="18">
        <v>-996.2767052697</v>
      </c>
      <c r="M76" s="18">
        <v>-998.1944728061</v>
      </c>
      <c r="N76" s="18">
        <f t="shared" si="29"/>
        <v>-1203.4183067663591</v>
      </c>
      <c r="O76" s="18">
        <f t="shared" si="30"/>
        <v>-626311.0283067663</v>
      </c>
      <c r="R76" s="6">
        <f>(O76-O66-O46)+$G76-$G66-$G46+R66</f>
        <v>-119.21276627037837</v>
      </c>
      <c r="S76" s="6"/>
      <c r="T76" s="15">
        <f t="shared" si="33"/>
        <v>19.39354834692179</v>
      </c>
      <c r="U76" s="6"/>
    </row>
    <row r="77" spans="5:21" ht="14.25">
      <c r="E77" s="24"/>
      <c r="F77" s="25"/>
      <c r="G77" s="25"/>
      <c r="H77" s="25"/>
      <c r="I77" s="25"/>
      <c r="J77" s="24"/>
      <c r="R77" s="6">
        <f>(O61+O46+O5-O73)+$G61+$G46+$G5-$G73+R73</f>
        <v>-28.789546169246307</v>
      </c>
      <c r="S77" s="6"/>
      <c r="T77" s="6"/>
      <c r="U77" s="6"/>
    </row>
    <row r="78" spans="16:21" ht="14.25">
      <c r="P78" s="2"/>
      <c r="Q78" s="2"/>
      <c r="R78" s="7"/>
      <c r="S78" s="6"/>
      <c r="T78" s="6"/>
      <c r="U78" s="6"/>
    </row>
    <row r="79" spans="16:21" ht="14.25">
      <c r="P79" s="2"/>
      <c r="Q79" s="2" t="s">
        <v>44</v>
      </c>
      <c r="R79" s="7">
        <f>O65+G65+O49+G49-O46-G46-O66-G66</f>
        <v>11.400023490040553</v>
      </c>
      <c r="S79" s="6"/>
      <c r="T79" s="6"/>
      <c r="U79" s="6"/>
    </row>
    <row r="80" spans="16:21" ht="14.25">
      <c r="P80" s="2"/>
      <c r="Q80" s="2"/>
      <c r="R80" s="7"/>
      <c r="S80" s="6"/>
      <c r="T80" s="6"/>
      <c r="U80" s="6"/>
    </row>
    <row r="81" spans="16:21" ht="14.25">
      <c r="P81" s="2"/>
      <c r="Q81" s="2"/>
      <c r="R81" s="7"/>
      <c r="S81" s="6"/>
      <c r="T81" s="6"/>
      <c r="U81" s="6"/>
    </row>
    <row r="82" spans="16:21" ht="14.25">
      <c r="P82" s="2"/>
      <c r="Q82" s="2"/>
      <c r="R82" s="7"/>
      <c r="S82" s="6"/>
      <c r="T82" s="6"/>
      <c r="U82" s="6"/>
    </row>
    <row r="83" spans="16:21" ht="14.25">
      <c r="P83" s="2"/>
      <c r="Q83" s="2"/>
      <c r="R83" s="7"/>
      <c r="S83" s="6"/>
      <c r="T83" s="6"/>
      <c r="U83" s="6"/>
    </row>
    <row r="84" spans="16:21" ht="14.25">
      <c r="P84" s="2"/>
      <c r="Q84" s="2"/>
      <c r="R84" s="7"/>
      <c r="S84" s="6"/>
      <c r="T84" s="6"/>
      <c r="U84" s="6"/>
    </row>
    <row r="85" spans="16:21" ht="14.25">
      <c r="P85" s="2"/>
      <c r="Q85" s="2"/>
      <c r="R85" s="7"/>
      <c r="S85" s="6"/>
      <c r="T85" s="6"/>
      <c r="U85" s="6"/>
    </row>
    <row r="86" spans="2:21" ht="30.75">
      <c r="B86" s="26" t="s">
        <v>61</v>
      </c>
      <c r="C86" s="27"/>
      <c r="D86" s="27" t="s">
        <v>62</v>
      </c>
      <c r="E86" s="27">
        <v>94.123</v>
      </c>
      <c r="F86" s="27">
        <v>94.715</v>
      </c>
      <c r="G86" s="27">
        <v>70.718</v>
      </c>
      <c r="H86" s="27">
        <v>26.725</v>
      </c>
      <c r="I86" s="27">
        <v>28.713</v>
      </c>
      <c r="J86" s="27">
        <v>80.486</v>
      </c>
      <c r="K86" s="27">
        <v>-204336.3</v>
      </c>
      <c r="L86" s="27">
        <v>-325.6706788875</v>
      </c>
      <c r="M86" s="27">
        <v>-326.2958062175</v>
      </c>
      <c r="N86" s="27">
        <f aca="true" t="shared" si="34" ref="N86:N96">627.51*(M86-L86)</f>
        <v>-392.2736508482987</v>
      </c>
      <c r="O86" s="27">
        <f aca="true" t="shared" si="35" ref="O86:O96">K86+N86</f>
        <v>-204728.5736508483</v>
      </c>
      <c r="P86" s="2"/>
      <c r="Q86" s="28"/>
      <c r="R86" s="7"/>
      <c r="S86" s="6"/>
      <c r="T86" s="6"/>
      <c r="U86" s="6"/>
    </row>
    <row r="87" spans="3:21" ht="14.25">
      <c r="C87" s="27"/>
      <c r="D87" s="27" t="s">
        <v>63</v>
      </c>
      <c r="E87" s="27">
        <v>170.877</v>
      </c>
      <c r="F87" s="27">
        <v>171.469</v>
      </c>
      <c r="G87" s="27">
        <v>133.179</v>
      </c>
      <c r="H87" s="27">
        <v>58.562</v>
      </c>
      <c r="I87" s="27">
        <v>60.549</v>
      </c>
      <c r="J87" s="27">
        <v>128.425</v>
      </c>
      <c r="K87" s="27">
        <v>-420466.72</v>
      </c>
      <c r="L87" s="27">
        <v>-670.1291638636</v>
      </c>
      <c r="M87" s="27">
        <v>-671.3969821966</v>
      </c>
      <c r="N87" s="27">
        <f t="shared" si="34"/>
        <v>-795.568682140853</v>
      </c>
      <c r="O87" s="27">
        <f t="shared" si="35"/>
        <v>-421262.2886821408</v>
      </c>
      <c r="P87" s="2"/>
      <c r="Q87" s="28"/>
      <c r="R87" s="7">
        <f aca="true" t="shared" si="36" ref="R87:R89">(O87-O$86-O$3)+$G87-$G$86-$G$3</f>
        <v>-67.09409497791856</v>
      </c>
      <c r="S87" s="6"/>
      <c r="T87" s="8">
        <f aca="true" t="shared" si="37" ref="T87:T91">R87-R$87</f>
        <v>0</v>
      </c>
      <c r="U87" s="6"/>
    </row>
    <row r="88" spans="3:21" ht="14.25">
      <c r="C88" s="27"/>
      <c r="D88" s="27" t="s">
        <v>64</v>
      </c>
      <c r="E88" s="27">
        <v>167.963</v>
      </c>
      <c r="F88" s="27">
        <v>168.555</v>
      </c>
      <c r="G88" s="27">
        <v>134.136</v>
      </c>
      <c r="H88" s="27">
        <v>52.416</v>
      </c>
      <c r="I88" s="27">
        <v>54.403</v>
      </c>
      <c r="J88" s="27">
        <v>115.442</v>
      </c>
      <c r="K88" s="27">
        <v>-420397.02</v>
      </c>
      <c r="L88" s="27">
        <v>-670.0152820564</v>
      </c>
      <c r="M88" s="27">
        <v>-671.2832176169</v>
      </c>
      <c r="N88" s="27">
        <f t="shared" si="34"/>
        <v>-795.6422435693237</v>
      </c>
      <c r="O88" s="27">
        <f t="shared" si="35"/>
        <v>-421192.6622435693</v>
      </c>
      <c r="P88" s="2"/>
      <c r="Q88" s="28"/>
      <c r="R88" s="7">
        <f t="shared" si="36"/>
        <v>3.489343593570858</v>
      </c>
      <c r="S88" s="6"/>
      <c r="T88" s="8">
        <f t="shared" si="37"/>
        <v>70.58343857148941</v>
      </c>
      <c r="U88" s="6"/>
    </row>
    <row r="89" spans="3:21" ht="14.25">
      <c r="C89" s="27"/>
      <c r="D89" s="27" t="s">
        <v>65</v>
      </c>
      <c r="E89" s="27">
        <v>171.777</v>
      </c>
      <c r="F89" s="27">
        <v>172.37</v>
      </c>
      <c r="G89" s="27">
        <v>135.779</v>
      </c>
      <c r="H89" s="27">
        <v>56.625</v>
      </c>
      <c r="I89" s="27">
        <v>58.612</v>
      </c>
      <c r="J89" s="27">
        <v>122.726</v>
      </c>
      <c r="K89" s="27">
        <v>-420441.22</v>
      </c>
      <c r="L89" s="27">
        <v>-670.0852351054</v>
      </c>
      <c r="M89" s="27">
        <v>-671.3439142392</v>
      </c>
      <c r="N89" s="27">
        <f t="shared" si="34"/>
        <v>-789.8337432508388</v>
      </c>
      <c r="O89" s="27">
        <f t="shared" si="35"/>
        <v>-421231.0537432508</v>
      </c>
      <c r="P89" s="2"/>
      <c r="Q89" s="28"/>
      <c r="R89" s="7">
        <f t="shared" si="36"/>
        <v>-33.25915608788562</v>
      </c>
      <c r="S89" s="6"/>
      <c r="T89" s="8">
        <f t="shared" si="37"/>
        <v>33.83493889003294</v>
      </c>
      <c r="U89" s="6"/>
    </row>
    <row r="90" spans="3:21" ht="14.25">
      <c r="C90" s="27"/>
      <c r="D90" s="27" t="s">
        <v>66</v>
      </c>
      <c r="E90" s="27">
        <v>152.775</v>
      </c>
      <c r="F90" s="27">
        <v>153.367</v>
      </c>
      <c r="G90" s="27">
        <v>119.207</v>
      </c>
      <c r="H90" s="27">
        <v>50.128</v>
      </c>
      <c r="I90" s="27">
        <v>52.115</v>
      </c>
      <c r="J90" s="27">
        <v>114.574</v>
      </c>
      <c r="K90" s="27">
        <v>-372597.64</v>
      </c>
      <c r="L90" s="27">
        <v>-593.8370117484</v>
      </c>
      <c r="M90" s="27">
        <v>-594.9701439089</v>
      </c>
      <c r="N90" s="27">
        <f t="shared" si="34"/>
        <v>-711.0517620353888</v>
      </c>
      <c r="O90" s="27">
        <f t="shared" si="35"/>
        <v>-373308.6917620354</v>
      </c>
      <c r="P90" s="2"/>
      <c r="Q90" s="2"/>
      <c r="R90" s="7">
        <f aca="true" t="shared" si="38" ref="R90:R91">(O90+O$5-O$86-O$3)+$G90-$G$86-$G$3+$G$5</f>
        <v>-7.380211261846604</v>
      </c>
      <c r="S90" s="6"/>
      <c r="T90" s="8">
        <f t="shared" si="37"/>
        <v>59.713883716071955</v>
      </c>
      <c r="U90" s="6"/>
    </row>
    <row r="91" spans="3:21" ht="14.25">
      <c r="C91" s="27"/>
      <c r="D91" s="27" t="s">
        <v>67</v>
      </c>
      <c r="E91" s="27">
        <v>152.115</v>
      </c>
      <c r="F91" s="27">
        <v>152.708</v>
      </c>
      <c r="G91" s="27">
        <v>120.062</v>
      </c>
      <c r="H91" s="27">
        <v>48.201</v>
      </c>
      <c r="I91" s="27">
        <v>50.188</v>
      </c>
      <c r="J91" s="27">
        <v>109.496</v>
      </c>
      <c r="K91" s="27">
        <v>-372598.34</v>
      </c>
      <c r="L91" s="27">
        <v>-593.8380720516</v>
      </c>
      <c r="M91" s="27">
        <v>-594.9715329126</v>
      </c>
      <c r="N91" s="27">
        <f t="shared" si="34"/>
        <v>-711.258024886112</v>
      </c>
      <c r="O91" s="27">
        <f t="shared" si="35"/>
        <v>-373309.59802488616</v>
      </c>
      <c r="P91" s="2"/>
      <c r="Q91" s="2"/>
      <c r="R91" s="7">
        <f t="shared" si="38"/>
        <v>-7.431474112584731</v>
      </c>
      <c r="S91" s="6"/>
      <c r="T91" s="8">
        <f t="shared" si="37"/>
        <v>59.66262086533383</v>
      </c>
      <c r="U91" s="6"/>
    </row>
    <row r="92" spans="3:21" ht="14.2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>
        <f t="shared" si="34"/>
        <v>0</v>
      </c>
      <c r="O92" s="27">
        <f t="shared" si="35"/>
        <v>0</v>
      </c>
      <c r="P92" s="2"/>
      <c r="Q92" s="28"/>
      <c r="R92" s="2"/>
      <c r="S92" s="6"/>
      <c r="T92" s="6"/>
      <c r="U92" s="6"/>
    </row>
    <row r="93" spans="3:21" ht="14.25">
      <c r="C93" s="27"/>
      <c r="D93" s="27" t="s">
        <v>26</v>
      </c>
      <c r="E93" s="27">
        <v>267.628</v>
      </c>
      <c r="F93" s="27">
        <v>268.221</v>
      </c>
      <c r="G93" s="27">
        <v>218.438</v>
      </c>
      <c r="H93" s="27">
        <v>88.666</v>
      </c>
      <c r="I93" s="27">
        <v>90.653</v>
      </c>
      <c r="J93" s="27">
        <v>166.973</v>
      </c>
      <c r="K93" s="27">
        <v>-624845.67</v>
      </c>
      <c r="L93" s="27">
        <v>-995.8674948846</v>
      </c>
      <c r="M93" s="27">
        <v>-997.7758402124</v>
      </c>
      <c r="N93" s="27">
        <f t="shared" si="34"/>
        <v>-1197.505776647791</v>
      </c>
      <c r="O93" s="27">
        <f t="shared" si="35"/>
        <v>-626043.1757766479</v>
      </c>
      <c r="P93" s="2"/>
      <c r="Q93" s="28"/>
      <c r="R93" s="7">
        <f>O93-O86-O86-O$3+$G93-$G86-$G86-$G$3</f>
        <v>-104.86653863667559</v>
      </c>
      <c r="S93" s="6"/>
      <c r="T93" s="9">
        <f aca="true" t="shared" si="39" ref="T93:T96">R93-R$93</f>
        <v>0</v>
      </c>
      <c r="U93" s="6"/>
    </row>
    <row r="94" spans="3:21" ht="14.25">
      <c r="C94" s="27"/>
      <c r="D94" s="27" t="s">
        <v>27</v>
      </c>
      <c r="E94" s="27">
        <v>263.566</v>
      </c>
      <c r="F94" s="27">
        <v>264.159</v>
      </c>
      <c r="G94" s="27">
        <v>218.735</v>
      </c>
      <c r="H94" s="27">
        <v>82.532</v>
      </c>
      <c r="I94" s="27">
        <v>84.52</v>
      </c>
      <c r="J94" s="27">
        <v>152.353</v>
      </c>
      <c r="K94" s="27">
        <v>-624798.65</v>
      </c>
      <c r="L94" s="27">
        <v>-995.783261325</v>
      </c>
      <c r="M94" s="27">
        <v>-997.7052419557</v>
      </c>
      <c r="N94" s="27">
        <f t="shared" si="34"/>
        <v>-1206.0620655705427</v>
      </c>
      <c r="O94" s="27">
        <f t="shared" si="35"/>
        <v>-626004.7120655705</v>
      </c>
      <c r="P94" s="2"/>
      <c r="Q94" s="28"/>
      <c r="R94" s="7">
        <f>(O94-O$93)+($G94-$G$93)+R93</f>
        <v>-66.10582755932816</v>
      </c>
      <c r="S94" s="6"/>
      <c r="T94" s="9">
        <f t="shared" si="39"/>
        <v>38.76071107734742</v>
      </c>
      <c r="U94" s="6"/>
    </row>
    <row r="95" spans="3:21" ht="14.25">
      <c r="C95" s="27"/>
      <c r="D95" s="27" t="s">
        <v>28</v>
      </c>
      <c r="E95" s="27">
        <v>268.145</v>
      </c>
      <c r="F95" s="27">
        <v>268.737</v>
      </c>
      <c r="G95" s="27">
        <v>223.597</v>
      </c>
      <c r="H95" s="27">
        <v>83.984</v>
      </c>
      <c r="I95" s="27">
        <v>85.971</v>
      </c>
      <c r="J95" s="27">
        <v>151.4</v>
      </c>
      <c r="K95" s="27">
        <v>-624852.4</v>
      </c>
      <c r="L95" s="27">
        <v>-995.8722757265</v>
      </c>
      <c r="M95" s="27">
        <v>-997.7870212023</v>
      </c>
      <c r="N95" s="27">
        <f t="shared" si="34"/>
        <v>-1201.5219335192783</v>
      </c>
      <c r="O95" s="27">
        <f t="shared" si="35"/>
        <v>-626053.9219335193</v>
      </c>
      <c r="P95" s="2"/>
      <c r="Q95" s="28"/>
      <c r="R95" s="7">
        <f>(O95-O$93)+($G95-$G$93)+R93</f>
        <v>-110.4536955081108</v>
      </c>
      <c r="S95" s="6"/>
      <c r="T95" s="9">
        <f t="shared" si="39"/>
        <v>-5.587156871435212</v>
      </c>
      <c r="U95" s="6"/>
    </row>
    <row r="96" spans="3:21" ht="14.25">
      <c r="C96" s="27"/>
      <c r="D96" s="27" t="s">
        <v>30</v>
      </c>
      <c r="E96" s="27">
        <v>265.099</v>
      </c>
      <c r="F96" s="27">
        <v>265.692</v>
      </c>
      <c r="G96" s="27">
        <v>218.395</v>
      </c>
      <c r="H96" s="27">
        <v>85.852</v>
      </c>
      <c r="I96" s="27">
        <v>87.839</v>
      </c>
      <c r="J96" s="27">
        <v>158.634</v>
      </c>
      <c r="K96" s="27">
        <v>-624793.42</v>
      </c>
      <c r="L96" s="27">
        <v>-995.7761104624</v>
      </c>
      <c r="M96" s="27">
        <v>-997.7042968416</v>
      </c>
      <c r="N96" s="27">
        <f t="shared" si="34"/>
        <v>-1209.9562348118184</v>
      </c>
      <c r="O96" s="27">
        <f t="shared" si="35"/>
        <v>-626003.3762348118</v>
      </c>
      <c r="P96" s="2"/>
      <c r="Q96" s="28"/>
      <c r="R96" s="7">
        <f>(O96-O$93)+($G96-$G$93)+R93</f>
        <v>-65.10999680065316</v>
      </c>
      <c r="S96" s="6"/>
      <c r="T96" s="9">
        <f t="shared" si="39"/>
        <v>39.75654183602242</v>
      </c>
      <c r="U96" s="6"/>
    </row>
    <row r="97" spans="3:21" ht="14.2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"/>
      <c r="Q97" s="28"/>
      <c r="R97" s="7"/>
      <c r="S97" s="6"/>
      <c r="T97" s="6"/>
      <c r="U97" s="6"/>
    </row>
    <row r="98" spans="3:21" ht="14.25">
      <c r="C98" s="27"/>
      <c r="D98" s="27" t="s">
        <v>68</v>
      </c>
      <c r="E98" s="27">
        <v>178.491</v>
      </c>
      <c r="F98" s="27">
        <v>179.084</v>
      </c>
      <c r="G98" s="27">
        <v>140.129</v>
      </c>
      <c r="H98" s="27">
        <v>60.287</v>
      </c>
      <c r="I98" s="27">
        <v>62.274</v>
      </c>
      <c r="J98" s="27">
        <v>130.653</v>
      </c>
      <c r="K98" s="27">
        <v>-420702.29</v>
      </c>
      <c r="L98" s="27">
        <v>-670.5058734739</v>
      </c>
      <c r="M98" s="27">
        <v>-671.7554759722</v>
      </c>
      <c r="N98" s="27">
        <f aca="true" t="shared" si="40" ref="N98:N99">627.51*(M98-L98)</f>
        <v>-784.1380637082106</v>
      </c>
      <c r="O98" s="27">
        <f aca="true" t="shared" si="41" ref="O98:O99">K98+N98</f>
        <v>-421486.4280637082</v>
      </c>
      <c r="P98" s="2"/>
      <c r="Q98" s="28"/>
      <c r="R98" s="7">
        <f aca="true" t="shared" si="42" ref="R98:R99">(O98-O$86-O$3)+$G98-$G$86-$G$3</f>
        <v>-284.28347654528403</v>
      </c>
      <c r="S98" s="6"/>
      <c r="T98" s="6"/>
      <c r="U98" s="6"/>
    </row>
    <row r="99" spans="3:21" ht="14.25">
      <c r="C99" s="27"/>
      <c r="D99" s="27" t="s">
        <v>69</v>
      </c>
      <c r="E99" s="27">
        <v>161.846</v>
      </c>
      <c r="F99" s="27">
        <v>162.439</v>
      </c>
      <c r="G99" s="27">
        <v>126.16</v>
      </c>
      <c r="H99" s="27">
        <v>55.541</v>
      </c>
      <c r="I99" s="27">
        <v>57.528</v>
      </c>
      <c r="J99" s="27">
        <v>121.68</v>
      </c>
      <c r="K99" s="27">
        <v>-624798.65</v>
      </c>
      <c r="L99" s="27">
        <v>-995.783261325</v>
      </c>
      <c r="M99" s="27">
        <v>-997.7052419557</v>
      </c>
      <c r="N99" s="27">
        <f t="shared" si="40"/>
        <v>-1206.0620655705427</v>
      </c>
      <c r="O99" s="27">
        <f t="shared" si="41"/>
        <v>-626004.7120655705</v>
      </c>
      <c r="P99" s="2"/>
      <c r="Q99" s="28"/>
      <c r="R99" s="7">
        <f t="shared" si="42"/>
        <v>-204816.53647840762</v>
      </c>
      <c r="S99" s="6"/>
      <c r="T99" s="6"/>
      <c r="U99" s="6"/>
    </row>
    <row r="100" spans="3:21" ht="14.2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"/>
      <c r="Q100" s="2"/>
      <c r="R100" s="2"/>
      <c r="S100" s="6"/>
      <c r="T100" s="6"/>
      <c r="U100" s="6"/>
    </row>
    <row r="101" spans="3:21" ht="14.25">
      <c r="C101" s="27"/>
      <c r="D101" s="27" t="s">
        <v>70</v>
      </c>
      <c r="E101" s="27">
        <v>161.649</v>
      </c>
      <c r="F101" s="27">
        <v>162.241</v>
      </c>
      <c r="G101" s="27">
        <v>127.648</v>
      </c>
      <c r="H101" s="27">
        <v>51.205</v>
      </c>
      <c r="I101" s="27">
        <v>53.192</v>
      </c>
      <c r="J101" s="27">
        <v>116.025</v>
      </c>
      <c r="K101" s="27">
        <v>-372870.22</v>
      </c>
      <c r="L101" s="27">
        <v>-594.2721163753</v>
      </c>
      <c r="M101" s="27">
        <v>-595.3984012535</v>
      </c>
      <c r="N101" s="27">
        <f aca="true" t="shared" si="43" ref="N101:N102">627.51*(M101-L101)</f>
        <v>-706.755023919253</v>
      </c>
      <c r="O101" s="27">
        <f aca="true" t="shared" si="44" ref="O101:O102">K101+N101</f>
        <v>-373576.97502391925</v>
      </c>
      <c r="P101" s="2"/>
      <c r="Q101" s="28"/>
      <c r="R101" s="7">
        <f aca="true" t="shared" si="45" ref="R101:R102">(O101+O$5-O$86-O$3)+$G101-$G$86-$G$3+$G$5</f>
        <v>-267.22247314567585</v>
      </c>
      <c r="S101" s="6"/>
      <c r="T101" s="6"/>
      <c r="U101" s="6"/>
    </row>
    <row r="102" spans="3:21" ht="14.25">
      <c r="C102" s="27"/>
      <c r="D102" s="27" t="s">
        <v>71</v>
      </c>
      <c r="E102" s="27">
        <v>161.565</v>
      </c>
      <c r="F102" s="27">
        <v>162.158</v>
      </c>
      <c r="G102" s="27">
        <v>127.612</v>
      </c>
      <c r="H102" s="27">
        <v>51.292</v>
      </c>
      <c r="I102" s="27">
        <v>53.279</v>
      </c>
      <c r="J102" s="27">
        <v>115.867</v>
      </c>
      <c r="K102" s="27">
        <v>-372870.47</v>
      </c>
      <c r="L102" s="27">
        <v>-594.2724203856</v>
      </c>
      <c r="M102" s="27">
        <v>-595.3988373747</v>
      </c>
      <c r="N102" s="27">
        <f t="shared" si="43"/>
        <v>-706.8379248301371</v>
      </c>
      <c r="O102" s="27">
        <f t="shared" si="44"/>
        <v>-373577.3079248301</v>
      </c>
      <c r="P102" s="2"/>
      <c r="Q102" s="28"/>
      <c r="R102" s="7">
        <f t="shared" si="45"/>
        <v>-267.59137405654695</v>
      </c>
      <c r="S102" s="6"/>
      <c r="T102" s="6"/>
      <c r="U102" s="6"/>
    </row>
    <row r="103" spans="3:21" ht="14.2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"/>
      <c r="Q103" s="2"/>
      <c r="R103" s="2"/>
      <c r="S103" s="6"/>
      <c r="T103" s="6"/>
      <c r="U103" s="6"/>
    </row>
    <row r="104" spans="3:21" ht="14.2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"/>
      <c r="Q104" s="2"/>
      <c r="R104" s="2"/>
      <c r="S104" s="6"/>
      <c r="T104" s="6"/>
      <c r="U104" s="6"/>
    </row>
    <row r="105" spans="3:21" ht="14.25">
      <c r="C105" s="27"/>
      <c r="D105" s="27" t="s">
        <v>72</v>
      </c>
      <c r="E105" s="27">
        <v>103.562</v>
      </c>
      <c r="F105" s="27">
        <v>104.155</v>
      </c>
      <c r="G105" s="27">
        <v>80.313</v>
      </c>
      <c r="H105" s="27">
        <v>25.89</v>
      </c>
      <c r="I105" s="27">
        <v>27.877</v>
      </c>
      <c r="J105" s="27">
        <v>79.966</v>
      </c>
      <c r="K105" s="27">
        <v>-204606.98</v>
      </c>
      <c r="L105" s="27">
        <v>-326.1035138587</v>
      </c>
      <c r="M105" s="27">
        <v>-326.725011258</v>
      </c>
      <c r="N105" s="27">
        <f aca="true" t="shared" si="46" ref="N105:N115">627.51*(M105-L105)</f>
        <v>-389.99583303473236</v>
      </c>
      <c r="O105" s="27">
        <f aca="true" t="shared" si="47" ref="O105:O115">K105+N105</f>
        <v>-204996.97583303475</v>
      </c>
      <c r="P105" s="2"/>
      <c r="Q105" s="2"/>
      <c r="R105" s="7"/>
      <c r="S105" s="6"/>
      <c r="T105" s="6"/>
      <c r="U105" s="6"/>
    </row>
    <row r="106" spans="3:21" ht="14.25">
      <c r="C106" s="27"/>
      <c r="D106" s="27" t="s">
        <v>73</v>
      </c>
      <c r="E106" s="27">
        <v>180.468</v>
      </c>
      <c r="F106" s="27">
        <v>181.061</v>
      </c>
      <c r="G106" s="27">
        <v>145.537</v>
      </c>
      <c r="H106" s="27">
        <v>54.452</v>
      </c>
      <c r="I106" s="27">
        <v>56.439</v>
      </c>
      <c r="J106" s="27">
        <v>119.145</v>
      </c>
      <c r="K106" s="27">
        <v>-420719.74</v>
      </c>
      <c r="L106" s="27">
        <v>-670.5312552386</v>
      </c>
      <c r="M106" s="27">
        <v>-671.7896569376</v>
      </c>
      <c r="N106" s="27">
        <f t="shared" si="46"/>
        <v>-789.6596501394478</v>
      </c>
      <c r="O106" s="27">
        <f t="shared" si="47"/>
        <v>-421509.39965013944</v>
      </c>
      <c r="P106" s="2"/>
      <c r="Q106" s="2"/>
      <c r="R106" s="7">
        <f aca="true" t="shared" si="48" ref="R106:R108">(O106-O$86-O$4)+$G106-$G$86-$G$4</f>
        <v>-63.44451588911307</v>
      </c>
      <c r="S106" s="6"/>
      <c r="T106" s="6"/>
      <c r="U106" s="6"/>
    </row>
    <row r="107" spans="3:21" ht="14.25">
      <c r="C107" s="27"/>
      <c r="D107" s="27" t="s">
        <v>74</v>
      </c>
      <c r="E107" s="27">
        <v>181.084</v>
      </c>
      <c r="F107" s="27">
        <v>181.677</v>
      </c>
      <c r="G107" s="27">
        <v>145.01</v>
      </c>
      <c r="H107" s="27">
        <v>56.463</v>
      </c>
      <c r="I107" s="27">
        <v>58.451</v>
      </c>
      <c r="J107" s="27">
        <v>122.981</v>
      </c>
      <c r="K107" s="27">
        <v>-420718.14</v>
      </c>
      <c r="L107" s="27">
        <v>-670.5288356242</v>
      </c>
      <c r="M107" s="27">
        <v>-671.7864250794</v>
      </c>
      <c r="N107" s="27">
        <f t="shared" si="46"/>
        <v>-789.1499590325462</v>
      </c>
      <c r="O107" s="27">
        <f t="shared" si="47"/>
        <v>-421507.28995903255</v>
      </c>
      <c r="P107" s="2"/>
      <c r="Q107" s="2"/>
      <c r="R107" s="7">
        <f t="shared" si="48"/>
        <v>-61.861824782224154</v>
      </c>
      <c r="S107" s="6"/>
      <c r="T107" s="6"/>
      <c r="U107" s="6"/>
    </row>
    <row r="108" spans="3:21" ht="14.25">
      <c r="C108" s="27"/>
      <c r="D108" s="27" t="s">
        <v>75</v>
      </c>
      <c r="E108" s="27">
        <v>176.479</v>
      </c>
      <c r="F108" s="27">
        <v>177.071</v>
      </c>
      <c r="G108" s="27">
        <v>142.432</v>
      </c>
      <c r="H108" s="27">
        <v>53.663</v>
      </c>
      <c r="I108" s="27">
        <v>55.651</v>
      </c>
      <c r="J108" s="27">
        <v>116.18</v>
      </c>
      <c r="K108" s="27">
        <v>-420673.95</v>
      </c>
      <c r="L108" s="27">
        <v>-670.4576979891</v>
      </c>
      <c r="M108" s="27">
        <v>-671.8230855646</v>
      </c>
      <c r="N108" s="27">
        <f t="shared" si="46"/>
        <v>-856.7943575020015</v>
      </c>
      <c r="O108" s="27">
        <f t="shared" si="47"/>
        <v>-421530.74435750203</v>
      </c>
      <c r="R108" s="6">
        <f t="shared" si="48"/>
        <v>-87.89422325169971</v>
      </c>
      <c r="S108" s="6"/>
      <c r="T108" s="6"/>
      <c r="U108" s="6"/>
    </row>
    <row r="109" spans="3:21" ht="15.75">
      <c r="C109" s="27"/>
      <c r="D109" s="27" t="s">
        <v>36</v>
      </c>
      <c r="E109" s="27">
        <v>343.442</v>
      </c>
      <c r="F109" s="27">
        <v>344.035</v>
      </c>
      <c r="G109" s="27">
        <v>290.362</v>
      </c>
      <c r="H109" s="27">
        <v>110.116</v>
      </c>
      <c r="I109" s="27">
        <v>112.103</v>
      </c>
      <c r="J109" s="27">
        <v>180.02</v>
      </c>
      <c r="K109" s="29">
        <v>-840964.4</v>
      </c>
      <c r="L109" s="29">
        <v>-1340.2980162924</v>
      </c>
      <c r="M109" s="29">
        <v>-1342.8509044099</v>
      </c>
      <c r="N109" s="27">
        <f t="shared" si="46"/>
        <v>-1601.962822612463</v>
      </c>
      <c r="O109" s="27">
        <f t="shared" si="47"/>
        <v>-842566.3628226125</v>
      </c>
      <c r="P109">
        <f>O109+G109-G89-G89-O89-O89</f>
        <v>-85.45133611094207</v>
      </c>
      <c r="R109" s="6"/>
      <c r="S109" s="6"/>
      <c r="T109" s="6"/>
      <c r="U109" s="6"/>
    </row>
    <row r="110" spans="3:21" ht="14.25">
      <c r="C110" s="27"/>
      <c r="D110" s="27" t="s">
        <v>37</v>
      </c>
      <c r="E110" s="27">
        <v>340.902</v>
      </c>
      <c r="F110" s="27">
        <v>341.494</v>
      </c>
      <c r="G110" s="27">
        <v>285.174</v>
      </c>
      <c r="H110" s="27">
        <v>114.03</v>
      </c>
      <c r="I110" s="27">
        <v>116.017</v>
      </c>
      <c r="J110" s="27">
        <v>188.898</v>
      </c>
      <c r="K110" s="27">
        <v>-840942.33</v>
      </c>
      <c r="L110" s="27">
        <v>-1340.2606098841</v>
      </c>
      <c r="M110" s="27">
        <v>-1342.8321346469</v>
      </c>
      <c r="N110" s="27">
        <f t="shared" si="46"/>
        <v>-1613.6575039046163</v>
      </c>
      <c r="O110" s="27">
        <f t="shared" si="47"/>
        <v>-842555.9875039046</v>
      </c>
      <c r="R110" s="30">
        <f aca="true" t="shared" si="49" ref="R110:R111">(O110-O$109)+G110-G$109</f>
        <v>5.187318707898214</v>
      </c>
      <c r="S110" s="6"/>
      <c r="T110" s="6"/>
      <c r="U110" s="6"/>
    </row>
    <row r="111" spans="3:21" ht="15.75">
      <c r="C111" s="27"/>
      <c r="D111" s="27" t="s">
        <v>38</v>
      </c>
      <c r="E111" s="29">
        <v>344.067</v>
      </c>
      <c r="F111" s="29">
        <v>344.66</v>
      </c>
      <c r="G111" s="29">
        <v>284.861</v>
      </c>
      <c r="H111" s="29">
        <v>118.265</v>
      </c>
      <c r="I111" s="29">
        <v>120.252</v>
      </c>
      <c r="J111" s="29">
        <v>200.567</v>
      </c>
      <c r="K111" s="27">
        <v>-840967.82</v>
      </c>
      <c r="L111" s="27">
        <v>-1340.3068417974</v>
      </c>
      <c r="M111" s="27">
        <v>-1342.8649764019</v>
      </c>
      <c r="N111" s="27">
        <f t="shared" si="46"/>
        <v>-1605.2550456698468</v>
      </c>
      <c r="O111" s="27">
        <f t="shared" si="47"/>
        <v>-842573.0750456698</v>
      </c>
      <c r="R111" s="30">
        <f t="shared" si="49"/>
        <v>-12.213223057285916</v>
      </c>
      <c r="S111" s="6"/>
      <c r="T111" s="6"/>
      <c r="U111" s="6"/>
    </row>
    <row r="112" spans="3:21" ht="14.25">
      <c r="C112" s="27"/>
      <c r="D112" s="27" t="s">
        <v>39</v>
      </c>
      <c r="E112" s="27">
        <v>276.526</v>
      </c>
      <c r="F112" s="27">
        <v>277.118</v>
      </c>
      <c r="G112" s="27">
        <v>232.037</v>
      </c>
      <c r="H112" s="27">
        <v>82.133</v>
      </c>
      <c r="I112" s="27">
        <v>84.12</v>
      </c>
      <c r="J112" s="27">
        <v>151.204</v>
      </c>
      <c r="K112" s="27">
        <v>-625121.43</v>
      </c>
      <c r="L112" s="27">
        <v>-996.3026170523</v>
      </c>
      <c r="M112" s="27">
        <v>-998.2113959612</v>
      </c>
      <c r="N112" s="27">
        <f t="shared" si="46"/>
        <v>-1197.7778531238325</v>
      </c>
      <c r="O112" s="27">
        <f t="shared" si="47"/>
        <v>-626319.2078531239</v>
      </c>
      <c r="R112" s="6"/>
      <c r="S112" s="6"/>
      <c r="T112" s="31">
        <f aca="true" t="shared" si="50" ref="T112:T115">O112+G112-G$112-O$112</f>
        <v>0</v>
      </c>
      <c r="U112" s="6"/>
    </row>
    <row r="113" spans="3:21" ht="14.25">
      <c r="C113" s="27"/>
      <c r="D113" s="27" t="s">
        <v>40</v>
      </c>
      <c r="E113" s="32" t="s">
        <v>41</v>
      </c>
      <c r="F113" s="32" t="s">
        <v>41</v>
      </c>
      <c r="G113" s="32" t="s">
        <v>41</v>
      </c>
      <c r="H113" s="32" t="s">
        <v>41</v>
      </c>
      <c r="I113" s="32" t="s">
        <v>41</v>
      </c>
      <c r="J113" s="32" t="s">
        <v>41</v>
      </c>
      <c r="K113" s="27"/>
      <c r="L113" s="27"/>
      <c r="M113" s="27"/>
      <c r="N113" s="27">
        <f t="shared" si="46"/>
        <v>0</v>
      </c>
      <c r="O113" s="27">
        <f t="shared" si="47"/>
        <v>0</v>
      </c>
      <c r="R113" s="6"/>
      <c r="S113" s="6"/>
      <c r="T113" s="15" t="e">
        <f t="shared" si="50"/>
        <v>#VALUE!</v>
      </c>
      <c r="U113" s="6"/>
    </row>
    <row r="114" spans="3:21" ht="14.25">
      <c r="C114" s="27"/>
      <c r="D114" s="27" t="s">
        <v>42</v>
      </c>
      <c r="E114" s="27">
        <v>277.24</v>
      </c>
      <c r="F114" s="27">
        <v>277.833</v>
      </c>
      <c r="G114" s="27">
        <v>230.303</v>
      </c>
      <c r="H114" s="27">
        <v>85.599</v>
      </c>
      <c r="I114" s="27">
        <v>87.586</v>
      </c>
      <c r="J114" s="27">
        <v>159.414</v>
      </c>
      <c r="K114" s="27">
        <v>-625115.32</v>
      </c>
      <c r="L114" s="27">
        <v>-996.2922388986</v>
      </c>
      <c r="M114" s="27">
        <v>-998.1999991383</v>
      </c>
      <c r="N114" s="27">
        <f t="shared" si="46"/>
        <v>-1197.1386280141448</v>
      </c>
      <c r="O114" s="27">
        <f t="shared" si="47"/>
        <v>-626312.4586280141</v>
      </c>
      <c r="R114" s="6"/>
      <c r="S114" s="6"/>
      <c r="T114" s="15">
        <f t="shared" si="50"/>
        <v>5.0152251097606495</v>
      </c>
      <c r="U114" s="6"/>
    </row>
    <row r="115" spans="3:21" ht="14.25">
      <c r="C115" s="27"/>
      <c r="D115" s="27" t="s">
        <v>43</v>
      </c>
      <c r="E115" s="27">
        <v>274.334</v>
      </c>
      <c r="F115" s="27">
        <v>274.927</v>
      </c>
      <c r="G115" s="27">
        <v>229.22</v>
      </c>
      <c r="H115" s="27">
        <v>85.207</v>
      </c>
      <c r="I115" s="27">
        <v>87.194</v>
      </c>
      <c r="J115" s="27">
        <v>153.301</v>
      </c>
      <c r="K115" s="27">
        <v>-625101.63</v>
      </c>
      <c r="L115" s="27">
        <v>-996.2695073749</v>
      </c>
      <c r="M115" s="27">
        <v>-998.182015984</v>
      </c>
      <c r="N115" s="27">
        <f t="shared" si="46"/>
        <v>-1200.1182772963955</v>
      </c>
      <c r="O115" s="27">
        <f t="shared" si="47"/>
        <v>-626301.7482772964</v>
      </c>
      <c r="R115" s="6"/>
      <c r="S115" s="6"/>
      <c r="T115" s="31">
        <f t="shared" si="50"/>
        <v>14.642575827427208</v>
      </c>
      <c r="U115" s="6"/>
    </row>
    <row r="116" spans="3:21" ht="14.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R116" s="6"/>
      <c r="S116" s="6"/>
      <c r="T116" s="6"/>
      <c r="U116" s="6"/>
    </row>
    <row r="117" spans="16:21" ht="14.25">
      <c r="P117" s="2"/>
      <c r="Q117" s="2" t="s">
        <v>44</v>
      </c>
      <c r="R117" s="7">
        <f>O105+G105+G89+O89-G86-O86-O106-G106</f>
        <v>9.780724702181288</v>
      </c>
      <c r="S117" s="6"/>
      <c r="T117" s="6"/>
      <c r="U117" s="6"/>
    </row>
    <row r="118" spans="16:21" ht="14.25">
      <c r="P118" s="2"/>
      <c r="Q118" s="2"/>
      <c r="R118" s="7"/>
      <c r="S118" s="6"/>
      <c r="T118" s="6"/>
      <c r="U118" s="6"/>
    </row>
    <row r="119" spans="16:21" ht="14.25">
      <c r="P119" s="2"/>
      <c r="Q119" s="2"/>
      <c r="R119" s="7"/>
      <c r="S119" s="6"/>
      <c r="T119" s="6"/>
      <c r="U119" s="6"/>
    </row>
    <row r="120" spans="16:21" ht="14.25">
      <c r="P120" s="2"/>
      <c r="Q120" s="2"/>
      <c r="R120" s="7"/>
      <c r="S120" s="6"/>
      <c r="T120" s="6"/>
      <c r="U120" s="6"/>
    </row>
    <row r="121" spans="16:21" ht="14.25">
      <c r="P121" s="2"/>
      <c r="Q121" s="2"/>
      <c r="R121" s="7"/>
      <c r="S121" s="6"/>
      <c r="T121" s="6"/>
      <c r="U121" s="6"/>
    </row>
    <row r="122" spans="16:21" ht="14.25">
      <c r="P122" s="2"/>
      <c r="Q122" s="2"/>
      <c r="R122" s="7"/>
      <c r="S122" s="6"/>
      <c r="T122" s="6"/>
      <c r="U122" s="6"/>
    </row>
    <row r="123" spans="16:21" ht="14.25">
      <c r="P123" s="2"/>
      <c r="Q123" s="2"/>
      <c r="R123" s="7"/>
      <c r="S123" s="6"/>
      <c r="T123" s="6"/>
      <c r="U123" s="6"/>
    </row>
    <row r="124" spans="2:21" ht="30.75">
      <c r="B124" s="26" t="s">
        <v>76</v>
      </c>
      <c r="C124" s="33"/>
      <c r="D124" s="33" t="s">
        <v>77</v>
      </c>
      <c r="E124" s="33">
        <v>93.958</v>
      </c>
      <c r="F124" s="33">
        <v>94.551</v>
      </c>
      <c r="G124" s="33">
        <v>70.443</v>
      </c>
      <c r="H124" s="33">
        <v>26.918</v>
      </c>
      <c r="I124" s="33">
        <v>28.905</v>
      </c>
      <c r="J124" s="33">
        <v>80.859</v>
      </c>
      <c r="K124" s="33">
        <v>-204334.82</v>
      </c>
      <c r="L124" s="33">
        <v>-325.668369351</v>
      </c>
      <c r="M124" s="33">
        <v>-326.2939592919</v>
      </c>
      <c r="N124" s="33">
        <f aca="true" t="shared" si="51" ref="N124:N128">627.51*(M124-L124)</f>
        <v>-392.5639438141586</v>
      </c>
      <c r="O124" s="33">
        <f aca="true" t="shared" si="52" ref="O124:O128">K124+N124</f>
        <v>-204727.38394381417</v>
      </c>
      <c r="P124" s="2"/>
      <c r="Q124" s="28"/>
      <c r="R124" s="7"/>
      <c r="S124" s="6"/>
      <c r="T124" s="6"/>
      <c r="U124" s="6"/>
    </row>
    <row r="125" spans="3:21" ht="14.25">
      <c r="C125" s="33"/>
      <c r="D125" s="33" t="s">
        <v>78</v>
      </c>
      <c r="E125" s="33">
        <v>170.167</v>
      </c>
      <c r="F125" s="33">
        <v>170.759</v>
      </c>
      <c r="G125" s="33">
        <v>133.861</v>
      </c>
      <c r="H125" s="33">
        <v>56.655</v>
      </c>
      <c r="I125" s="33">
        <v>58.642</v>
      </c>
      <c r="J125" s="33">
        <v>123.756</v>
      </c>
      <c r="K125" s="33">
        <v>-420460.23</v>
      </c>
      <c r="L125" s="33">
        <v>-670.1188752424</v>
      </c>
      <c r="M125" s="33">
        <v>-671.3854523372</v>
      </c>
      <c r="N125" s="33">
        <f t="shared" si="51"/>
        <v>-794.7897927579651</v>
      </c>
      <c r="O125" s="33">
        <f t="shared" si="52"/>
        <v>-421255.0197927579</v>
      </c>
      <c r="P125" s="2"/>
      <c r="Q125" s="28"/>
      <c r="R125" s="7">
        <f aca="true" t="shared" si="53" ref="R125:R127">(O125-O$124-O$3)+$G125-$G$124-$G$3</f>
        <v>-60.057912629151495</v>
      </c>
      <c r="S125" s="6"/>
      <c r="T125" s="8">
        <f aca="true" t="shared" si="54" ref="T125:T128">R125-R$125</f>
        <v>0</v>
      </c>
      <c r="U125" s="6"/>
    </row>
    <row r="126" spans="3:21" ht="14.25">
      <c r="C126" s="33"/>
      <c r="D126" s="33" t="s">
        <v>79</v>
      </c>
      <c r="E126" s="33">
        <v>168.544</v>
      </c>
      <c r="F126" s="33">
        <v>169.136</v>
      </c>
      <c r="G126" s="33">
        <v>132.799</v>
      </c>
      <c r="H126" s="33">
        <v>54.407</v>
      </c>
      <c r="I126" s="33">
        <v>56.395</v>
      </c>
      <c r="J126" s="33">
        <v>121.877</v>
      </c>
      <c r="K126" s="33">
        <v>-420396.42</v>
      </c>
      <c r="L126" s="33">
        <v>-670.0143513227</v>
      </c>
      <c r="M126" s="33">
        <v>-671.2820977076</v>
      </c>
      <c r="N126" s="33">
        <f t="shared" si="51"/>
        <v>-795.523533988577</v>
      </c>
      <c r="O126" s="33">
        <f t="shared" si="52"/>
        <v>-421191.94353398855</v>
      </c>
      <c r="P126" s="2"/>
      <c r="Q126" s="28"/>
      <c r="R126" s="7">
        <f t="shared" si="53"/>
        <v>1.9563461402237934</v>
      </c>
      <c r="S126" s="6"/>
      <c r="T126" s="8">
        <f t="shared" si="54"/>
        <v>62.01425876937529</v>
      </c>
      <c r="U126" s="6"/>
    </row>
    <row r="127" spans="3:21" ht="14.25">
      <c r="C127" s="33"/>
      <c r="D127" s="33" t="s">
        <v>80</v>
      </c>
      <c r="E127" s="33">
        <v>171.151</v>
      </c>
      <c r="F127" s="33">
        <v>171.743</v>
      </c>
      <c r="G127" s="33">
        <v>136.445</v>
      </c>
      <c r="H127" s="33">
        <v>54.673</v>
      </c>
      <c r="I127" s="33">
        <v>56.66</v>
      </c>
      <c r="J127" s="33">
        <v>118.393</v>
      </c>
      <c r="K127" s="33">
        <v>-420440.09</v>
      </c>
      <c r="L127" s="33">
        <v>-670.0834714732</v>
      </c>
      <c r="M127" s="33">
        <v>-671.3424215565</v>
      </c>
      <c r="N127" s="33">
        <f t="shared" si="51"/>
        <v>-790.0037667715609</v>
      </c>
      <c r="O127" s="33">
        <f t="shared" si="52"/>
        <v>-421230.0937667716</v>
      </c>
      <c r="P127" s="2"/>
      <c r="Q127" s="28"/>
      <c r="R127" s="7">
        <f t="shared" si="53"/>
        <v>-32.54788664282929</v>
      </c>
      <c r="S127" s="6"/>
      <c r="T127" s="8">
        <f t="shared" si="54"/>
        <v>27.510025986322205</v>
      </c>
      <c r="U127" s="6"/>
    </row>
    <row r="128" spans="3:21" ht="14.25">
      <c r="C128" s="33"/>
      <c r="D128" s="33" t="s">
        <v>81</v>
      </c>
      <c r="E128" s="33">
        <v>152.157</v>
      </c>
      <c r="F128" s="33">
        <v>152.749</v>
      </c>
      <c r="G128" s="33">
        <v>119.848</v>
      </c>
      <c r="H128" s="33">
        <v>48.201</v>
      </c>
      <c r="I128" s="33">
        <v>50.189</v>
      </c>
      <c r="J128" s="33">
        <v>110.353</v>
      </c>
      <c r="K128" s="33">
        <v>-372597.78</v>
      </c>
      <c r="L128" s="33">
        <v>-593.8372043285</v>
      </c>
      <c r="M128" s="33">
        <v>-594.9706059083</v>
      </c>
      <c r="N128" s="33">
        <f t="shared" si="51"/>
        <v>-711.2208253402763</v>
      </c>
      <c r="O128" s="33">
        <f t="shared" si="52"/>
        <v>-373309.0008253403</v>
      </c>
      <c r="P128" s="2"/>
      <c r="Q128" s="28"/>
      <c r="R128" s="7">
        <f>(O128-O$124-O$3+O$5)++G$5+$G128-$G$124-$G$3</f>
        <v>-7.962981600831789</v>
      </c>
      <c r="S128" s="6"/>
      <c r="T128" s="8">
        <f t="shared" si="54"/>
        <v>52.09493102831971</v>
      </c>
      <c r="U128" s="6"/>
    </row>
    <row r="129" spans="3:21" ht="14.2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2"/>
      <c r="Q129" s="28"/>
      <c r="R129" s="2"/>
      <c r="S129" s="6"/>
      <c r="T129" s="6"/>
      <c r="U129" s="6"/>
    </row>
    <row r="130" spans="3:21" ht="14.25">
      <c r="C130" s="33"/>
      <c r="D130" s="33" t="s">
        <v>26</v>
      </c>
      <c r="E130" s="33">
        <v>266.778</v>
      </c>
      <c r="F130" s="33">
        <v>267.371</v>
      </c>
      <c r="G130" s="33">
        <v>218.734</v>
      </c>
      <c r="H130" s="33">
        <v>86.927</v>
      </c>
      <c r="I130" s="33">
        <v>88.914</v>
      </c>
      <c r="J130" s="33">
        <v>163.13</v>
      </c>
      <c r="K130" s="33">
        <v>-624839.71</v>
      </c>
      <c r="L130" s="33">
        <v>-995.8548877595</v>
      </c>
      <c r="M130" s="33">
        <v>-997.7625103463</v>
      </c>
      <c r="N130" s="33">
        <f aca="true" t="shared" si="55" ref="N130:N133">627.51*(M130-L130)</f>
        <v>-1197.0522494428783</v>
      </c>
      <c r="O130" s="33">
        <f aca="true" t="shared" si="56" ref="O130:O133">K130+N130</f>
        <v>-626036.7622494429</v>
      </c>
      <c r="P130" s="2"/>
      <c r="Q130" s="28"/>
      <c r="R130" s="2"/>
      <c r="S130" s="6" t="s">
        <v>82</v>
      </c>
      <c r="T130" s="9">
        <f>(O130-O$130)+($G130-$G$130)</f>
        <v>0</v>
      </c>
      <c r="U130" s="6"/>
    </row>
    <row r="131" spans="3:21" ht="14.25">
      <c r="C131" s="33"/>
      <c r="D131" s="33" t="s">
        <v>27</v>
      </c>
      <c r="E131" s="33">
        <v>263.08</v>
      </c>
      <c r="F131" s="33">
        <v>263.672</v>
      </c>
      <c r="G131" s="33">
        <v>219.662</v>
      </c>
      <c r="H131" s="33">
        <v>80.399</v>
      </c>
      <c r="I131" s="33">
        <v>82.386</v>
      </c>
      <c r="J131" s="33">
        <v>147.613</v>
      </c>
      <c r="K131" s="33">
        <v>-624794.87</v>
      </c>
      <c r="L131" s="33">
        <v>-995.7776679877</v>
      </c>
      <c r="M131" s="33">
        <v>-997.6990964049</v>
      </c>
      <c r="N131" s="33">
        <f t="shared" si="55"/>
        <v>-1205.7155460771662</v>
      </c>
      <c r="O131" s="33">
        <f t="shared" si="56"/>
        <v>-626000.5855460771</v>
      </c>
      <c r="P131" s="2"/>
      <c r="Q131" s="28"/>
      <c r="R131" s="2"/>
      <c r="S131" s="6"/>
      <c r="T131" s="9">
        <f aca="true" t="shared" si="57" ref="T131:T133">(O131-O$130)+($G131-$G$130)+T$130</f>
        <v>37.10470336575247</v>
      </c>
      <c r="U131" s="6"/>
    </row>
    <row r="132" spans="3:21" ht="14.25">
      <c r="C132" s="33"/>
      <c r="D132" s="33" t="s">
        <v>28</v>
      </c>
      <c r="E132" s="33">
        <v>269.319</v>
      </c>
      <c r="F132" s="33">
        <v>269.911</v>
      </c>
      <c r="G132" s="33">
        <v>221.187</v>
      </c>
      <c r="H132" s="33">
        <v>87.913</v>
      </c>
      <c r="I132" s="33">
        <v>89.901</v>
      </c>
      <c r="J132" s="33">
        <v>163.423</v>
      </c>
      <c r="K132" s="33">
        <v>-624847.87</v>
      </c>
      <c r="L132" s="33">
        <v>-995.8651000446</v>
      </c>
      <c r="M132" s="33">
        <v>-997.7792350079</v>
      </c>
      <c r="N132" s="33">
        <f t="shared" si="55"/>
        <v>-1201.1388308203475</v>
      </c>
      <c r="O132" s="33">
        <f t="shared" si="56"/>
        <v>-626049.0088308203</v>
      </c>
      <c r="P132" s="2"/>
      <c r="Q132" s="28"/>
      <c r="R132" s="2"/>
      <c r="S132" s="6"/>
      <c r="T132" s="9">
        <f t="shared" si="57"/>
        <v>-9.79358137746155</v>
      </c>
      <c r="U132" s="6"/>
    </row>
    <row r="133" spans="3:21" ht="14.25">
      <c r="C133" s="33"/>
      <c r="D133" s="33" t="s">
        <v>30</v>
      </c>
      <c r="E133" s="33">
        <v>265.024</v>
      </c>
      <c r="F133" s="33">
        <v>265.616</v>
      </c>
      <c r="G133" s="33">
        <v>218.382</v>
      </c>
      <c r="H133" s="33">
        <v>85.946</v>
      </c>
      <c r="I133" s="33">
        <v>87.933</v>
      </c>
      <c r="J133" s="33">
        <v>158.426</v>
      </c>
      <c r="K133" s="33">
        <v>-624793.74</v>
      </c>
      <c r="L133" s="33">
        <v>-995.7763218904</v>
      </c>
      <c r="M133" s="33">
        <v>-997.7056680575</v>
      </c>
      <c r="N133" s="33">
        <f t="shared" si="55"/>
        <v>-1210.6840133169167</v>
      </c>
      <c r="O133" s="33">
        <f t="shared" si="56"/>
        <v>-626004.4240133169</v>
      </c>
      <c r="P133" s="2"/>
      <c r="Q133" s="28"/>
      <c r="R133" s="2"/>
      <c r="S133" s="6"/>
      <c r="T133" s="9">
        <f t="shared" si="57"/>
        <v>31.98623612600099</v>
      </c>
      <c r="U133" s="6"/>
    </row>
    <row r="134" spans="3:21" ht="14.2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"/>
      <c r="Q134" s="28"/>
      <c r="R134" s="2"/>
      <c r="S134" s="6"/>
      <c r="T134" s="9"/>
      <c r="U134" s="6"/>
    </row>
    <row r="135" spans="3:21" ht="14.2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2"/>
      <c r="Q135" s="28"/>
      <c r="R135" s="2"/>
      <c r="S135" s="6"/>
      <c r="T135" s="9"/>
      <c r="U135" s="6"/>
    </row>
    <row r="136" spans="3:21" ht="14.25">
      <c r="C136" s="33"/>
      <c r="D136" s="33" t="s">
        <v>83</v>
      </c>
      <c r="E136" s="33">
        <v>177.841</v>
      </c>
      <c r="F136" s="33">
        <v>178.434</v>
      </c>
      <c r="G136" s="33">
        <v>140.663</v>
      </c>
      <c r="H136" s="33">
        <v>58.374</v>
      </c>
      <c r="I136" s="33">
        <v>60.361</v>
      </c>
      <c r="J136" s="33">
        <v>126.682</v>
      </c>
      <c r="K136" s="33">
        <v>-420702.98</v>
      </c>
      <c r="L136" s="33">
        <v>-670.5071232947</v>
      </c>
      <c r="M136" s="33">
        <v>-671.7571306665</v>
      </c>
      <c r="N136" s="33">
        <f aca="true" t="shared" si="58" ref="N136:N137">627.51*(M136-L136)</f>
        <v>-784.3921258781794</v>
      </c>
      <c r="O136" s="33">
        <f aca="true" t="shared" si="59" ref="O136:O137">K136+N136</f>
        <v>-421487.3721258782</v>
      </c>
      <c r="P136" s="2"/>
      <c r="Q136" s="28"/>
      <c r="R136" s="7">
        <f>(O136-O$124-O$3)+$G136-$G$124-$G$3</f>
        <v>-285.6082457493965</v>
      </c>
      <c r="S136" s="6"/>
      <c r="T136" s="6"/>
      <c r="U136" s="6"/>
    </row>
    <row r="137" spans="3:21" ht="14.25">
      <c r="C137" s="33"/>
      <c r="D137" s="33" t="s">
        <v>84</v>
      </c>
      <c r="E137" s="33">
        <v>161.207</v>
      </c>
      <c r="F137" s="33">
        <v>161.799</v>
      </c>
      <c r="G137" s="33">
        <v>126.767</v>
      </c>
      <c r="H137" s="33">
        <v>53.529</v>
      </c>
      <c r="I137" s="33">
        <v>55.516</v>
      </c>
      <c r="J137" s="33">
        <v>117.497</v>
      </c>
      <c r="K137" s="33">
        <v>-420098.63</v>
      </c>
      <c r="L137" s="33">
        <v>-669.538274602</v>
      </c>
      <c r="M137" s="33">
        <v>-670.8020360677</v>
      </c>
      <c r="N137" s="33">
        <f t="shared" si="58"/>
        <v>-793.0229573413981</v>
      </c>
      <c r="O137" s="33">
        <f t="shared" si="59"/>
        <v>-420891.6529573414</v>
      </c>
      <c r="P137" s="2"/>
      <c r="Q137" s="28"/>
      <c r="R137" s="7" t="e">
        <f>(O137-O$124-O$3)+#REF!-$G$124-$G$3</f>
        <v>#REF!</v>
      </c>
      <c r="S137" s="6"/>
      <c r="T137" s="6"/>
      <c r="U137" s="6"/>
    </row>
    <row r="138" spans="3:21" ht="14.2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2"/>
      <c r="Q138" s="2"/>
      <c r="R138" s="2"/>
      <c r="S138" s="6"/>
      <c r="T138" s="6"/>
      <c r="U138" s="6"/>
    </row>
    <row r="139" spans="3:21" ht="14.25">
      <c r="C139" s="33"/>
      <c r="D139" s="33" t="s">
        <v>85</v>
      </c>
      <c r="E139" s="33">
        <v>161.008</v>
      </c>
      <c r="F139" s="33">
        <v>161.601</v>
      </c>
      <c r="G139" s="33">
        <v>128.246</v>
      </c>
      <c r="H139" s="33">
        <v>49.31</v>
      </c>
      <c r="I139" s="33">
        <v>51.297</v>
      </c>
      <c r="J139" s="33">
        <v>111.873</v>
      </c>
      <c r="K139" s="33">
        <v>-372870.2</v>
      </c>
      <c r="L139" s="33">
        <v>-594.2720641088</v>
      </c>
      <c r="M139" s="33">
        <v>-595.3984171616</v>
      </c>
      <c r="N139" s="33">
        <f>627.51*(M139-L139)</f>
        <v>-706.7978041625452</v>
      </c>
      <c r="O139" s="33">
        <f>K139+N139</f>
        <v>-373576.99780416256</v>
      </c>
      <c r="P139" s="2"/>
      <c r="Q139" s="28"/>
      <c r="R139" s="7">
        <f>(O139+O$5-O$124-O$3)+$G139-$G$124-$G$3+$G$5</f>
        <v>-267.5619604231052</v>
      </c>
      <c r="S139" s="6"/>
      <c r="T139" s="6"/>
      <c r="U139" s="6"/>
    </row>
    <row r="140" spans="3:21" ht="14.2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2"/>
      <c r="Q140" s="2"/>
      <c r="R140" s="2"/>
      <c r="S140" s="6"/>
      <c r="T140" s="6"/>
      <c r="U140" s="6"/>
    </row>
    <row r="141" spans="3:21" ht="14.25">
      <c r="C141" s="33"/>
      <c r="D141" s="33" t="s">
        <v>86</v>
      </c>
      <c r="E141" s="33">
        <v>103.43</v>
      </c>
      <c r="F141" s="33">
        <v>104.023</v>
      </c>
      <c r="G141" s="33">
        <v>80.113</v>
      </c>
      <c r="H141" s="33">
        <v>26.015</v>
      </c>
      <c r="I141" s="33">
        <v>28.002</v>
      </c>
      <c r="J141" s="33">
        <v>80.195</v>
      </c>
      <c r="K141" s="33">
        <v>-204608.61</v>
      </c>
      <c r="L141" s="33">
        <v>-326.1061122325</v>
      </c>
      <c r="M141" s="33">
        <v>-326.7279204518</v>
      </c>
      <c r="N141" s="33">
        <f aca="true" t="shared" si="60" ref="N141:N150">627.51*(M141-L141)</f>
        <v>-390.1908756929564</v>
      </c>
      <c r="O141" s="33">
        <f aca="true" t="shared" si="61" ref="O141:O150">K141+N141</f>
        <v>-204998.80087569295</v>
      </c>
      <c r="P141" s="2"/>
      <c r="Q141" s="2"/>
      <c r="R141" s="7"/>
      <c r="S141" s="6"/>
      <c r="T141" s="6"/>
      <c r="U141" s="6"/>
    </row>
    <row r="142" spans="3:21" ht="14.25">
      <c r="C142" s="33"/>
      <c r="D142" s="33" t="s">
        <v>87</v>
      </c>
      <c r="E142" s="33">
        <v>180.346</v>
      </c>
      <c r="F142" s="33">
        <v>180.939</v>
      </c>
      <c r="G142" s="33">
        <v>145.409</v>
      </c>
      <c r="H142" s="33">
        <v>54.528</v>
      </c>
      <c r="I142" s="33">
        <v>56.515</v>
      </c>
      <c r="J142" s="33">
        <v>119.168</v>
      </c>
      <c r="K142" s="33">
        <v>-420718.08</v>
      </c>
      <c r="L142" s="33">
        <v>-670.5286750124</v>
      </c>
      <c r="M142" s="33">
        <v>-671.7861402314</v>
      </c>
      <c r="N142" s="33">
        <f t="shared" si="60"/>
        <v>-789.0719995747503</v>
      </c>
      <c r="O142" s="33">
        <f t="shared" si="61"/>
        <v>-421507.1519995748</v>
      </c>
      <c r="R142" s="6">
        <f aca="true" t="shared" si="62" ref="R142:R143">(O142-O$124-O$4)+$G142-$G$124-$G$4</f>
        <v>-62.239572358586834</v>
      </c>
      <c r="S142" s="6"/>
      <c r="T142" s="6"/>
      <c r="U142" s="6"/>
    </row>
    <row r="143" spans="3:21" ht="14.25">
      <c r="C143" s="33"/>
      <c r="D143" s="33" t="s">
        <v>88</v>
      </c>
      <c r="E143" s="33">
        <v>177.041</v>
      </c>
      <c r="F143" s="33">
        <v>177.634</v>
      </c>
      <c r="G143" s="33">
        <v>141.103</v>
      </c>
      <c r="H143" s="33">
        <v>55.707</v>
      </c>
      <c r="I143" s="33">
        <v>57.694</v>
      </c>
      <c r="J143" s="33">
        <v>122.525</v>
      </c>
      <c r="K143" s="33">
        <v>-420663.51</v>
      </c>
      <c r="L143" s="33">
        <v>-670.4411293559</v>
      </c>
      <c r="M143" s="33">
        <v>-671.7021880487</v>
      </c>
      <c r="N143" s="33">
        <f t="shared" si="60"/>
        <v>-791.3269403189407</v>
      </c>
      <c r="O143" s="33">
        <f t="shared" si="61"/>
        <v>-421454.8369403189</v>
      </c>
      <c r="R143" s="6">
        <f t="shared" si="62"/>
        <v>-14.230513102720018</v>
      </c>
      <c r="S143" s="6"/>
      <c r="T143" s="6"/>
      <c r="U143" s="6"/>
    </row>
    <row r="144" spans="3:21" ht="15.75">
      <c r="C144" s="33"/>
      <c r="D144" s="33" t="s">
        <v>36</v>
      </c>
      <c r="E144" s="33">
        <v>344.034</v>
      </c>
      <c r="F144" s="33">
        <v>344.626</v>
      </c>
      <c r="G144" s="33">
        <v>288.304</v>
      </c>
      <c r="H144" s="33">
        <v>111.856</v>
      </c>
      <c r="I144" s="33">
        <v>113.843</v>
      </c>
      <c r="J144" s="33">
        <v>188.904</v>
      </c>
      <c r="K144" s="34">
        <v>-840965.68</v>
      </c>
      <c r="L144" s="34">
        <v>-1340.2998286361</v>
      </c>
      <c r="M144" s="34">
        <v>-1342.8539697106</v>
      </c>
      <c r="N144" s="33">
        <f t="shared" si="60"/>
        <v>-1602.7490656594741</v>
      </c>
      <c r="O144" s="33">
        <f t="shared" si="61"/>
        <v>-842568.4290656595</v>
      </c>
      <c r="P144">
        <f>O144+G144-2*(G127+O127)</f>
        <v>-92.82753211632371</v>
      </c>
      <c r="R144" s="6"/>
      <c r="S144" s="6"/>
      <c r="T144" s="6"/>
      <c r="U144" s="6"/>
    </row>
    <row r="145" spans="3:21" ht="14.25">
      <c r="C145" s="33"/>
      <c r="D145" s="33" t="s">
        <v>37</v>
      </c>
      <c r="E145" s="33">
        <v>340.152</v>
      </c>
      <c r="F145" s="33">
        <v>340.745</v>
      </c>
      <c r="G145" s="33">
        <v>284.321</v>
      </c>
      <c r="H145" s="33">
        <v>112.187</v>
      </c>
      <c r="I145" s="33">
        <v>114.174</v>
      </c>
      <c r="J145" s="33">
        <v>189.246</v>
      </c>
      <c r="K145" s="33">
        <v>-840933.4</v>
      </c>
      <c r="L145" s="33">
        <v>-1340.2463887997</v>
      </c>
      <c r="M145" s="33">
        <v>-1342.8165019852</v>
      </c>
      <c r="N145" s="33">
        <f t="shared" si="60"/>
        <v>-1612.7717250330104</v>
      </c>
      <c r="O145" s="33">
        <f t="shared" si="61"/>
        <v>-842546.1717250331</v>
      </c>
      <c r="R145" s="14">
        <f aca="true" t="shared" si="63" ref="R145:R146">(O145-O$144)+G145-G$144</f>
        <v>18.274340626441926</v>
      </c>
      <c r="S145" s="6"/>
      <c r="T145" s="6"/>
      <c r="U145" s="6"/>
    </row>
    <row r="146" spans="3:21" ht="15.75">
      <c r="C146" s="33"/>
      <c r="D146" s="33" t="s">
        <v>38</v>
      </c>
      <c r="E146" s="33">
        <v>342.733</v>
      </c>
      <c r="F146" s="33">
        <v>343.325</v>
      </c>
      <c r="G146" s="33">
        <v>286.033</v>
      </c>
      <c r="H146" s="33">
        <v>114.383</v>
      </c>
      <c r="I146" s="33">
        <v>116.37</v>
      </c>
      <c r="J146" s="33">
        <v>192.16</v>
      </c>
      <c r="K146" s="34">
        <v>-840965.85</v>
      </c>
      <c r="L146" s="34">
        <v>-1340.3040539786</v>
      </c>
      <c r="M146" s="34">
        <v>-1342.8641381413</v>
      </c>
      <c r="N146" s="33">
        <f t="shared" si="60"/>
        <v>-1606.4784129358284</v>
      </c>
      <c r="O146" s="33">
        <f t="shared" si="61"/>
        <v>-842572.3284129358</v>
      </c>
      <c r="R146" s="14">
        <f t="shared" si="63"/>
        <v>-6.170347276310395</v>
      </c>
      <c r="S146" s="6"/>
      <c r="T146" s="6"/>
      <c r="U146" s="6"/>
    </row>
    <row r="147" spans="3:21" ht="14.25">
      <c r="C147" s="33"/>
      <c r="D147" s="33" t="s">
        <v>39</v>
      </c>
      <c r="E147" s="33">
        <v>276.362</v>
      </c>
      <c r="F147" s="33">
        <v>276.954</v>
      </c>
      <c r="G147" s="33">
        <v>231.681</v>
      </c>
      <c r="H147" s="33">
        <v>82.129</v>
      </c>
      <c r="I147" s="33">
        <v>84.116</v>
      </c>
      <c r="J147" s="33">
        <v>151.848</v>
      </c>
      <c r="K147" s="33">
        <v>-625113.03</v>
      </c>
      <c r="L147" s="33">
        <v>-996.2893553086</v>
      </c>
      <c r="M147" s="33">
        <v>-998.1958836282</v>
      </c>
      <c r="N147" s="33">
        <f t="shared" si="60"/>
        <v>-1196.3655858322313</v>
      </c>
      <c r="O147" s="33">
        <f t="shared" si="61"/>
        <v>-626309.3955858323</v>
      </c>
      <c r="R147" s="6"/>
      <c r="S147" s="6"/>
      <c r="T147" s="15">
        <f aca="true" t="shared" si="64" ref="T147:T150">O147+G147-G$147-O$147</f>
        <v>0</v>
      </c>
      <c r="U147" s="6"/>
    </row>
    <row r="148" spans="3:21" ht="14.25">
      <c r="C148" s="33"/>
      <c r="D148" s="33" t="s">
        <v>40</v>
      </c>
      <c r="E148" s="35" t="s">
        <v>41</v>
      </c>
      <c r="F148" s="35" t="s">
        <v>41</v>
      </c>
      <c r="G148" s="35" t="s">
        <v>41</v>
      </c>
      <c r="H148" s="35" t="s">
        <v>41</v>
      </c>
      <c r="I148" s="35" t="s">
        <v>41</v>
      </c>
      <c r="J148" s="35" t="s">
        <v>41</v>
      </c>
      <c r="K148" s="33"/>
      <c r="L148" s="33"/>
      <c r="M148" s="33"/>
      <c r="N148" s="33">
        <f t="shared" si="60"/>
        <v>0</v>
      </c>
      <c r="O148" s="33">
        <f t="shared" si="61"/>
        <v>0</v>
      </c>
      <c r="R148" s="6"/>
      <c r="S148" s="6"/>
      <c r="T148" s="15" t="e">
        <f t="shared" si="64"/>
        <v>#VALUE!</v>
      </c>
      <c r="U148" s="6"/>
    </row>
    <row r="149" spans="3:21" ht="14.25">
      <c r="C149" s="33"/>
      <c r="D149" s="33" t="s">
        <v>42</v>
      </c>
      <c r="E149" s="33">
        <v>276.552</v>
      </c>
      <c r="F149" s="33">
        <v>277.145</v>
      </c>
      <c r="G149" s="33">
        <v>231.466</v>
      </c>
      <c r="H149" s="33">
        <v>83.697</v>
      </c>
      <c r="I149" s="33">
        <v>85.684</v>
      </c>
      <c r="J149" s="33">
        <v>153.206</v>
      </c>
      <c r="K149" s="33">
        <v>-625111.45</v>
      </c>
      <c r="L149" s="33">
        <v>-996.2860487217</v>
      </c>
      <c r="M149" s="33">
        <v>-998.1934730307</v>
      </c>
      <c r="N149" s="33">
        <f t="shared" si="60"/>
        <v>-1196.9278281406032</v>
      </c>
      <c r="O149" s="33">
        <f t="shared" si="61"/>
        <v>-626308.3778281405</v>
      </c>
      <c r="R149" s="6"/>
      <c r="S149" s="6"/>
      <c r="T149" s="15">
        <f t="shared" si="64"/>
        <v>0.8027576918248087</v>
      </c>
      <c r="U149" s="6"/>
    </row>
    <row r="150" spans="3:21" ht="14.25">
      <c r="C150" s="33"/>
      <c r="D150" s="33" t="s">
        <v>43</v>
      </c>
      <c r="E150" s="33">
        <v>274.251</v>
      </c>
      <c r="F150" s="33">
        <v>274.843</v>
      </c>
      <c r="G150" s="33">
        <v>228.989</v>
      </c>
      <c r="H150" s="33">
        <v>85.282</v>
      </c>
      <c r="I150" s="33">
        <v>87.269</v>
      </c>
      <c r="J150" s="33">
        <v>153.796</v>
      </c>
      <c r="K150" s="33">
        <v>-625098.12</v>
      </c>
      <c r="L150" s="33">
        <v>-996.2655186918</v>
      </c>
      <c r="M150" s="33">
        <v>-998.177849033</v>
      </c>
      <c r="N150" s="33">
        <f t="shared" si="60"/>
        <v>-1200.0064124064145</v>
      </c>
      <c r="O150" s="33">
        <f t="shared" si="61"/>
        <v>-626298.1264124064</v>
      </c>
      <c r="R150" s="6"/>
      <c r="S150" s="6"/>
      <c r="T150" s="15">
        <f t="shared" si="64"/>
        <v>8.577173425816</v>
      </c>
      <c r="U150" s="6"/>
    </row>
    <row r="151" spans="4:19" ht="14.25">
      <c r="D151" t="s">
        <v>89</v>
      </c>
      <c r="R151" s="6"/>
      <c r="S151" s="6"/>
    </row>
    <row r="152" spans="16:20" ht="14.25">
      <c r="P152" s="2"/>
      <c r="Q152" s="2"/>
      <c r="R152" s="2"/>
      <c r="S152" s="6"/>
      <c r="T152" s="6"/>
    </row>
    <row r="153" spans="16:20" ht="14.25">
      <c r="P153" s="2"/>
      <c r="Q153" s="2" t="s">
        <v>44</v>
      </c>
      <c r="R153" s="7">
        <f>O141+G141+G127+O127-O124-G124-G142-O142</f>
        <v>6.347300924477167</v>
      </c>
      <c r="S153" s="6"/>
      <c r="T153" s="6"/>
    </row>
    <row r="154" spans="16:20" ht="14.25">
      <c r="P154" s="2"/>
      <c r="Q154" s="2"/>
      <c r="R154" s="7"/>
      <c r="S154" s="6"/>
      <c r="T154" s="6"/>
    </row>
    <row r="155" spans="16:20" ht="14.25">
      <c r="P155" s="2"/>
      <c r="Q155" s="2"/>
      <c r="R155" s="7"/>
      <c r="S155" s="6"/>
      <c r="T155" s="6"/>
    </row>
    <row r="156" spans="18:20" ht="14.25">
      <c r="R156" s="6"/>
      <c r="S156" s="6"/>
      <c r="T15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2020-11-10T17:42:38Z</dcterms:modified>
  <cp:category/>
  <cp:version/>
  <cp:contentType/>
  <cp:contentStatus/>
  <cp:revision>6</cp:revision>
</cp:coreProperties>
</file>