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530" firstSheet="2" activeTab="2"/>
  </bookViews>
  <sheets>
    <sheet name="SMA p.panit" sheetId="1" r:id="rId1"/>
    <sheet name="SMA p.panit 1" sheetId="5" r:id="rId2"/>
    <sheet name="SMA test" sheetId="6" r:id="rId3"/>
  </sheets>
  <calcPr calcId="144525"/>
</workbook>
</file>

<file path=xl/calcChain.xml><?xml version="1.0" encoding="utf-8"?>
<calcChain xmlns="http://schemas.openxmlformats.org/spreadsheetml/2006/main">
  <c r="BF6" i="6" l="1"/>
  <c r="BF5" i="6"/>
  <c r="BO5" i="6" s="1"/>
  <c r="BF50" i="6" l="1"/>
  <c r="BF51" i="6"/>
  <c r="BF52" i="6"/>
  <c r="BO52" i="6" s="1"/>
  <c r="BF53" i="6"/>
  <c r="BF54" i="6"/>
  <c r="BF55" i="6"/>
  <c r="BF49" i="6"/>
  <c r="BF39" i="6"/>
  <c r="BF40" i="6"/>
  <c r="BO40" i="6" s="1"/>
  <c r="BF41" i="6"/>
  <c r="BO41" i="6" s="1"/>
  <c r="BF42" i="6"/>
  <c r="BF43" i="6"/>
  <c r="BF44" i="6"/>
  <c r="BF38" i="6"/>
  <c r="BO38" i="6" s="1"/>
  <c r="T75" i="5"/>
  <c r="S65" i="5"/>
  <c r="BF27" i="6"/>
  <c r="BF28" i="6"/>
  <c r="BF29" i="6"/>
  <c r="BO29" i="6" s="1"/>
  <c r="BF30" i="6"/>
  <c r="BF31" i="6"/>
  <c r="BF32" i="6"/>
  <c r="BF26" i="6"/>
  <c r="BF16" i="6"/>
  <c r="BF17" i="6"/>
  <c r="BO17" i="6" s="1"/>
  <c r="BF18" i="6"/>
  <c r="BF19" i="6"/>
  <c r="BF20" i="6"/>
  <c r="BF21" i="6"/>
  <c r="BF15" i="6"/>
  <c r="BO6" i="6"/>
  <c r="BF7" i="6"/>
  <c r="BO7" i="6" s="1"/>
  <c r="BF8" i="6"/>
  <c r="BO8" i="6" s="1"/>
  <c r="BF9" i="6"/>
  <c r="BF10" i="6"/>
  <c r="BF11" i="6"/>
  <c r="BO50" i="6"/>
  <c r="BO51" i="6"/>
  <c r="BO49" i="6"/>
  <c r="BO39" i="6"/>
  <c r="BO27" i="6"/>
  <c r="BO28" i="6"/>
  <c r="BO26" i="6"/>
  <c r="BO16" i="6"/>
  <c r="BO18" i="6"/>
  <c r="BO15" i="6"/>
  <c r="R11" i="6" l="1"/>
  <c r="X11" i="6" s="1"/>
  <c r="AP11" i="6" s="1"/>
  <c r="R16" i="6"/>
  <c r="X16" i="6" s="1"/>
  <c r="S16" i="6"/>
  <c r="S18" i="6"/>
  <c r="R18" i="6"/>
  <c r="X18" i="6" s="1"/>
  <c r="AP18" i="6" s="1"/>
  <c r="AG49" i="6"/>
  <c r="AF49" i="6"/>
  <c r="AE49" i="6"/>
  <c r="AD49" i="6"/>
  <c r="AG38" i="6"/>
  <c r="AF38" i="6"/>
  <c r="AE38" i="6"/>
  <c r="AD38" i="6"/>
  <c r="AG26" i="6"/>
  <c r="AF26" i="6"/>
  <c r="AE26" i="6"/>
  <c r="AD26" i="6"/>
  <c r="AG15" i="6"/>
  <c r="AF15" i="6"/>
  <c r="AE15" i="6"/>
  <c r="AD15" i="6"/>
  <c r="AG5" i="6"/>
  <c r="AF5" i="6"/>
  <c r="AE5" i="6"/>
  <c r="AD5" i="6"/>
  <c r="U55" i="6"/>
  <c r="AA55" i="6" s="1"/>
  <c r="T55" i="6"/>
  <c r="S55" i="6"/>
  <c r="R55" i="6"/>
  <c r="U54" i="6"/>
  <c r="AA54" i="6" s="1"/>
  <c r="T54" i="6"/>
  <c r="S54" i="6"/>
  <c r="Y54" i="6" s="1"/>
  <c r="R54" i="6"/>
  <c r="U53" i="6"/>
  <c r="T53" i="6"/>
  <c r="S53" i="6"/>
  <c r="Y53" i="6" s="1"/>
  <c r="R53" i="6"/>
  <c r="X53" i="6" s="1"/>
  <c r="U52" i="6"/>
  <c r="AA52" i="6" s="1"/>
  <c r="T52" i="6"/>
  <c r="S52" i="6"/>
  <c r="Y52" i="6" s="1"/>
  <c r="R52" i="6"/>
  <c r="U51" i="6"/>
  <c r="AA51" i="6" s="1"/>
  <c r="T51" i="6"/>
  <c r="S51" i="6"/>
  <c r="Y51" i="6" s="1"/>
  <c r="R51" i="6"/>
  <c r="U50" i="6"/>
  <c r="AA50" i="6" s="1"/>
  <c r="T50" i="6"/>
  <c r="S50" i="6"/>
  <c r="Y50" i="6" s="1"/>
  <c r="R50" i="6"/>
  <c r="X50" i="6" s="1"/>
  <c r="U44" i="6"/>
  <c r="T44" i="6"/>
  <c r="S44" i="6"/>
  <c r="R44" i="6"/>
  <c r="U43" i="6"/>
  <c r="T43" i="6"/>
  <c r="S43" i="6"/>
  <c r="R43" i="6"/>
  <c r="U42" i="6"/>
  <c r="T42" i="6"/>
  <c r="S42" i="6"/>
  <c r="R42" i="6"/>
  <c r="U41" i="6"/>
  <c r="T41" i="6"/>
  <c r="S41" i="6"/>
  <c r="R41" i="6"/>
  <c r="U40" i="6"/>
  <c r="T40" i="6"/>
  <c r="S40" i="6"/>
  <c r="R40" i="6"/>
  <c r="U39" i="6"/>
  <c r="T39" i="6"/>
  <c r="S39" i="6"/>
  <c r="R39" i="6"/>
  <c r="U32" i="6"/>
  <c r="T32" i="6"/>
  <c r="S32" i="6"/>
  <c r="R32" i="6"/>
  <c r="U31" i="6"/>
  <c r="T31" i="6"/>
  <c r="S31" i="6"/>
  <c r="R31" i="6"/>
  <c r="U30" i="6"/>
  <c r="T30" i="6"/>
  <c r="S30" i="6"/>
  <c r="R30" i="6"/>
  <c r="U29" i="6"/>
  <c r="T29" i="6"/>
  <c r="S29" i="6"/>
  <c r="R29" i="6"/>
  <c r="U28" i="6"/>
  <c r="T28" i="6"/>
  <c r="S28" i="6"/>
  <c r="R28" i="6"/>
  <c r="U27" i="6"/>
  <c r="T27" i="6"/>
  <c r="S27" i="6"/>
  <c r="R27" i="6"/>
  <c r="U21" i="6"/>
  <c r="AA21" i="6" s="1"/>
  <c r="T21" i="6"/>
  <c r="Z21" i="6" s="1"/>
  <c r="U20" i="6"/>
  <c r="T20" i="6"/>
  <c r="U19" i="6"/>
  <c r="T19" i="6"/>
  <c r="U18" i="6"/>
  <c r="AA18" i="6" s="1"/>
  <c r="T18" i="6"/>
  <c r="Z18" i="6" s="1"/>
  <c r="U17" i="6"/>
  <c r="AA17" i="6" s="1"/>
  <c r="T17" i="6"/>
  <c r="Z17" i="6" s="1"/>
  <c r="U16" i="6"/>
  <c r="AA16" i="6" s="1"/>
  <c r="T16" i="6"/>
  <c r="Z16" i="6" s="1"/>
  <c r="U11" i="6"/>
  <c r="AA11" i="6" s="1"/>
  <c r="U10" i="6"/>
  <c r="AA10" i="6" s="1"/>
  <c r="U9" i="6"/>
  <c r="AA9" i="6" s="1"/>
  <c r="U8" i="6"/>
  <c r="AA8" i="6" s="1"/>
  <c r="U7" i="6"/>
  <c r="AA7" i="6" s="1"/>
  <c r="U6" i="6"/>
  <c r="AA6" i="6" s="1"/>
  <c r="T11" i="6"/>
  <c r="Z11" i="6" s="1"/>
  <c r="T10" i="6"/>
  <c r="Z10" i="6" s="1"/>
  <c r="T9" i="6"/>
  <c r="Z9" i="6" s="1"/>
  <c r="T8" i="6"/>
  <c r="Z8" i="6" s="1"/>
  <c r="T7" i="6"/>
  <c r="T6" i="6"/>
  <c r="Z6" i="6" s="1"/>
  <c r="S7" i="6"/>
  <c r="Y7" i="6" s="1"/>
  <c r="S8" i="6"/>
  <c r="Y8" i="6" s="1"/>
  <c r="S9" i="6"/>
  <c r="Y9" i="6" s="1"/>
  <c r="S10" i="6"/>
  <c r="Y10" i="6" s="1"/>
  <c r="S11" i="6"/>
  <c r="Y11" i="6" s="1"/>
  <c r="S6" i="6"/>
  <c r="R10" i="6"/>
  <c r="X10" i="6" s="1"/>
  <c r="R9" i="6"/>
  <c r="X9" i="6" s="1"/>
  <c r="R8" i="6"/>
  <c r="X8" i="6" s="1"/>
  <c r="R7" i="6"/>
  <c r="X7" i="6" s="1"/>
  <c r="R6" i="6"/>
  <c r="X6" i="6" s="1"/>
  <c r="AP6" i="6" s="1"/>
  <c r="AV6" i="6" s="1"/>
  <c r="BB6" i="6" s="1"/>
  <c r="BI6" i="6" s="1"/>
  <c r="S17" i="6"/>
  <c r="Y17" i="6" s="1"/>
  <c r="S19" i="6"/>
  <c r="Y19" i="6" s="1"/>
  <c r="S20" i="6"/>
  <c r="S21" i="6"/>
  <c r="Y21" i="6" s="1"/>
  <c r="R17" i="6"/>
  <c r="X17" i="6" s="1"/>
  <c r="R19" i="6"/>
  <c r="X19" i="6" s="1"/>
  <c r="R20" i="6"/>
  <c r="X20" i="6" s="1"/>
  <c r="R21" i="6"/>
  <c r="X21" i="6" s="1"/>
  <c r="AS49" i="6"/>
  <c r="AY49" i="6" s="1"/>
  <c r="AR49" i="6"/>
  <c r="AX49" i="6" s="1"/>
  <c r="AQ49" i="6"/>
  <c r="AW49" i="6" s="1"/>
  <c r="AP49" i="6"/>
  <c r="AV49" i="6" s="1"/>
  <c r="BB49" i="6" s="1"/>
  <c r="BI49" i="6" s="1"/>
  <c r="AS38" i="6"/>
  <c r="AY38" i="6" s="1"/>
  <c r="AR38" i="6"/>
  <c r="AX38" i="6" s="1"/>
  <c r="AQ38" i="6"/>
  <c r="AW38" i="6" s="1"/>
  <c r="AP38" i="6"/>
  <c r="AV38" i="6" s="1"/>
  <c r="AS26" i="6"/>
  <c r="AY26" i="6" s="1"/>
  <c r="AR26" i="6"/>
  <c r="AX26" i="6" s="1"/>
  <c r="AQ26" i="6"/>
  <c r="AW26" i="6" s="1"/>
  <c r="AP26" i="6"/>
  <c r="AV26" i="6" s="1"/>
  <c r="AS15" i="6"/>
  <c r="AR15" i="6"/>
  <c r="AQ15" i="6"/>
  <c r="AW15" i="6" s="1"/>
  <c r="AP15" i="6"/>
  <c r="AV15" i="6" s="1"/>
  <c r="BB15" i="6" s="1"/>
  <c r="BI15" i="6" s="1"/>
  <c r="AQ5" i="6"/>
  <c r="AW5" i="6" s="1"/>
  <c r="AR5" i="6"/>
  <c r="AX5" i="6" s="1"/>
  <c r="AS5" i="6"/>
  <c r="AY5" i="6" s="1"/>
  <c r="AP5" i="6"/>
  <c r="AV5" i="6" s="1"/>
  <c r="BB5" i="6" s="1"/>
  <c r="BI5" i="6" s="1"/>
  <c r="Z20" i="6"/>
  <c r="Z7" i="6"/>
  <c r="AF16" i="6" l="1"/>
  <c r="AF17" i="6" s="1"/>
  <c r="BE5" i="6"/>
  <c r="BL5" i="6" s="1"/>
  <c r="BC26" i="6"/>
  <c r="BJ26" i="6" s="1"/>
  <c r="BC49" i="6"/>
  <c r="BJ49" i="6" s="1"/>
  <c r="BD5" i="6"/>
  <c r="BK5" i="6" s="1"/>
  <c r="BD26" i="6"/>
  <c r="BK26" i="6" s="1"/>
  <c r="BD49" i="6"/>
  <c r="BK49" i="6" s="1"/>
  <c r="AX15" i="6"/>
  <c r="BD15" i="6" s="1"/>
  <c r="BK15" i="6" s="1"/>
  <c r="BC38" i="6"/>
  <c r="BJ38" i="6" s="1"/>
  <c r="BC5" i="6"/>
  <c r="BJ5" i="6" s="1"/>
  <c r="BE26" i="6"/>
  <c r="BL26" i="6" s="1"/>
  <c r="BE49" i="6"/>
  <c r="BL49" i="6" s="1"/>
  <c r="AY15" i="6"/>
  <c r="BE15" i="6" s="1"/>
  <c r="BL15" i="6" s="1"/>
  <c r="BC15" i="6"/>
  <c r="BJ15" i="6" s="1"/>
  <c r="BB38" i="6"/>
  <c r="BI38" i="6" s="1"/>
  <c r="AV18" i="6"/>
  <c r="BB18" i="6" s="1"/>
  <c r="BI18" i="6" s="1"/>
  <c r="BD38" i="6"/>
  <c r="BK38" i="6" s="1"/>
  <c r="BE38" i="6"/>
  <c r="BL38" i="6" s="1"/>
  <c r="BB26" i="6"/>
  <c r="BI26" i="6" s="1"/>
  <c r="AE50" i="6"/>
  <c r="AG16" i="6"/>
  <c r="AG50" i="6"/>
  <c r="AD6" i="6"/>
  <c r="AD16" i="6"/>
  <c r="AD50" i="6"/>
  <c r="AF6" i="6"/>
  <c r="AG6" i="6"/>
  <c r="AP50" i="6"/>
  <c r="AV50" i="6" s="1"/>
  <c r="AR21" i="6"/>
  <c r="AP16" i="6"/>
  <c r="AS16" i="6"/>
  <c r="AP17" i="6"/>
  <c r="AS52" i="6"/>
  <c r="AR17" i="6"/>
  <c r="AQ50" i="6"/>
  <c r="AS51" i="6"/>
  <c r="AS50" i="6"/>
  <c r="AQ53" i="6"/>
  <c r="AS55" i="6"/>
  <c r="AS54" i="6"/>
  <c r="AP19" i="6"/>
  <c r="AP20" i="6"/>
  <c r="AS17" i="6"/>
  <c r="AR18" i="6"/>
  <c r="AQ19" i="6"/>
  <c r="AS21" i="6"/>
  <c r="AS18" i="6"/>
  <c r="AR16" i="6"/>
  <c r="AQ17" i="6"/>
  <c r="AR20" i="6"/>
  <c r="AQ21" i="6"/>
  <c r="AQ8" i="6"/>
  <c r="AQ11" i="6"/>
  <c r="AW11" i="6" s="1"/>
  <c r="AS10" i="6"/>
  <c r="AS9" i="6"/>
  <c r="AQ7" i="6"/>
  <c r="AR8" i="6"/>
  <c r="AS6" i="6"/>
  <c r="AP10" i="6"/>
  <c r="AV10" i="6" s="1"/>
  <c r="AP7" i="6"/>
  <c r="AV7" i="6" s="1"/>
  <c r="AQ54" i="6"/>
  <c r="AQ51" i="6"/>
  <c r="X55" i="6"/>
  <c r="AP55" i="6" s="1"/>
  <c r="AV55" i="6" s="1"/>
  <c r="AQ52" i="6"/>
  <c r="AP53" i="6"/>
  <c r="AR9" i="6"/>
  <c r="AP9" i="6"/>
  <c r="AV9" i="6" s="1"/>
  <c r="AS11" i="6"/>
  <c r="AY11" i="6" s="1"/>
  <c r="AR10" i="6"/>
  <c r="AQ9" i="6"/>
  <c r="AS7" i="6"/>
  <c r="AR6" i="6"/>
  <c r="AP8" i="6"/>
  <c r="AV8" i="6" s="1"/>
  <c r="AR11" i="6"/>
  <c r="AX11" i="6" s="1"/>
  <c r="AQ10" i="6"/>
  <c r="AS8" i="6"/>
  <c r="AR7" i="6"/>
  <c r="Y20" i="6"/>
  <c r="AA32" i="6"/>
  <c r="Y16" i="6"/>
  <c r="AE16" i="6" s="1"/>
  <c r="Y41" i="6"/>
  <c r="Z27" i="6"/>
  <c r="AF27" i="6" s="1"/>
  <c r="Z31" i="6"/>
  <c r="X40" i="6"/>
  <c r="X41" i="6"/>
  <c r="X44" i="6"/>
  <c r="Z55" i="6"/>
  <c r="X42" i="6"/>
  <c r="AA19" i="6"/>
  <c r="Y30" i="6"/>
  <c r="Y6" i="6"/>
  <c r="AA27" i="6"/>
  <c r="AG27" i="6" s="1"/>
  <c r="AA28" i="6"/>
  <c r="AA29" i="6"/>
  <c r="Y39" i="6"/>
  <c r="AE39" i="6" s="1"/>
  <c r="Y29" i="6"/>
  <c r="X27" i="6"/>
  <c r="AD27" i="6" s="1"/>
  <c r="X29" i="6"/>
  <c r="X30" i="6"/>
  <c r="Z39" i="6"/>
  <c r="AF39" i="6" s="1"/>
  <c r="Z40" i="6"/>
  <c r="Z43" i="6"/>
  <c r="Z44" i="6"/>
  <c r="Z50" i="6"/>
  <c r="AF50" i="6" s="1"/>
  <c r="Z51" i="6"/>
  <c r="Z52" i="6"/>
  <c r="Y43" i="6"/>
  <c r="Z19" i="6"/>
  <c r="Z53" i="6"/>
  <c r="Z54" i="6"/>
  <c r="AA31" i="6"/>
  <c r="AA53" i="6"/>
  <c r="Y55" i="6"/>
  <c r="X51" i="6"/>
  <c r="X52" i="6"/>
  <c r="Y42" i="6"/>
  <c r="Y40" i="6"/>
  <c r="Z41" i="6"/>
  <c r="AA42" i="6"/>
  <c r="Y44" i="6"/>
  <c r="AA41" i="6"/>
  <c r="AA39" i="6"/>
  <c r="AG39" i="6" s="1"/>
  <c r="AA40" i="6"/>
  <c r="AA43" i="6"/>
  <c r="AA44" i="6"/>
  <c r="Y27" i="6"/>
  <c r="AE27" i="6" s="1"/>
  <c r="Y28" i="6"/>
  <c r="Y31" i="6"/>
  <c r="Y32" i="6"/>
  <c r="Z28" i="6"/>
  <c r="Z29" i="6"/>
  <c r="Z32" i="6"/>
  <c r="X28" i="6"/>
  <c r="X31" i="6"/>
  <c r="X32" i="6"/>
  <c r="AA20" i="6"/>
  <c r="Y18" i="6"/>
  <c r="X39" i="6"/>
  <c r="AD39" i="6" s="1"/>
  <c r="X43" i="6"/>
  <c r="X54" i="6"/>
  <c r="S67" i="5"/>
  <c r="AL16" i="6" l="1"/>
  <c r="AX9" i="6"/>
  <c r="BD9" i="6" s="1"/>
  <c r="BK9" i="6" s="1"/>
  <c r="AY6" i="6"/>
  <c r="BE6" i="6" s="1"/>
  <c r="BL6" i="6" s="1"/>
  <c r="AX7" i="6"/>
  <c r="BD7" i="6" s="1"/>
  <c r="BK7" i="6" s="1"/>
  <c r="AX10" i="6"/>
  <c r="BD10" i="6" s="1"/>
  <c r="BK10" i="6" s="1"/>
  <c r="AV53" i="6"/>
  <c r="BB53" i="6" s="1"/>
  <c r="BI53" i="6" s="1"/>
  <c r="AW54" i="6"/>
  <c r="BC54" i="6" s="1"/>
  <c r="BJ54" i="6" s="1"/>
  <c r="AX8" i="6"/>
  <c r="BD8" i="6" s="1"/>
  <c r="BK8" i="6" s="1"/>
  <c r="AY50" i="6"/>
  <c r="BE50" i="6" s="1"/>
  <c r="BL50" i="6" s="1"/>
  <c r="AY8" i="6"/>
  <c r="BE8" i="6" s="1"/>
  <c r="BL8" i="6" s="1"/>
  <c r="AX6" i="6"/>
  <c r="BD6" i="6" s="1"/>
  <c r="BK6" i="6" s="1"/>
  <c r="AW52" i="6"/>
  <c r="BC52" i="6" s="1"/>
  <c r="BJ52" i="6" s="1"/>
  <c r="AW7" i="6"/>
  <c r="BC7" i="6" s="1"/>
  <c r="BJ7" i="6" s="1"/>
  <c r="AW8" i="6"/>
  <c r="BC8" i="6" s="1"/>
  <c r="BJ8" i="6" s="1"/>
  <c r="AY54" i="6"/>
  <c r="BE54" i="6" s="1"/>
  <c r="BL54" i="6" s="1"/>
  <c r="AY51" i="6"/>
  <c r="BE51" i="6" s="1"/>
  <c r="BL51" i="6" s="1"/>
  <c r="AW9" i="6"/>
  <c r="BC9" i="6" s="1"/>
  <c r="BJ9" i="6" s="1"/>
  <c r="AW51" i="6"/>
  <c r="BC51" i="6" s="1"/>
  <c r="BJ51" i="6" s="1"/>
  <c r="AY10" i="6"/>
  <c r="BE10" i="6" s="1"/>
  <c r="BL10" i="6" s="1"/>
  <c r="AW53" i="6"/>
  <c r="BC53" i="6" s="1"/>
  <c r="BJ53" i="6" s="1"/>
  <c r="AW10" i="6"/>
  <c r="BC10" i="6" s="1"/>
  <c r="BJ10" i="6" s="1"/>
  <c r="AY7" i="6"/>
  <c r="BE7" i="6" s="1"/>
  <c r="BL7" i="6" s="1"/>
  <c r="AY9" i="6"/>
  <c r="BE9" i="6" s="1"/>
  <c r="BL9" i="6" s="1"/>
  <c r="AY55" i="6"/>
  <c r="BQ52" i="6" s="1"/>
  <c r="AW50" i="6"/>
  <c r="BC50" i="6" s="1"/>
  <c r="BJ50" i="6" s="1"/>
  <c r="AY52" i="6"/>
  <c r="BE52" i="6" s="1"/>
  <c r="BL52" i="6" s="1"/>
  <c r="AX20" i="6"/>
  <c r="BD20" i="6" s="1"/>
  <c r="BK20" i="6" s="1"/>
  <c r="AX17" i="6"/>
  <c r="BD17" i="6" s="1"/>
  <c r="BK17" i="6" s="1"/>
  <c r="AX16" i="6"/>
  <c r="BD16" i="6" s="1"/>
  <c r="BK16" i="6" s="1"/>
  <c r="AX18" i="6"/>
  <c r="BD18" i="6" s="1"/>
  <c r="BK18" i="6" s="1"/>
  <c r="AY21" i="6"/>
  <c r="BE21" i="6" s="1"/>
  <c r="BP18" i="6" s="1"/>
  <c r="AY16" i="6"/>
  <c r="BE16" i="6" s="1"/>
  <c r="BL16" i="6" s="1"/>
  <c r="AY18" i="6"/>
  <c r="BE18" i="6" s="1"/>
  <c r="BL18" i="6" s="1"/>
  <c r="AY17" i="6"/>
  <c r="BE17" i="6" s="1"/>
  <c r="BL17" i="6" s="1"/>
  <c r="AX21" i="6"/>
  <c r="BQ17" i="6" s="1"/>
  <c r="AV11" i="6"/>
  <c r="BQ5" i="6" s="1"/>
  <c r="AW17" i="6"/>
  <c r="BC17" i="6" s="1"/>
  <c r="BJ17" i="6" s="1"/>
  <c r="AW21" i="6"/>
  <c r="BC21" i="6" s="1"/>
  <c r="BP16" i="6" s="1"/>
  <c r="AW19" i="6"/>
  <c r="BC19" i="6" s="1"/>
  <c r="BJ19" i="6" s="1"/>
  <c r="AV16" i="6"/>
  <c r="BB16" i="6" s="1"/>
  <c r="BI16" i="6" s="1"/>
  <c r="AV20" i="6"/>
  <c r="BB20" i="6" s="1"/>
  <c r="BI20" i="6" s="1"/>
  <c r="AV19" i="6"/>
  <c r="BB19" i="6" s="1"/>
  <c r="BI19" i="6" s="1"/>
  <c r="AV17" i="6"/>
  <c r="BB17" i="6" s="1"/>
  <c r="BI17" i="6" s="1"/>
  <c r="AG28" i="6"/>
  <c r="AM27" i="6"/>
  <c r="AD40" i="6"/>
  <c r="AJ39" i="6"/>
  <c r="AF28" i="6"/>
  <c r="AL27" i="6"/>
  <c r="AF51" i="6"/>
  <c r="AL50" i="6"/>
  <c r="AE17" i="6"/>
  <c r="AK16" i="6"/>
  <c r="AE28" i="6"/>
  <c r="AK27" i="6"/>
  <c r="AG40" i="6"/>
  <c r="AM39" i="6"/>
  <c r="AD28" i="6"/>
  <c r="AJ27" i="6"/>
  <c r="AG7" i="6"/>
  <c r="AM6" i="6"/>
  <c r="AD51" i="6"/>
  <c r="AJ50" i="6"/>
  <c r="AD7" i="6"/>
  <c r="AJ7" i="6" s="1"/>
  <c r="AJ6" i="6"/>
  <c r="AF18" i="6"/>
  <c r="AL17" i="6"/>
  <c r="AG17" i="6"/>
  <c r="AM16" i="6"/>
  <c r="AE40" i="6"/>
  <c r="AK39" i="6"/>
  <c r="AG51" i="6"/>
  <c r="AM50" i="6"/>
  <c r="AF40" i="6"/>
  <c r="AL39" i="6"/>
  <c r="BE55" i="6"/>
  <c r="BP52" i="6" s="1"/>
  <c r="AF7" i="6"/>
  <c r="AL6" i="6"/>
  <c r="BC11" i="6"/>
  <c r="BQ6" i="6"/>
  <c r="BB50" i="6"/>
  <c r="BI50" i="6" s="1"/>
  <c r="AD17" i="6"/>
  <c r="AJ16" i="6"/>
  <c r="AE51" i="6"/>
  <c r="AK50" i="6"/>
  <c r="AE6" i="6"/>
  <c r="BB55" i="6"/>
  <c r="BQ49" i="6"/>
  <c r="BB7" i="6"/>
  <c r="BI7" i="6" s="1"/>
  <c r="BB10" i="6"/>
  <c r="BI10" i="6" s="1"/>
  <c r="BB8" i="6"/>
  <c r="BI8" i="6" s="1"/>
  <c r="BB9" i="6"/>
  <c r="BI9" i="6" s="1"/>
  <c r="AR53" i="6"/>
  <c r="AR51" i="6"/>
  <c r="AR55" i="6"/>
  <c r="AX55" i="6" s="1"/>
  <c r="AS53" i="6"/>
  <c r="AR54" i="6"/>
  <c r="AR52" i="6"/>
  <c r="AS40" i="6"/>
  <c r="AS42" i="6"/>
  <c r="AR44" i="6"/>
  <c r="AX44" i="6" s="1"/>
  <c r="AS39" i="6"/>
  <c r="AR41" i="6"/>
  <c r="AR43" i="6"/>
  <c r="AS44" i="6"/>
  <c r="AY44" i="6" s="1"/>
  <c r="AS41" i="6"/>
  <c r="AR40" i="6"/>
  <c r="AS43" i="6"/>
  <c r="AR39" i="6"/>
  <c r="AR29" i="6"/>
  <c r="AS31" i="6"/>
  <c r="AS28" i="6"/>
  <c r="AR31" i="6"/>
  <c r="AS32" i="6"/>
  <c r="AY32" i="6" s="1"/>
  <c r="AR28" i="6"/>
  <c r="AS27" i="6"/>
  <c r="AR32" i="6"/>
  <c r="AX32" i="6" s="1"/>
  <c r="AS29" i="6"/>
  <c r="AR27" i="6"/>
  <c r="AS19" i="6"/>
  <c r="AQ16" i="6"/>
  <c r="AQ18" i="6"/>
  <c r="BQ18" i="6"/>
  <c r="AS20" i="6"/>
  <c r="AR19" i="6"/>
  <c r="AP21" i="6"/>
  <c r="AQ20" i="6"/>
  <c r="BD11" i="6"/>
  <c r="BQ7" i="6"/>
  <c r="AP31" i="6"/>
  <c r="AQ29" i="6"/>
  <c r="AP28" i="6"/>
  <c r="AP27" i="6"/>
  <c r="AQ31" i="6"/>
  <c r="AQ30" i="6"/>
  <c r="AQ27" i="6"/>
  <c r="AP29" i="6"/>
  <c r="AQ32" i="6"/>
  <c r="AW32" i="6" s="1"/>
  <c r="AP32" i="6"/>
  <c r="AV32" i="6" s="1"/>
  <c r="AQ28" i="6"/>
  <c r="AP30" i="6"/>
  <c r="AP43" i="6"/>
  <c r="AQ41" i="6"/>
  <c r="AP42" i="6"/>
  <c r="AQ40" i="6"/>
  <c r="AQ39" i="6"/>
  <c r="AQ43" i="6"/>
  <c r="AP41" i="6"/>
  <c r="AP39" i="6"/>
  <c r="AP40" i="6"/>
  <c r="AQ44" i="6"/>
  <c r="AW44" i="6" s="1"/>
  <c r="AQ42" i="6"/>
  <c r="AP44" i="6"/>
  <c r="AV44" i="6" s="1"/>
  <c r="BQ38" i="6" s="1"/>
  <c r="AP51" i="6"/>
  <c r="AQ55" i="6"/>
  <c r="AW55" i="6" s="1"/>
  <c r="AP54" i="6"/>
  <c r="AP52" i="6"/>
  <c r="AR50" i="6"/>
  <c r="BE11" i="6"/>
  <c r="BQ8" i="6"/>
  <c r="AQ6" i="6"/>
  <c r="Z30" i="6"/>
  <c r="AA30" i="6"/>
  <c r="Z42" i="6"/>
  <c r="F13" i="1"/>
  <c r="BQ16" i="6" l="1"/>
  <c r="BL11" i="6"/>
  <c r="BP8" i="6"/>
  <c r="BI55" i="6"/>
  <c r="BP49" i="6"/>
  <c r="BK11" i="6"/>
  <c r="BP7" i="6"/>
  <c r="BJ11" i="6"/>
  <c r="BP6" i="6"/>
  <c r="AX50" i="6"/>
  <c r="BD50" i="6" s="1"/>
  <c r="BK50" i="6" s="1"/>
  <c r="AV40" i="6"/>
  <c r="BB40" i="6" s="1"/>
  <c r="BI40" i="6" s="1"/>
  <c r="AV31" i="6"/>
  <c r="BB31" i="6" s="1"/>
  <c r="BI31" i="6" s="1"/>
  <c r="AX27" i="6"/>
  <c r="BD27" i="6" s="1"/>
  <c r="BK27" i="6" s="1"/>
  <c r="AY31" i="6"/>
  <c r="BE31" i="6" s="1"/>
  <c r="BL31" i="6" s="1"/>
  <c r="AX40" i="6"/>
  <c r="BD40" i="6" s="1"/>
  <c r="BK40" i="6" s="1"/>
  <c r="AY40" i="6"/>
  <c r="BE40" i="6" s="1"/>
  <c r="BL40" i="6" s="1"/>
  <c r="BL55" i="6"/>
  <c r="BR52" i="6" s="1"/>
  <c r="BT62" i="6" s="1"/>
  <c r="AW6" i="6"/>
  <c r="BC6" i="6" s="1"/>
  <c r="BJ6" i="6" s="1"/>
  <c r="AV52" i="6"/>
  <c r="BB52" i="6" s="1"/>
  <c r="BI52" i="6" s="1"/>
  <c r="AV39" i="6"/>
  <c r="BB39" i="6" s="1"/>
  <c r="BI39" i="6" s="1"/>
  <c r="AW40" i="6"/>
  <c r="BC40" i="6" s="1"/>
  <c r="BJ40" i="6" s="1"/>
  <c r="AV30" i="6"/>
  <c r="BB30" i="6" s="1"/>
  <c r="BI30" i="6" s="1"/>
  <c r="AV29" i="6"/>
  <c r="BB29" i="6" s="1"/>
  <c r="BI29" i="6" s="1"/>
  <c r="AV27" i="6"/>
  <c r="BB27" i="6" s="1"/>
  <c r="BI27" i="6" s="1"/>
  <c r="BB11" i="6"/>
  <c r="BP5" i="6" s="1"/>
  <c r="BR5" i="6" s="1"/>
  <c r="AY29" i="6"/>
  <c r="BE29" i="6" s="1"/>
  <c r="BL29" i="6" s="1"/>
  <c r="AX29" i="6"/>
  <c r="BD29" i="6" s="1"/>
  <c r="BK29" i="6" s="1"/>
  <c r="BE41" i="6"/>
  <c r="BL41" i="6" s="1"/>
  <c r="AY41" i="6"/>
  <c r="AY39" i="6"/>
  <c r="BE39" i="6" s="1"/>
  <c r="BL39" i="6" s="1"/>
  <c r="AX52" i="6"/>
  <c r="BD52" i="6" s="1"/>
  <c r="BK52" i="6" s="1"/>
  <c r="AX51" i="6"/>
  <c r="BD51" i="6" s="1"/>
  <c r="BK51" i="6" s="1"/>
  <c r="AV51" i="6"/>
  <c r="BB51" i="6" s="1"/>
  <c r="BI51" i="6" s="1"/>
  <c r="AW39" i="6"/>
  <c r="BC39" i="6" s="1"/>
  <c r="BJ39" i="6" s="1"/>
  <c r="BB43" i="6"/>
  <c r="BI43" i="6" s="1"/>
  <c r="AV43" i="6"/>
  <c r="AW31" i="6"/>
  <c r="BC31" i="6" s="1"/>
  <c r="BJ31" i="6" s="1"/>
  <c r="AX28" i="6"/>
  <c r="BD28" i="6" s="1"/>
  <c r="BK28" i="6" s="1"/>
  <c r="AX41" i="6"/>
  <c r="BD41" i="6" s="1"/>
  <c r="BK41" i="6" s="1"/>
  <c r="AV54" i="6"/>
  <c r="BB54" i="6" s="1"/>
  <c r="BI54" i="6" s="1"/>
  <c r="AW42" i="6"/>
  <c r="BC42" i="6" s="1"/>
  <c r="BJ42" i="6" s="1"/>
  <c r="AV41" i="6"/>
  <c r="BB41" i="6" s="1"/>
  <c r="BI41" i="6" s="1"/>
  <c r="AV42" i="6"/>
  <c r="BB42" i="6" s="1"/>
  <c r="BI42" i="6" s="1"/>
  <c r="AW28" i="6"/>
  <c r="BC28" i="6" s="1"/>
  <c r="BJ28" i="6" s="1"/>
  <c r="AW27" i="6"/>
  <c r="BC27" i="6" s="1"/>
  <c r="BJ27" i="6" s="1"/>
  <c r="AV28" i="6"/>
  <c r="BB28" i="6" s="1"/>
  <c r="BI28" i="6" s="1"/>
  <c r="AX31" i="6"/>
  <c r="BD31" i="6" s="1"/>
  <c r="BK31" i="6" s="1"/>
  <c r="AX39" i="6"/>
  <c r="BD39" i="6" s="1"/>
  <c r="BK39" i="6" s="1"/>
  <c r="AX54" i="6"/>
  <c r="BD54" i="6" s="1"/>
  <c r="BK54" i="6" s="1"/>
  <c r="BD53" i="6"/>
  <c r="BK53" i="6" s="1"/>
  <c r="AX53" i="6"/>
  <c r="AW43" i="6"/>
  <c r="BC43" i="6" s="1"/>
  <c r="BJ43" i="6" s="1"/>
  <c r="AW41" i="6"/>
  <c r="BC41" i="6" s="1"/>
  <c r="BJ41" i="6" s="1"/>
  <c r="AW30" i="6"/>
  <c r="BC30" i="6" s="1"/>
  <c r="BJ30" i="6" s="1"/>
  <c r="AW29" i="6"/>
  <c r="BC29" i="6" s="1"/>
  <c r="BJ29" i="6" s="1"/>
  <c r="AY27" i="6"/>
  <c r="BE27" i="6" s="1"/>
  <c r="BL27" i="6" s="1"/>
  <c r="AY28" i="6"/>
  <c r="BE28" i="6" s="1"/>
  <c r="BL28" i="6" s="1"/>
  <c r="AY43" i="6"/>
  <c r="BE43" i="6" s="1"/>
  <c r="BL43" i="6" s="1"/>
  <c r="BD43" i="6"/>
  <c r="BK43" i="6" s="1"/>
  <c r="AX43" i="6"/>
  <c r="AY42" i="6"/>
  <c r="BE42" i="6" s="1"/>
  <c r="BL42" i="6" s="1"/>
  <c r="AY53" i="6"/>
  <c r="BE53" i="6" s="1"/>
  <c r="BL53" i="6" s="1"/>
  <c r="BL21" i="6"/>
  <c r="BR18" i="6" s="1"/>
  <c r="BQ62" i="6" s="1"/>
  <c r="AY20" i="6"/>
  <c r="BE20" i="6" s="1"/>
  <c r="BL20" i="6" s="1"/>
  <c r="AY19" i="6"/>
  <c r="BE19" i="6" s="1"/>
  <c r="BL19" i="6" s="1"/>
  <c r="AX19" i="6"/>
  <c r="BD19" i="6" s="1"/>
  <c r="BK19" i="6" s="1"/>
  <c r="BD21" i="6"/>
  <c r="BP17" i="6" s="1"/>
  <c r="BJ21" i="6"/>
  <c r="BR16" i="6" s="1"/>
  <c r="BQ60" i="6" s="1"/>
  <c r="AW20" i="6"/>
  <c r="BC20" i="6" s="1"/>
  <c r="BJ20" i="6" s="1"/>
  <c r="AW18" i="6"/>
  <c r="BC18" i="6" s="1"/>
  <c r="BJ18" i="6" s="1"/>
  <c r="AW16" i="6"/>
  <c r="BC16" i="6" s="1"/>
  <c r="BJ16" i="6" s="1"/>
  <c r="AV21" i="6"/>
  <c r="BQ15" i="6" s="1"/>
  <c r="AE7" i="6"/>
  <c r="AK6" i="6"/>
  <c r="AD18" i="6"/>
  <c r="AJ17" i="6"/>
  <c r="AF41" i="6"/>
  <c r="AL40" i="6"/>
  <c r="AE41" i="6"/>
  <c r="AK40" i="6"/>
  <c r="AF19" i="6"/>
  <c r="AL18" i="6"/>
  <c r="AD52" i="6"/>
  <c r="AJ51" i="6"/>
  <c r="AD29" i="6"/>
  <c r="AJ28" i="6"/>
  <c r="AE29" i="6"/>
  <c r="AK28" i="6"/>
  <c r="AF52" i="6"/>
  <c r="AL51" i="6"/>
  <c r="AD41" i="6"/>
  <c r="AJ40" i="6"/>
  <c r="AE52" i="6"/>
  <c r="AK51" i="6"/>
  <c r="AF8" i="6"/>
  <c r="AL7" i="6"/>
  <c r="AG52" i="6"/>
  <c r="AM51" i="6"/>
  <c r="AG18" i="6"/>
  <c r="AM17" i="6"/>
  <c r="AD8" i="6"/>
  <c r="AG8" i="6"/>
  <c r="AM7" i="6"/>
  <c r="AG41" i="6"/>
  <c r="AM40" i="6"/>
  <c r="AE18" i="6"/>
  <c r="AK17" i="6"/>
  <c r="AF29" i="6"/>
  <c r="AL28" i="6"/>
  <c r="AG29" i="6"/>
  <c r="AM28" i="6"/>
  <c r="BD55" i="6"/>
  <c r="BP51" i="6" s="1"/>
  <c r="BQ51" i="6"/>
  <c r="AR42" i="6"/>
  <c r="BE44" i="6"/>
  <c r="BP41" i="6" s="1"/>
  <c r="BQ41" i="6"/>
  <c r="BD44" i="6"/>
  <c r="BP40" i="6" s="1"/>
  <c r="BQ40" i="6"/>
  <c r="BE32" i="6"/>
  <c r="BP29" i="6" s="1"/>
  <c r="BQ29" i="6"/>
  <c r="BD32" i="6"/>
  <c r="BP28" i="6" s="1"/>
  <c r="BR28" i="6" s="1"/>
  <c r="BR61" i="6" s="1"/>
  <c r="BQ28" i="6"/>
  <c r="AS30" i="6"/>
  <c r="AR30" i="6"/>
  <c r="BQ27" i="6"/>
  <c r="BC32" i="6"/>
  <c r="BP27" i="6" s="1"/>
  <c r="BQ26" i="6"/>
  <c r="BB32" i="6"/>
  <c r="BP26" i="6" s="1"/>
  <c r="BB44" i="6"/>
  <c r="BP38" i="6" s="1"/>
  <c r="BR38" i="6" s="1"/>
  <c r="BS59" i="6" s="1"/>
  <c r="BC44" i="6"/>
  <c r="BP39" i="6" s="1"/>
  <c r="BQ39" i="6"/>
  <c r="BC55" i="6"/>
  <c r="BQ50" i="6"/>
  <c r="S66" i="5"/>
  <c r="S68" i="5"/>
  <c r="S69" i="5"/>
  <c r="S70" i="5"/>
  <c r="S71" i="5"/>
  <c r="S72" i="5"/>
  <c r="Q59" i="5"/>
  <c r="Q69" i="5" s="1"/>
  <c r="Q60" i="5"/>
  <c r="Q70" i="5" s="1"/>
  <c r="Y70" i="5" s="1"/>
  <c r="O56" i="5"/>
  <c r="O66" i="5" s="1"/>
  <c r="W66" i="5" s="1"/>
  <c r="N46" i="5"/>
  <c r="N56" i="5" s="1"/>
  <c r="N66" i="5" s="1"/>
  <c r="V66" i="5" s="1"/>
  <c r="O46" i="5"/>
  <c r="P46" i="5"/>
  <c r="P56" i="5" s="1"/>
  <c r="P66" i="5" s="1"/>
  <c r="X66" i="5" s="1"/>
  <c r="Q46" i="5"/>
  <c r="Q56" i="5" s="1"/>
  <c r="Q66" i="5" s="1"/>
  <c r="Y66" i="5" s="1"/>
  <c r="N47" i="5"/>
  <c r="N57" i="5" s="1"/>
  <c r="N67" i="5" s="1"/>
  <c r="O47" i="5"/>
  <c r="O57" i="5" s="1"/>
  <c r="O67" i="5" s="1"/>
  <c r="W67" i="5" s="1"/>
  <c r="P47" i="5"/>
  <c r="P57" i="5" s="1"/>
  <c r="P67" i="5" s="1"/>
  <c r="X67" i="5" s="1"/>
  <c r="Q47" i="5"/>
  <c r="Q57" i="5" s="1"/>
  <c r="Q67" i="5" s="1"/>
  <c r="N48" i="5"/>
  <c r="N58" i="5" s="1"/>
  <c r="N68" i="5" s="1"/>
  <c r="O48" i="5"/>
  <c r="O58" i="5" s="1"/>
  <c r="O68" i="5" s="1"/>
  <c r="W68" i="5" s="1"/>
  <c r="P48" i="5"/>
  <c r="P58" i="5" s="1"/>
  <c r="P68" i="5" s="1"/>
  <c r="X68" i="5" s="1"/>
  <c r="Q48" i="5"/>
  <c r="Q58" i="5" s="1"/>
  <c r="Q68" i="5" s="1"/>
  <c r="Y68" i="5" s="1"/>
  <c r="N49" i="5"/>
  <c r="N59" i="5" s="1"/>
  <c r="N69" i="5" s="1"/>
  <c r="O49" i="5"/>
  <c r="O59" i="5" s="1"/>
  <c r="O69" i="5" s="1"/>
  <c r="W69" i="5" s="1"/>
  <c r="P49" i="5"/>
  <c r="P59" i="5" s="1"/>
  <c r="P69" i="5" s="1"/>
  <c r="X69" i="5" s="1"/>
  <c r="Q49" i="5"/>
  <c r="N50" i="5"/>
  <c r="N60" i="5" s="1"/>
  <c r="N70" i="5" s="1"/>
  <c r="O50" i="5"/>
  <c r="O60" i="5" s="1"/>
  <c r="O70" i="5" s="1"/>
  <c r="W70" i="5" s="1"/>
  <c r="P50" i="5"/>
  <c r="P60" i="5" s="1"/>
  <c r="P70" i="5" s="1"/>
  <c r="X70" i="5" s="1"/>
  <c r="Q50" i="5"/>
  <c r="N51" i="5"/>
  <c r="N61" i="5" s="1"/>
  <c r="N71" i="5" s="1"/>
  <c r="O51" i="5"/>
  <c r="O61" i="5" s="1"/>
  <c r="O71" i="5" s="1"/>
  <c r="W71" i="5" s="1"/>
  <c r="P51" i="5"/>
  <c r="P61" i="5" s="1"/>
  <c r="P71" i="5" s="1"/>
  <c r="X71" i="5" s="1"/>
  <c r="Q51" i="5"/>
  <c r="Q61" i="5" s="1"/>
  <c r="Q71" i="5" s="1"/>
  <c r="N52" i="5"/>
  <c r="N62" i="5" s="1"/>
  <c r="N72" i="5" s="1"/>
  <c r="O52" i="5"/>
  <c r="O62" i="5" s="1"/>
  <c r="O72" i="5" s="1"/>
  <c r="W72" i="5" s="1"/>
  <c r="P52" i="5"/>
  <c r="P62" i="5" s="1"/>
  <c r="P72" i="5" s="1"/>
  <c r="X72" i="5" s="1"/>
  <c r="Q52" i="5"/>
  <c r="Q62" i="5" s="1"/>
  <c r="Q72" i="5" s="1"/>
  <c r="BR8" i="6" l="1"/>
  <c r="BP62" i="6" s="1"/>
  <c r="BR49" i="6"/>
  <c r="BT59" i="6" s="1"/>
  <c r="BI11" i="6"/>
  <c r="BJ55" i="6"/>
  <c r="BP50" i="6"/>
  <c r="BR7" i="6"/>
  <c r="BP61" i="6" s="1"/>
  <c r="BR6" i="6"/>
  <c r="BP60" i="6" s="1"/>
  <c r="BL44" i="6"/>
  <c r="BR41" i="6" s="1"/>
  <c r="BS62" i="6" s="1"/>
  <c r="BJ32" i="6"/>
  <c r="BR27" i="6" s="1"/>
  <c r="BR60" i="6" s="1"/>
  <c r="AX42" i="6"/>
  <c r="BD42" i="6" s="1"/>
  <c r="BK42" i="6" s="1"/>
  <c r="BP59" i="6"/>
  <c r="AY30" i="6"/>
  <c r="BE30" i="6" s="1"/>
  <c r="BL30" i="6" s="1"/>
  <c r="BI44" i="6"/>
  <c r="BK32" i="6"/>
  <c r="BK44" i="6"/>
  <c r="BR40" i="6" s="1"/>
  <c r="BS61" i="6" s="1"/>
  <c r="BJ44" i="6"/>
  <c r="BR39" i="6" s="1"/>
  <c r="BS60" i="6" s="1"/>
  <c r="BL32" i="6"/>
  <c r="BR29" i="6" s="1"/>
  <c r="BR62" i="6" s="1"/>
  <c r="BI32" i="6"/>
  <c r="BR26" i="6" s="1"/>
  <c r="BR59" i="6" s="1"/>
  <c r="AX30" i="6"/>
  <c r="BD30" i="6" s="1"/>
  <c r="BK30" i="6" s="1"/>
  <c r="BK55" i="6"/>
  <c r="BR51" i="6" s="1"/>
  <c r="BT61" i="6" s="1"/>
  <c r="BK21" i="6"/>
  <c r="BR17" i="6" s="1"/>
  <c r="BQ61" i="6" s="1"/>
  <c r="BB21" i="6"/>
  <c r="AE19" i="6"/>
  <c r="AK18" i="6"/>
  <c r="AG19" i="6"/>
  <c r="AM18" i="6"/>
  <c r="AD42" i="6"/>
  <c r="AJ41" i="6"/>
  <c r="AD53" i="6"/>
  <c r="AJ52" i="6"/>
  <c r="AE42" i="6"/>
  <c r="AK41" i="6"/>
  <c r="AF30" i="6"/>
  <c r="AL29" i="6"/>
  <c r="AG42" i="6"/>
  <c r="AM41" i="6"/>
  <c r="AD9" i="6"/>
  <c r="AJ8" i="6"/>
  <c r="AG53" i="6"/>
  <c r="AM52" i="6"/>
  <c r="AE53" i="6"/>
  <c r="AK52" i="6"/>
  <c r="AF53" i="6"/>
  <c r="AL52" i="6"/>
  <c r="AD30" i="6"/>
  <c r="AJ29" i="6"/>
  <c r="AF20" i="6"/>
  <c r="AL19" i="6"/>
  <c r="AF42" i="6"/>
  <c r="AL41" i="6"/>
  <c r="AE8" i="6"/>
  <c r="AK7" i="6"/>
  <c r="AG30" i="6"/>
  <c r="AM29" i="6"/>
  <c r="AG9" i="6"/>
  <c r="AM8" i="6"/>
  <c r="AF9" i="6"/>
  <c r="AL8" i="6"/>
  <c r="AE30" i="6"/>
  <c r="AK29" i="6"/>
  <c r="AD19" i="6"/>
  <c r="AJ18" i="6"/>
  <c r="V72" i="5"/>
  <c r="V71" i="5"/>
  <c r="V70" i="5"/>
  <c r="V69" i="5"/>
  <c r="V68" i="5"/>
  <c r="V67" i="5"/>
  <c r="Y71" i="5"/>
  <c r="Y69" i="5"/>
  <c r="Y67" i="5"/>
  <c r="Y72" i="5"/>
  <c r="C21" i="1"/>
  <c r="BI21" i="6" l="1"/>
  <c r="BP15" i="6"/>
  <c r="BR15" i="6" s="1"/>
  <c r="BQ59" i="6" s="1"/>
  <c r="AG31" i="6"/>
  <c r="AM30" i="6"/>
  <c r="AE54" i="6"/>
  <c r="AK53" i="6"/>
  <c r="AD20" i="6"/>
  <c r="AJ19" i="6"/>
  <c r="AF10" i="6"/>
  <c r="AL9" i="6"/>
  <c r="AF43" i="6"/>
  <c r="AL42" i="6"/>
  <c r="AD31" i="6"/>
  <c r="AJ30" i="6"/>
  <c r="AD10" i="6"/>
  <c r="AJ9" i="6"/>
  <c r="AF31" i="6"/>
  <c r="AL30" i="6"/>
  <c r="AD54" i="6"/>
  <c r="AJ53" i="6"/>
  <c r="AG20" i="6"/>
  <c r="AM19" i="6"/>
  <c r="AE31" i="6"/>
  <c r="AK30" i="6"/>
  <c r="AG10" i="6"/>
  <c r="AM9" i="6"/>
  <c r="AE9" i="6"/>
  <c r="AK8" i="6"/>
  <c r="AF21" i="6"/>
  <c r="AL21" i="6" s="1"/>
  <c r="AL22" i="6" s="1"/>
  <c r="AL20" i="6"/>
  <c r="AF54" i="6"/>
  <c r="AL53" i="6"/>
  <c r="AG54" i="6"/>
  <c r="AM53" i="6"/>
  <c r="AG43" i="6"/>
  <c r="AM42" i="6"/>
  <c r="AE43" i="6"/>
  <c r="AK42" i="6"/>
  <c r="AD43" i="6"/>
  <c r="AJ42" i="6"/>
  <c r="AE20" i="6"/>
  <c r="AK19" i="6"/>
  <c r="BR50" i="6"/>
  <c r="BT60" i="6" s="1"/>
  <c r="I18" i="1"/>
  <c r="B5" i="1"/>
  <c r="B6" i="1"/>
  <c r="B7" i="1"/>
  <c r="B8" i="1"/>
  <c r="I15" i="1"/>
  <c r="AD44" i="6" l="1"/>
  <c r="AJ44" i="6" s="1"/>
  <c r="AJ45" i="6" s="1"/>
  <c r="AJ43" i="6"/>
  <c r="AG32" i="6"/>
  <c r="AM32" i="6" s="1"/>
  <c r="AM33" i="6" s="1"/>
  <c r="AM31" i="6"/>
  <c r="AF55" i="6"/>
  <c r="AL55" i="6" s="1"/>
  <c r="AL56" i="6" s="1"/>
  <c r="AL54" i="6"/>
  <c r="AE32" i="6"/>
  <c r="AK32" i="6" s="1"/>
  <c r="AK33" i="6" s="1"/>
  <c r="AK31" i="6"/>
  <c r="AD11" i="6"/>
  <c r="AJ11" i="6" s="1"/>
  <c r="AJ12" i="6" s="1"/>
  <c r="AJ10" i="6"/>
  <c r="AF44" i="6"/>
  <c r="AL44" i="6" s="1"/>
  <c r="AL45" i="6" s="1"/>
  <c r="AL43" i="6"/>
  <c r="AE21" i="6"/>
  <c r="AK21" i="6" s="1"/>
  <c r="AK22" i="6" s="1"/>
  <c r="AK20" i="6"/>
  <c r="AE44" i="6"/>
  <c r="AK44" i="6" s="1"/>
  <c r="AK45" i="6" s="1"/>
  <c r="AK43" i="6"/>
  <c r="AG55" i="6"/>
  <c r="AM55" i="6" s="1"/>
  <c r="AM56" i="6" s="1"/>
  <c r="AM54" i="6"/>
  <c r="AG11" i="6"/>
  <c r="AM11" i="6" s="1"/>
  <c r="AM12" i="6" s="1"/>
  <c r="AM10" i="6"/>
  <c r="AG21" i="6"/>
  <c r="AM21" i="6" s="1"/>
  <c r="AM22" i="6" s="1"/>
  <c r="AM20" i="6"/>
  <c r="AF32" i="6"/>
  <c r="AL32" i="6" s="1"/>
  <c r="AL33" i="6" s="1"/>
  <c r="AL31" i="6"/>
  <c r="AD32" i="6"/>
  <c r="AJ32" i="6" s="1"/>
  <c r="AJ33" i="6" s="1"/>
  <c r="AJ31" i="6"/>
  <c r="AF11" i="6"/>
  <c r="AL11" i="6" s="1"/>
  <c r="AL12" i="6" s="1"/>
  <c r="AL10" i="6"/>
  <c r="AG44" i="6"/>
  <c r="AM44" i="6" s="1"/>
  <c r="AM45" i="6" s="1"/>
  <c r="AM43" i="6"/>
  <c r="AE10" i="6"/>
  <c r="AK9" i="6"/>
  <c r="AD55" i="6"/>
  <c r="AJ55" i="6" s="1"/>
  <c r="AJ56" i="6" s="1"/>
  <c r="AJ54" i="6"/>
  <c r="AD21" i="6"/>
  <c r="AJ21" i="6" s="1"/>
  <c r="AJ22" i="6" s="1"/>
  <c r="AJ20" i="6"/>
  <c r="AE55" i="6"/>
  <c r="AK55" i="6" s="1"/>
  <c r="AK56" i="6" s="1"/>
  <c r="AK54" i="6"/>
  <c r="B20" i="5"/>
  <c r="C31" i="5" s="1"/>
  <c r="I31" i="5" s="1"/>
  <c r="C20" i="5"/>
  <c r="D31" i="5" s="1"/>
  <c r="J31" i="5" s="1"/>
  <c r="E31" i="5"/>
  <c r="K31" i="5" s="1"/>
  <c r="A20" i="5"/>
  <c r="B31" i="5" s="1"/>
  <c r="H31" i="5" s="1"/>
  <c r="B19" i="5"/>
  <c r="C30" i="5" s="1"/>
  <c r="I30" i="5" s="1"/>
  <c r="C19" i="5"/>
  <c r="D30" i="5" s="1"/>
  <c r="J30" i="5" s="1"/>
  <c r="D19" i="5"/>
  <c r="E30" i="5" s="1"/>
  <c r="K30" i="5" s="1"/>
  <c r="A19" i="5"/>
  <c r="B30" i="5" s="1"/>
  <c r="H30" i="5" s="1"/>
  <c r="D18" i="5"/>
  <c r="E29" i="5" s="1"/>
  <c r="K29" i="5" s="1"/>
  <c r="B18" i="5"/>
  <c r="C29" i="5" s="1"/>
  <c r="I29" i="5" s="1"/>
  <c r="C18" i="5"/>
  <c r="D29" i="5" s="1"/>
  <c r="J29" i="5" s="1"/>
  <c r="A18" i="5"/>
  <c r="B29" i="5" s="1"/>
  <c r="H29" i="5" s="1"/>
  <c r="B17" i="5"/>
  <c r="C28" i="5" s="1"/>
  <c r="I28" i="5" s="1"/>
  <c r="C17" i="5"/>
  <c r="D28" i="5" s="1"/>
  <c r="J28" i="5" s="1"/>
  <c r="D17" i="5"/>
  <c r="E28" i="5" s="1"/>
  <c r="K28" i="5" s="1"/>
  <c r="A17" i="5"/>
  <c r="B28" i="5" s="1"/>
  <c r="H28" i="5" s="1"/>
  <c r="B16" i="5"/>
  <c r="C27" i="5" s="1"/>
  <c r="I27" i="5" s="1"/>
  <c r="C16" i="5"/>
  <c r="D27" i="5" s="1"/>
  <c r="J27" i="5" s="1"/>
  <c r="D16" i="5"/>
  <c r="E27" i="5" s="1"/>
  <c r="K27" i="5" s="1"/>
  <c r="A16" i="5"/>
  <c r="B27" i="5" s="1"/>
  <c r="H27" i="5" s="1"/>
  <c r="B15" i="5"/>
  <c r="C26" i="5" s="1"/>
  <c r="I26" i="5" s="1"/>
  <c r="C15" i="5"/>
  <c r="D26" i="5" s="1"/>
  <c r="J26" i="5" s="1"/>
  <c r="D15" i="5"/>
  <c r="E26" i="5" s="1"/>
  <c r="K26" i="5" s="1"/>
  <c r="A15" i="5"/>
  <c r="B26" i="5" s="1"/>
  <c r="H26" i="5" s="1"/>
  <c r="H32" i="5" s="1"/>
  <c r="C11" i="1"/>
  <c r="F5" i="1"/>
  <c r="G5" i="1" s="1"/>
  <c r="F6" i="1"/>
  <c r="G6" i="1" s="1"/>
  <c r="F7" i="1"/>
  <c r="G7" i="1" s="1"/>
  <c r="F8" i="1"/>
  <c r="G8" i="1" s="1"/>
  <c r="H8" i="1" s="1"/>
  <c r="I8" i="1" s="1"/>
  <c r="F9" i="1"/>
  <c r="F10" i="1"/>
  <c r="F4" i="1"/>
  <c r="G4" i="1" s="1"/>
  <c r="B4" i="1"/>
  <c r="AE11" i="6" l="1"/>
  <c r="AK11" i="6" s="1"/>
  <c r="AK12" i="6" s="1"/>
  <c r="AK10" i="6"/>
  <c r="H7" i="1"/>
  <c r="I7" i="1" s="1"/>
  <c r="H4" i="1"/>
  <c r="I4" i="1" s="1"/>
  <c r="H6" i="1"/>
  <c r="I6" i="1" s="1"/>
  <c r="H5" i="1"/>
  <c r="I5" i="1" s="1"/>
  <c r="K32" i="5"/>
  <c r="I32" i="5"/>
  <c r="J32" i="5"/>
  <c r="B16" i="1" l="1"/>
  <c r="B15" i="1"/>
  <c r="B17" i="1"/>
  <c r="B18" i="1"/>
  <c r="C18" i="1" l="1"/>
  <c r="D18" i="1"/>
  <c r="E18" i="1" s="1"/>
  <c r="C17" i="1"/>
  <c r="D17" i="1"/>
  <c r="E17" i="1" s="1"/>
  <c r="C15" i="1"/>
  <c r="D15" i="1"/>
  <c r="E15" i="1" s="1"/>
  <c r="C16" i="1"/>
  <c r="D16" i="1" s="1"/>
  <c r="E16" i="1" s="1"/>
</calcChain>
</file>

<file path=xl/sharedStrings.xml><?xml version="1.0" encoding="utf-8"?>
<sst xmlns="http://schemas.openxmlformats.org/spreadsheetml/2006/main" count="584" uniqueCount="106">
  <si>
    <t>Substrate</t>
  </si>
  <si>
    <t>Inoculums (mL)</t>
  </si>
  <si>
    <t>Substrate (g)</t>
  </si>
  <si>
    <t xml:space="preserve">Inoculums </t>
  </si>
  <si>
    <t>Acetate</t>
  </si>
  <si>
    <t>10:1</t>
  </si>
  <si>
    <t>TS%</t>
  </si>
  <si>
    <t>Propionate</t>
  </si>
  <si>
    <t>VS%</t>
  </si>
  <si>
    <t>Butyrate</t>
  </si>
  <si>
    <t>Glucose</t>
  </si>
  <si>
    <t>Cellulose</t>
  </si>
  <si>
    <t>Negative control</t>
  </si>
  <si>
    <t>Positive control</t>
  </si>
  <si>
    <t>2% of avicel</t>
  </si>
  <si>
    <t>Total volume</t>
  </si>
  <si>
    <t>Avicel</t>
  </si>
  <si>
    <t>Glelatin</t>
  </si>
  <si>
    <t>Acetic</t>
  </si>
  <si>
    <t>Stock solution</t>
  </si>
  <si>
    <t>Substrate (mL)</t>
  </si>
  <si>
    <t>Negative</t>
  </si>
  <si>
    <t>Acetic.1</t>
  </si>
  <si>
    <t>Avicel.1</t>
  </si>
  <si>
    <t>Glucose.1</t>
  </si>
  <si>
    <t>Glelatin.1</t>
  </si>
  <si>
    <t>Acetic.2</t>
  </si>
  <si>
    <t>Avicel.2</t>
  </si>
  <si>
    <t>Glucose.2</t>
  </si>
  <si>
    <t>Glelatin.2</t>
  </si>
  <si>
    <t>hr</t>
  </si>
  <si>
    <t>biogas</t>
  </si>
  <si>
    <t>%CH4</t>
  </si>
  <si>
    <t>ลบ nega</t>
  </si>
  <si>
    <t>Acetic acid</t>
  </si>
  <si>
    <t>p.panit</t>
  </si>
  <si>
    <r>
      <t>H</t>
    </r>
    <r>
      <rPr>
        <b/>
        <vertAlign val="subscript"/>
        <sz val="12"/>
        <color theme="1"/>
        <rFont val="BrowalliaUPC"/>
        <family val="2"/>
      </rPr>
      <t>2</t>
    </r>
    <r>
      <rPr>
        <b/>
        <sz val="12"/>
        <color theme="1"/>
        <rFont val="BrowalliaUPC"/>
        <family val="2"/>
      </rPr>
      <t>+CO</t>
    </r>
    <r>
      <rPr>
        <b/>
        <vertAlign val="subscript"/>
        <sz val="12"/>
        <color theme="1"/>
        <rFont val="BrowalliaUPC"/>
        <family val="2"/>
      </rPr>
      <t>2</t>
    </r>
  </si>
  <si>
    <r>
      <t>COD (gCOD/g</t>
    </r>
    <r>
      <rPr>
        <b/>
        <vertAlign val="subscript"/>
        <sz val="12"/>
        <color indexed="8"/>
        <rFont val="BrowalliaUPC"/>
        <family val="2"/>
      </rPr>
      <t>substrate</t>
    </r>
    <r>
      <rPr>
        <b/>
        <sz val="12"/>
        <color indexed="8"/>
        <rFont val="BrowalliaUPC"/>
        <family val="2"/>
      </rPr>
      <t>)</t>
    </r>
  </si>
  <si>
    <t>mL-CH4</t>
  </si>
  <si>
    <t>Total yield (mLCH4/gCOD)</t>
  </si>
  <si>
    <t>Inoculums (g-VS)</t>
  </si>
  <si>
    <t>Substrate (g-COD)</t>
  </si>
  <si>
    <t>Total</t>
  </si>
  <si>
    <t>Inoc VS 4%</t>
  </si>
  <si>
    <t>Acetic 1.0575</t>
  </si>
  <si>
    <t>gCOD/g-substrate</t>
  </si>
  <si>
    <t>ต้องการ Ratio (VS/COD)</t>
  </si>
  <si>
    <t>เรารู้ gCOD ต้องการหา gSubstrate</t>
  </si>
  <si>
    <t>เตรียม Stock solution</t>
  </si>
  <si>
    <t>ต้องเติม water (mL)</t>
  </si>
  <si>
    <t>CH4 yield (mLCH4/gCOD)</t>
  </si>
  <si>
    <t>เอา 2gVS หาร 10 เพื่อ 10:1</t>
  </si>
  <si>
    <t>ace.มี 1.0575gCODได้จาก Sub.1g</t>
  </si>
  <si>
    <t>ace.มี 0.2 gCODได้จาก Sub.0.1891g</t>
  </si>
  <si>
    <t xml:space="preserve"> 50mL มีVS 2</t>
  </si>
  <si>
    <t>100mL มีVS 4</t>
  </si>
  <si>
    <t xml:space="preserve">ค่าทษ. 1 g substrate </t>
  </si>
  <si>
    <t>ได้ COD เท่าไร</t>
  </si>
  <si>
    <t>5mLใส่ substrate</t>
  </si>
  <si>
    <t>0.1891 g</t>
  </si>
  <si>
    <t xml:space="preserve">100mLใส่ substrate </t>
  </si>
  <si>
    <t>100ml</t>
  </si>
  <si>
    <t>PV=nRT</t>
  </si>
  <si>
    <t>n=PV/RT</t>
  </si>
  <si>
    <t xml:space="preserve">   P=1 atm</t>
  </si>
  <si>
    <t xml:space="preserve">   V= volumn (L)</t>
  </si>
  <si>
    <t xml:space="preserve">   R= 0.0821 (L-atm/K-mol)</t>
  </si>
  <si>
    <t xml:space="preserve">   T= Kalvin (K=273+oC)</t>
  </si>
  <si>
    <t>แปลง mol เป็น mL</t>
  </si>
  <si>
    <t>1 mol มีแก๊ส 22.4 L</t>
  </si>
  <si>
    <t>เทียบ กับค่าทฤษฎี 1 g COD ได้มีเทน 350 mL</t>
  </si>
  <si>
    <t>CH4 350 mL ได้จาก 1 g COD</t>
  </si>
  <si>
    <t>SMA (g-COD/gVSS)</t>
  </si>
  <si>
    <t>Combusion CH4+2O2--&gt; CO2+2H2O</t>
  </si>
  <si>
    <t>n (mol)</t>
  </si>
  <si>
    <t>mL</t>
  </si>
  <si>
    <t>g-COD</t>
  </si>
  <si>
    <t>หาร</t>
  </si>
  <si>
    <t>37 g/L</t>
  </si>
  <si>
    <t>g-COD/g-VSSadded</t>
  </si>
  <si>
    <t>g-VSSadded</t>
  </si>
  <si>
    <t xml:space="preserve"> g-COD/g-VSSadded   
</t>
  </si>
  <si>
    <t>mL-CH4/ g-COD</t>
  </si>
  <si>
    <t>0.04%NaOH</t>
  </si>
  <si>
    <t>0.50%CaOH2</t>
  </si>
  <si>
    <t>8.0%ash</t>
  </si>
  <si>
    <t>Self-recovery</t>
  </si>
  <si>
    <t xml:space="preserve">Negative1 </t>
  </si>
  <si>
    <t>Negative2</t>
  </si>
  <si>
    <t>Accumulative CH4</t>
  </si>
  <si>
    <t>mol</t>
  </si>
  <si>
    <t>gCOD</t>
  </si>
  <si>
    <t xml:space="preserve"> g-COD/g-VSSadded   </t>
  </si>
  <si>
    <t>self-recovery</t>
  </si>
  <si>
    <t>0.14%w/v NaOH</t>
  </si>
  <si>
    <t>Self recovery</t>
  </si>
  <si>
    <t>0.50%w/v Ca(OH)2</t>
  </si>
  <si>
    <t>_ (Negative)</t>
  </si>
  <si>
    <t>Dilution with BE 8:2</t>
  </si>
  <si>
    <t>8.0%w/v palm oil ash</t>
  </si>
  <si>
    <t>0.04%w/v NaOH</t>
  </si>
  <si>
    <t>Inhibited sludge</t>
  </si>
  <si>
    <t>0.50%w/v CaOH2</t>
  </si>
  <si>
    <t>_(Negative)</t>
  </si>
  <si>
    <t xml:space="preserve">Data_S1 Detailed Information of of specific methanogenic activity (SMA) of inhibited microbial sludge, self-recovery sludge and the recovered sludge with various methods.
</t>
  </si>
  <si>
    <t>8.00%w/v Oil palm 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</si>
</sst>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3">
    <font>
      <sz val="11"/>
      <color theme="1"/>
      <name val="Calibri"/>
      <family val="2"/>
      <charset val="222"/>
      <scheme val="minor"/>
    </font>
    <font>
      <b/>
      <sz val="12"/>
      <color theme="1"/>
      <name val="BrowalliaUPC"/>
      <family val="2"/>
    </font>
    <font>
      <b/>
      <vertAlign val="subscript"/>
      <sz val="12"/>
      <color theme="1"/>
      <name val="BrowalliaUPC"/>
      <family val="2"/>
    </font>
    <font>
      <sz val="12"/>
      <color theme="1"/>
      <name val="Calibri"/>
      <family val="2"/>
      <charset val="222"/>
      <scheme val="minor"/>
    </font>
    <font>
      <b/>
      <vertAlign val="subscript"/>
      <sz val="12"/>
      <color indexed="8"/>
      <name val="BrowalliaUPC"/>
      <family val="2"/>
    </font>
    <font>
      <b/>
      <sz val="12"/>
      <color indexed="8"/>
      <name val="BrowalliaUPC"/>
      <family val="2"/>
    </font>
    <font>
      <sz val="12"/>
      <color theme="1"/>
      <name val="Browallia New"/>
      <family val="2"/>
    </font>
    <font>
      <b/>
      <sz val="14"/>
      <color rgb="FFFF0000"/>
      <name val="BrowalliaUPC"/>
      <family val="2"/>
    </font>
    <font>
      <b/>
      <sz val="12"/>
      <color rgb="FFFF0000"/>
      <name val="BrowalliaUPC"/>
      <family val="2"/>
    </font>
    <font>
      <b/>
      <sz val="12"/>
      <color theme="3" tint="0.39997558519241921"/>
      <name val="BrowalliaUPC"/>
      <family val="2"/>
    </font>
    <font>
      <b/>
      <sz val="12"/>
      <name val="BrowalliaUPC"/>
      <family val="2"/>
    </font>
    <font>
      <b/>
      <sz val="12"/>
      <color rgb="FFFF0000"/>
      <name val="Browallia New"/>
      <family val="2"/>
    </font>
    <font>
      <sz val="9"/>
      <color theme="1"/>
      <name val="Calibri"/>
      <family val="2"/>
      <charset val="22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charset val="222"/>
      <scheme val="minor"/>
    </font>
    <font>
      <b/>
      <sz val="10"/>
      <color rgb="FF0070C0"/>
      <name val="Calibri"/>
      <family val="2"/>
      <scheme val="minor"/>
    </font>
    <font>
      <sz val="9"/>
      <color rgb="FF0070C0"/>
      <name val="Calibri"/>
      <family val="2"/>
      <charset val="222"/>
      <scheme val="minor"/>
    </font>
    <font>
      <sz val="9"/>
      <color theme="3" tint="0.39997558519241921"/>
      <name val="Calibri"/>
      <family val="2"/>
      <charset val="222"/>
      <scheme val="minor"/>
    </font>
    <font>
      <b/>
      <sz val="9"/>
      <color rgb="FF0070C0"/>
      <name val="Calibri"/>
      <family val="2"/>
      <scheme val="minor"/>
    </font>
    <font>
      <b/>
      <sz val="12"/>
      <name val="Browallia New"/>
      <family val="2"/>
    </font>
    <font>
      <b/>
      <sz val="14"/>
      <name val="Browallia New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charset val="222"/>
      <scheme val="minor"/>
    </font>
    <font>
      <sz val="8"/>
      <color rgb="FFFF0000"/>
      <name val="Calibri"/>
      <family val="2"/>
      <charset val="222"/>
      <scheme val="minor"/>
    </font>
    <font>
      <sz val="10"/>
      <name val="Calibri"/>
      <family val="2"/>
      <scheme val="minor"/>
    </font>
    <font>
      <b/>
      <sz val="16"/>
      <name val="BrowalliaUPC"/>
      <family val="2"/>
    </font>
    <font>
      <b/>
      <sz val="20"/>
      <name val="BrowalliaUPC"/>
      <family val="2"/>
    </font>
    <font>
      <b/>
      <sz val="16"/>
      <color theme="0" tint="-0.249977111117893"/>
      <name val="BrowalliaUPC"/>
      <family val="2"/>
    </font>
    <font>
      <b/>
      <sz val="24"/>
      <name val="BrowalliaUP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1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5" fillId="2" borderId="0" xfId="0" applyFont="1" applyFill="1" applyBorder="1"/>
    <xf numFmtId="0" fontId="15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9" fillId="2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2" fontId="3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24" fillId="0" borderId="0" xfId="0" applyFont="1"/>
    <xf numFmtId="166" fontId="3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2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right"/>
    </xf>
    <xf numFmtId="0" fontId="3" fillId="0" borderId="0" xfId="0" applyFont="1" applyFill="1"/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165" fontId="1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8" fillId="2" borderId="0" xfId="0" applyFont="1" applyFill="1"/>
    <xf numFmtId="0" fontId="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5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165" fontId="29" fillId="0" borderId="1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2" fontId="29" fillId="0" borderId="0" xfId="0" applyNumberFormat="1" applyFont="1" applyFill="1" applyBorder="1" applyAlignment="1">
      <alignment horizontal="center" vertical="center"/>
    </xf>
    <xf numFmtId="165" fontId="29" fillId="0" borderId="0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1" fillId="0" borderId="0" xfId="0" applyFont="1" applyFill="1"/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29" fillId="0" borderId="0" xfId="0" applyFont="1" applyFill="1"/>
    <xf numFmtId="0" fontId="30" fillId="0" borderId="5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2" fontId="29" fillId="0" borderId="1" xfId="0" applyNumberFormat="1" applyFont="1" applyFill="1" applyBorder="1" applyAlignment="1">
      <alignment horizontal="center"/>
    </xf>
    <xf numFmtId="0" fontId="30" fillId="0" borderId="5" xfId="0" applyFont="1" applyFill="1" applyBorder="1" applyAlignment="1">
      <alignment horizontal="left" vertical="top"/>
    </xf>
    <xf numFmtId="0" fontId="1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/>
    </xf>
    <xf numFmtId="0" fontId="32" fillId="0" borderId="0" xfId="0" applyFont="1" applyFill="1" applyAlignment="1">
      <alignment wrapText="1"/>
    </xf>
    <xf numFmtId="0" fontId="32" fillId="0" borderId="0" xfId="0" applyFont="1" applyFill="1" applyAlignment="1"/>
    <xf numFmtId="0" fontId="29" fillId="0" borderId="2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3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418856991914764E-2"/>
          <c:y val="9.2966307130165154E-2"/>
          <c:w val="0.87626665892395694"/>
          <c:h val="0.7807589329668852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'SMA p.panit 1'!$H$24</c:f>
              <c:strCache>
                <c:ptCount val="1"/>
                <c:pt idx="0">
                  <c:v>Acetic acid</c:v>
                </c:pt>
              </c:strCache>
            </c:strRef>
          </c:tx>
          <c:spPr>
            <a:ln w="31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175">
                <a:solidFill>
                  <a:schemeClr val="accent1"/>
                </a:solidFill>
              </a:ln>
              <a:effectLst/>
            </c:spPr>
          </c:marker>
          <c:xVal>
            <c:numRef>
              <c:f>'SMA p.panit 1'!$G$25:$G$31</c:f>
              <c:numCache>
                <c:formatCode>General</c:formatCode>
                <c:ptCount val="7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</c:numCache>
            </c:numRef>
          </c:xVal>
          <c:yVal>
            <c:numRef>
              <c:f>'SMA p.panit 1'!$H$25:$H$31</c:f>
              <c:numCache>
                <c:formatCode>0.000</c:formatCode>
                <c:ptCount val="7"/>
                <c:pt idx="0">
                  <c:v>0</c:v>
                </c:pt>
                <c:pt idx="1">
                  <c:v>3.9409999999999994</c:v>
                </c:pt>
                <c:pt idx="2">
                  <c:v>4.7074999999999996</c:v>
                </c:pt>
                <c:pt idx="3">
                  <c:v>8.8239999999999998</c:v>
                </c:pt>
                <c:pt idx="4">
                  <c:v>13.020000000000001</c:v>
                </c:pt>
                <c:pt idx="5">
                  <c:v>13.568999999999999</c:v>
                </c:pt>
                <c:pt idx="6">
                  <c:v>13.309999999999999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2D9-423C-9265-0F7E00954AF3}"/>
            </c:ext>
          </c:extLst>
        </c:ser>
        <c:ser>
          <c:idx val="1"/>
          <c:order val="1"/>
          <c:tx>
            <c:strRef>
              <c:f>'SMA p.panit 1'!$I$24</c:f>
              <c:strCache>
                <c:ptCount val="1"/>
                <c:pt idx="0">
                  <c:v>Avicel</c:v>
                </c:pt>
              </c:strCache>
            </c:strRef>
          </c:tx>
          <c:spPr>
            <a:ln w="3175" cap="rnd">
              <a:solidFill>
                <a:schemeClr val="accent2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3175">
                <a:solidFill>
                  <a:schemeClr val="accent2"/>
                </a:solidFill>
              </a:ln>
              <a:effectLst/>
            </c:spPr>
          </c:marker>
          <c:xVal>
            <c:numRef>
              <c:f>'SMA p.panit 1'!$G$25:$G$31</c:f>
              <c:numCache>
                <c:formatCode>General</c:formatCode>
                <c:ptCount val="7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</c:numCache>
            </c:numRef>
          </c:xVal>
          <c:yVal>
            <c:numRef>
              <c:f>'SMA p.panit 1'!$I$25:$I$31</c:f>
              <c:numCache>
                <c:formatCode>0.000</c:formatCode>
                <c:ptCount val="7"/>
                <c:pt idx="0">
                  <c:v>0</c:v>
                </c:pt>
                <c:pt idx="1">
                  <c:v>1.0920000000000001</c:v>
                </c:pt>
                <c:pt idx="2">
                  <c:v>0</c:v>
                </c:pt>
                <c:pt idx="3">
                  <c:v>0</c:v>
                </c:pt>
                <c:pt idx="4">
                  <c:v>3.3490000000000002</c:v>
                </c:pt>
                <c:pt idx="5">
                  <c:v>13.38</c:v>
                </c:pt>
                <c:pt idx="6">
                  <c:v>15.488999999999999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D9-423C-9265-0F7E00954AF3}"/>
            </c:ext>
          </c:extLst>
        </c:ser>
        <c:ser>
          <c:idx val="2"/>
          <c:order val="2"/>
          <c:tx>
            <c:strRef>
              <c:f>'SMA p.panit 1'!$J$24</c:f>
              <c:strCache>
                <c:ptCount val="1"/>
                <c:pt idx="0">
                  <c:v>Glucose</c:v>
                </c:pt>
              </c:strCache>
            </c:strRef>
          </c:tx>
          <c:spPr>
            <a:ln w="31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3"/>
              </a:solidFill>
              <a:ln w="3175">
                <a:solidFill>
                  <a:schemeClr val="accent3"/>
                </a:solidFill>
              </a:ln>
              <a:effectLst/>
            </c:spPr>
          </c:marker>
          <c:xVal>
            <c:numRef>
              <c:f>'SMA p.panit 1'!$G$25:$G$31</c:f>
              <c:numCache>
                <c:formatCode>General</c:formatCode>
                <c:ptCount val="7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</c:numCache>
            </c:numRef>
          </c:xVal>
          <c:yVal>
            <c:numRef>
              <c:f>'SMA p.panit 1'!$J$25:$J$31</c:f>
              <c:numCache>
                <c:formatCode>0.000</c:formatCode>
                <c:ptCount val="7"/>
                <c:pt idx="0">
                  <c:v>0</c:v>
                </c:pt>
                <c:pt idx="1">
                  <c:v>7.3440000000000003</c:v>
                </c:pt>
                <c:pt idx="2">
                  <c:v>7.879999999999999</c:v>
                </c:pt>
                <c:pt idx="3">
                  <c:v>7.8994999999999997</c:v>
                </c:pt>
                <c:pt idx="4">
                  <c:v>10.485000000000001</c:v>
                </c:pt>
                <c:pt idx="5">
                  <c:v>13.362</c:v>
                </c:pt>
                <c:pt idx="6">
                  <c:v>8.0295000000000005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2D9-423C-9265-0F7E00954AF3}"/>
            </c:ext>
          </c:extLst>
        </c:ser>
        <c:ser>
          <c:idx val="3"/>
          <c:order val="3"/>
          <c:tx>
            <c:strRef>
              <c:f>'SMA p.panit 1'!$K$24</c:f>
              <c:strCache>
                <c:ptCount val="1"/>
                <c:pt idx="0">
                  <c:v>Glelatin</c:v>
                </c:pt>
              </c:strCache>
            </c:strRef>
          </c:tx>
          <c:spPr>
            <a:ln w="31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3175">
                <a:solidFill>
                  <a:schemeClr val="accent4"/>
                </a:solidFill>
              </a:ln>
              <a:effectLst/>
            </c:spPr>
          </c:marker>
          <c:xVal>
            <c:numRef>
              <c:f>'SMA p.panit 1'!$G$25:$G$31</c:f>
              <c:numCache>
                <c:formatCode>General</c:formatCode>
                <c:ptCount val="7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</c:numCache>
            </c:numRef>
          </c:xVal>
          <c:yVal>
            <c:numRef>
              <c:f>'SMA p.panit 1'!$K$25:$K$31</c:f>
              <c:numCache>
                <c:formatCode>0.000</c:formatCode>
                <c:ptCount val="7"/>
                <c:pt idx="0">
                  <c:v>0</c:v>
                </c:pt>
                <c:pt idx="1">
                  <c:v>0.96900000000000008</c:v>
                </c:pt>
                <c:pt idx="2">
                  <c:v>6.3149999999999995</c:v>
                </c:pt>
                <c:pt idx="3">
                  <c:v>6.9879999999999995</c:v>
                </c:pt>
                <c:pt idx="4">
                  <c:v>5.911999999999999</c:v>
                </c:pt>
                <c:pt idx="5">
                  <c:v>7.1739999999999986</c:v>
                </c:pt>
                <c:pt idx="6">
                  <c:v>2.5159999999999996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2D9-423C-9265-0F7E00954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742080"/>
        <c:axId val="227744384"/>
      </c:scatterChart>
      <c:valAx>
        <c:axId val="227742080"/>
        <c:scaling>
          <c:orientation val="minMax"/>
          <c:max val="144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44384"/>
        <c:crosses val="autoZero"/>
        <c:crossBetween val="midCat"/>
        <c:majorUnit val="24"/>
      </c:valAx>
      <c:valAx>
        <c:axId val="22774438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Methane yield (mL-CH4/g-COD)</a:t>
                </a:r>
              </a:p>
            </c:rich>
          </c:tx>
          <c:layout>
            <c:manualLayout>
              <c:xMode val="edge"/>
              <c:yMode val="edge"/>
              <c:x val="7.8594995612857911E-3"/>
              <c:y val="0.103000840309981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42080"/>
        <c:crosses val="autoZero"/>
        <c:crossBetween val="midCat"/>
        <c:majorUnit val="2"/>
      </c:valAx>
      <c:spPr>
        <a:solidFill>
          <a:schemeClr val="lt1"/>
        </a:solidFill>
        <a:ln w="635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10841430018381663"/>
          <c:y val="0.12133222108855081"/>
          <c:w val="0.20337045976843163"/>
          <c:h val="0.302525907909426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36437192711203"/>
          <c:y val="8.3373708244605216E-2"/>
          <c:w val="0.86825046171356135"/>
          <c:h val="0.7658299872927824"/>
        </c:manualLayout>
      </c:layout>
      <c:scatterChart>
        <c:scatterStyle val="lineMarker"/>
        <c:varyColors val="0"/>
        <c:ser>
          <c:idx val="0"/>
          <c:order val="0"/>
          <c:tx>
            <c:strRef>
              <c:f>'SMA p.panit 1'!$B$24</c:f>
              <c:strCache>
                <c:ptCount val="1"/>
                <c:pt idx="0">
                  <c:v>Acetic acid</c:v>
                </c:pt>
              </c:strCache>
            </c:strRef>
          </c:tx>
          <c:spPr>
            <a:ln w="31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175">
                <a:solidFill>
                  <a:schemeClr val="accent1"/>
                </a:solidFill>
              </a:ln>
              <a:effectLst/>
            </c:spPr>
          </c:marker>
          <c:xVal>
            <c:numRef>
              <c:f>'SMA p.panit 1'!$A$25:$A$31</c:f>
              <c:numCache>
                <c:formatCode>General</c:formatCode>
                <c:ptCount val="7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</c:numCache>
            </c:numRef>
          </c:xVal>
          <c:yVal>
            <c:numRef>
              <c:f>'SMA p.panit 1'!$B$25:$B$31</c:f>
              <c:numCache>
                <c:formatCode>0.00</c:formatCode>
                <c:ptCount val="7"/>
                <c:pt idx="0">
                  <c:v>0</c:v>
                </c:pt>
                <c:pt idx="1">
                  <c:v>0.7881999999999999</c:v>
                </c:pt>
                <c:pt idx="2">
                  <c:v>0.94149999999999989</c:v>
                </c:pt>
                <c:pt idx="3">
                  <c:v>1.7647999999999999</c:v>
                </c:pt>
                <c:pt idx="4">
                  <c:v>2.6040000000000005</c:v>
                </c:pt>
                <c:pt idx="5">
                  <c:v>2.7138</c:v>
                </c:pt>
                <c:pt idx="6">
                  <c:v>2.6619999999999999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E55-4CEA-8AA5-9DF5D8BA36EC}"/>
            </c:ext>
          </c:extLst>
        </c:ser>
        <c:ser>
          <c:idx val="1"/>
          <c:order val="1"/>
          <c:tx>
            <c:strRef>
              <c:f>'SMA p.panit 1'!$C$24</c:f>
              <c:strCache>
                <c:ptCount val="1"/>
                <c:pt idx="0">
                  <c:v>Avicel</c:v>
                </c:pt>
              </c:strCache>
            </c:strRef>
          </c:tx>
          <c:spPr>
            <a:ln w="3175" cap="rnd">
              <a:solidFill>
                <a:schemeClr val="accent2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3175">
                <a:solidFill>
                  <a:schemeClr val="accent2"/>
                </a:solidFill>
              </a:ln>
              <a:effectLst/>
            </c:spPr>
          </c:marker>
          <c:xVal>
            <c:numRef>
              <c:f>'SMA p.panit 1'!$A$25:$A$31</c:f>
              <c:numCache>
                <c:formatCode>General</c:formatCode>
                <c:ptCount val="7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</c:numCache>
            </c:numRef>
          </c:xVal>
          <c:yVal>
            <c:numRef>
              <c:f>'SMA p.panit 1'!$C$25:$C$31</c:f>
              <c:numCache>
                <c:formatCode>0.00</c:formatCode>
                <c:ptCount val="7"/>
                <c:pt idx="0">
                  <c:v>0</c:v>
                </c:pt>
                <c:pt idx="1">
                  <c:v>0.21840000000000001</c:v>
                </c:pt>
                <c:pt idx="2">
                  <c:v>0</c:v>
                </c:pt>
                <c:pt idx="3">
                  <c:v>0</c:v>
                </c:pt>
                <c:pt idx="4">
                  <c:v>0.66980000000000006</c:v>
                </c:pt>
                <c:pt idx="5">
                  <c:v>2.6760000000000002</c:v>
                </c:pt>
                <c:pt idx="6">
                  <c:v>3.0977999999999999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55-4CEA-8AA5-9DF5D8BA36EC}"/>
            </c:ext>
          </c:extLst>
        </c:ser>
        <c:ser>
          <c:idx val="2"/>
          <c:order val="2"/>
          <c:tx>
            <c:strRef>
              <c:f>'SMA p.panit 1'!$D$24</c:f>
              <c:strCache>
                <c:ptCount val="1"/>
                <c:pt idx="0">
                  <c:v>Glucose</c:v>
                </c:pt>
              </c:strCache>
            </c:strRef>
          </c:tx>
          <c:spPr>
            <a:ln w="31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3175">
                <a:solidFill>
                  <a:schemeClr val="accent3"/>
                </a:solidFill>
              </a:ln>
              <a:effectLst/>
            </c:spPr>
          </c:marker>
          <c:xVal>
            <c:numRef>
              <c:f>'SMA p.panit 1'!$A$25:$A$31</c:f>
              <c:numCache>
                <c:formatCode>General</c:formatCode>
                <c:ptCount val="7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</c:numCache>
            </c:numRef>
          </c:xVal>
          <c:yVal>
            <c:numRef>
              <c:f>'SMA p.panit 1'!$D$25:$D$31</c:f>
              <c:numCache>
                <c:formatCode>0.00</c:formatCode>
                <c:ptCount val="7"/>
                <c:pt idx="0">
                  <c:v>0</c:v>
                </c:pt>
                <c:pt idx="1">
                  <c:v>1.4688000000000001</c:v>
                </c:pt>
                <c:pt idx="2">
                  <c:v>1.5759999999999998</c:v>
                </c:pt>
                <c:pt idx="3">
                  <c:v>1.5799000000000001</c:v>
                </c:pt>
                <c:pt idx="4">
                  <c:v>2.0970000000000004</c:v>
                </c:pt>
                <c:pt idx="5">
                  <c:v>2.6724000000000001</c:v>
                </c:pt>
                <c:pt idx="6">
                  <c:v>1.6059000000000001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E55-4CEA-8AA5-9DF5D8BA36EC}"/>
            </c:ext>
          </c:extLst>
        </c:ser>
        <c:ser>
          <c:idx val="3"/>
          <c:order val="3"/>
          <c:tx>
            <c:strRef>
              <c:f>'SMA p.panit 1'!$E$24</c:f>
              <c:strCache>
                <c:ptCount val="1"/>
                <c:pt idx="0">
                  <c:v>Glelatin</c:v>
                </c:pt>
              </c:strCache>
            </c:strRef>
          </c:tx>
          <c:spPr>
            <a:ln w="31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3175">
                <a:solidFill>
                  <a:schemeClr val="accent4"/>
                </a:solidFill>
              </a:ln>
              <a:effectLst/>
            </c:spPr>
          </c:marker>
          <c:xVal>
            <c:numRef>
              <c:f>'SMA p.panit 1'!$A$25:$A$31</c:f>
              <c:numCache>
                <c:formatCode>General</c:formatCode>
                <c:ptCount val="7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</c:numCache>
            </c:numRef>
          </c:xVal>
          <c:yVal>
            <c:numRef>
              <c:f>'SMA p.panit 1'!$E$25:$E$31</c:f>
              <c:numCache>
                <c:formatCode>0.00</c:formatCode>
                <c:ptCount val="7"/>
                <c:pt idx="0">
                  <c:v>0</c:v>
                </c:pt>
                <c:pt idx="1">
                  <c:v>0.19380000000000003</c:v>
                </c:pt>
                <c:pt idx="2">
                  <c:v>1.2629999999999999</c:v>
                </c:pt>
                <c:pt idx="3">
                  <c:v>1.3976</c:v>
                </c:pt>
                <c:pt idx="4">
                  <c:v>1.1823999999999999</c:v>
                </c:pt>
                <c:pt idx="5">
                  <c:v>1.4347999999999999</c:v>
                </c:pt>
                <c:pt idx="6">
                  <c:v>0.50319999999999998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E55-4CEA-8AA5-9DF5D8BA3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817728"/>
        <c:axId val="227824384"/>
      </c:scatterChart>
      <c:valAx>
        <c:axId val="227817728"/>
        <c:scaling>
          <c:orientation val="minMax"/>
          <c:max val="14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(hr)</a:t>
                </a:r>
                <a:endParaRPr lang="th-TH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824384"/>
        <c:crosses val="autoZero"/>
        <c:crossBetween val="midCat"/>
        <c:majorUnit val="24"/>
      </c:valAx>
      <c:valAx>
        <c:axId val="227824384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mL-CH4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817728"/>
        <c:crosses val="autoZero"/>
        <c:crossBetween val="midCat"/>
        <c:majorUnit val="0.5"/>
      </c:valAx>
      <c:spPr>
        <a:solidFill>
          <a:schemeClr val="lt1"/>
        </a:solidFill>
        <a:ln w="3175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12618632927294346"/>
          <c:y val="0.12259410611648228"/>
          <c:w val="0.17263377975188998"/>
          <c:h val="0.28707722390813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43714498374276E-2"/>
          <c:y val="5.1917394482634056E-2"/>
          <c:w val="0.88429310142202378"/>
          <c:h val="0.83859227675799097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dkDnDiag">
              <a:fgClr>
                <a:sysClr val="windowText" lastClr="000000"/>
              </a:fgClr>
              <a:bgClr>
                <a:schemeClr val="bg1"/>
              </a:bgClr>
            </a:pattFill>
            <a:ln>
              <a:solidFill>
                <a:schemeClr val="dk1"/>
              </a:solidFill>
            </a:ln>
            <a:effectLst/>
          </c:spPr>
          <c:invertIfNegative val="0"/>
          <c:errBars>
            <c:errBarType val="both"/>
            <c:errValType val="percentage"/>
            <c:noEndCap val="0"/>
            <c:val val="3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'SMA p.panit 1'!$H$24:$K$24</c:f>
              <c:strCache>
                <c:ptCount val="4"/>
                <c:pt idx="0">
                  <c:v>Acetic acid</c:v>
                </c:pt>
                <c:pt idx="1">
                  <c:v>Avicel</c:v>
                </c:pt>
                <c:pt idx="2">
                  <c:v>Glucose</c:v>
                </c:pt>
                <c:pt idx="3">
                  <c:v>Glelatin</c:v>
                </c:pt>
              </c:strCache>
            </c:strRef>
          </c:cat>
          <c:val>
            <c:numRef>
              <c:f>'SMA p.panit 1'!$H$32:$K$32</c:f>
              <c:numCache>
                <c:formatCode>General</c:formatCode>
                <c:ptCount val="4"/>
                <c:pt idx="0">
                  <c:v>57.371499999999997</c:v>
                </c:pt>
                <c:pt idx="1">
                  <c:v>33.31</c:v>
                </c:pt>
                <c:pt idx="2">
                  <c:v>55</c:v>
                </c:pt>
                <c:pt idx="3">
                  <c:v>29.873999999999995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25-453F-AD5A-2E320FEC7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857920"/>
        <c:axId val="227859456"/>
      </c:barChart>
      <c:catAx>
        <c:axId val="22785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859456"/>
        <c:crosses val="autoZero"/>
        <c:auto val="1"/>
        <c:lblAlgn val="ctr"/>
        <c:lblOffset val="100"/>
        <c:noMultiLvlLbl val="0"/>
      </c:catAx>
      <c:valAx>
        <c:axId val="227859456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Methane yield (mL-CH4/g-COD)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>
            <a:solidFill>
              <a:schemeClr val="dk1">
                <a:shade val="95000"/>
                <a:satMod val="10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857920"/>
        <c:crosses val="autoZero"/>
        <c:crossBetween val="between"/>
        <c:majorUnit val="10"/>
      </c:valAx>
      <c:spPr>
        <a:solidFill>
          <a:schemeClr val="lt1"/>
        </a:solidFill>
        <a:ln w="3175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pattFill prst="pct60">
              <a:fgClr>
                <a:sysClr val="windowText" lastClr="000000"/>
              </a:fgClr>
              <a:bgClr>
                <a:schemeClr val="bg1"/>
              </a:bgClr>
            </a:pattFill>
            <a:ln>
              <a:solidFill>
                <a:schemeClr val="dk1"/>
              </a:solidFill>
            </a:ln>
            <a:effectLst/>
          </c:spPr>
          <c:invertIfNegative val="0"/>
          <c:errBars>
            <c:errBarType val="both"/>
            <c:errValType val="percentage"/>
            <c:noEndCap val="0"/>
            <c:val val="3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'SMA p.panit 1'!$V$65:$Y$65</c:f>
              <c:strCache>
                <c:ptCount val="4"/>
                <c:pt idx="0">
                  <c:v>Acetic acid</c:v>
                </c:pt>
                <c:pt idx="1">
                  <c:v>Avicel</c:v>
                </c:pt>
                <c:pt idx="2">
                  <c:v>Glucose</c:v>
                </c:pt>
                <c:pt idx="3">
                  <c:v>Glelatin</c:v>
                </c:pt>
              </c:strCache>
            </c:strRef>
          </c:cat>
          <c:val>
            <c:numRef>
              <c:f>'SMA p.panit 1'!$V$72:$Y$72</c:f>
              <c:numCache>
                <c:formatCode>0.00</c:formatCode>
                <c:ptCount val="4"/>
                <c:pt idx="0">
                  <c:v>0.34442415925582792</c:v>
                </c:pt>
                <c:pt idx="1">
                  <c:v>0.40081035332182707</c:v>
                </c:pt>
                <c:pt idx="2">
                  <c:v>0.20778014926706764</c:v>
                </c:pt>
                <c:pt idx="3">
                  <c:v>6.510677570906559E-2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E8-4C23-BD6A-BBD85C460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894400"/>
        <c:axId val="227895936"/>
      </c:barChart>
      <c:catAx>
        <c:axId val="22789440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7895936"/>
        <c:crosses val="autoZero"/>
        <c:auto val="1"/>
        <c:lblAlgn val="ctr"/>
        <c:lblOffset val="100"/>
        <c:noMultiLvlLbl val="0"/>
      </c:catAx>
      <c:valAx>
        <c:axId val="227895936"/>
        <c:scaling>
          <c:orientation val="minMax"/>
          <c:max val="0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SMA (g-COD/d-VSS added)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in"/>
        <c:tickLblPos val="nextTo"/>
        <c:spPr>
          <a:noFill/>
          <a:ln>
            <a:solidFill>
              <a:schemeClr val="dk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7894400"/>
        <c:crosses val="autoZero"/>
        <c:crossBetween val="between"/>
      </c:valAx>
      <c:spPr>
        <a:solidFill>
          <a:schemeClr val="lt1"/>
        </a:solidFill>
        <a:ln w="635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06509378241369"/>
          <c:y val="6.8042472548910313E-2"/>
          <c:w val="0.84519176757997239"/>
          <c:h val="0.81956133994760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'SMA test'!$BN$59</c:f>
              <c:strCache>
                <c:ptCount val="1"/>
                <c:pt idx="0">
                  <c:v>Acetic acid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percentage"/>
            <c:noEndCap val="0"/>
            <c:val val="5"/>
          </c:errBars>
          <c:cat>
            <c:strRef>
              <c:f>'SMA test'!$BO$58:$BT$58</c:f>
              <c:strCache>
                <c:ptCount val="6"/>
                <c:pt idx="0">
                  <c:v>Inhibited sludge</c:v>
                </c:pt>
                <c:pt idx="1">
                  <c:v>self-recovery</c:v>
                </c:pt>
                <c:pt idx="2">
                  <c:v>Dilution with BE 8:2</c:v>
                </c:pt>
                <c:pt idx="3">
                  <c:v>0.14%w/v NaOH</c:v>
                </c:pt>
                <c:pt idx="4">
                  <c:v>0.50%w/v Ca(OH)2</c:v>
                </c:pt>
                <c:pt idx="5">
                  <c:v>8.00%w/v Oil palm ash</c:v>
                </c:pt>
              </c:strCache>
            </c:strRef>
          </c:cat>
          <c:val>
            <c:numRef>
              <c:f>'SMA test'!$BO$59:$BT$59</c:f>
              <c:numCache>
                <c:formatCode>0.000</c:formatCode>
                <c:ptCount val="6"/>
                <c:pt idx="0">
                  <c:v>0.34442415925582809</c:v>
                </c:pt>
                <c:pt idx="1">
                  <c:v>0.48065933879888967</c:v>
                </c:pt>
                <c:pt idx="2">
                  <c:v>0.6838099287489704</c:v>
                </c:pt>
                <c:pt idx="3">
                  <c:v>0.65809440454742929</c:v>
                </c:pt>
                <c:pt idx="4">
                  <c:v>0.76726781754105333</c:v>
                </c:pt>
                <c:pt idx="5">
                  <c:v>0.76094056144213362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1B-4DBD-9F60-C9416C58A8B6}"/>
            </c:ext>
          </c:extLst>
        </c:ser>
        <c:ser>
          <c:idx val="1"/>
          <c:order val="1"/>
          <c:tx>
            <c:strRef>
              <c:f>'SMA test'!$BN$60</c:f>
              <c:strCache>
                <c:ptCount val="1"/>
                <c:pt idx="0">
                  <c:v>Avicel</c:v>
                </c:pt>
              </c:strCache>
            </c:strRef>
          </c:tx>
          <c:invertIfNegative val="0"/>
          <c:errBars>
            <c:errBarType val="both"/>
            <c:errValType val="percentage"/>
            <c:noEndCap val="0"/>
            <c:val val="5"/>
          </c:errBars>
          <c:cat>
            <c:strRef>
              <c:f>'SMA test'!$BO$58:$BT$58</c:f>
              <c:strCache>
                <c:ptCount val="6"/>
                <c:pt idx="0">
                  <c:v>Inhibited sludge</c:v>
                </c:pt>
                <c:pt idx="1">
                  <c:v>self-recovery</c:v>
                </c:pt>
                <c:pt idx="2">
                  <c:v>Dilution with BE 8:2</c:v>
                </c:pt>
                <c:pt idx="3">
                  <c:v>0.14%w/v NaOH</c:v>
                </c:pt>
                <c:pt idx="4">
                  <c:v>0.50%w/v Ca(OH)2</c:v>
                </c:pt>
                <c:pt idx="5">
                  <c:v>8.00%w/v Oil palm ash</c:v>
                </c:pt>
              </c:strCache>
            </c:strRef>
          </c:cat>
          <c:val>
            <c:numRef>
              <c:f>'SMA test'!$BO$60:$BT$60</c:f>
              <c:numCache>
                <c:formatCode>0.000</c:formatCode>
                <c:ptCount val="6"/>
                <c:pt idx="0">
                  <c:v>0.40081035332182707</c:v>
                </c:pt>
                <c:pt idx="1">
                  <c:v>0.11214602884970033</c:v>
                </c:pt>
                <c:pt idx="2">
                  <c:v>0.52788467910577941</c:v>
                </c:pt>
                <c:pt idx="3">
                  <c:v>0.59570534951489673</c:v>
                </c:pt>
                <c:pt idx="4">
                  <c:v>0.82140723195514054</c:v>
                </c:pt>
                <c:pt idx="5">
                  <c:v>0.68467608187990414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1B-4DBD-9F60-C9416C58A8B6}"/>
            </c:ext>
          </c:extLst>
        </c:ser>
        <c:ser>
          <c:idx val="2"/>
          <c:order val="2"/>
          <c:tx>
            <c:strRef>
              <c:f>'SMA test'!$BN$61</c:f>
              <c:strCache>
                <c:ptCount val="1"/>
                <c:pt idx="0">
                  <c:v>Glucose</c:v>
                </c:pt>
              </c:strCache>
            </c:strRef>
          </c:tx>
          <c:invertIfNegative val="0"/>
          <c:errBars>
            <c:errBarType val="both"/>
            <c:errValType val="percentage"/>
            <c:noEndCap val="0"/>
            <c:val val="5"/>
          </c:errBars>
          <c:cat>
            <c:strRef>
              <c:f>'SMA test'!$BO$58:$BT$58</c:f>
              <c:strCache>
                <c:ptCount val="6"/>
                <c:pt idx="0">
                  <c:v>Inhibited sludge</c:v>
                </c:pt>
                <c:pt idx="1">
                  <c:v>self-recovery</c:v>
                </c:pt>
                <c:pt idx="2">
                  <c:v>Dilution with BE 8:2</c:v>
                </c:pt>
                <c:pt idx="3">
                  <c:v>0.14%w/v NaOH</c:v>
                </c:pt>
                <c:pt idx="4">
                  <c:v>0.50%w/v Ca(OH)2</c:v>
                </c:pt>
                <c:pt idx="5">
                  <c:v>8.00%w/v Oil palm ash</c:v>
                </c:pt>
              </c:strCache>
            </c:strRef>
          </c:cat>
          <c:val>
            <c:numRef>
              <c:f>'SMA test'!$BO$61:$BT$61</c:f>
              <c:numCache>
                <c:formatCode>0.000</c:formatCode>
                <c:ptCount val="6"/>
                <c:pt idx="0">
                  <c:v>0.20778014926706764</c:v>
                </c:pt>
                <c:pt idx="1">
                  <c:v>0.10552774554862601</c:v>
                </c:pt>
                <c:pt idx="2">
                  <c:v>0.23389682368516021</c:v>
                </c:pt>
                <c:pt idx="3">
                  <c:v>0.26306580029292403</c:v>
                </c:pt>
                <c:pt idx="4">
                  <c:v>0.44054910592564162</c:v>
                </c:pt>
                <c:pt idx="5">
                  <c:v>0.59103196416790205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1B-4DBD-9F60-C9416C58A8B6}"/>
            </c:ext>
          </c:extLst>
        </c:ser>
        <c:ser>
          <c:idx val="3"/>
          <c:order val="3"/>
          <c:tx>
            <c:strRef>
              <c:f>'SMA test'!$BN$62</c:f>
              <c:strCache>
                <c:ptCount val="1"/>
                <c:pt idx="0">
                  <c:v>Glelatin</c:v>
                </c:pt>
              </c:strCache>
            </c:strRef>
          </c:tx>
          <c:spPr>
            <a:ln>
              <a:noFill/>
            </a:ln>
          </c:spPr>
          <c:invertIfNegative val="0"/>
          <c:errBars>
            <c:errBarType val="both"/>
            <c:errValType val="percentage"/>
            <c:noEndCap val="0"/>
            <c:val val="5"/>
          </c:errBars>
          <c:cat>
            <c:strRef>
              <c:f>'SMA test'!$BO$58:$BT$58</c:f>
              <c:strCache>
                <c:ptCount val="6"/>
                <c:pt idx="0">
                  <c:v>Inhibited sludge</c:v>
                </c:pt>
                <c:pt idx="1">
                  <c:v>self-recovery</c:v>
                </c:pt>
                <c:pt idx="2">
                  <c:v>Dilution with BE 8:2</c:v>
                </c:pt>
                <c:pt idx="3">
                  <c:v>0.14%w/v NaOH</c:v>
                </c:pt>
                <c:pt idx="4">
                  <c:v>0.50%w/v Ca(OH)2</c:v>
                </c:pt>
                <c:pt idx="5">
                  <c:v>8.00%w/v Oil palm ash</c:v>
                </c:pt>
              </c:strCache>
            </c:strRef>
          </c:cat>
          <c:val>
            <c:numRef>
              <c:f>'SMA test'!$BO$62:$BT$62</c:f>
              <c:numCache>
                <c:formatCode>0.000</c:formatCode>
                <c:ptCount val="6"/>
                <c:pt idx="0">
                  <c:v>6.510677570906559E-2</c:v>
                </c:pt>
                <c:pt idx="1">
                  <c:v>0.12163049783234228</c:v>
                </c:pt>
                <c:pt idx="2">
                  <c:v>0.1342144410167678</c:v>
                </c:pt>
                <c:pt idx="3">
                  <c:v>6.5910732860497076E-2</c:v>
                </c:pt>
                <c:pt idx="4">
                  <c:v>8.3768053765977721E-2</c:v>
                </c:pt>
                <c:pt idx="5">
                  <c:v>9.6156087883802643E-2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E1B-4DBD-9F60-C9416C58A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084800"/>
        <c:axId val="231086336"/>
      </c:barChart>
      <c:catAx>
        <c:axId val="23108480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1086336"/>
        <c:crossesAt val="0"/>
        <c:auto val="1"/>
        <c:lblAlgn val="ctr"/>
        <c:lblOffset val="100"/>
        <c:noMultiLvlLbl val="0"/>
      </c:catAx>
      <c:valAx>
        <c:axId val="2310863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SMA (gCH4-COD/g-VSS/day)</a:t>
                </a:r>
                <a:endParaRPr lang="th-TH"/>
              </a:p>
            </c:rich>
          </c:tx>
          <c:layout>
            <c:manualLayout>
              <c:xMode val="edge"/>
              <c:yMode val="edge"/>
              <c:x val="2.201166357847751E-2"/>
              <c:y val="0.2794999199886366"/>
            </c:manualLayout>
          </c:layout>
          <c:overlay val="0"/>
        </c:title>
        <c:numFmt formatCode="0.000" sourceLinked="1"/>
        <c:majorTickMark val="out"/>
        <c:minorTickMark val="in"/>
        <c:tickLblPos val="nextTo"/>
        <c:spPr>
          <a:ln>
            <a:solidFill>
              <a:sysClr val="windowText" lastClr="000000"/>
            </a:solidFill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108480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6826294132517736"/>
          <c:y val="0.14411529907168838"/>
          <c:w val="0.33586211963353618"/>
          <c:h val="0.1737084907339649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161926</xdr:colOff>
      <xdr:row>11</xdr:row>
      <xdr:rowOff>152399</xdr:rowOff>
    </xdr:from>
    <xdr:to>
      <xdr:col>21</xdr:col>
      <xdr:colOff>514350</xdr:colOff>
      <xdr:row>22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200024</xdr:colOff>
      <xdr:row>1</xdr:row>
      <xdr:rowOff>19049</xdr:rowOff>
    </xdr:from>
    <xdr:to>
      <xdr:col>21</xdr:col>
      <xdr:colOff>476249</xdr:colOff>
      <xdr:row>10</xdr:row>
      <xdr:rowOff>219074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247650</xdr:colOff>
      <xdr:row>22</xdr:row>
      <xdr:rowOff>157162</xdr:rowOff>
    </xdr:from>
    <xdr:to>
      <xdr:col>21</xdr:col>
      <xdr:colOff>495300</xdr:colOff>
      <xdr:row>33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428625</xdr:colOff>
      <xdr:row>73</xdr:row>
      <xdr:rowOff>119062</xdr:rowOff>
    </xdr:from>
    <xdr:to>
      <xdr:col>10</xdr:col>
      <xdr:colOff>161925</xdr:colOff>
      <xdr:row>85</xdr:row>
      <xdr:rowOff>119062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462755</xdr:colOff>
      <xdr:row>66</xdr:row>
      <xdr:rowOff>198832</xdr:rowOff>
    </xdr:from>
    <xdr:to>
      <xdr:col>70</xdr:col>
      <xdr:colOff>590550</xdr:colOff>
      <xdr:row>81</xdr:row>
      <xdr:rowOff>76200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9" workbookViewId="0">
      <selection activeCell="H3" sqref="H3"/>
    </sheetView>
  </sheetViews>
  <sheetFormatPr defaultColWidth="16.140625" defaultRowHeight="15.75"/>
  <cols>
    <col min="1" max="1" width="11.28515625" style="3" customWidth="1"/>
    <col min="2" max="2" width="12" style="3" customWidth="1"/>
    <col min="3" max="3" width="12.140625" style="3" customWidth="1"/>
    <col min="4" max="4" width="10.42578125" style="3" customWidth="1"/>
    <col min="5" max="5" width="15.28515625" style="3" customWidth="1"/>
    <col min="6" max="6" width="19.85546875" style="3" customWidth="1"/>
    <col min="7" max="7" width="18.7109375" style="3" customWidth="1"/>
    <col min="8" max="8" width="22.7109375" style="3" customWidth="1"/>
    <col min="9" max="10" width="6.42578125" style="3" customWidth="1"/>
    <col min="11" max="11" width="7.7109375" style="3" customWidth="1"/>
    <col min="12" max="12" width="3.28515625" style="3" customWidth="1"/>
    <col min="13" max="13" width="15.42578125" style="3" customWidth="1"/>
    <col min="14" max="16384" width="16.140625" style="3"/>
  </cols>
  <sheetData>
    <row r="1" spans="1:14">
      <c r="F1" s="43" t="s">
        <v>55</v>
      </c>
      <c r="G1" s="44"/>
      <c r="H1" s="43" t="s">
        <v>52</v>
      </c>
      <c r="L1" s="42"/>
      <c r="M1" s="46" t="s">
        <v>56</v>
      </c>
      <c r="N1" s="46" t="s">
        <v>57</v>
      </c>
    </row>
    <row r="2" spans="1:14">
      <c r="F2" s="43" t="s">
        <v>54</v>
      </c>
      <c r="G2" s="43" t="s">
        <v>51</v>
      </c>
      <c r="H2" s="43" t="s">
        <v>53</v>
      </c>
      <c r="I2" s="42"/>
      <c r="J2" s="42"/>
      <c r="M2" s="45"/>
      <c r="N2" s="45"/>
    </row>
    <row r="3" spans="1:14" ht="19.5">
      <c r="A3" s="1" t="s">
        <v>0</v>
      </c>
      <c r="B3" s="1" t="s">
        <v>15</v>
      </c>
      <c r="C3" s="1" t="s">
        <v>1</v>
      </c>
      <c r="D3" s="12" t="s">
        <v>20</v>
      </c>
      <c r="E3" s="9" t="s">
        <v>46</v>
      </c>
      <c r="F3" s="9" t="s">
        <v>40</v>
      </c>
      <c r="G3" s="9" t="s">
        <v>41</v>
      </c>
      <c r="H3" s="12" t="s">
        <v>2</v>
      </c>
      <c r="J3" s="96" t="s">
        <v>3</v>
      </c>
      <c r="K3" s="96"/>
      <c r="M3" s="2" t="s">
        <v>0</v>
      </c>
      <c r="N3" s="2" t="s">
        <v>37</v>
      </c>
    </row>
    <row r="4" spans="1:14" ht="18">
      <c r="A4" s="2" t="s">
        <v>34</v>
      </c>
      <c r="B4" s="2">
        <f>C4+D4</f>
        <v>55</v>
      </c>
      <c r="C4" s="4">
        <v>50</v>
      </c>
      <c r="D4" s="24">
        <v>5</v>
      </c>
      <c r="E4" s="25" t="s">
        <v>5</v>
      </c>
      <c r="F4" s="10">
        <f t="shared" ref="F4:F10" si="0">$K$5/2</f>
        <v>2</v>
      </c>
      <c r="G4" s="10">
        <f>F4/10</f>
        <v>0.2</v>
      </c>
      <c r="H4" s="5">
        <f>G4/N4</f>
        <v>0.18912529550827423</v>
      </c>
      <c r="I4" s="66">
        <f>1000*H4/0.2</f>
        <v>945.62647754137117</v>
      </c>
      <c r="J4" s="2" t="s">
        <v>6</v>
      </c>
      <c r="K4" s="2">
        <v>3</v>
      </c>
      <c r="M4" s="2" t="s">
        <v>18</v>
      </c>
      <c r="N4" s="5">
        <v>1.0575000000000001</v>
      </c>
    </row>
    <row r="5" spans="1:14" ht="18">
      <c r="A5" s="2" t="s">
        <v>16</v>
      </c>
      <c r="B5" s="2">
        <f>C5+D5</f>
        <v>55</v>
      </c>
      <c r="C5" s="4">
        <v>50</v>
      </c>
      <c r="D5" s="24">
        <v>5</v>
      </c>
      <c r="E5" s="25" t="s">
        <v>5</v>
      </c>
      <c r="F5" s="10">
        <f t="shared" si="0"/>
        <v>2</v>
      </c>
      <c r="G5" s="10">
        <f>F5/10</f>
        <v>0.2</v>
      </c>
      <c r="H5" s="5">
        <f>G5/N5</f>
        <v>9.1608647856357653E-2</v>
      </c>
      <c r="I5" s="66">
        <f>1000*H5/0.2</f>
        <v>458.0432392817882</v>
      </c>
      <c r="J5" s="4" t="s">
        <v>8</v>
      </c>
      <c r="K5" s="4">
        <v>4</v>
      </c>
      <c r="M5" s="2" t="s">
        <v>16</v>
      </c>
      <c r="N5" s="5">
        <v>2.1831999999999998</v>
      </c>
    </row>
    <row r="6" spans="1:14" ht="18">
      <c r="A6" s="2" t="s">
        <v>10</v>
      </c>
      <c r="B6" s="2">
        <f>C6+D6</f>
        <v>55</v>
      </c>
      <c r="C6" s="4">
        <v>50</v>
      </c>
      <c r="D6" s="24">
        <v>5</v>
      </c>
      <c r="E6" s="25" t="s">
        <v>5</v>
      </c>
      <c r="F6" s="10">
        <f t="shared" si="0"/>
        <v>2</v>
      </c>
      <c r="G6" s="10">
        <f>F6/10</f>
        <v>0.2</v>
      </c>
      <c r="H6" s="5">
        <f>G6/N6</f>
        <v>9.6861681518791168E-2</v>
      </c>
      <c r="I6" s="66">
        <f>1000*H6/0.2</f>
        <v>484.30840759395585</v>
      </c>
      <c r="J6" s="6"/>
      <c r="M6" s="2" t="s">
        <v>10</v>
      </c>
      <c r="N6" s="5">
        <v>2.0648</v>
      </c>
    </row>
    <row r="7" spans="1:14" ht="18">
      <c r="A7" s="2" t="s">
        <v>17</v>
      </c>
      <c r="B7" s="2">
        <f>C7+D7</f>
        <v>55</v>
      </c>
      <c r="C7" s="4">
        <v>50</v>
      </c>
      <c r="D7" s="24">
        <v>5</v>
      </c>
      <c r="E7" s="25" t="s">
        <v>5</v>
      </c>
      <c r="F7" s="10">
        <f t="shared" si="0"/>
        <v>2</v>
      </c>
      <c r="G7" s="10">
        <f>F7/10</f>
        <v>0.2</v>
      </c>
      <c r="H7" s="5">
        <f>G7/N7</f>
        <v>0.2</v>
      </c>
      <c r="I7" s="66">
        <f>1000*H7/0.2</f>
        <v>1000</v>
      </c>
      <c r="J7" s="6"/>
      <c r="M7" s="2" t="s">
        <v>17</v>
      </c>
      <c r="N7" s="5">
        <v>1</v>
      </c>
    </row>
    <row r="8" spans="1:14" ht="19.5">
      <c r="A8" s="2" t="s">
        <v>36</v>
      </c>
      <c r="B8" s="2">
        <f>C8+D8</f>
        <v>55</v>
      </c>
      <c r="C8" s="4">
        <v>50</v>
      </c>
      <c r="D8" s="24">
        <v>5</v>
      </c>
      <c r="E8" s="25" t="s">
        <v>5</v>
      </c>
      <c r="F8" s="10">
        <f t="shared" si="0"/>
        <v>2</v>
      </c>
      <c r="G8" s="10">
        <f>F8/10</f>
        <v>0.2</v>
      </c>
      <c r="H8" s="5">
        <f>G8/N8</f>
        <v>1.2500000000000001E-2</v>
      </c>
      <c r="I8" s="66">
        <f>1000*H8/0.2</f>
        <v>62.5</v>
      </c>
      <c r="J8" s="6"/>
      <c r="M8" s="2" t="s">
        <v>36</v>
      </c>
      <c r="N8" s="5">
        <v>16</v>
      </c>
    </row>
    <row r="9" spans="1:14" ht="18">
      <c r="A9" s="2" t="s">
        <v>12</v>
      </c>
      <c r="B9" s="2">
        <v>55</v>
      </c>
      <c r="C9" s="4">
        <v>50</v>
      </c>
      <c r="D9" s="24">
        <v>5</v>
      </c>
      <c r="E9" s="10"/>
      <c r="F9" s="10">
        <f t="shared" si="0"/>
        <v>2</v>
      </c>
      <c r="G9" s="10"/>
      <c r="H9" s="2"/>
      <c r="J9" s="6"/>
      <c r="K9" s="6"/>
      <c r="L9" s="6"/>
    </row>
    <row r="10" spans="1:14" ht="19.5">
      <c r="A10" s="2" t="s">
        <v>13</v>
      </c>
      <c r="B10" s="2">
        <v>55</v>
      </c>
      <c r="C10" s="4">
        <v>50</v>
      </c>
      <c r="D10" s="26"/>
      <c r="E10" s="10"/>
      <c r="F10" s="10">
        <f t="shared" si="0"/>
        <v>2</v>
      </c>
      <c r="G10" s="10"/>
      <c r="H10" s="2" t="s">
        <v>14</v>
      </c>
      <c r="J10" s="6"/>
      <c r="K10" s="6"/>
      <c r="L10" s="6"/>
      <c r="M10" s="2" t="s">
        <v>0</v>
      </c>
      <c r="N10" s="2" t="s">
        <v>37</v>
      </c>
    </row>
    <row r="11" spans="1:14" ht="18">
      <c r="A11" s="95" t="s">
        <v>42</v>
      </c>
      <c r="B11" s="95"/>
      <c r="C11" s="14">
        <f>SUM(C4:C9)</f>
        <v>300</v>
      </c>
      <c r="F11" s="28"/>
      <c r="G11" s="38"/>
      <c r="H11" s="27" t="s">
        <v>47</v>
      </c>
      <c r="I11" s="27"/>
      <c r="J11" s="27"/>
      <c r="K11" s="27"/>
      <c r="M11" s="2" t="s">
        <v>4</v>
      </c>
      <c r="N11" s="2">
        <v>1.0575000000000001</v>
      </c>
    </row>
    <row r="12" spans="1:14" ht="18">
      <c r="E12" s="3">
        <v>5</v>
      </c>
      <c r="F12" s="3">
        <v>0.2</v>
      </c>
      <c r="M12" s="2" t="s">
        <v>7</v>
      </c>
      <c r="N12" s="2">
        <v>1.5119</v>
      </c>
    </row>
    <row r="13" spans="1:14" ht="21">
      <c r="A13" s="97" t="s">
        <v>48</v>
      </c>
      <c r="B13" s="98"/>
      <c r="C13" s="3" t="s">
        <v>61</v>
      </c>
      <c r="E13" s="3">
        <v>1000</v>
      </c>
      <c r="F13" s="3">
        <f>(E13*F12)/5</f>
        <v>40</v>
      </c>
      <c r="M13" s="2" t="s">
        <v>9</v>
      </c>
      <c r="N13" s="5">
        <v>1.8160000000000001</v>
      </c>
    </row>
    <row r="14" spans="1:14" ht="18">
      <c r="A14" s="30" t="s">
        <v>19</v>
      </c>
      <c r="B14" s="30" t="s">
        <v>2</v>
      </c>
      <c r="C14" s="30" t="s">
        <v>49</v>
      </c>
      <c r="D14" s="30" t="s">
        <v>15</v>
      </c>
      <c r="E14" s="31" t="s">
        <v>2</v>
      </c>
      <c r="F14" s="18"/>
      <c r="G14" s="15" t="s">
        <v>43</v>
      </c>
      <c r="H14" s="16">
        <v>100</v>
      </c>
      <c r="I14" s="15">
        <v>4</v>
      </c>
      <c r="M14" s="2" t="s">
        <v>10</v>
      </c>
      <c r="N14" s="2">
        <v>2.0648</v>
      </c>
    </row>
    <row r="15" spans="1:14" ht="18">
      <c r="A15" s="32" t="s">
        <v>18</v>
      </c>
      <c r="B15" s="54">
        <f>(H4/5)*100</f>
        <v>3.7825059101654848</v>
      </c>
      <c r="C15" s="33">
        <f>100-B15</f>
        <v>96.217494089834517</v>
      </c>
      <c r="D15" s="32">
        <f>B15+C15</f>
        <v>100</v>
      </c>
      <c r="E15" s="34">
        <f>(B15/D15)*5</f>
        <v>0.18912529550827423</v>
      </c>
      <c r="F15" s="19"/>
      <c r="G15" s="15"/>
      <c r="H15" s="17">
        <v>50</v>
      </c>
      <c r="I15" s="23">
        <f>50*4/100</f>
        <v>2</v>
      </c>
      <c r="M15" s="2" t="s">
        <v>11</v>
      </c>
      <c r="N15" s="2">
        <v>2.1831999999999998</v>
      </c>
    </row>
    <row r="16" spans="1:14" ht="18">
      <c r="A16" s="32" t="s">
        <v>16</v>
      </c>
      <c r="B16" s="54">
        <f>(H5/5)*100</f>
        <v>1.8321729571271532</v>
      </c>
      <c r="C16" s="33">
        <f>100-B16</f>
        <v>98.167827042872844</v>
      </c>
      <c r="D16" s="32">
        <f>B16+C16</f>
        <v>100</v>
      </c>
      <c r="E16" s="34">
        <f>(B16/D16)*5</f>
        <v>9.1608647856357667E-2</v>
      </c>
      <c r="F16" s="19"/>
      <c r="G16" s="8"/>
      <c r="H16" s="8"/>
    </row>
    <row r="17" spans="1:9" ht="18">
      <c r="A17" s="32" t="s">
        <v>10</v>
      </c>
      <c r="B17" s="54">
        <f>(H6/5)*100</f>
        <v>1.9372336303758235</v>
      </c>
      <c r="C17" s="33">
        <f>100-B17</f>
        <v>98.062766369624171</v>
      </c>
      <c r="D17" s="32">
        <f>B17+C17</f>
        <v>100</v>
      </c>
      <c r="E17" s="34">
        <f>(B17/D17)*5</f>
        <v>9.6861681518791168E-2</v>
      </c>
      <c r="F17" s="19"/>
      <c r="G17" s="20" t="s">
        <v>44</v>
      </c>
      <c r="H17" s="21">
        <v>1.0575000000000001</v>
      </c>
      <c r="I17" s="22">
        <v>1</v>
      </c>
    </row>
    <row r="18" spans="1:9" ht="18">
      <c r="A18" s="32" t="s">
        <v>17</v>
      </c>
      <c r="B18" s="54">
        <f>(H7/5)*100</f>
        <v>4</v>
      </c>
      <c r="C18" s="33">
        <f>100-B18</f>
        <v>96</v>
      </c>
      <c r="D18" s="32">
        <f>B18+C18</f>
        <v>100</v>
      </c>
      <c r="E18" s="34">
        <f>(B18/D18)*5</f>
        <v>0.2</v>
      </c>
      <c r="F18" s="19"/>
      <c r="G18" s="20" t="s">
        <v>45</v>
      </c>
      <c r="H18" s="21">
        <v>0.2</v>
      </c>
      <c r="I18" s="29">
        <f>H18*I17/H17</f>
        <v>0.18912529550827423</v>
      </c>
    </row>
    <row r="19" spans="1:9" ht="17.25" customHeight="1">
      <c r="D19" s="7"/>
    </row>
    <row r="20" spans="1:9" s="50" customFormat="1" ht="18">
      <c r="A20" s="51"/>
      <c r="B20" s="47" t="s">
        <v>58</v>
      </c>
      <c r="C20" s="35" t="s">
        <v>59</v>
      </c>
      <c r="D20" s="48"/>
    </row>
    <row r="21" spans="1:9" s="50" customFormat="1">
      <c r="A21" s="52"/>
      <c r="B21" s="49" t="s">
        <v>60</v>
      </c>
      <c r="C21" s="53">
        <f>100*0.1891/5</f>
        <v>3.782</v>
      </c>
    </row>
    <row r="22" spans="1:9">
      <c r="B22" s="50"/>
      <c r="C22" s="50"/>
      <c r="D22" s="50"/>
    </row>
    <row r="24" spans="1:9">
      <c r="F24" s="41"/>
    </row>
    <row r="26" spans="1:9">
      <c r="F26" s="40"/>
    </row>
  </sheetData>
  <mergeCells count="3">
    <mergeCell ref="A11:B11"/>
    <mergeCell ref="J3:K3"/>
    <mergeCell ref="A13:B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topLeftCell="F66" zoomScaleNormal="80" workbookViewId="0">
      <selection activeCell="T75" sqref="T75:T78"/>
    </sheetView>
  </sheetViews>
  <sheetFormatPr defaultColWidth="9" defaultRowHeight="18"/>
  <cols>
    <col min="1" max="1" width="5.140625" style="6" customWidth="1"/>
    <col min="2" max="2" width="7.140625" style="6" customWidth="1"/>
    <col min="3" max="3" width="5.42578125" style="6" customWidth="1"/>
    <col min="4" max="4" width="6.42578125" style="6" customWidth="1"/>
    <col min="5" max="5" width="6.7109375" style="6" customWidth="1"/>
    <col min="6" max="6" width="6.5703125" style="6" customWidth="1"/>
    <col min="7" max="7" width="9.42578125" style="6" customWidth="1"/>
    <col min="8" max="8" width="8.28515625" style="6" customWidth="1"/>
    <col min="9" max="9" width="7" style="6" customWidth="1"/>
    <col min="10" max="11" width="7.140625" style="6" customWidth="1"/>
    <col min="12" max="12" width="5.28515625" style="6" customWidth="1"/>
    <col min="13" max="13" width="5.7109375" style="6" customWidth="1"/>
    <col min="14" max="14" width="8" style="6" customWidth="1"/>
    <col min="15" max="15" width="12.5703125" style="6" customWidth="1"/>
    <col min="16" max="16" width="11.28515625" style="6" customWidth="1"/>
    <col min="17" max="17" width="10.7109375" style="6" customWidth="1"/>
    <col min="18" max="18" width="12.28515625" style="6" customWidth="1"/>
    <col min="19" max="19" width="13.85546875" style="6" customWidth="1"/>
    <col min="20" max="20" width="11.5703125" style="6" customWidth="1"/>
    <col min="21" max="16384" width="9" style="6"/>
  </cols>
  <sheetData>
    <row r="1" spans="1:10" ht="21">
      <c r="F1" s="36" t="s">
        <v>31</v>
      </c>
    </row>
    <row r="2" spans="1:10">
      <c r="A2" s="106" t="s">
        <v>35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>
      <c r="A3" s="2" t="s">
        <v>30</v>
      </c>
      <c r="B3" s="9" t="s">
        <v>22</v>
      </c>
      <c r="C3" s="9" t="s">
        <v>23</v>
      </c>
      <c r="D3" s="9" t="s">
        <v>24</v>
      </c>
      <c r="E3" s="9" t="s">
        <v>25</v>
      </c>
      <c r="F3" s="9" t="s">
        <v>21</v>
      </c>
      <c r="G3" s="1" t="s">
        <v>26</v>
      </c>
      <c r="H3" s="1" t="s">
        <v>27</v>
      </c>
      <c r="I3" s="1" t="s">
        <v>28</v>
      </c>
      <c r="J3" s="1" t="s">
        <v>29</v>
      </c>
    </row>
    <row r="4" spans="1:10">
      <c r="A4" s="2">
        <v>0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2">
        <v>0</v>
      </c>
      <c r="H4" s="2">
        <v>0</v>
      </c>
      <c r="I4" s="2">
        <v>0</v>
      </c>
      <c r="J4" s="2">
        <v>0</v>
      </c>
    </row>
    <row r="5" spans="1:10">
      <c r="A5" s="2">
        <v>24</v>
      </c>
      <c r="B5" s="10">
        <v>20</v>
      </c>
      <c r="C5" s="10">
        <v>10</v>
      </c>
      <c r="D5" s="10">
        <v>18</v>
      </c>
      <c r="E5" s="10">
        <v>10</v>
      </c>
      <c r="F5" s="10">
        <v>4</v>
      </c>
      <c r="G5" s="2">
        <v>16</v>
      </c>
      <c r="H5" s="2">
        <v>10</v>
      </c>
      <c r="I5" s="2">
        <v>24</v>
      </c>
      <c r="J5" s="2">
        <v>10</v>
      </c>
    </row>
    <row r="6" spans="1:10">
      <c r="A6" s="2">
        <v>48</v>
      </c>
      <c r="B6" s="10">
        <v>22</v>
      </c>
      <c r="C6" s="10">
        <v>10</v>
      </c>
      <c r="D6" s="10">
        <v>20</v>
      </c>
      <c r="E6" s="10">
        <v>20</v>
      </c>
      <c r="F6" s="10">
        <v>10</v>
      </c>
      <c r="G6" s="2">
        <v>12</v>
      </c>
      <c r="H6" s="2">
        <v>10</v>
      </c>
      <c r="I6" s="2">
        <v>20</v>
      </c>
      <c r="J6" s="2">
        <v>20</v>
      </c>
    </row>
    <row r="7" spans="1:10">
      <c r="A7" s="2">
        <v>72</v>
      </c>
      <c r="B7" s="10">
        <v>18</v>
      </c>
      <c r="C7" s="10">
        <v>10</v>
      </c>
      <c r="D7" s="10">
        <v>18</v>
      </c>
      <c r="E7" s="10">
        <v>18</v>
      </c>
      <c r="F7" s="10">
        <v>10</v>
      </c>
      <c r="G7" s="2">
        <v>18</v>
      </c>
      <c r="H7" s="2">
        <v>10</v>
      </c>
      <c r="I7" s="2">
        <v>16</v>
      </c>
      <c r="J7" s="2">
        <v>18</v>
      </c>
    </row>
    <row r="8" spans="1:10">
      <c r="A8" s="2">
        <v>96</v>
      </c>
      <c r="B8" s="10">
        <v>16</v>
      </c>
      <c r="C8" s="10">
        <v>12</v>
      </c>
      <c r="D8" s="10">
        <v>14</v>
      </c>
      <c r="E8" s="10">
        <v>14</v>
      </c>
      <c r="F8" s="10">
        <v>10</v>
      </c>
      <c r="G8" s="2">
        <v>18</v>
      </c>
      <c r="H8" s="2">
        <v>12</v>
      </c>
      <c r="I8" s="2">
        <v>18</v>
      </c>
      <c r="J8" s="2">
        <v>14</v>
      </c>
    </row>
    <row r="9" spans="1:10">
      <c r="A9" s="2">
        <v>120</v>
      </c>
      <c r="B9" s="10">
        <v>16</v>
      </c>
      <c r="C9" s="10">
        <v>18</v>
      </c>
      <c r="D9" s="10">
        <v>14</v>
      </c>
      <c r="E9" s="10">
        <v>16</v>
      </c>
      <c r="F9" s="10">
        <v>10</v>
      </c>
      <c r="G9" s="2">
        <v>16</v>
      </c>
      <c r="H9" s="2">
        <v>18</v>
      </c>
      <c r="I9" s="2">
        <v>18</v>
      </c>
      <c r="J9" s="2">
        <v>12</v>
      </c>
    </row>
    <row r="10" spans="1:10">
      <c r="A10" s="2">
        <v>144</v>
      </c>
      <c r="B10" s="10">
        <v>14</v>
      </c>
      <c r="C10" s="10">
        <v>20</v>
      </c>
      <c r="D10" s="10">
        <v>12</v>
      </c>
      <c r="E10" s="10">
        <v>10</v>
      </c>
      <c r="F10" s="10">
        <v>10</v>
      </c>
      <c r="G10" s="2">
        <v>16</v>
      </c>
      <c r="H10" s="2">
        <v>18</v>
      </c>
      <c r="I10" s="2">
        <v>14</v>
      </c>
      <c r="J10" s="2">
        <v>10</v>
      </c>
    </row>
    <row r="11" spans="1:10">
      <c r="B11" s="107" t="s">
        <v>33</v>
      </c>
      <c r="C11" s="107"/>
      <c r="H11" s="108" t="s">
        <v>32</v>
      </c>
      <c r="I11" s="108"/>
    </row>
    <row r="12" spans="1:10">
      <c r="A12" s="103" t="s">
        <v>35</v>
      </c>
      <c r="B12" s="104"/>
      <c r="C12" s="104"/>
      <c r="D12" s="105"/>
      <c r="G12" s="103" t="s">
        <v>35</v>
      </c>
      <c r="H12" s="104"/>
      <c r="I12" s="104"/>
      <c r="J12" s="105"/>
    </row>
    <row r="13" spans="1:10">
      <c r="A13" s="1" t="s">
        <v>18</v>
      </c>
      <c r="B13" s="1" t="s">
        <v>16</v>
      </c>
      <c r="C13" s="1" t="s">
        <v>10</v>
      </c>
      <c r="D13" s="1" t="s">
        <v>17</v>
      </c>
      <c r="G13" s="1" t="s">
        <v>18</v>
      </c>
      <c r="H13" s="1" t="s">
        <v>16</v>
      </c>
      <c r="I13" s="1" t="s">
        <v>10</v>
      </c>
      <c r="J13" s="1" t="s">
        <v>17</v>
      </c>
    </row>
    <row r="14" spans="1:10">
      <c r="A14" s="2">
        <v>0</v>
      </c>
      <c r="B14" s="2">
        <v>0</v>
      </c>
      <c r="C14" s="2">
        <v>0</v>
      </c>
      <c r="D14" s="2">
        <v>0</v>
      </c>
      <c r="G14" s="2">
        <v>0</v>
      </c>
      <c r="H14" s="2">
        <v>0</v>
      </c>
      <c r="I14" s="2">
        <v>0</v>
      </c>
      <c r="J14" s="2">
        <v>0</v>
      </c>
    </row>
    <row r="15" spans="1:10">
      <c r="A15" s="2">
        <f>((B5+G5)/2)-$F$5</f>
        <v>14</v>
      </c>
      <c r="B15" s="2">
        <f>((C5+H5)/2)-$F$5</f>
        <v>6</v>
      </c>
      <c r="C15" s="2">
        <f>((D5+I5)/2)-$F$5</f>
        <v>17</v>
      </c>
      <c r="D15" s="2">
        <f>((E5+J5)/2)-$F$5</f>
        <v>6</v>
      </c>
      <c r="G15" s="2">
        <v>5.63</v>
      </c>
      <c r="H15" s="2">
        <v>3.64</v>
      </c>
      <c r="I15" s="2">
        <v>8.64</v>
      </c>
      <c r="J15" s="2">
        <v>3.23</v>
      </c>
    </row>
    <row r="16" spans="1:10">
      <c r="A16" s="2">
        <f>((B6+G6)/2)-$F$6</f>
        <v>7</v>
      </c>
      <c r="B16" s="2">
        <f>((C6+H6)/2)-$F$6</f>
        <v>0</v>
      </c>
      <c r="C16" s="2">
        <f>((D6+I6)/2)-$F$6</f>
        <v>10</v>
      </c>
      <c r="D16" s="2">
        <f>((E6+J6)/2)-$F$6</f>
        <v>10</v>
      </c>
      <c r="G16" s="2">
        <v>13.45</v>
      </c>
      <c r="H16" s="2">
        <v>11.57</v>
      </c>
      <c r="I16" s="2">
        <v>15.76</v>
      </c>
      <c r="J16" s="2">
        <v>12.63</v>
      </c>
    </row>
    <row r="17" spans="1:11">
      <c r="A17" s="2">
        <f>((B7+G7)/2)-$F$7</f>
        <v>8</v>
      </c>
      <c r="B17" s="2">
        <f>((C7+H7)/2)-$F$7</f>
        <v>0</v>
      </c>
      <c r="C17" s="2">
        <f>((D7+I7)/2)-$F$7</f>
        <v>7</v>
      </c>
      <c r="D17" s="2">
        <f>((E7+J7)/2)-$F$7</f>
        <v>8</v>
      </c>
      <c r="G17" s="2">
        <v>22.06</v>
      </c>
      <c r="H17" s="2">
        <v>19.41</v>
      </c>
      <c r="I17" s="2">
        <v>22.57</v>
      </c>
      <c r="J17" s="2">
        <v>17.47</v>
      </c>
    </row>
    <row r="18" spans="1:11">
      <c r="A18" s="2">
        <f>((B8+G8)/2)-$F$8</f>
        <v>7</v>
      </c>
      <c r="B18" s="2">
        <f>((C8+H8)/2)-$F$8</f>
        <v>2</v>
      </c>
      <c r="C18" s="2">
        <f>((D8+I8)/2)-$F$8</f>
        <v>6</v>
      </c>
      <c r="D18" s="2">
        <f>((E8+J8)/2)-$F$8</f>
        <v>4</v>
      </c>
      <c r="G18" s="2">
        <v>37.200000000000003</v>
      </c>
      <c r="H18" s="2">
        <v>33.49</v>
      </c>
      <c r="I18" s="2">
        <v>34.950000000000003</v>
      </c>
      <c r="J18" s="2">
        <v>29.56</v>
      </c>
    </row>
    <row r="19" spans="1:11">
      <c r="A19" s="2">
        <f>((B9+G9)/2)-$F$9</f>
        <v>6</v>
      </c>
      <c r="B19" s="2">
        <f>((C9+H9)/2)-$F$9</f>
        <v>8</v>
      </c>
      <c r="C19" s="2">
        <f>((D9+I9)/2)-$F$9</f>
        <v>6</v>
      </c>
      <c r="D19" s="2">
        <f>((E9+J9)/2)-$F$9</f>
        <v>4</v>
      </c>
      <c r="G19" s="2">
        <v>45.23</v>
      </c>
      <c r="H19" s="2">
        <v>33.450000000000003</v>
      </c>
      <c r="I19" s="2">
        <v>44.54</v>
      </c>
      <c r="J19" s="2">
        <v>35.869999999999997</v>
      </c>
    </row>
    <row r="20" spans="1:11">
      <c r="A20" s="2">
        <f>((B10+G10)/2)-$F$10</f>
        <v>5</v>
      </c>
      <c r="B20" s="2">
        <f>((C10+H10)/2)-$F$10</f>
        <v>9</v>
      </c>
      <c r="C20" s="2">
        <f>((D10+I10)/2)-$F$10</f>
        <v>3</v>
      </c>
      <c r="D20" s="2">
        <v>1</v>
      </c>
      <c r="G20" s="2">
        <v>53.24</v>
      </c>
      <c r="H20" s="2">
        <v>34.42</v>
      </c>
      <c r="I20" s="2">
        <v>53.53</v>
      </c>
      <c r="J20" s="2">
        <v>50.32</v>
      </c>
    </row>
    <row r="22" spans="1:11">
      <c r="C22" s="37" t="s">
        <v>38</v>
      </c>
      <c r="H22" s="109" t="s">
        <v>50</v>
      </c>
      <c r="I22" s="109"/>
      <c r="J22" s="109"/>
    </row>
    <row r="23" spans="1:11">
      <c r="A23" s="103" t="s">
        <v>35</v>
      </c>
      <c r="B23" s="104"/>
      <c r="C23" s="104"/>
      <c r="D23" s="104"/>
      <c r="E23" s="105"/>
      <c r="G23" s="103" t="s">
        <v>35</v>
      </c>
      <c r="H23" s="104"/>
      <c r="I23" s="104"/>
      <c r="J23" s="104"/>
      <c r="K23" s="105"/>
    </row>
    <row r="24" spans="1:11">
      <c r="A24" s="2" t="s">
        <v>30</v>
      </c>
      <c r="B24" s="1" t="s">
        <v>34</v>
      </c>
      <c r="C24" s="1" t="s">
        <v>16</v>
      </c>
      <c r="D24" s="1" t="s">
        <v>10</v>
      </c>
      <c r="E24" s="1" t="s">
        <v>17</v>
      </c>
      <c r="G24" s="2" t="s">
        <v>30</v>
      </c>
      <c r="H24" s="1" t="s">
        <v>34</v>
      </c>
      <c r="I24" s="1" t="s">
        <v>16</v>
      </c>
      <c r="J24" s="1" t="s">
        <v>10</v>
      </c>
      <c r="K24" s="1" t="s">
        <v>17</v>
      </c>
    </row>
    <row r="25" spans="1:11">
      <c r="A25" s="2">
        <v>0</v>
      </c>
      <c r="B25" s="11">
        <v>0</v>
      </c>
      <c r="C25" s="11">
        <v>0</v>
      </c>
      <c r="D25" s="11">
        <v>0</v>
      </c>
      <c r="E25" s="11">
        <v>0</v>
      </c>
      <c r="G25" s="2">
        <v>0</v>
      </c>
      <c r="H25" s="13">
        <v>0</v>
      </c>
      <c r="I25" s="13">
        <v>0</v>
      </c>
      <c r="J25" s="13">
        <v>0</v>
      </c>
      <c r="K25" s="13">
        <v>0</v>
      </c>
    </row>
    <row r="26" spans="1:11">
      <c r="A26" s="2">
        <v>24</v>
      </c>
      <c r="B26" s="11">
        <f t="shared" ref="B26:E31" si="0">(G15/100)*A15</f>
        <v>0.7881999999999999</v>
      </c>
      <c r="C26" s="11">
        <f t="shared" si="0"/>
        <v>0.21840000000000001</v>
      </c>
      <c r="D26" s="11">
        <f t="shared" si="0"/>
        <v>1.4688000000000001</v>
      </c>
      <c r="E26" s="11">
        <f t="shared" si="0"/>
        <v>0.19380000000000003</v>
      </c>
      <c r="G26" s="2">
        <v>24</v>
      </c>
      <c r="H26" s="13">
        <f t="shared" ref="H26:K31" si="1">B26/0.2</f>
        <v>3.9409999999999994</v>
      </c>
      <c r="I26" s="13">
        <f t="shared" si="1"/>
        <v>1.0920000000000001</v>
      </c>
      <c r="J26" s="13">
        <f t="shared" si="1"/>
        <v>7.3440000000000003</v>
      </c>
      <c r="K26" s="13">
        <f t="shared" si="1"/>
        <v>0.96900000000000008</v>
      </c>
    </row>
    <row r="27" spans="1:11">
      <c r="A27" s="2">
        <v>48</v>
      </c>
      <c r="B27" s="11">
        <f t="shared" si="0"/>
        <v>0.94149999999999989</v>
      </c>
      <c r="C27" s="11">
        <f t="shared" si="0"/>
        <v>0</v>
      </c>
      <c r="D27" s="11">
        <f t="shared" si="0"/>
        <v>1.5759999999999998</v>
      </c>
      <c r="E27" s="11">
        <f t="shared" si="0"/>
        <v>1.2629999999999999</v>
      </c>
      <c r="G27" s="2">
        <v>48</v>
      </c>
      <c r="H27" s="13">
        <f t="shared" si="1"/>
        <v>4.7074999999999996</v>
      </c>
      <c r="I27" s="13">
        <f t="shared" si="1"/>
        <v>0</v>
      </c>
      <c r="J27" s="13">
        <f t="shared" si="1"/>
        <v>7.879999999999999</v>
      </c>
      <c r="K27" s="13">
        <f t="shared" si="1"/>
        <v>6.3149999999999995</v>
      </c>
    </row>
    <row r="28" spans="1:11">
      <c r="A28" s="2">
        <v>72</v>
      </c>
      <c r="B28" s="11">
        <f t="shared" si="0"/>
        <v>1.7647999999999999</v>
      </c>
      <c r="C28" s="11">
        <f t="shared" si="0"/>
        <v>0</v>
      </c>
      <c r="D28" s="11">
        <f t="shared" si="0"/>
        <v>1.5799000000000001</v>
      </c>
      <c r="E28" s="11">
        <f t="shared" si="0"/>
        <v>1.3976</v>
      </c>
      <c r="G28" s="2">
        <v>72</v>
      </c>
      <c r="H28" s="13">
        <f t="shared" si="1"/>
        <v>8.8239999999999998</v>
      </c>
      <c r="I28" s="13">
        <f t="shared" si="1"/>
        <v>0</v>
      </c>
      <c r="J28" s="13">
        <f t="shared" si="1"/>
        <v>7.8994999999999997</v>
      </c>
      <c r="K28" s="13">
        <f t="shared" si="1"/>
        <v>6.9879999999999995</v>
      </c>
    </row>
    <row r="29" spans="1:11">
      <c r="A29" s="2">
        <v>96</v>
      </c>
      <c r="B29" s="11">
        <f t="shared" si="0"/>
        <v>2.6040000000000005</v>
      </c>
      <c r="C29" s="11">
        <f t="shared" si="0"/>
        <v>0.66980000000000006</v>
      </c>
      <c r="D29" s="11">
        <f t="shared" si="0"/>
        <v>2.0970000000000004</v>
      </c>
      <c r="E29" s="11">
        <f t="shared" si="0"/>
        <v>1.1823999999999999</v>
      </c>
      <c r="G29" s="2">
        <v>96</v>
      </c>
      <c r="H29" s="13">
        <f t="shared" si="1"/>
        <v>13.020000000000001</v>
      </c>
      <c r="I29" s="13">
        <f t="shared" si="1"/>
        <v>3.3490000000000002</v>
      </c>
      <c r="J29" s="13">
        <f t="shared" si="1"/>
        <v>10.485000000000001</v>
      </c>
      <c r="K29" s="13">
        <f t="shared" si="1"/>
        <v>5.911999999999999</v>
      </c>
    </row>
    <row r="30" spans="1:11">
      <c r="A30" s="2">
        <v>120</v>
      </c>
      <c r="B30" s="11">
        <f t="shared" si="0"/>
        <v>2.7138</v>
      </c>
      <c r="C30" s="11">
        <f t="shared" si="0"/>
        <v>2.6760000000000002</v>
      </c>
      <c r="D30" s="11">
        <f t="shared" si="0"/>
        <v>2.6724000000000001</v>
      </c>
      <c r="E30" s="11">
        <f t="shared" si="0"/>
        <v>1.4347999999999999</v>
      </c>
      <c r="G30" s="2">
        <v>120</v>
      </c>
      <c r="H30" s="13">
        <f t="shared" si="1"/>
        <v>13.568999999999999</v>
      </c>
      <c r="I30" s="13">
        <f t="shared" si="1"/>
        <v>13.38</v>
      </c>
      <c r="J30" s="13">
        <f t="shared" si="1"/>
        <v>13.362</v>
      </c>
      <c r="K30" s="13">
        <f t="shared" si="1"/>
        <v>7.1739999999999986</v>
      </c>
    </row>
    <row r="31" spans="1:11">
      <c r="A31" s="2">
        <v>144</v>
      </c>
      <c r="B31" s="11">
        <f t="shared" si="0"/>
        <v>2.6619999999999999</v>
      </c>
      <c r="C31" s="11">
        <f t="shared" si="0"/>
        <v>3.0977999999999999</v>
      </c>
      <c r="D31" s="11">
        <f t="shared" si="0"/>
        <v>1.6059000000000001</v>
      </c>
      <c r="E31" s="11">
        <f t="shared" si="0"/>
        <v>0.50319999999999998</v>
      </c>
      <c r="G31" s="2">
        <v>144</v>
      </c>
      <c r="H31" s="13">
        <f t="shared" si="1"/>
        <v>13.309999999999999</v>
      </c>
      <c r="I31" s="13">
        <f t="shared" si="1"/>
        <v>15.488999999999999</v>
      </c>
      <c r="J31" s="13">
        <f t="shared" si="1"/>
        <v>8.0295000000000005</v>
      </c>
      <c r="K31" s="13">
        <f t="shared" si="1"/>
        <v>2.5159999999999996</v>
      </c>
    </row>
    <row r="32" spans="1:11">
      <c r="F32" s="99" t="s">
        <v>39</v>
      </c>
      <c r="G32" s="101"/>
      <c r="H32" s="4">
        <f>SUM(H25:H31)</f>
        <v>57.371499999999997</v>
      </c>
      <c r="I32" s="4">
        <f>SUM(I25:I31)</f>
        <v>33.31</v>
      </c>
      <c r="J32" s="4">
        <f>SUM(J25:J31)</f>
        <v>55</v>
      </c>
      <c r="K32" s="4">
        <f>SUM(K25:K31)</f>
        <v>29.873999999999995</v>
      </c>
    </row>
    <row r="42" spans="1:17">
      <c r="F42" s="60"/>
      <c r="G42" s="60"/>
      <c r="H42" s="60"/>
      <c r="I42" s="60"/>
      <c r="J42" s="60"/>
      <c r="K42" s="60"/>
    </row>
    <row r="43" spans="1:17">
      <c r="C43" s="6" t="s">
        <v>38</v>
      </c>
      <c r="E43" s="61"/>
      <c r="G43" s="6">
        <v>1</v>
      </c>
      <c r="H43" s="55" t="s">
        <v>62</v>
      </c>
      <c r="I43" s="55"/>
      <c r="L43" s="61"/>
    </row>
    <row r="44" spans="1:17">
      <c r="A44" s="102" t="s">
        <v>35</v>
      </c>
      <c r="B44" s="102"/>
      <c r="C44" s="102"/>
      <c r="D44" s="102"/>
      <c r="E44" s="102"/>
      <c r="H44" s="55" t="s">
        <v>63</v>
      </c>
      <c r="I44" s="55"/>
      <c r="M44" s="99" t="s">
        <v>74</v>
      </c>
      <c r="N44" s="100"/>
      <c r="O44" s="100"/>
      <c r="P44" s="100"/>
      <c r="Q44" s="101"/>
    </row>
    <row r="45" spans="1:17">
      <c r="A45" s="59" t="s">
        <v>30</v>
      </c>
      <c r="B45" s="59" t="s">
        <v>34</v>
      </c>
      <c r="C45" s="59" t="s">
        <v>16</v>
      </c>
      <c r="D45" s="59" t="s">
        <v>10</v>
      </c>
      <c r="E45" s="59" t="s">
        <v>17</v>
      </c>
      <c r="H45" s="55" t="s">
        <v>64</v>
      </c>
      <c r="I45" s="55"/>
      <c r="M45" s="39" t="s">
        <v>30</v>
      </c>
      <c r="N45" s="39" t="s">
        <v>34</v>
      </c>
      <c r="O45" s="39" t="s">
        <v>16</v>
      </c>
      <c r="P45" s="39" t="s">
        <v>10</v>
      </c>
      <c r="Q45" s="39" t="s">
        <v>17</v>
      </c>
    </row>
    <row r="46" spans="1:17">
      <c r="A46" s="39">
        <v>0</v>
      </c>
      <c r="B46" s="11">
        <v>0</v>
      </c>
      <c r="C46" s="11">
        <v>0</v>
      </c>
      <c r="D46" s="11">
        <v>0</v>
      </c>
      <c r="E46" s="11">
        <v>0</v>
      </c>
      <c r="H46" s="55" t="s">
        <v>65</v>
      </c>
      <c r="I46" s="55"/>
      <c r="M46" s="39">
        <v>0</v>
      </c>
      <c r="N46" s="11">
        <f>(1)*(B46/1000)/(0.0821)*(273+30)</f>
        <v>0</v>
      </c>
      <c r="O46" s="11">
        <f>(1)*(C46/1000)/(0.0821)*(273+30)</f>
        <v>0</v>
      </c>
      <c r="P46" s="11">
        <f>(1)*(D46/1000)/(0.0821)*(273+30)</f>
        <v>0</v>
      </c>
      <c r="Q46" s="11">
        <f>(1)*(E46/1000)/(0.0821)*(273+30)</f>
        <v>0</v>
      </c>
    </row>
    <row r="47" spans="1:17">
      <c r="A47" s="39">
        <v>24</v>
      </c>
      <c r="B47" s="11">
        <v>0.7881999999999999</v>
      </c>
      <c r="C47" s="11">
        <v>0.21840000000000001</v>
      </c>
      <c r="D47" s="11">
        <v>1.4688000000000001</v>
      </c>
      <c r="E47" s="11">
        <v>0.19380000000000003</v>
      </c>
      <c r="H47" s="55" t="s">
        <v>66</v>
      </c>
      <c r="I47" s="55"/>
      <c r="M47" s="39">
        <v>24</v>
      </c>
      <c r="N47" s="11">
        <f t="shared" ref="N47:N52" si="2">(1)*(B47/1000)/(0.0821)*(273+30)</f>
        <v>2.9089476248477459</v>
      </c>
      <c r="O47" s="11">
        <f t="shared" ref="O47:O52" si="3">(1)*(C47/1000)/(0.0821)*(273+30)</f>
        <v>0.80603166869671128</v>
      </c>
      <c r="P47" s="11">
        <f t="shared" ref="P47:P52" si="4">(1)*(D47/1000)/(0.0821)*(273+30)</f>
        <v>5.4207844092570037</v>
      </c>
      <c r="Q47" s="11">
        <f t="shared" ref="Q47:Q52" si="5">(1)*(E47/1000)/(0.0821)*(273+30)</f>
        <v>0.71524238733252132</v>
      </c>
    </row>
    <row r="48" spans="1:17">
      <c r="A48" s="39">
        <v>48</v>
      </c>
      <c r="B48" s="11">
        <v>0.94149999999999989</v>
      </c>
      <c r="C48" s="11">
        <v>0</v>
      </c>
      <c r="D48" s="11">
        <v>1.5759999999999998</v>
      </c>
      <c r="E48" s="11">
        <v>1.2629999999999999</v>
      </c>
      <c r="H48" s="55" t="s">
        <v>67</v>
      </c>
      <c r="I48" s="55"/>
      <c r="M48" s="39">
        <v>48</v>
      </c>
      <c r="N48" s="11">
        <f t="shared" si="2"/>
        <v>3.4747198538367838</v>
      </c>
      <c r="O48" s="11">
        <f t="shared" si="3"/>
        <v>0</v>
      </c>
      <c r="P48" s="11">
        <f t="shared" si="4"/>
        <v>5.8164190012180255</v>
      </c>
      <c r="Q48" s="11">
        <f t="shared" si="5"/>
        <v>4.6612545676004862</v>
      </c>
    </row>
    <row r="49" spans="1:26">
      <c r="A49" s="39">
        <v>72</v>
      </c>
      <c r="B49" s="11">
        <v>1.7647999999999999</v>
      </c>
      <c r="C49" s="11">
        <v>0</v>
      </c>
      <c r="D49" s="11">
        <v>1.5799000000000001</v>
      </c>
      <c r="E49" s="11">
        <v>1.3976</v>
      </c>
      <c r="M49" s="39">
        <v>72</v>
      </c>
      <c r="N49" s="11">
        <f t="shared" si="2"/>
        <v>6.513208282582216</v>
      </c>
      <c r="O49" s="11">
        <f t="shared" si="3"/>
        <v>0</v>
      </c>
      <c r="P49" s="11">
        <f t="shared" si="4"/>
        <v>5.8308124238733257</v>
      </c>
      <c r="Q49" s="11">
        <f t="shared" si="5"/>
        <v>5.1580121802679644</v>
      </c>
    </row>
    <row r="50" spans="1:26">
      <c r="A50" s="39">
        <v>96</v>
      </c>
      <c r="B50" s="11">
        <v>2.6040000000000005</v>
      </c>
      <c r="C50" s="11">
        <v>0.66980000000000006</v>
      </c>
      <c r="D50" s="11">
        <v>2.0970000000000004</v>
      </c>
      <c r="E50" s="11">
        <v>1.1823999999999999</v>
      </c>
      <c r="G50" s="6">
        <v>2</v>
      </c>
      <c r="H50" s="56" t="s">
        <v>68</v>
      </c>
      <c r="I50" s="56"/>
      <c r="M50" s="39">
        <v>96</v>
      </c>
      <c r="N50" s="11">
        <f t="shared" si="2"/>
        <v>9.6103775883069424</v>
      </c>
      <c r="O50" s="11">
        <f t="shared" si="3"/>
        <v>2.471978075517661</v>
      </c>
      <c r="P50" s="11">
        <f t="shared" si="4"/>
        <v>7.7392326431181493</v>
      </c>
      <c r="Q50" s="11">
        <f t="shared" si="5"/>
        <v>4.3637904993909862</v>
      </c>
    </row>
    <row r="51" spans="1:26">
      <c r="A51" s="39">
        <v>120</v>
      </c>
      <c r="B51" s="11">
        <v>2.7138</v>
      </c>
      <c r="C51" s="11">
        <v>2.6760000000000002</v>
      </c>
      <c r="D51" s="11">
        <v>2.6724000000000001</v>
      </c>
      <c r="E51" s="11">
        <v>1.4347999999999999</v>
      </c>
      <c r="G51" s="56"/>
      <c r="H51" s="56" t="s">
        <v>69</v>
      </c>
      <c r="I51" s="56"/>
      <c r="M51" s="39">
        <v>120</v>
      </c>
      <c r="N51" s="11">
        <f t="shared" si="2"/>
        <v>10.015607795371499</v>
      </c>
      <c r="O51" s="11">
        <f t="shared" si="3"/>
        <v>9.8761023142509128</v>
      </c>
      <c r="P51" s="11">
        <f t="shared" si="4"/>
        <v>9.8628160779537151</v>
      </c>
      <c r="Q51" s="11">
        <f t="shared" si="5"/>
        <v>5.2953032886723497</v>
      </c>
    </row>
    <row r="52" spans="1:26">
      <c r="A52" s="39">
        <v>144</v>
      </c>
      <c r="B52" s="11">
        <v>2.6619999999999999</v>
      </c>
      <c r="C52" s="11">
        <v>3.0977999999999999</v>
      </c>
      <c r="D52" s="11">
        <v>1.6059000000000001</v>
      </c>
      <c r="E52" s="11">
        <v>0.50319999999999998</v>
      </c>
      <c r="M52" s="39">
        <v>144</v>
      </c>
      <c r="N52" s="11">
        <f t="shared" si="2"/>
        <v>9.8244336175395848</v>
      </c>
      <c r="O52" s="11">
        <f t="shared" si="3"/>
        <v>11.432806333739341</v>
      </c>
      <c r="P52" s="11">
        <f t="shared" si="4"/>
        <v>5.9267685749086478</v>
      </c>
      <c r="Q52" s="11">
        <f t="shared" si="5"/>
        <v>1.8571205846528622</v>
      </c>
    </row>
    <row r="53" spans="1:26">
      <c r="G53" s="6">
        <v>3</v>
      </c>
      <c r="H53" s="55" t="s">
        <v>70</v>
      </c>
      <c r="I53" s="55"/>
      <c r="J53" s="55"/>
      <c r="O53" s="61"/>
    </row>
    <row r="54" spans="1:26">
      <c r="A54" s="57" t="s">
        <v>73</v>
      </c>
      <c r="B54" s="57"/>
      <c r="C54" s="58"/>
      <c r="D54" s="58"/>
      <c r="E54" s="58"/>
      <c r="G54" s="55"/>
      <c r="H54" s="55" t="s">
        <v>71</v>
      </c>
      <c r="I54" s="55"/>
      <c r="J54" s="55"/>
      <c r="M54" s="4"/>
      <c r="N54" s="102" t="s">
        <v>75</v>
      </c>
      <c r="O54" s="102"/>
      <c r="P54" s="102"/>
      <c r="Q54" s="102"/>
    </row>
    <row r="55" spans="1:26">
      <c r="M55" s="39" t="s">
        <v>30</v>
      </c>
      <c r="N55" s="39" t="s">
        <v>34</v>
      </c>
      <c r="O55" s="39" t="s">
        <v>16</v>
      </c>
      <c r="P55" s="39" t="s">
        <v>10</v>
      </c>
      <c r="Q55" s="39" t="s">
        <v>17</v>
      </c>
    </row>
    <row r="56" spans="1:26">
      <c r="G56" s="6">
        <v>4</v>
      </c>
      <c r="H56" s="55" t="s">
        <v>72</v>
      </c>
      <c r="M56" s="39">
        <v>0</v>
      </c>
      <c r="N56" s="11">
        <f t="shared" ref="N56:Q62" si="6">N46*22.7/1</f>
        <v>0</v>
      </c>
      <c r="O56" s="11">
        <f t="shared" si="6"/>
        <v>0</v>
      </c>
      <c r="P56" s="11">
        <f t="shared" si="6"/>
        <v>0</v>
      </c>
      <c r="Q56" s="11">
        <f t="shared" si="6"/>
        <v>0</v>
      </c>
    </row>
    <row r="57" spans="1:26">
      <c r="M57" s="39">
        <v>24</v>
      </c>
      <c r="N57" s="11">
        <f t="shared" si="6"/>
        <v>66.033111084043824</v>
      </c>
      <c r="O57" s="11">
        <f t="shared" si="6"/>
        <v>18.296918879415344</v>
      </c>
      <c r="P57" s="11">
        <f t="shared" si="6"/>
        <v>123.05180609013398</v>
      </c>
      <c r="Q57" s="11">
        <f t="shared" si="6"/>
        <v>16.236002192448233</v>
      </c>
    </row>
    <row r="58" spans="1:26">
      <c r="M58" s="39">
        <v>48</v>
      </c>
      <c r="N58" s="11">
        <f t="shared" si="6"/>
        <v>78.876140682094984</v>
      </c>
      <c r="O58" s="11">
        <f t="shared" si="6"/>
        <v>0</v>
      </c>
      <c r="P58" s="11">
        <f t="shared" si="6"/>
        <v>132.03271132764917</v>
      </c>
      <c r="Q58" s="11">
        <f t="shared" si="6"/>
        <v>105.81047868453103</v>
      </c>
    </row>
    <row r="59" spans="1:26">
      <c r="M59" s="39">
        <v>72</v>
      </c>
      <c r="N59" s="11">
        <f t="shared" si="6"/>
        <v>147.84982801461629</v>
      </c>
      <c r="O59" s="11">
        <f t="shared" si="6"/>
        <v>0</v>
      </c>
      <c r="P59" s="11">
        <f t="shared" si="6"/>
        <v>132.35944202192448</v>
      </c>
      <c r="Q59" s="11">
        <f t="shared" si="6"/>
        <v>117.08687649208279</v>
      </c>
    </row>
    <row r="60" spans="1:26">
      <c r="M60" s="39">
        <v>96</v>
      </c>
      <c r="N60" s="11">
        <f t="shared" si="6"/>
        <v>218.15557125456758</v>
      </c>
      <c r="O60" s="11">
        <f t="shared" si="6"/>
        <v>56.1139023142509</v>
      </c>
      <c r="P60" s="11">
        <f t="shared" si="6"/>
        <v>175.68058099878198</v>
      </c>
      <c r="Q60" s="11">
        <f t="shared" si="6"/>
        <v>99.058044336175385</v>
      </c>
    </row>
    <row r="61" spans="1:26">
      <c r="M61" s="39">
        <v>120</v>
      </c>
      <c r="N61" s="11">
        <f t="shared" si="6"/>
        <v>227.35429695493303</v>
      </c>
      <c r="O61" s="11">
        <f t="shared" si="6"/>
        <v>224.18752253349572</v>
      </c>
      <c r="P61" s="11">
        <f t="shared" si="6"/>
        <v>223.88592496954934</v>
      </c>
      <c r="Q61" s="11">
        <f t="shared" si="6"/>
        <v>120.20338465286234</v>
      </c>
    </row>
    <row r="62" spans="1:26">
      <c r="M62" s="39">
        <v>144</v>
      </c>
      <c r="N62" s="11">
        <f t="shared" si="6"/>
        <v>223.01464311814857</v>
      </c>
      <c r="O62" s="11">
        <f t="shared" si="6"/>
        <v>259.52470377588304</v>
      </c>
      <c r="P62" s="11">
        <f t="shared" si="6"/>
        <v>134.5376466504263</v>
      </c>
      <c r="Q62" s="11">
        <f t="shared" si="6"/>
        <v>42.156637271619971</v>
      </c>
    </row>
    <row r="63" spans="1:26">
      <c r="O63" s="61"/>
      <c r="S63" s="6" t="s">
        <v>78</v>
      </c>
    </row>
    <row r="64" spans="1:26">
      <c r="M64" s="99" t="s">
        <v>76</v>
      </c>
      <c r="N64" s="100"/>
      <c r="O64" s="100"/>
      <c r="P64" s="100"/>
      <c r="Q64" s="101"/>
      <c r="S64" s="4" t="s">
        <v>80</v>
      </c>
      <c r="U64" s="4"/>
      <c r="V64" s="102" t="s">
        <v>79</v>
      </c>
      <c r="W64" s="102"/>
      <c r="X64" s="102"/>
      <c r="Y64" s="99"/>
      <c r="Z64" s="64"/>
    </row>
    <row r="65" spans="13:26">
      <c r="M65" s="39" t="s">
        <v>30</v>
      </c>
      <c r="N65" s="39" t="s">
        <v>34</v>
      </c>
      <c r="O65" s="39" t="s">
        <v>16</v>
      </c>
      <c r="P65" s="39" t="s">
        <v>10</v>
      </c>
      <c r="Q65" s="39" t="s">
        <v>17</v>
      </c>
      <c r="S65" s="39">
        <f>50*37/1000</f>
        <v>1.85</v>
      </c>
      <c r="U65" s="39" t="s">
        <v>30</v>
      </c>
      <c r="V65" s="39" t="s">
        <v>34</v>
      </c>
      <c r="W65" s="39" t="s">
        <v>16</v>
      </c>
      <c r="X65" s="39" t="s">
        <v>10</v>
      </c>
      <c r="Y65" s="62" t="s">
        <v>17</v>
      </c>
      <c r="Z65" s="64"/>
    </row>
    <row r="66" spans="13:26">
      <c r="M66" s="39">
        <v>0</v>
      </c>
      <c r="N66" s="11">
        <f t="shared" ref="N66:Q72" si="7">N56*1/350</f>
        <v>0</v>
      </c>
      <c r="O66" s="11">
        <f t="shared" si="7"/>
        <v>0</v>
      </c>
      <c r="P66" s="11">
        <f t="shared" si="7"/>
        <v>0</v>
      </c>
      <c r="Q66" s="11">
        <f t="shared" si="7"/>
        <v>0</v>
      </c>
      <c r="S66" s="39">
        <f t="shared" ref="S66:S72" si="8">50*37/1000</f>
        <v>1.85</v>
      </c>
      <c r="U66" s="39">
        <v>0</v>
      </c>
      <c r="V66" s="11">
        <f>N66/$S$65</f>
        <v>0</v>
      </c>
      <c r="W66" s="11">
        <f>O66/$S$65</f>
        <v>0</v>
      </c>
      <c r="X66" s="11">
        <f>P66/$S$65</f>
        <v>0</v>
      </c>
      <c r="Y66" s="63">
        <f>Q66/$S$65</f>
        <v>0</v>
      </c>
      <c r="Z66" s="64"/>
    </row>
    <row r="67" spans="13:26">
      <c r="M67" s="39">
        <v>24</v>
      </c>
      <c r="N67" s="11">
        <f t="shared" si="7"/>
        <v>0.18866603166869664</v>
      </c>
      <c r="O67" s="11">
        <f t="shared" si="7"/>
        <v>5.2276911084043837E-2</v>
      </c>
      <c r="P67" s="11">
        <f t="shared" si="7"/>
        <v>0.35157658882895421</v>
      </c>
      <c r="Q67" s="11">
        <f t="shared" si="7"/>
        <v>4.6388577692709237E-2</v>
      </c>
      <c r="R67" s="61" t="s">
        <v>77</v>
      </c>
      <c r="S67" s="39">
        <f>50*37/1000</f>
        <v>1.85</v>
      </c>
      <c r="T67" s="61"/>
      <c r="U67" s="39">
        <v>24</v>
      </c>
      <c r="V67" s="11">
        <f t="shared" ref="V67:V72" si="9">N67/$S$65</f>
        <v>0.10198163873983601</v>
      </c>
      <c r="W67" s="11">
        <f t="shared" ref="W67:W72" si="10">O67/$S$65</f>
        <v>2.8257789775158828E-2</v>
      </c>
      <c r="X67" s="11">
        <f t="shared" ref="X67:X72" si="11">P67/$S$65</f>
        <v>0.19004139936700226</v>
      </c>
      <c r="Y67" s="63">
        <f t="shared" ref="Y67:Y72" si="12">Q67/$S$65</f>
        <v>2.507490686092391E-2</v>
      </c>
      <c r="Z67" s="64"/>
    </row>
    <row r="68" spans="13:26">
      <c r="M68" s="39">
        <v>48</v>
      </c>
      <c r="N68" s="11">
        <f t="shared" si="7"/>
        <v>0.22536040194884283</v>
      </c>
      <c r="O68" s="11">
        <f t="shared" si="7"/>
        <v>0</v>
      </c>
      <c r="P68" s="11">
        <f t="shared" si="7"/>
        <v>0.3772363180789976</v>
      </c>
      <c r="Q68" s="11">
        <f t="shared" si="7"/>
        <v>0.30231565338437438</v>
      </c>
      <c r="S68" s="39">
        <f t="shared" si="8"/>
        <v>1.85</v>
      </c>
      <c r="U68" s="39">
        <v>48</v>
      </c>
      <c r="V68" s="11">
        <f t="shared" si="9"/>
        <v>0.12181643348586098</v>
      </c>
      <c r="W68" s="11">
        <f t="shared" si="10"/>
        <v>0</v>
      </c>
      <c r="X68" s="11">
        <f t="shared" si="11"/>
        <v>0.20391152328594464</v>
      </c>
      <c r="Y68" s="63">
        <f t="shared" si="12"/>
        <v>0.16341386669425642</v>
      </c>
      <c r="Z68" s="64"/>
    </row>
    <row r="69" spans="13:26">
      <c r="M69" s="39">
        <v>72</v>
      </c>
      <c r="N69" s="11">
        <f t="shared" si="7"/>
        <v>0.42242808004176086</v>
      </c>
      <c r="O69" s="11">
        <f t="shared" si="7"/>
        <v>0</v>
      </c>
      <c r="P69" s="11">
        <f t="shared" si="7"/>
        <v>0.37816983434835566</v>
      </c>
      <c r="Q69" s="11">
        <f t="shared" si="7"/>
        <v>0.33453393283452226</v>
      </c>
      <c r="S69" s="39">
        <f t="shared" si="8"/>
        <v>1.85</v>
      </c>
      <c r="U69" s="39">
        <v>72</v>
      </c>
      <c r="V69" s="11">
        <f t="shared" si="9"/>
        <v>0.22833950272527612</v>
      </c>
      <c r="W69" s="11">
        <f t="shared" si="10"/>
        <v>0</v>
      </c>
      <c r="X69" s="11">
        <f t="shared" si="11"/>
        <v>0.20441612667478684</v>
      </c>
      <c r="Y69" s="63">
        <f t="shared" si="12"/>
        <v>0.18082915288352555</v>
      </c>
      <c r="Z69" s="64"/>
    </row>
    <row r="70" spans="13:26">
      <c r="M70" s="39">
        <v>96</v>
      </c>
      <c r="N70" s="11">
        <f t="shared" si="7"/>
        <v>0.62330163215590739</v>
      </c>
      <c r="O70" s="11">
        <f t="shared" si="7"/>
        <v>0.16032543518357401</v>
      </c>
      <c r="P70" s="11">
        <f t="shared" si="7"/>
        <v>0.50194451713937704</v>
      </c>
      <c r="Q70" s="11">
        <f t="shared" si="7"/>
        <v>0.28302298381764396</v>
      </c>
      <c r="S70" s="39">
        <f t="shared" si="8"/>
        <v>1.85</v>
      </c>
      <c r="U70" s="39">
        <v>96</v>
      </c>
      <c r="V70" s="11">
        <f t="shared" si="9"/>
        <v>0.3369198011653553</v>
      </c>
      <c r="W70" s="11">
        <f t="shared" si="10"/>
        <v>8.666239739652648E-2</v>
      </c>
      <c r="X70" s="11">
        <f t="shared" si="11"/>
        <v>0.27132136061587947</v>
      </c>
      <c r="Y70" s="63">
        <f t="shared" si="12"/>
        <v>0.15298539665818592</v>
      </c>
      <c r="Z70" s="64"/>
    </row>
    <row r="71" spans="13:26">
      <c r="M71" s="39">
        <v>120</v>
      </c>
      <c r="N71" s="11">
        <f t="shared" si="7"/>
        <v>0.64958370558552292</v>
      </c>
      <c r="O71" s="11">
        <f t="shared" si="7"/>
        <v>0.64053577866713063</v>
      </c>
      <c r="P71" s="11">
        <f t="shared" si="7"/>
        <v>0.63967407134156951</v>
      </c>
      <c r="Q71" s="11">
        <f t="shared" si="7"/>
        <v>0.34343824186532096</v>
      </c>
      <c r="S71" s="39">
        <f t="shared" si="8"/>
        <v>1.85</v>
      </c>
      <c r="U71" s="39">
        <v>120</v>
      </c>
      <c r="V71" s="11">
        <f t="shared" si="9"/>
        <v>0.35112632734352589</v>
      </c>
      <c r="W71" s="11">
        <f t="shared" si="10"/>
        <v>0.34623555603628681</v>
      </c>
      <c r="X71" s="11">
        <f t="shared" si="11"/>
        <v>0.34576976829274025</v>
      </c>
      <c r="Y71" s="63">
        <f t="shared" si="12"/>
        <v>0.18564229290017348</v>
      </c>
      <c r="Z71" s="64"/>
    </row>
    <row r="72" spans="13:26">
      <c r="M72" s="39">
        <v>144</v>
      </c>
      <c r="N72" s="11">
        <f t="shared" si="7"/>
        <v>0.63718469462328164</v>
      </c>
      <c r="O72" s="11">
        <f t="shared" si="7"/>
        <v>0.7414991536453801</v>
      </c>
      <c r="P72" s="11">
        <f t="shared" si="7"/>
        <v>0.38439327614407515</v>
      </c>
      <c r="Q72" s="11">
        <f t="shared" si="7"/>
        <v>0.12044753506177135</v>
      </c>
      <c r="S72" s="39">
        <f t="shared" si="8"/>
        <v>1.85</v>
      </c>
      <c r="U72" s="39">
        <v>144</v>
      </c>
      <c r="V72" s="11">
        <f t="shared" si="9"/>
        <v>0.34442415925582792</v>
      </c>
      <c r="W72" s="11">
        <f t="shared" si="10"/>
        <v>0.40081035332182707</v>
      </c>
      <c r="X72" s="11">
        <f t="shared" si="11"/>
        <v>0.20778014926706764</v>
      </c>
      <c r="Y72" s="63">
        <f t="shared" si="12"/>
        <v>6.510677570906559E-2</v>
      </c>
      <c r="Z72" s="64"/>
    </row>
    <row r="73" spans="13:26">
      <c r="Z73" s="64"/>
    </row>
    <row r="74" spans="13:26" ht="36">
      <c r="O74" s="65"/>
      <c r="P74" s="65" t="s">
        <v>80</v>
      </c>
      <c r="Q74" s="65" t="s">
        <v>76</v>
      </c>
      <c r="R74" s="65" t="s">
        <v>38</v>
      </c>
      <c r="S74" s="65" t="s">
        <v>82</v>
      </c>
      <c r="T74" s="67" t="s">
        <v>81</v>
      </c>
    </row>
    <row r="75" spans="13:26">
      <c r="O75" s="65" t="s">
        <v>34</v>
      </c>
      <c r="P75" s="65">
        <v>1.85</v>
      </c>
      <c r="Q75" s="11">
        <v>0.63718469462328198</v>
      </c>
      <c r="R75" s="11">
        <v>2.6619999999999999</v>
      </c>
      <c r="S75" s="11">
        <v>57.371499999999997</v>
      </c>
      <c r="T75" s="11">
        <f>Q75/P75</f>
        <v>0.34442415925582809</v>
      </c>
    </row>
    <row r="76" spans="13:26">
      <c r="O76" s="65" t="s">
        <v>16</v>
      </c>
      <c r="P76" s="65">
        <v>1.85</v>
      </c>
      <c r="Q76" s="11">
        <v>0.7414991536453801</v>
      </c>
      <c r="R76" s="11">
        <v>3.0977999999999999</v>
      </c>
      <c r="S76" s="11">
        <v>33.31</v>
      </c>
      <c r="T76" s="11">
        <v>0.40081035332182707</v>
      </c>
    </row>
    <row r="77" spans="13:26">
      <c r="O77" s="65" t="s">
        <v>10</v>
      </c>
      <c r="P77" s="65">
        <v>1.85</v>
      </c>
      <c r="Q77" s="11">
        <v>0.38439327614407515</v>
      </c>
      <c r="R77" s="11">
        <v>1.6059000000000001</v>
      </c>
      <c r="S77" s="11">
        <v>55</v>
      </c>
      <c r="T77" s="11">
        <v>0.20778014926706764</v>
      </c>
    </row>
    <row r="78" spans="13:26">
      <c r="O78" s="65" t="s">
        <v>17</v>
      </c>
      <c r="P78" s="65">
        <v>1.85</v>
      </c>
      <c r="Q78" s="11">
        <v>0.12044753506177135</v>
      </c>
      <c r="R78" s="11">
        <v>0.50319999999999998</v>
      </c>
      <c r="S78" s="11">
        <v>29.873999999999995</v>
      </c>
      <c r="T78" s="11">
        <v>6.510677570906559E-2</v>
      </c>
    </row>
  </sheetData>
  <mergeCells count="14">
    <mergeCell ref="A23:E23"/>
    <mergeCell ref="G23:K23"/>
    <mergeCell ref="F32:G32"/>
    <mergeCell ref="A2:J2"/>
    <mergeCell ref="B11:C11"/>
    <mergeCell ref="H11:I11"/>
    <mergeCell ref="H22:J22"/>
    <mergeCell ref="G12:J12"/>
    <mergeCell ref="A12:D12"/>
    <mergeCell ref="M64:Q64"/>
    <mergeCell ref="M44:Q44"/>
    <mergeCell ref="A44:E44"/>
    <mergeCell ref="N54:Q54"/>
    <mergeCell ref="V64:Y6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1"/>
  <sheetViews>
    <sheetView tabSelected="1" zoomScale="50" zoomScaleNormal="50" workbookViewId="0">
      <selection sqref="A1:XFD1"/>
    </sheetView>
  </sheetViews>
  <sheetFormatPr defaultColWidth="9" defaultRowHeight="23.25"/>
  <cols>
    <col min="1" max="1" width="6.5703125" style="68" bestFit="1" customWidth="1"/>
    <col min="2" max="2" width="11.85546875" style="68" bestFit="1" customWidth="1"/>
    <col min="3" max="3" width="11.85546875" style="68" customWidth="1"/>
    <col min="4" max="4" width="11.5703125" style="68" bestFit="1" customWidth="1"/>
    <col min="5" max="5" width="11.5703125" style="68" customWidth="1"/>
    <col min="6" max="6" width="14.42578125" style="68" bestFit="1" customWidth="1"/>
    <col min="7" max="7" width="14.42578125" style="68" customWidth="1"/>
    <col min="8" max="8" width="13.42578125" style="68" bestFit="1" customWidth="1"/>
    <col min="9" max="9" width="13.42578125" style="68" customWidth="1"/>
    <col min="10" max="10" width="13.140625" style="68" bestFit="1" customWidth="1"/>
    <col min="11" max="11" width="13.140625" style="68" customWidth="1"/>
    <col min="12" max="12" width="3.7109375" style="68" customWidth="1"/>
    <col min="13" max="13" width="14.7109375" style="68" customWidth="1"/>
    <col min="14" max="14" width="7.28515625" style="68" bestFit="1" customWidth="1"/>
    <col min="15" max="15" width="9.28515625" style="68" bestFit="1" customWidth="1"/>
    <col min="16" max="16" width="8.7109375" style="68" bestFit="1" customWidth="1"/>
    <col min="17" max="17" width="4" style="68" customWidth="1"/>
    <col min="18" max="18" width="7.28515625" style="68" bestFit="1" customWidth="1"/>
    <col min="19" max="20" width="9.28515625" style="68" bestFit="1" customWidth="1"/>
    <col min="21" max="21" width="8.7109375" style="68" bestFit="1" customWidth="1"/>
    <col min="22" max="22" width="3.7109375" style="68" customWidth="1"/>
    <col min="23" max="23" width="9" style="68"/>
    <col min="24" max="24" width="11.85546875" style="68" bestFit="1" customWidth="1"/>
    <col min="25" max="25" width="8.7109375" style="68" bestFit="1" customWidth="1"/>
    <col min="26" max="26" width="9.28515625" style="68" bestFit="1" customWidth="1"/>
    <col min="27" max="27" width="8.7109375" style="68" bestFit="1" customWidth="1"/>
    <col min="28" max="28" width="2.7109375" style="89" customWidth="1"/>
    <col min="29" max="29" width="9" style="89"/>
    <col min="30" max="30" width="11.7109375" style="89" bestFit="1" customWidth="1"/>
    <col min="31" max="32" width="9" style="89"/>
    <col min="33" max="33" width="8.7109375" style="68" bestFit="1" customWidth="1"/>
    <col min="34" max="34" width="13.28515625" style="68" customWidth="1"/>
    <col min="35" max="35" width="12.42578125" style="68" customWidth="1"/>
    <col min="36" max="36" width="11.5703125" style="68" customWidth="1"/>
    <col min="37" max="39" width="9" style="68"/>
    <col min="40" max="40" width="3.42578125" style="68" customWidth="1"/>
    <col min="41" max="41" width="9" style="68"/>
    <col min="42" max="42" width="11.85546875" style="68" bestFit="1" customWidth="1"/>
    <col min="43" max="43" width="7.28515625" style="68" bestFit="1" customWidth="1"/>
    <col min="44" max="45" width="9" style="68"/>
    <col min="46" max="46" width="4.28515625" style="68" customWidth="1"/>
    <col min="47" max="47" width="9" style="68"/>
    <col min="48" max="48" width="11.85546875" style="68" bestFit="1" customWidth="1"/>
    <col min="49" max="49" width="7.5703125" style="68" bestFit="1" customWidth="1"/>
    <col min="50" max="50" width="9.28515625" style="68" bestFit="1" customWidth="1"/>
    <col min="51" max="51" width="8.7109375" style="68" bestFit="1" customWidth="1"/>
    <col min="52" max="52" width="3.140625" style="68" customWidth="1"/>
    <col min="53" max="53" width="9" style="68"/>
    <col min="54" max="54" width="11.7109375" style="68" bestFit="1" customWidth="1"/>
    <col min="55" max="55" width="7.28515625" style="68" bestFit="1" customWidth="1"/>
    <col min="56" max="56" width="9.140625" style="68" bestFit="1" customWidth="1"/>
    <col min="57" max="57" width="8.7109375" style="68" bestFit="1" customWidth="1"/>
    <col min="58" max="58" width="13.140625" style="68" bestFit="1" customWidth="1"/>
    <col min="59" max="59" width="3.42578125" style="68" customWidth="1"/>
    <col min="60" max="60" width="9" style="68"/>
    <col min="61" max="61" width="11.7109375" style="68" bestFit="1" customWidth="1"/>
    <col min="62" max="62" width="7.140625" style="68" bestFit="1" customWidth="1"/>
    <col min="63" max="63" width="9.140625" style="68" bestFit="1" customWidth="1"/>
    <col min="64" max="64" width="8.7109375" style="68" bestFit="1" customWidth="1"/>
    <col min="65" max="65" width="2.7109375" style="68" customWidth="1"/>
    <col min="66" max="66" width="17.140625" style="68" bestFit="1" customWidth="1"/>
    <col min="67" max="67" width="23.28515625" style="68" bestFit="1" customWidth="1"/>
    <col min="68" max="68" width="22.7109375" style="68" bestFit="1" customWidth="1"/>
    <col min="69" max="69" width="20.42578125" style="68" bestFit="1" customWidth="1"/>
    <col min="70" max="70" width="22.7109375" style="68" bestFit="1" customWidth="1"/>
    <col min="71" max="71" width="24.140625" style="68" customWidth="1"/>
    <col min="72" max="72" width="26.7109375" style="68" customWidth="1"/>
    <col min="73" max="73" width="16.85546875" style="68" customWidth="1"/>
    <col min="74" max="75" width="10" style="68" bestFit="1" customWidth="1"/>
    <col min="76" max="16384" width="9" style="68"/>
  </cols>
  <sheetData>
    <row r="1" spans="1:74" s="112" customFormat="1" ht="35.25">
      <c r="A1" s="111" t="s">
        <v>104</v>
      </c>
    </row>
    <row r="2" spans="1:74" ht="27" customHeight="1">
      <c r="J2" s="69" t="s">
        <v>31</v>
      </c>
      <c r="K2" s="69"/>
      <c r="M2" s="116" t="s">
        <v>32</v>
      </c>
      <c r="N2" s="116"/>
      <c r="O2" s="116"/>
      <c r="P2" s="116"/>
      <c r="R2" s="116" t="s">
        <v>103</v>
      </c>
      <c r="S2" s="116"/>
      <c r="T2" s="116"/>
      <c r="U2" s="116"/>
      <c r="W2" s="116" t="s">
        <v>38</v>
      </c>
      <c r="X2" s="116"/>
      <c r="Y2" s="116"/>
      <c r="Z2" s="116"/>
      <c r="AA2" s="116"/>
      <c r="AC2" s="124" t="s">
        <v>89</v>
      </c>
      <c r="AD2" s="124"/>
      <c r="AE2" s="124"/>
      <c r="AF2" s="124"/>
      <c r="AG2" s="124"/>
      <c r="AI2" s="116" t="s">
        <v>50</v>
      </c>
      <c r="AJ2" s="116"/>
      <c r="AK2" s="116"/>
      <c r="AL2" s="116"/>
      <c r="AM2" s="116"/>
      <c r="AO2" s="116" t="s">
        <v>90</v>
      </c>
      <c r="AP2" s="116"/>
      <c r="AQ2" s="116"/>
      <c r="AR2" s="116"/>
      <c r="AS2" s="116"/>
      <c r="AU2" s="116" t="s">
        <v>38</v>
      </c>
      <c r="AV2" s="116"/>
      <c r="AW2" s="116"/>
      <c r="AX2" s="116"/>
      <c r="AY2" s="116"/>
      <c r="BA2" s="116" t="s">
        <v>91</v>
      </c>
      <c r="BB2" s="116"/>
      <c r="BC2" s="116"/>
      <c r="BD2" s="116"/>
      <c r="BE2" s="116"/>
      <c r="BF2" s="116"/>
      <c r="BH2" s="116" t="s">
        <v>79</v>
      </c>
      <c r="BI2" s="116"/>
      <c r="BJ2" s="116"/>
      <c r="BK2" s="116"/>
      <c r="BL2" s="116"/>
      <c r="BS2" s="85" t="s">
        <v>73</v>
      </c>
      <c r="BT2" s="85"/>
      <c r="BU2" s="86"/>
      <c r="BV2" s="86"/>
    </row>
    <row r="3" spans="1:74" ht="30">
      <c r="A3" s="90" t="s">
        <v>86</v>
      </c>
      <c r="B3" s="91"/>
      <c r="C3" s="91"/>
      <c r="D3" s="91"/>
      <c r="E3" s="91"/>
      <c r="F3" s="91"/>
      <c r="G3" s="91"/>
      <c r="H3" s="91"/>
      <c r="I3" s="91"/>
      <c r="J3" s="91"/>
      <c r="K3" s="91"/>
      <c r="M3" s="82" t="s">
        <v>86</v>
      </c>
      <c r="N3" s="80"/>
      <c r="O3" s="80"/>
      <c r="P3" s="81"/>
      <c r="R3" s="121" t="s">
        <v>86</v>
      </c>
      <c r="S3" s="116"/>
      <c r="T3" s="116"/>
      <c r="U3" s="125"/>
      <c r="W3" s="113" t="s">
        <v>86</v>
      </c>
      <c r="X3" s="117"/>
      <c r="Y3" s="117"/>
      <c r="Z3" s="117"/>
      <c r="AA3" s="114"/>
      <c r="AC3" s="119" t="s">
        <v>86</v>
      </c>
      <c r="AD3" s="119"/>
      <c r="AE3" s="119"/>
      <c r="AF3" s="119"/>
      <c r="AG3" s="119"/>
      <c r="AI3" s="113" t="s">
        <v>86</v>
      </c>
      <c r="AJ3" s="117"/>
      <c r="AK3" s="117"/>
      <c r="AL3" s="117"/>
      <c r="AM3" s="114"/>
      <c r="AO3" s="120" t="s">
        <v>30</v>
      </c>
      <c r="AP3" s="113" t="s">
        <v>74</v>
      </c>
      <c r="AQ3" s="117"/>
      <c r="AR3" s="117"/>
      <c r="AS3" s="114"/>
      <c r="AU3" s="122" t="s">
        <v>30</v>
      </c>
      <c r="AV3" s="113" t="s">
        <v>75</v>
      </c>
      <c r="AW3" s="117"/>
      <c r="AX3" s="117"/>
      <c r="AY3" s="114"/>
      <c r="BA3" s="120" t="s">
        <v>30</v>
      </c>
      <c r="BB3" s="119" t="s">
        <v>76</v>
      </c>
      <c r="BC3" s="119"/>
      <c r="BD3" s="119"/>
      <c r="BE3" s="119"/>
      <c r="BF3" s="119"/>
      <c r="BH3" s="122" t="s">
        <v>30</v>
      </c>
      <c r="BI3" s="113" t="s">
        <v>79</v>
      </c>
      <c r="BJ3" s="117"/>
      <c r="BK3" s="117"/>
      <c r="BL3" s="114"/>
      <c r="BN3" s="92" t="s">
        <v>95</v>
      </c>
      <c r="BO3" s="92"/>
      <c r="BP3" s="92"/>
      <c r="BQ3" s="92"/>
      <c r="BR3" s="92"/>
      <c r="BS3" s="86">
        <v>1</v>
      </c>
      <c r="BT3" s="87" t="s">
        <v>62</v>
      </c>
      <c r="BU3" s="87"/>
      <c r="BV3" s="86"/>
    </row>
    <row r="4" spans="1:74" ht="39.75" customHeight="1">
      <c r="A4" s="78" t="s">
        <v>30</v>
      </c>
      <c r="B4" s="78" t="s">
        <v>22</v>
      </c>
      <c r="C4" s="78" t="s">
        <v>26</v>
      </c>
      <c r="D4" s="78" t="s">
        <v>23</v>
      </c>
      <c r="E4" s="78" t="s">
        <v>27</v>
      </c>
      <c r="F4" s="78" t="s">
        <v>24</v>
      </c>
      <c r="G4" s="78" t="s">
        <v>28</v>
      </c>
      <c r="H4" s="78" t="s">
        <v>25</v>
      </c>
      <c r="I4" s="78" t="s">
        <v>29</v>
      </c>
      <c r="J4" s="78" t="s">
        <v>87</v>
      </c>
      <c r="K4" s="78" t="s">
        <v>88</v>
      </c>
      <c r="M4" s="78" t="s">
        <v>18</v>
      </c>
      <c r="N4" s="78" t="s">
        <v>16</v>
      </c>
      <c r="O4" s="78" t="s">
        <v>10</v>
      </c>
      <c r="P4" s="78" t="s">
        <v>17</v>
      </c>
      <c r="R4" s="78" t="s">
        <v>18</v>
      </c>
      <c r="S4" s="78" t="s">
        <v>16</v>
      </c>
      <c r="T4" s="78" t="s">
        <v>10</v>
      </c>
      <c r="U4" s="78" t="s">
        <v>17</v>
      </c>
      <c r="W4" s="78" t="s">
        <v>30</v>
      </c>
      <c r="X4" s="78" t="s">
        <v>34</v>
      </c>
      <c r="Y4" s="78" t="s">
        <v>16</v>
      </c>
      <c r="Z4" s="78" t="s">
        <v>10</v>
      </c>
      <c r="AA4" s="78" t="s">
        <v>17</v>
      </c>
      <c r="AC4" s="78" t="s">
        <v>30</v>
      </c>
      <c r="AD4" s="78" t="s">
        <v>34</v>
      </c>
      <c r="AE4" s="78" t="s">
        <v>16</v>
      </c>
      <c r="AF4" s="78" t="s">
        <v>10</v>
      </c>
      <c r="AG4" s="78" t="s">
        <v>17</v>
      </c>
      <c r="AI4" s="78" t="s">
        <v>30</v>
      </c>
      <c r="AJ4" s="78" t="s">
        <v>34</v>
      </c>
      <c r="AK4" s="78" t="s">
        <v>16</v>
      </c>
      <c r="AL4" s="78" t="s">
        <v>10</v>
      </c>
      <c r="AM4" s="78" t="s">
        <v>17</v>
      </c>
      <c r="AO4" s="121"/>
      <c r="AP4" s="78" t="s">
        <v>34</v>
      </c>
      <c r="AQ4" s="78" t="s">
        <v>16</v>
      </c>
      <c r="AR4" s="78" t="s">
        <v>10</v>
      </c>
      <c r="AS4" s="78" t="s">
        <v>17</v>
      </c>
      <c r="AU4" s="123"/>
      <c r="AV4" s="78" t="s">
        <v>34</v>
      </c>
      <c r="AW4" s="78" t="s">
        <v>16</v>
      </c>
      <c r="AX4" s="78" t="s">
        <v>10</v>
      </c>
      <c r="AY4" s="78" t="s">
        <v>17</v>
      </c>
      <c r="BA4" s="121"/>
      <c r="BB4" s="78" t="s">
        <v>34</v>
      </c>
      <c r="BC4" s="78" t="s">
        <v>16</v>
      </c>
      <c r="BD4" s="78" t="s">
        <v>10</v>
      </c>
      <c r="BE4" s="78" t="s">
        <v>17</v>
      </c>
      <c r="BF4" s="78" t="s">
        <v>80</v>
      </c>
      <c r="BH4" s="123"/>
      <c r="BI4" s="78" t="s">
        <v>34</v>
      </c>
      <c r="BJ4" s="78" t="s">
        <v>16</v>
      </c>
      <c r="BK4" s="78" t="s">
        <v>10</v>
      </c>
      <c r="BL4" s="78" t="s">
        <v>17</v>
      </c>
      <c r="BN4" s="78"/>
      <c r="BO4" s="78" t="s">
        <v>80</v>
      </c>
      <c r="BP4" s="78" t="s">
        <v>76</v>
      </c>
      <c r="BQ4" s="78" t="s">
        <v>38</v>
      </c>
      <c r="BR4" s="84" t="s">
        <v>81</v>
      </c>
      <c r="BS4" s="86"/>
      <c r="BT4" s="87" t="s">
        <v>63</v>
      </c>
      <c r="BU4" s="87"/>
      <c r="BV4" s="86"/>
    </row>
    <row r="5" spans="1:74">
      <c r="A5" s="78">
        <v>0</v>
      </c>
      <c r="B5" s="78">
        <v>0</v>
      </c>
      <c r="C5" s="78">
        <v>0</v>
      </c>
      <c r="D5" s="78">
        <v>0</v>
      </c>
      <c r="E5" s="78">
        <v>0</v>
      </c>
      <c r="F5" s="78">
        <v>0</v>
      </c>
      <c r="G5" s="78">
        <v>0</v>
      </c>
      <c r="H5" s="78">
        <v>0</v>
      </c>
      <c r="I5" s="78">
        <v>0</v>
      </c>
      <c r="J5" s="78">
        <v>0</v>
      </c>
      <c r="K5" s="78">
        <v>0</v>
      </c>
      <c r="M5" s="78">
        <v>0</v>
      </c>
      <c r="N5" s="78">
        <v>0</v>
      </c>
      <c r="O5" s="78">
        <v>0</v>
      </c>
      <c r="P5" s="78">
        <v>0</v>
      </c>
      <c r="R5" s="78">
        <v>0</v>
      </c>
      <c r="S5" s="78">
        <v>0</v>
      </c>
      <c r="T5" s="78">
        <v>0</v>
      </c>
      <c r="U5" s="78">
        <v>0</v>
      </c>
      <c r="W5" s="78">
        <v>0</v>
      </c>
      <c r="X5" s="70">
        <v>0</v>
      </c>
      <c r="Y5" s="70">
        <v>0</v>
      </c>
      <c r="Z5" s="70">
        <v>0</v>
      </c>
      <c r="AA5" s="70">
        <v>0</v>
      </c>
      <c r="AC5" s="78">
        <v>0</v>
      </c>
      <c r="AD5" s="93">
        <f>X5</f>
        <v>0</v>
      </c>
      <c r="AE5" s="93">
        <f>Y5</f>
        <v>0</v>
      </c>
      <c r="AF5" s="93">
        <f>Z5</f>
        <v>0</v>
      </c>
      <c r="AG5" s="93">
        <f>AA5</f>
        <v>0</v>
      </c>
      <c r="AI5" s="78">
        <v>0</v>
      </c>
      <c r="AJ5" s="71">
        <v>0</v>
      </c>
      <c r="AK5" s="71">
        <v>0</v>
      </c>
      <c r="AL5" s="71">
        <v>0</v>
      </c>
      <c r="AM5" s="71">
        <v>0</v>
      </c>
      <c r="AO5" s="78">
        <v>0</v>
      </c>
      <c r="AP5" s="70">
        <f t="shared" ref="AP5:AS11" si="0">(1)*(X5/1000)/(0.0821)*(273+30)</f>
        <v>0</v>
      </c>
      <c r="AQ5" s="70">
        <f t="shared" si="0"/>
        <v>0</v>
      </c>
      <c r="AR5" s="70">
        <f t="shared" si="0"/>
        <v>0</v>
      </c>
      <c r="AS5" s="70">
        <f t="shared" si="0"/>
        <v>0</v>
      </c>
      <c r="AU5" s="78">
        <v>0</v>
      </c>
      <c r="AV5" s="70">
        <f>AP5*22.4/1</f>
        <v>0</v>
      </c>
      <c r="AW5" s="70">
        <f t="shared" ref="AW5:AY11" si="1">AQ5*22.4/1</f>
        <v>0</v>
      </c>
      <c r="AX5" s="70">
        <f t="shared" si="1"/>
        <v>0</v>
      </c>
      <c r="AY5" s="70">
        <f t="shared" si="1"/>
        <v>0</v>
      </c>
      <c r="BA5" s="78">
        <v>0</v>
      </c>
      <c r="BB5" s="70">
        <f t="shared" ref="BB5:BE11" si="2">AV5*1/350</f>
        <v>0</v>
      </c>
      <c r="BC5" s="70">
        <f t="shared" si="2"/>
        <v>0</v>
      </c>
      <c r="BD5" s="70">
        <f t="shared" si="2"/>
        <v>0</v>
      </c>
      <c r="BE5" s="70">
        <f t="shared" si="2"/>
        <v>0</v>
      </c>
      <c r="BF5" s="78">
        <f>49*37/1000</f>
        <v>1.8129999999999999</v>
      </c>
      <c r="BH5" s="78">
        <v>0</v>
      </c>
      <c r="BI5" s="70">
        <f>BB5/$BF$5</f>
        <v>0</v>
      </c>
      <c r="BJ5" s="70">
        <f>BC5/$BF$5</f>
        <v>0</v>
      </c>
      <c r="BK5" s="70">
        <f>BD5/$BF$5</f>
        <v>0</v>
      </c>
      <c r="BL5" s="70">
        <f>BE5/$BF$5</f>
        <v>0</v>
      </c>
      <c r="BN5" s="78" t="s">
        <v>34</v>
      </c>
      <c r="BO5" s="78">
        <f>BF5</f>
        <v>1.8129999999999999</v>
      </c>
      <c r="BP5" s="70">
        <f>BB11</f>
        <v>0.87143538124238695</v>
      </c>
      <c r="BQ5" s="70">
        <f>AV11</f>
        <v>305.00238343483545</v>
      </c>
      <c r="BR5" s="70">
        <f>BP5/BO5</f>
        <v>0.48065933879888967</v>
      </c>
      <c r="BS5" s="86">
        <v>0.34442415925582809</v>
      </c>
      <c r="BT5" s="87" t="s">
        <v>64</v>
      </c>
      <c r="BU5" s="87"/>
      <c r="BV5" s="86"/>
    </row>
    <row r="6" spans="1:74">
      <c r="A6" s="78">
        <v>24</v>
      </c>
      <c r="B6" s="78">
        <v>12</v>
      </c>
      <c r="C6" s="78">
        <v>12</v>
      </c>
      <c r="D6" s="78">
        <v>10</v>
      </c>
      <c r="E6" s="78">
        <v>10</v>
      </c>
      <c r="F6" s="78">
        <v>18</v>
      </c>
      <c r="G6" s="78">
        <v>16</v>
      </c>
      <c r="H6" s="78">
        <v>10</v>
      </c>
      <c r="I6" s="78">
        <v>8</v>
      </c>
      <c r="J6" s="78">
        <v>4</v>
      </c>
      <c r="K6" s="78">
        <v>4</v>
      </c>
      <c r="M6" s="78">
        <v>5.63</v>
      </c>
      <c r="N6" s="78">
        <v>7.25</v>
      </c>
      <c r="O6" s="78">
        <v>8.64</v>
      </c>
      <c r="P6" s="78">
        <v>3.23</v>
      </c>
      <c r="R6" s="78">
        <f>((B6+C6)/2)-($J$6+$K$6)/2</f>
        <v>8</v>
      </c>
      <c r="S6" s="78">
        <f>((D6+E6)/2)-($J$6+$K$6)/2</f>
        <v>6</v>
      </c>
      <c r="T6" s="78">
        <f>((F6+G6)/2)-($J$6+$K$6)/2</f>
        <v>13</v>
      </c>
      <c r="U6" s="78">
        <f>((H6+I6)/2)-($J$6+$K$6)/2</f>
        <v>5</v>
      </c>
      <c r="W6" s="78">
        <v>24</v>
      </c>
      <c r="X6" s="70">
        <f t="shared" ref="X6:AA11" si="3">(M6/100)*R6</f>
        <v>0.45039999999999997</v>
      </c>
      <c r="Y6" s="70">
        <f t="shared" si="3"/>
        <v>0.43499999999999994</v>
      </c>
      <c r="Z6" s="70">
        <f t="shared" si="3"/>
        <v>1.1232</v>
      </c>
      <c r="AA6" s="70">
        <f t="shared" si="3"/>
        <v>0.1615</v>
      </c>
      <c r="AC6" s="78">
        <v>24</v>
      </c>
      <c r="AD6" s="93">
        <f>AD5+X6</f>
        <v>0.45039999999999997</v>
      </c>
      <c r="AE6" s="93">
        <f>AE5+Y6</f>
        <v>0.43499999999999994</v>
      </c>
      <c r="AF6" s="93">
        <f>AF5+Z6</f>
        <v>1.1232</v>
      </c>
      <c r="AG6" s="93">
        <f>AG5+AA6</f>
        <v>0.1615</v>
      </c>
      <c r="AI6" s="78">
        <v>24</v>
      </c>
      <c r="AJ6" s="71">
        <f t="shared" ref="AJ6:AJ11" si="4">AD6/0.2</f>
        <v>2.2519999999999998</v>
      </c>
      <c r="AK6" s="71">
        <f t="shared" ref="AK6:AM11" si="5">AE6/0.2</f>
        <v>2.1749999999999994</v>
      </c>
      <c r="AL6" s="71">
        <f t="shared" si="5"/>
        <v>5.6159999999999997</v>
      </c>
      <c r="AM6" s="71">
        <f t="shared" si="5"/>
        <v>0.8075</v>
      </c>
      <c r="AO6" s="78">
        <v>24</v>
      </c>
      <c r="AP6" s="70">
        <f t="shared" si="0"/>
        <v>1.6622557856272833</v>
      </c>
      <c r="AQ6" s="70">
        <f t="shared" si="0"/>
        <v>1.6054202192448233</v>
      </c>
      <c r="AR6" s="70">
        <f t="shared" si="0"/>
        <v>4.1453057247259437</v>
      </c>
      <c r="AS6" s="70">
        <f t="shared" si="0"/>
        <v>0.59603532277710103</v>
      </c>
      <c r="AU6" s="78">
        <v>24</v>
      </c>
      <c r="AV6" s="70">
        <f t="shared" ref="AV6:AV11" si="6">AP6*22.4/1</f>
        <v>37.234529598051139</v>
      </c>
      <c r="AW6" s="70">
        <f t="shared" si="1"/>
        <v>35.961412911084039</v>
      </c>
      <c r="AX6" s="70">
        <f t="shared" si="1"/>
        <v>92.854848233861134</v>
      </c>
      <c r="AY6" s="70">
        <f t="shared" si="1"/>
        <v>13.351191230207062</v>
      </c>
      <c r="BA6" s="78">
        <v>24</v>
      </c>
      <c r="BB6" s="70">
        <f t="shared" si="2"/>
        <v>0.10638437028014611</v>
      </c>
      <c r="BC6" s="70">
        <f t="shared" si="2"/>
        <v>0.10274689403166869</v>
      </c>
      <c r="BD6" s="70">
        <f t="shared" si="2"/>
        <v>0.26529956638246038</v>
      </c>
      <c r="BE6" s="70">
        <f t="shared" si="2"/>
        <v>3.8146260657734465E-2</v>
      </c>
      <c r="BF6" s="78">
        <f>49*37/1000</f>
        <v>1.8129999999999999</v>
      </c>
      <c r="BH6" s="78">
        <v>24</v>
      </c>
      <c r="BI6" s="70">
        <f>BB6/$BF$6</f>
        <v>5.867863777172979E-2</v>
      </c>
      <c r="BJ6" s="70">
        <f>BC6/$BF$6</f>
        <v>5.6672307794632483E-2</v>
      </c>
      <c r="BK6" s="70">
        <f>BD6/$BF$6</f>
        <v>0.14633180716076138</v>
      </c>
      <c r="BL6" s="70">
        <f>BE6/$BF$6</f>
        <v>2.1040408526053208E-2</v>
      </c>
      <c r="BN6" s="78" t="s">
        <v>16</v>
      </c>
      <c r="BO6" s="78">
        <f>BF6</f>
        <v>1.8129999999999999</v>
      </c>
      <c r="BP6" s="70">
        <f>BC11</f>
        <v>0.20332075030450669</v>
      </c>
      <c r="BQ6" s="70">
        <f>AW11</f>
        <v>71.162262606577343</v>
      </c>
      <c r="BR6" s="70">
        <f>BP6/BO6</f>
        <v>0.11214602884970033</v>
      </c>
      <c r="BS6" s="86">
        <v>0.40081035332182707</v>
      </c>
      <c r="BT6" s="87" t="s">
        <v>65</v>
      </c>
      <c r="BU6" s="87"/>
      <c r="BV6" s="86"/>
    </row>
    <row r="7" spans="1:74">
      <c r="A7" s="78">
        <v>48</v>
      </c>
      <c r="B7" s="78">
        <v>20</v>
      </c>
      <c r="C7" s="78">
        <v>20</v>
      </c>
      <c r="D7" s="78">
        <v>18</v>
      </c>
      <c r="E7" s="78">
        <v>18</v>
      </c>
      <c r="F7" s="78">
        <v>20</v>
      </c>
      <c r="G7" s="78">
        <v>22</v>
      </c>
      <c r="H7" s="78">
        <v>20</v>
      </c>
      <c r="I7" s="78">
        <v>18</v>
      </c>
      <c r="J7" s="78">
        <v>10</v>
      </c>
      <c r="K7" s="78">
        <v>8</v>
      </c>
      <c r="M7" s="78">
        <v>13.45</v>
      </c>
      <c r="N7" s="78">
        <v>15.07</v>
      </c>
      <c r="O7" s="78">
        <v>15.76</v>
      </c>
      <c r="P7" s="78">
        <v>12.63</v>
      </c>
      <c r="R7" s="78">
        <f>((B7+C7)/2)-($J$7+$K$7)/2</f>
        <v>11</v>
      </c>
      <c r="S7" s="78">
        <f>((D7+E7)/2)-($J$7+$K$7)/2</f>
        <v>9</v>
      </c>
      <c r="T7" s="78">
        <f>((F7+G7)/2)-($J$7+$K$7)/2</f>
        <v>12</v>
      </c>
      <c r="U7" s="78">
        <f>((H7+I7)/2)-($J$7+$K$7)/2</f>
        <v>10</v>
      </c>
      <c r="W7" s="78">
        <v>48</v>
      </c>
      <c r="X7" s="70">
        <f t="shared" si="3"/>
        <v>1.4794999999999998</v>
      </c>
      <c r="Y7" s="70">
        <f t="shared" si="3"/>
        <v>1.3563000000000001</v>
      </c>
      <c r="Z7" s="70">
        <f t="shared" si="3"/>
        <v>1.8912</v>
      </c>
      <c r="AA7" s="70">
        <f t="shared" si="3"/>
        <v>1.2629999999999999</v>
      </c>
      <c r="AC7" s="78">
        <v>48</v>
      </c>
      <c r="AD7" s="93">
        <f t="shared" ref="AD7:AG11" si="7">AD6+X7</f>
        <v>1.9298999999999997</v>
      </c>
      <c r="AE7" s="93">
        <f t="shared" si="7"/>
        <v>1.7913000000000001</v>
      </c>
      <c r="AF7" s="93">
        <f t="shared" si="7"/>
        <v>3.0144000000000002</v>
      </c>
      <c r="AG7" s="93">
        <f t="shared" si="7"/>
        <v>1.4244999999999999</v>
      </c>
      <c r="AI7" s="78">
        <v>48</v>
      </c>
      <c r="AJ7" s="71">
        <f t="shared" si="4"/>
        <v>9.649499999999998</v>
      </c>
      <c r="AK7" s="71">
        <f t="shared" si="5"/>
        <v>8.9565000000000001</v>
      </c>
      <c r="AL7" s="71">
        <f t="shared" si="5"/>
        <v>15.072000000000001</v>
      </c>
      <c r="AM7" s="71">
        <f t="shared" si="5"/>
        <v>7.1224999999999987</v>
      </c>
      <c r="AO7" s="78">
        <v>48</v>
      </c>
      <c r="AP7" s="70">
        <f t="shared" si="0"/>
        <v>5.4602740560292311</v>
      </c>
      <c r="AQ7" s="70">
        <f t="shared" si="0"/>
        <v>5.0055895249695483</v>
      </c>
      <c r="AR7" s="70">
        <f t="shared" si="0"/>
        <v>6.9797028014616318</v>
      </c>
      <c r="AS7" s="70">
        <f t="shared" si="0"/>
        <v>4.6612545676004862</v>
      </c>
      <c r="AU7" s="78">
        <v>48</v>
      </c>
      <c r="AV7" s="70">
        <f t="shared" si="6"/>
        <v>122.31013885505477</v>
      </c>
      <c r="AW7" s="70">
        <f t="shared" si="1"/>
        <v>112.12520535931787</v>
      </c>
      <c r="AX7" s="70">
        <f t="shared" si="1"/>
        <v>156.34534275274055</v>
      </c>
      <c r="AY7" s="70">
        <f t="shared" si="1"/>
        <v>104.41210231425089</v>
      </c>
      <c r="BA7" s="78">
        <v>48</v>
      </c>
      <c r="BB7" s="70">
        <f t="shared" si="2"/>
        <v>0.34945753958587078</v>
      </c>
      <c r="BC7" s="70">
        <f t="shared" si="2"/>
        <v>0.32035772959805109</v>
      </c>
      <c r="BD7" s="70">
        <f t="shared" si="2"/>
        <v>0.44670097929354441</v>
      </c>
      <c r="BE7" s="70">
        <f t="shared" si="2"/>
        <v>0.29832029232643109</v>
      </c>
      <c r="BF7" s="78">
        <f t="shared" ref="BF7:BF11" si="8">49*37/1000</f>
        <v>1.8129999999999999</v>
      </c>
      <c r="BH7" s="78">
        <v>48</v>
      </c>
      <c r="BI7" s="70">
        <f>BB7/$BF$7</f>
        <v>0.19275098708542238</v>
      </c>
      <c r="BJ7" s="70">
        <f>BC7/$BF$7</f>
        <v>0.17670034726864373</v>
      </c>
      <c r="BK7" s="70">
        <f>BD7/$BF$7</f>
        <v>0.2463877436809401</v>
      </c>
      <c r="BL7" s="70">
        <f>BE7/$BF$7</f>
        <v>0.16454511435545013</v>
      </c>
      <c r="BN7" s="78" t="s">
        <v>10</v>
      </c>
      <c r="BO7" s="78">
        <f>BF7</f>
        <v>1.8129999999999999</v>
      </c>
      <c r="BP7" s="70">
        <f>BD11</f>
        <v>0.19132180267965895</v>
      </c>
      <c r="BQ7" s="70">
        <f>AX11</f>
        <v>66.962630937880633</v>
      </c>
      <c r="BR7" s="70">
        <f>BP7/BO7</f>
        <v>0.10552774554862601</v>
      </c>
      <c r="BS7" s="86">
        <v>0.20778014926706764</v>
      </c>
      <c r="BT7" s="87" t="s">
        <v>66</v>
      </c>
      <c r="BU7" s="87"/>
      <c r="BV7" s="86"/>
    </row>
    <row r="8" spans="1:74">
      <c r="A8" s="78">
        <v>72</v>
      </c>
      <c r="B8" s="78">
        <v>20</v>
      </c>
      <c r="C8" s="78">
        <v>20</v>
      </c>
      <c r="D8" s="78">
        <v>18</v>
      </c>
      <c r="E8" s="78">
        <v>18</v>
      </c>
      <c r="F8" s="78">
        <v>18</v>
      </c>
      <c r="G8" s="78">
        <v>16</v>
      </c>
      <c r="H8" s="78">
        <v>18</v>
      </c>
      <c r="I8" s="78">
        <v>18</v>
      </c>
      <c r="J8" s="78">
        <v>10</v>
      </c>
      <c r="K8" s="78">
        <v>8</v>
      </c>
      <c r="M8" s="78">
        <v>21.06</v>
      </c>
      <c r="N8" s="78">
        <v>23.68</v>
      </c>
      <c r="O8" s="78">
        <v>22.57</v>
      </c>
      <c r="P8" s="78">
        <v>17.47</v>
      </c>
      <c r="R8" s="78">
        <f>((B8+C8)/2)-($J$8+$K$8)/2</f>
        <v>11</v>
      </c>
      <c r="S8" s="78">
        <f>((D8+E8)/2)-($J$8+$K$8)/2</f>
        <v>9</v>
      </c>
      <c r="T8" s="78">
        <f>((F8+G8)/2)-($J$8+$K$8)/2</f>
        <v>8</v>
      </c>
      <c r="U8" s="78">
        <f>((H8+I8)/2)-($J$8+$K$8)/2</f>
        <v>9</v>
      </c>
      <c r="W8" s="78">
        <v>72</v>
      </c>
      <c r="X8" s="70">
        <f t="shared" si="3"/>
        <v>2.3165999999999998</v>
      </c>
      <c r="Y8" s="70">
        <f t="shared" si="3"/>
        <v>2.1312000000000002</v>
      </c>
      <c r="Z8" s="70">
        <f t="shared" si="3"/>
        <v>1.8056000000000001</v>
      </c>
      <c r="AA8" s="70">
        <f t="shared" si="3"/>
        <v>1.5723</v>
      </c>
      <c r="AC8" s="78">
        <v>72</v>
      </c>
      <c r="AD8" s="93">
        <f t="shared" si="7"/>
        <v>4.2464999999999993</v>
      </c>
      <c r="AE8" s="93">
        <f t="shared" si="7"/>
        <v>3.9225000000000003</v>
      </c>
      <c r="AF8" s="93">
        <f t="shared" si="7"/>
        <v>4.82</v>
      </c>
      <c r="AG8" s="93">
        <f t="shared" si="7"/>
        <v>2.9967999999999999</v>
      </c>
      <c r="AI8" s="78">
        <v>72</v>
      </c>
      <c r="AJ8" s="71">
        <f t="shared" si="4"/>
        <v>21.232499999999995</v>
      </c>
      <c r="AK8" s="71">
        <f t="shared" si="5"/>
        <v>19.612500000000001</v>
      </c>
      <c r="AL8" s="71">
        <f t="shared" si="5"/>
        <v>24.1</v>
      </c>
      <c r="AM8" s="71">
        <f t="shared" si="5"/>
        <v>14.983999999999998</v>
      </c>
      <c r="AO8" s="78">
        <v>72</v>
      </c>
      <c r="AP8" s="70">
        <f t="shared" si="0"/>
        <v>8.5496930572472571</v>
      </c>
      <c r="AQ8" s="70">
        <f t="shared" si="0"/>
        <v>7.8654518879415347</v>
      </c>
      <c r="AR8" s="70">
        <f t="shared" si="0"/>
        <v>6.6637856272837999</v>
      </c>
      <c r="AS8" s="70">
        <f t="shared" si="0"/>
        <v>5.8027637028014611</v>
      </c>
      <c r="AU8" s="78">
        <v>72</v>
      </c>
      <c r="AV8" s="70">
        <f t="shared" si="6"/>
        <v>191.51312448233855</v>
      </c>
      <c r="AW8" s="70">
        <f t="shared" si="1"/>
        <v>176.18612228989036</v>
      </c>
      <c r="AX8" s="70">
        <f t="shared" si="1"/>
        <v>149.26879805115712</v>
      </c>
      <c r="AY8" s="70">
        <f t="shared" si="1"/>
        <v>129.98190694275272</v>
      </c>
      <c r="BA8" s="78">
        <v>72</v>
      </c>
      <c r="BB8" s="70">
        <f t="shared" si="2"/>
        <v>0.54718035566382439</v>
      </c>
      <c r="BC8" s="70">
        <f t="shared" si="2"/>
        <v>0.50338892082825815</v>
      </c>
      <c r="BD8" s="70">
        <f t="shared" si="2"/>
        <v>0.42648228014616318</v>
      </c>
      <c r="BE8" s="70">
        <f t="shared" si="2"/>
        <v>0.37137687697929345</v>
      </c>
      <c r="BF8" s="78">
        <f t="shared" si="8"/>
        <v>1.8129999999999999</v>
      </c>
      <c r="BH8" s="78">
        <v>72</v>
      </c>
      <c r="BI8" s="70">
        <f>BB8/$BF$8</f>
        <v>0.3018093522690703</v>
      </c>
      <c r="BJ8" s="70">
        <f>BC8/$BF$8</f>
        <v>0.27765522384349595</v>
      </c>
      <c r="BK8" s="70">
        <f>BD8/$BF$8</f>
        <v>0.2352356757562952</v>
      </c>
      <c r="BL8" s="70">
        <f>BE8/$BF$8</f>
        <v>0.20484107941494401</v>
      </c>
      <c r="BN8" s="78" t="s">
        <v>17</v>
      </c>
      <c r="BO8" s="78">
        <f>BF8</f>
        <v>1.8129999999999999</v>
      </c>
      <c r="BP8" s="70">
        <f>BE11</f>
        <v>0.22051609257003654</v>
      </c>
      <c r="BQ8" s="70">
        <f>AY11</f>
        <v>77.180632399512788</v>
      </c>
      <c r="BR8" s="70">
        <f>BP8/BO8</f>
        <v>0.12163049783234228</v>
      </c>
      <c r="BS8" s="86">
        <v>6.510677570906559E-2</v>
      </c>
      <c r="BT8" s="87" t="s">
        <v>67</v>
      </c>
      <c r="BU8" s="87"/>
      <c r="BV8" s="86"/>
    </row>
    <row r="9" spans="1:74">
      <c r="A9" s="78">
        <v>96</v>
      </c>
      <c r="B9" s="78">
        <v>12</v>
      </c>
      <c r="C9" s="78">
        <v>12</v>
      </c>
      <c r="D9" s="78">
        <v>14</v>
      </c>
      <c r="E9" s="78">
        <v>14</v>
      </c>
      <c r="F9" s="78">
        <v>14</v>
      </c>
      <c r="G9" s="78">
        <v>12</v>
      </c>
      <c r="H9" s="78">
        <v>14</v>
      </c>
      <c r="I9" s="78">
        <v>14</v>
      </c>
      <c r="J9" s="78">
        <v>10</v>
      </c>
      <c r="K9" s="78">
        <v>10</v>
      </c>
      <c r="M9" s="78">
        <v>25.22</v>
      </c>
      <c r="N9" s="78">
        <v>38.82</v>
      </c>
      <c r="O9" s="78">
        <v>34.950000000000003</v>
      </c>
      <c r="P9" s="78">
        <v>29.56</v>
      </c>
      <c r="R9" s="78">
        <f>((B9+C9)/2)-($J$9+$K$9)/2</f>
        <v>2</v>
      </c>
      <c r="S9" s="78">
        <f>((D9+E9)/2)-($J$9+$K$9)/2</f>
        <v>4</v>
      </c>
      <c r="T9" s="78">
        <f>((F9+G9)/2)-($J$9+$K$9)/2</f>
        <v>3</v>
      </c>
      <c r="U9" s="78">
        <f>((H9+I9)/2)-($J$9+$K$9)/2</f>
        <v>4</v>
      </c>
      <c r="W9" s="78">
        <v>96</v>
      </c>
      <c r="X9" s="70">
        <f t="shared" si="3"/>
        <v>0.50439999999999996</v>
      </c>
      <c r="Y9" s="70">
        <f t="shared" si="3"/>
        <v>1.5528</v>
      </c>
      <c r="Z9" s="70">
        <f t="shared" si="3"/>
        <v>1.0485000000000002</v>
      </c>
      <c r="AA9" s="70">
        <f t="shared" si="3"/>
        <v>1.1823999999999999</v>
      </c>
      <c r="AC9" s="78">
        <v>96</v>
      </c>
      <c r="AD9" s="93">
        <f t="shared" si="7"/>
        <v>4.7508999999999997</v>
      </c>
      <c r="AE9" s="93">
        <f t="shared" si="7"/>
        <v>5.4753000000000007</v>
      </c>
      <c r="AF9" s="93">
        <f t="shared" si="7"/>
        <v>5.8685000000000009</v>
      </c>
      <c r="AG9" s="93">
        <f t="shared" si="7"/>
        <v>4.1791999999999998</v>
      </c>
      <c r="AI9" s="78">
        <v>96</v>
      </c>
      <c r="AJ9" s="71">
        <f t="shared" si="4"/>
        <v>23.754499999999997</v>
      </c>
      <c r="AK9" s="71">
        <f t="shared" si="5"/>
        <v>27.376500000000004</v>
      </c>
      <c r="AL9" s="71">
        <f t="shared" si="5"/>
        <v>29.342500000000005</v>
      </c>
      <c r="AM9" s="71">
        <f t="shared" si="5"/>
        <v>20.895999999999997</v>
      </c>
      <c r="AO9" s="78">
        <v>96</v>
      </c>
      <c r="AP9" s="70">
        <f t="shared" si="0"/>
        <v>1.8615493300852617</v>
      </c>
      <c r="AQ9" s="70">
        <f t="shared" si="0"/>
        <v>5.7307965895249691</v>
      </c>
      <c r="AR9" s="70">
        <f t="shared" si="0"/>
        <v>3.8696163215590746</v>
      </c>
      <c r="AS9" s="70">
        <f t="shared" si="0"/>
        <v>4.3637904993909862</v>
      </c>
      <c r="AU9" s="78">
        <v>96</v>
      </c>
      <c r="AV9" s="70">
        <f t="shared" si="6"/>
        <v>41.698704993909857</v>
      </c>
      <c r="AW9" s="70">
        <f t="shared" si="1"/>
        <v>128.36984360535931</v>
      </c>
      <c r="AX9" s="70">
        <f t="shared" si="1"/>
        <v>86.679405602923268</v>
      </c>
      <c r="AY9" s="70">
        <f t="shared" si="1"/>
        <v>97.748907186358082</v>
      </c>
      <c r="BA9" s="78">
        <v>96</v>
      </c>
      <c r="BB9" s="70">
        <f t="shared" si="2"/>
        <v>0.11913915712545674</v>
      </c>
      <c r="BC9" s="70">
        <f t="shared" si="2"/>
        <v>0.36677098172959804</v>
      </c>
      <c r="BD9" s="70">
        <f t="shared" si="2"/>
        <v>0.24765544457978075</v>
      </c>
      <c r="BE9" s="70">
        <f t="shared" si="2"/>
        <v>0.27928259196102306</v>
      </c>
      <c r="BF9" s="78">
        <f t="shared" si="8"/>
        <v>1.8129999999999999</v>
      </c>
      <c r="BH9" s="78">
        <v>96</v>
      </c>
      <c r="BI9" s="70">
        <f>BB9/$BF$9</f>
        <v>6.5713820808304874E-2</v>
      </c>
      <c r="BJ9" s="70">
        <f>BC9/$BF$9</f>
        <v>0.20230059665173639</v>
      </c>
      <c r="BK9" s="70">
        <f>BD9/$BF$9</f>
        <v>0.13659980396016588</v>
      </c>
      <c r="BL9" s="70">
        <f>BE9/$BF$9</f>
        <v>0.15404445226752514</v>
      </c>
      <c r="BS9" s="86"/>
      <c r="BT9" s="86"/>
      <c r="BU9" s="86"/>
      <c r="BV9" s="86"/>
    </row>
    <row r="10" spans="1:74">
      <c r="A10" s="78">
        <v>120</v>
      </c>
      <c r="B10" s="78">
        <v>14</v>
      </c>
      <c r="C10" s="78">
        <v>14</v>
      </c>
      <c r="D10" s="78">
        <v>15</v>
      </c>
      <c r="E10" s="78">
        <v>15</v>
      </c>
      <c r="F10" s="78">
        <v>14</v>
      </c>
      <c r="G10" s="78">
        <v>14</v>
      </c>
      <c r="H10" s="78">
        <v>16</v>
      </c>
      <c r="I10" s="78">
        <v>14</v>
      </c>
      <c r="J10" s="78">
        <v>10</v>
      </c>
      <c r="K10" s="78">
        <v>8</v>
      </c>
      <c r="M10" s="78">
        <v>35.229999999999997</v>
      </c>
      <c r="N10" s="78">
        <v>46.849999999999994</v>
      </c>
      <c r="O10" s="78">
        <v>44.54</v>
      </c>
      <c r="P10" s="78">
        <v>30.87</v>
      </c>
      <c r="R10" s="78">
        <f>((B10+C10)/2)-($J$10+$K$9)/2</f>
        <v>4</v>
      </c>
      <c r="S10" s="78">
        <f>((D10+E10)/2)-($J$10+$K$10)/2</f>
        <v>6</v>
      </c>
      <c r="T10" s="78">
        <f>((F10+G10)/2)-($J$10+$K$10)/2</f>
        <v>5</v>
      </c>
      <c r="U10" s="78">
        <f>((H10+I10)/2)-($J$10+$K$10)/2</f>
        <v>6</v>
      </c>
      <c r="W10" s="78">
        <v>120</v>
      </c>
      <c r="X10" s="70">
        <f t="shared" si="3"/>
        <v>1.4091999999999998</v>
      </c>
      <c r="Y10" s="70">
        <f t="shared" si="3"/>
        <v>2.8109999999999995</v>
      </c>
      <c r="Z10" s="70">
        <f t="shared" si="3"/>
        <v>2.2270000000000003</v>
      </c>
      <c r="AA10" s="70">
        <f t="shared" si="3"/>
        <v>1.8522000000000003</v>
      </c>
      <c r="AC10" s="78">
        <v>120</v>
      </c>
      <c r="AD10" s="93">
        <f t="shared" si="7"/>
        <v>6.1600999999999999</v>
      </c>
      <c r="AE10" s="93">
        <f t="shared" si="7"/>
        <v>8.2863000000000007</v>
      </c>
      <c r="AF10" s="93">
        <f t="shared" si="7"/>
        <v>8.0955000000000013</v>
      </c>
      <c r="AG10" s="93">
        <f t="shared" si="7"/>
        <v>6.0313999999999997</v>
      </c>
      <c r="AI10" s="78">
        <v>120</v>
      </c>
      <c r="AJ10" s="71">
        <f t="shared" si="4"/>
        <v>30.8005</v>
      </c>
      <c r="AK10" s="71">
        <f t="shared" si="5"/>
        <v>41.4315</v>
      </c>
      <c r="AL10" s="71">
        <f t="shared" si="5"/>
        <v>40.477500000000006</v>
      </c>
      <c r="AM10" s="71">
        <f t="shared" si="5"/>
        <v>30.156999999999996</v>
      </c>
      <c r="AO10" s="78">
        <v>120</v>
      </c>
      <c r="AP10" s="70">
        <f t="shared" si="0"/>
        <v>5.200823386114493</v>
      </c>
      <c r="AQ10" s="70">
        <f t="shared" si="0"/>
        <v>10.374336175395856</v>
      </c>
      <c r="AR10" s="70">
        <f t="shared" si="0"/>
        <v>8.2190133982947629</v>
      </c>
      <c r="AS10" s="70">
        <f t="shared" si="0"/>
        <v>6.8357685749086485</v>
      </c>
      <c r="AU10" s="78">
        <v>120</v>
      </c>
      <c r="AV10" s="70">
        <f t="shared" si="6"/>
        <v>116.49844384896464</v>
      </c>
      <c r="AW10" s="70">
        <f t="shared" si="1"/>
        <v>232.38513032886715</v>
      </c>
      <c r="AX10" s="70">
        <f t="shared" si="1"/>
        <v>184.10590012180268</v>
      </c>
      <c r="AY10" s="70">
        <f t="shared" si="1"/>
        <v>153.1212160779537</v>
      </c>
      <c r="BA10" s="78">
        <v>120</v>
      </c>
      <c r="BB10" s="70">
        <f t="shared" si="2"/>
        <v>0.33285269671132756</v>
      </c>
      <c r="BC10" s="70">
        <f t="shared" si="2"/>
        <v>0.66395751522533475</v>
      </c>
      <c r="BD10" s="70">
        <f t="shared" si="2"/>
        <v>0.5260168574908648</v>
      </c>
      <c r="BE10" s="70">
        <f t="shared" si="2"/>
        <v>0.43748918879415344</v>
      </c>
      <c r="BF10" s="78">
        <f t="shared" si="8"/>
        <v>1.8129999999999999</v>
      </c>
      <c r="BH10" s="78">
        <v>120</v>
      </c>
      <c r="BI10" s="70">
        <f>BB10/$BF$10</f>
        <v>0.18359222102114042</v>
      </c>
      <c r="BJ10" s="70">
        <f>BC10/$BF$10</f>
        <v>0.36622036140393532</v>
      </c>
      <c r="BK10" s="70">
        <f>BD10/$BF$10</f>
        <v>0.29013615967504952</v>
      </c>
      <c r="BL10" s="70">
        <f>BE10/$BF$10</f>
        <v>0.24130677815452478</v>
      </c>
      <c r="BS10" s="86">
        <v>2</v>
      </c>
      <c r="BT10" s="88" t="s">
        <v>68</v>
      </c>
      <c r="BU10" s="88"/>
      <c r="BV10" s="86"/>
    </row>
    <row r="11" spans="1:74">
      <c r="A11" s="78">
        <v>144</v>
      </c>
      <c r="B11" s="78">
        <v>20</v>
      </c>
      <c r="C11" s="78">
        <v>20</v>
      </c>
      <c r="D11" s="78">
        <v>12</v>
      </c>
      <c r="E11" s="78">
        <v>10</v>
      </c>
      <c r="F11" s="78">
        <v>10</v>
      </c>
      <c r="G11" s="78">
        <v>12</v>
      </c>
      <c r="H11" s="78">
        <v>10</v>
      </c>
      <c r="I11" s="78">
        <v>14</v>
      </c>
      <c r="J11" s="78">
        <v>10</v>
      </c>
      <c r="K11" s="78">
        <v>8</v>
      </c>
      <c r="M11" s="78">
        <v>33.54</v>
      </c>
      <c r="N11" s="78">
        <v>43.04</v>
      </c>
      <c r="O11" s="78">
        <v>40.5</v>
      </c>
      <c r="P11" s="78">
        <v>31.12</v>
      </c>
      <c r="R11" s="78">
        <f>((B11+C11)/2)-($J$11+$K$11)/2</f>
        <v>11</v>
      </c>
      <c r="S11" s="78">
        <f>((D11+E11)/2)-($J$11+$K$11)/2</f>
        <v>2</v>
      </c>
      <c r="T11" s="78">
        <f>((F11+G11)/2)-($J$11+$K$11)/2</f>
        <v>2</v>
      </c>
      <c r="U11" s="78">
        <f>((H11+I11)/2)-($J$11+$K$11)/2</f>
        <v>3</v>
      </c>
      <c r="W11" s="78">
        <v>144</v>
      </c>
      <c r="X11" s="70">
        <f t="shared" si="3"/>
        <v>3.6893999999999996</v>
      </c>
      <c r="Y11" s="70">
        <f t="shared" si="3"/>
        <v>0.86080000000000001</v>
      </c>
      <c r="Z11" s="70">
        <f t="shared" si="3"/>
        <v>0.81</v>
      </c>
      <c r="AA11" s="70">
        <f t="shared" si="3"/>
        <v>0.9336000000000001</v>
      </c>
      <c r="AC11" s="78">
        <v>144</v>
      </c>
      <c r="AD11" s="93">
        <f t="shared" si="7"/>
        <v>9.849499999999999</v>
      </c>
      <c r="AE11" s="93">
        <f t="shared" si="7"/>
        <v>9.1471</v>
      </c>
      <c r="AF11" s="93">
        <f t="shared" si="7"/>
        <v>8.9055000000000017</v>
      </c>
      <c r="AG11" s="93">
        <f t="shared" si="7"/>
        <v>6.9649999999999999</v>
      </c>
      <c r="AI11" s="78">
        <v>144</v>
      </c>
      <c r="AJ11" s="71">
        <f t="shared" si="4"/>
        <v>49.247499999999995</v>
      </c>
      <c r="AK11" s="71">
        <f t="shared" si="5"/>
        <v>45.735499999999995</v>
      </c>
      <c r="AL11" s="71">
        <f t="shared" si="5"/>
        <v>44.527500000000003</v>
      </c>
      <c r="AM11" s="71">
        <f t="shared" si="5"/>
        <v>34.824999999999996</v>
      </c>
      <c r="AO11" s="78">
        <v>144</v>
      </c>
      <c r="AP11" s="70">
        <f t="shared" si="0"/>
        <v>13.616177831912298</v>
      </c>
      <c r="AQ11" s="70">
        <f t="shared" si="0"/>
        <v>3.1768867235079172</v>
      </c>
      <c r="AR11" s="70">
        <f t="shared" si="0"/>
        <v>2.9894031668696712</v>
      </c>
      <c r="AS11" s="70">
        <f t="shared" si="0"/>
        <v>3.4455639464068208</v>
      </c>
      <c r="AU11" s="78">
        <v>144</v>
      </c>
      <c r="AV11" s="70">
        <f t="shared" si="6"/>
        <v>305.00238343483545</v>
      </c>
      <c r="AW11" s="70">
        <f t="shared" si="1"/>
        <v>71.162262606577343</v>
      </c>
      <c r="AX11" s="70">
        <f t="shared" si="1"/>
        <v>66.962630937880633</v>
      </c>
      <c r="AY11" s="70">
        <f t="shared" si="1"/>
        <v>77.180632399512788</v>
      </c>
      <c r="BA11" s="78">
        <v>144</v>
      </c>
      <c r="BB11" s="70">
        <f t="shared" si="2"/>
        <v>0.87143538124238695</v>
      </c>
      <c r="BC11" s="70">
        <f t="shared" si="2"/>
        <v>0.20332075030450669</v>
      </c>
      <c r="BD11" s="70">
        <f t="shared" si="2"/>
        <v>0.19132180267965895</v>
      </c>
      <c r="BE11" s="70">
        <f t="shared" si="2"/>
        <v>0.22051609257003654</v>
      </c>
      <c r="BF11" s="78">
        <f t="shared" si="8"/>
        <v>1.8129999999999999</v>
      </c>
      <c r="BH11" s="78">
        <v>144</v>
      </c>
      <c r="BI11" s="70">
        <f>BB11/$BF$11</f>
        <v>0.48065933879888967</v>
      </c>
      <c r="BJ11" s="70">
        <f>BC11/$BF$11</f>
        <v>0.11214602884970033</v>
      </c>
      <c r="BK11" s="70">
        <f>BD11/$BF$11</f>
        <v>0.10552774554862601</v>
      </c>
      <c r="BL11" s="70">
        <f>BE11/$BF$11</f>
        <v>0.12163049783234228</v>
      </c>
      <c r="BS11" s="88"/>
      <c r="BT11" s="88" t="s">
        <v>69</v>
      </c>
      <c r="BU11" s="88"/>
      <c r="BV11" s="86"/>
    </row>
    <row r="12" spans="1:74">
      <c r="AH12" s="113" t="s">
        <v>39</v>
      </c>
      <c r="AI12" s="114"/>
      <c r="AJ12" s="71">
        <f>AJ11</f>
        <v>49.247499999999995</v>
      </c>
      <c r="AK12" s="71">
        <f>AK11</f>
        <v>45.735499999999995</v>
      </c>
      <c r="AL12" s="71">
        <f>AL11</f>
        <v>44.527500000000003</v>
      </c>
      <c r="AM12" s="71">
        <f>AM11</f>
        <v>34.824999999999996</v>
      </c>
      <c r="BS12" s="86"/>
      <c r="BT12" s="86"/>
      <c r="BU12" s="86"/>
      <c r="BV12" s="86"/>
    </row>
    <row r="13" spans="1:74" ht="30">
      <c r="A13" s="90" t="s">
        <v>98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M13" s="82" t="s">
        <v>98</v>
      </c>
      <c r="N13" s="80"/>
      <c r="O13" s="80"/>
      <c r="P13" s="81"/>
      <c r="R13" s="113" t="s">
        <v>98</v>
      </c>
      <c r="S13" s="117"/>
      <c r="T13" s="117"/>
      <c r="U13" s="114"/>
      <c r="W13" s="113" t="s">
        <v>98</v>
      </c>
      <c r="X13" s="117"/>
      <c r="Y13" s="117"/>
      <c r="Z13" s="117"/>
      <c r="AA13" s="114"/>
      <c r="AC13" s="113" t="s">
        <v>98</v>
      </c>
      <c r="AD13" s="117"/>
      <c r="AE13" s="117"/>
      <c r="AF13" s="117"/>
      <c r="AG13" s="114"/>
      <c r="AI13" s="113" t="s">
        <v>98</v>
      </c>
      <c r="AJ13" s="117"/>
      <c r="AK13" s="117"/>
      <c r="AL13" s="117"/>
      <c r="AM13" s="114"/>
      <c r="AO13" s="120" t="s">
        <v>30</v>
      </c>
      <c r="AP13" s="113" t="s">
        <v>74</v>
      </c>
      <c r="AQ13" s="117"/>
      <c r="AR13" s="117"/>
      <c r="AS13" s="114"/>
      <c r="AU13" s="122" t="s">
        <v>30</v>
      </c>
      <c r="AV13" s="113" t="s">
        <v>75</v>
      </c>
      <c r="AW13" s="117"/>
      <c r="AX13" s="117"/>
      <c r="AY13" s="114"/>
      <c r="BA13" s="120" t="s">
        <v>30</v>
      </c>
      <c r="BB13" s="119" t="s">
        <v>76</v>
      </c>
      <c r="BC13" s="119"/>
      <c r="BD13" s="119"/>
      <c r="BE13" s="119"/>
      <c r="BF13" s="119"/>
      <c r="BH13" s="122" t="s">
        <v>30</v>
      </c>
      <c r="BI13" s="113" t="s">
        <v>79</v>
      </c>
      <c r="BJ13" s="117"/>
      <c r="BK13" s="117"/>
      <c r="BL13" s="114"/>
      <c r="BN13" s="92" t="s">
        <v>98</v>
      </c>
      <c r="BO13" s="92"/>
      <c r="BP13" s="92"/>
      <c r="BQ13" s="92"/>
      <c r="BR13" s="92"/>
      <c r="BS13" s="86">
        <v>3</v>
      </c>
      <c r="BT13" s="87" t="s">
        <v>70</v>
      </c>
      <c r="BU13" s="87"/>
      <c r="BV13" s="87"/>
    </row>
    <row r="14" spans="1:74">
      <c r="A14" s="78" t="s">
        <v>30</v>
      </c>
      <c r="B14" s="78" t="s">
        <v>22</v>
      </c>
      <c r="C14" s="78" t="s">
        <v>26</v>
      </c>
      <c r="D14" s="78" t="s">
        <v>23</v>
      </c>
      <c r="E14" s="78" t="s">
        <v>27</v>
      </c>
      <c r="F14" s="78" t="s">
        <v>24</v>
      </c>
      <c r="G14" s="78" t="s">
        <v>28</v>
      </c>
      <c r="H14" s="78" t="s">
        <v>25</v>
      </c>
      <c r="I14" s="78">
        <v>0</v>
      </c>
      <c r="J14" s="78" t="s">
        <v>87</v>
      </c>
      <c r="K14" s="78" t="s">
        <v>88</v>
      </c>
      <c r="M14" s="78" t="s">
        <v>18</v>
      </c>
      <c r="N14" s="78" t="s">
        <v>16</v>
      </c>
      <c r="O14" s="78" t="s">
        <v>10</v>
      </c>
      <c r="P14" s="78" t="s">
        <v>17</v>
      </c>
      <c r="R14" s="78" t="s">
        <v>18</v>
      </c>
      <c r="S14" s="78" t="s">
        <v>16</v>
      </c>
      <c r="T14" s="78" t="s">
        <v>10</v>
      </c>
      <c r="U14" s="78" t="s">
        <v>17</v>
      </c>
      <c r="W14" s="78" t="s">
        <v>30</v>
      </c>
      <c r="X14" s="78" t="s">
        <v>34</v>
      </c>
      <c r="Y14" s="78" t="s">
        <v>16</v>
      </c>
      <c r="Z14" s="78" t="s">
        <v>10</v>
      </c>
      <c r="AA14" s="78" t="s">
        <v>17</v>
      </c>
      <c r="AC14" s="78" t="s">
        <v>30</v>
      </c>
      <c r="AD14" s="78" t="s">
        <v>34</v>
      </c>
      <c r="AE14" s="78" t="s">
        <v>16</v>
      </c>
      <c r="AF14" s="78" t="s">
        <v>10</v>
      </c>
      <c r="AG14" s="78" t="s">
        <v>17</v>
      </c>
      <c r="AI14" s="78" t="s">
        <v>30</v>
      </c>
      <c r="AJ14" s="78" t="s">
        <v>34</v>
      </c>
      <c r="AK14" s="78" t="s">
        <v>16</v>
      </c>
      <c r="AL14" s="78" t="s">
        <v>10</v>
      </c>
      <c r="AM14" s="78" t="s">
        <v>17</v>
      </c>
      <c r="AO14" s="121"/>
      <c r="AP14" s="78" t="s">
        <v>34</v>
      </c>
      <c r="AQ14" s="78" t="s">
        <v>16</v>
      </c>
      <c r="AR14" s="78" t="s">
        <v>10</v>
      </c>
      <c r="AS14" s="78" t="s">
        <v>17</v>
      </c>
      <c r="AU14" s="123"/>
      <c r="AV14" s="78" t="s">
        <v>34</v>
      </c>
      <c r="AW14" s="78" t="s">
        <v>16</v>
      </c>
      <c r="AX14" s="78" t="s">
        <v>10</v>
      </c>
      <c r="AY14" s="78" t="s">
        <v>17</v>
      </c>
      <c r="BA14" s="121"/>
      <c r="BB14" s="78" t="s">
        <v>34</v>
      </c>
      <c r="BC14" s="78" t="s">
        <v>16</v>
      </c>
      <c r="BD14" s="78" t="s">
        <v>10</v>
      </c>
      <c r="BE14" s="78" t="s">
        <v>17</v>
      </c>
      <c r="BF14" s="78" t="s">
        <v>80</v>
      </c>
      <c r="BH14" s="123"/>
      <c r="BI14" s="78" t="s">
        <v>34</v>
      </c>
      <c r="BJ14" s="78" t="s">
        <v>16</v>
      </c>
      <c r="BK14" s="78" t="s">
        <v>10</v>
      </c>
      <c r="BL14" s="78" t="s">
        <v>17</v>
      </c>
      <c r="BN14" s="78"/>
      <c r="BO14" s="78" t="s">
        <v>80</v>
      </c>
      <c r="BP14" s="78" t="s">
        <v>76</v>
      </c>
      <c r="BQ14" s="78" t="s">
        <v>38</v>
      </c>
      <c r="BR14" s="84" t="s">
        <v>81</v>
      </c>
      <c r="BS14" s="87"/>
      <c r="BT14" s="87" t="s">
        <v>71</v>
      </c>
      <c r="BU14" s="87"/>
      <c r="BV14" s="87"/>
    </row>
    <row r="15" spans="1:74">
      <c r="A15" s="78">
        <v>0</v>
      </c>
      <c r="B15" s="78">
        <v>0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  <c r="P15" s="78">
        <v>0</v>
      </c>
      <c r="R15" s="78">
        <v>0</v>
      </c>
      <c r="S15" s="78">
        <v>0</v>
      </c>
      <c r="T15" s="78">
        <v>0</v>
      </c>
      <c r="U15" s="78">
        <v>0</v>
      </c>
      <c r="W15" s="78">
        <v>0</v>
      </c>
      <c r="X15" s="70">
        <v>0</v>
      </c>
      <c r="Y15" s="70">
        <v>0</v>
      </c>
      <c r="Z15" s="70">
        <v>0</v>
      </c>
      <c r="AA15" s="70">
        <v>0</v>
      </c>
      <c r="AC15" s="78">
        <v>0</v>
      </c>
      <c r="AD15" s="93">
        <f>X15</f>
        <v>0</v>
      </c>
      <c r="AE15" s="93">
        <f>Y15</f>
        <v>0</v>
      </c>
      <c r="AF15" s="93">
        <f>Z15</f>
        <v>0</v>
      </c>
      <c r="AG15" s="93">
        <f>AA15</f>
        <v>0</v>
      </c>
      <c r="AI15" s="78">
        <v>0</v>
      </c>
      <c r="AJ15" s="71">
        <v>0</v>
      </c>
      <c r="AK15" s="71">
        <v>0</v>
      </c>
      <c r="AL15" s="71">
        <v>0</v>
      </c>
      <c r="AM15" s="71">
        <v>0</v>
      </c>
      <c r="AO15" s="78">
        <v>0</v>
      </c>
      <c r="AP15" s="70">
        <f t="shared" ref="AP15:AS21" si="9">(1)*(X15/1000)/(0.0821)*(273+30)</f>
        <v>0</v>
      </c>
      <c r="AQ15" s="70">
        <f t="shared" si="9"/>
        <v>0</v>
      </c>
      <c r="AR15" s="70">
        <f t="shared" si="9"/>
        <v>0</v>
      </c>
      <c r="AS15" s="70">
        <f t="shared" si="9"/>
        <v>0</v>
      </c>
      <c r="AU15" s="78">
        <v>0</v>
      </c>
      <c r="AV15" s="70">
        <f>AP15*22.4/1</f>
        <v>0</v>
      </c>
      <c r="AW15" s="70">
        <f t="shared" ref="AW15:AW21" si="10">AQ15*22.4/1</f>
        <v>0</v>
      </c>
      <c r="AX15" s="70">
        <f t="shared" ref="AX15:AX21" si="11">AR15*22.4/1</f>
        <v>0</v>
      </c>
      <c r="AY15" s="70">
        <f t="shared" ref="AY15:AY21" si="12">AS15*22.4/1</f>
        <v>0</v>
      </c>
      <c r="BA15" s="78">
        <v>0</v>
      </c>
      <c r="BB15" s="70">
        <f>AV15*1/350</f>
        <v>0</v>
      </c>
      <c r="BC15" s="70">
        <f t="shared" ref="BB15:BE21" si="13">AW15*1/350</f>
        <v>0</v>
      </c>
      <c r="BD15" s="70">
        <f t="shared" si="13"/>
        <v>0</v>
      </c>
      <c r="BE15" s="70">
        <f t="shared" si="13"/>
        <v>0</v>
      </c>
      <c r="BF15" s="78">
        <f>53.5*37/1000</f>
        <v>1.9795</v>
      </c>
      <c r="BH15" s="78">
        <v>0</v>
      </c>
      <c r="BI15" s="70">
        <f>BB15/$BF$15</f>
        <v>0</v>
      </c>
      <c r="BJ15" s="70">
        <f t="shared" ref="BJ15:BL21" si="14">BC15/$BF$15</f>
        <v>0</v>
      </c>
      <c r="BK15" s="70">
        <f t="shared" si="14"/>
        <v>0</v>
      </c>
      <c r="BL15" s="70">
        <f t="shared" si="14"/>
        <v>0</v>
      </c>
      <c r="BN15" s="78" t="s">
        <v>34</v>
      </c>
      <c r="BO15" s="78">
        <f>BF15</f>
        <v>1.9795</v>
      </c>
      <c r="BP15" s="70">
        <f>BB21</f>
        <v>1.353601753958587</v>
      </c>
      <c r="BQ15" s="70">
        <f>AV21</f>
        <v>473.76061388550545</v>
      </c>
      <c r="BR15" s="70">
        <f>BP15/BO15</f>
        <v>0.6838099287489704</v>
      </c>
      <c r="BS15" s="86"/>
      <c r="BT15" s="86"/>
      <c r="BU15" s="86"/>
      <c r="BV15" s="86"/>
    </row>
    <row r="16" spans="1:74">
      <c r="A16" s="78">
        <v>24</v>
      </c>
      <c r="B16" s="78">
        <v>22</v>
      </c>
      <c r="C16" s="78">
        <v>24</v>
      </c>
      <c r="D16" s="78">
        <v>12</v>
      </c>
      <c r="E16" s="78">
        <v>14</v>
      </c>
      <c r="F16" s="78">
        <v>24</v>
      </c>
      <c r="G16" s="78">
        <v>22</v>
      </c>
      <c r="H16" s="78">
        <v>16</v>
      </c>
      <c r="I16" s="78">
        <v>14</v>
      </c>
      <c r="J16" s="78">
        <v>4</v>
      </c>
      <c r="K16" s="78">
        <v>4</v>
      </c>
      <c r="M16" s="78">
        <v>9.93</v>
      </c>
      <c r="N16" s="78">
        <v>10.55</v>
      </c>
      <c r="O16" s="78">
        <v>11.940000000000001</v>
      </c>
      <c r="P16" s="78">
        <v>7.23</v>
      </c>
      <c r="R16" s="78">
        <f>((B16+C16)/2)-($J$6+$K$6)/2</f>
        <v>19</v>
      </c>
      <c r="S16" s="78">
        <f>((D16+E16)/2)-($J$6+$K$6)/2</f>
        <v>9</v>
      </c>
      <c r="T16" s="78">
        <f>((F16+G16)/2)-($J$6+$K$6)/2</f>
        <v>19</v>
      </c>
      <c r="U16" s="78">
        <f>((H16+I16)/2)-($J$6+$K$6)/2</f>
        <v>11</v>
      </c>
      <c r="W16" s="78">
        <v>24</v>
      </c>
      <c r="X16" s="70">
        <f t="shared" ref="X16:AA21" si="15">(M16/100)*R16</f>
        <v>1.8867</v>
      </c>
      <c r="Y16" s="70">
        <f t="shared" si="15"/>
        <v>0.94950000000000012</v>
      </c>
      <c r="Z16" s="70">
        <f t="shared" si="15"/>
        <v>2.2686000000000002</v>
      </c>
      <c r="AA16" s="70">
        <f t="shared" si="15"/>
        <v>0.79530000000000001</v>
      </c>
      <c r="AC16" s="78">
        <v>24</v>
      </c>
      <c r="AD16" s="93">
        <f t="shared" ref="AD16:AG21" si="16">AD15+X16</f>
        <v>1.8867</v>
      </c>
      <c r="AE16" s="93">
        <f t="shared" si="16"/>
        <v>0.94950000000000012</v>
      </c>
      <c r="AF16" s="93">
        <f t="shared" si="16"/>
        <v>2.2686000000000002</v>
      </c>
      <c r="AG16" s="93">
        <f t="shared" si="16"/>
        <v>0.79530000000000001</v>
      </c>
      <c r="AI16" s="78">
        <v>24</v>
      </c>
      <c r="AJ16" s="71">
        <f t="shared" ref="AJ16:AJ21" si="17">AD16/0.2</f>
        <v>9.4335000000000004</v>
      </c>
      <c r="AK16" s="71">
        <f t="shared" ref="AK16:AK21" si="18">AE16/0.2</f>
        <v>4.7475000000000005</v>
      </c>
      <c r="AL16" s="71">
        <f t="shared" ref="AL16:AL21" si="19">AF16/0.2</f>
        <v>11.343</v>
      </c>
      <c r="AM16" s="71">
        <f t="shared" ref="AM16:AM21" si="20">AG16/0.2</f>
        <v>3.9764999999999997</v>
      </c>
      <c r="AO16" s="78">
        <v>24</v>
      </c>
      <c r="AP16" s="70">
        <f t="shared" si="9"/>
        <v>6.9630950060901338</v>
      </c>
      <c r="AQ16" s="70">
        <f t="shared" si="9"/>
        <v>3.5042448233861148</v>
      </c>
      <c r="AR16" s="70">
        <f t="shared" si="9"/>
        <v>8.3725432399512769</v>
      </c>
      <c r="AS16" s="70">
        <f t="shared" si="9"/>
        <v>2.935151035322777</v>
      </c>
      <c r="AU16" s="78">
        <v>24</v>
      </c>
      <c r="AV16" s="70">
        <f t="shared" ref="AV16:AV21" si="21">AP16*22.4/1</f>
        <v>155.97332813641898</v>
      </c>
      <c r="AW16" s="70">
        <f t="shared" si="10"/>
        <v>78.495084043848962</v>
      </c>
      <c r="AX16" s="70">
        <f t="shared" si="11"/>
        <v>187.54496857490858</v>
      </c>
      <c r="AY16" s="70">
        <f t="shared" si="12"/>
        <v>65.747383191230199</v>
      </c>
      <c r="BA16" s="78">
        <v>24</v>
      </c>
      <c r="BB16" s="70">
        <f t="shared" si="13"/>
        <v>0.44563808038976854</v>
      </c>
      <c r="BC16" s="70">
        <f t="shared" si="13"/>
        <v>0.22427166869671131</v>
      </c>
      <c r="BD16" s="70">
        <f t="shared" si="13"/>
        <v>0.53584276735688163</v>
      </c>
      <c r="BE16" s="70">
        <f t="shared" si="13"/>
        <v>0.18784966626065772</v>
      </c>
      <c r="BF16" s="78">
        <f t="shared" ref="BF16:BF21" si="22">53.5*37/1000</f>
        <v>1.9795</v>
      </c>
      <c r="BH16" s="78">
        <v>24</v>
      </c>
      <c r="BI16" s="70">
        <f t="shared" ref="BI16:BI21" si="23">BB16/$BF$15</f>
        <v>0.22512658771900407</v>
      </c>
      <c r="BJ16" s="70">
        <f t="shared" si="14"/>
        <v>0.11329712993013959</v>
      </c>
      <c r="BK16" s="70">
        <f t="shared" si="14"/>
        <v>0.27069601786152142</v>
      </c>
      <c r="BL16" s="70">
        <f t="shared" si="14"/>
        <v>9.489753284195894E-2</v>
      </c>
      <c r="BN16" s="78" t="s">
        <v>16</v>
      </c>
      <c r="BO16" s="78">
        <f>BF16</f>
        <v>1.9795</v>
      </c>
      <c r="BP16" s="70">
        <f>BC21</f>
        <v>1.0449477222898904</v>
      </c>
      <c r="BQ16" s="70">
        <f>AW21</f>
        <v>365.73170280146161</v>
      </c>
      <c r="BR16" s="70">
        <f>BP16/BO16</f>
        <v>0.52788467910577941</v>
      </c>
      <c r="BS16" s="86">
        <v>4</v>
      </c>
      <c r="BT16" s="87" t="s">
        <v>72</v>
      </c>
      <c r="BU16" s="86"/>
      <c r="BV16" s="86"/>
    </row>
    <row r="17" spans="1:74">
      <c r="A17" s="78">
        <v>48</v>
      </c>
      <c r="B17" s="78">
        <v>24</v>
      </c>
      <c r="C17" s="78">
        <v>26</v>
      </c>
      <c r="D17" s="78">
        <v>12</v>
      </c>
      <c r="E17" s="78">
        <v>14</v>
      </c>
      <c r="F17" s="78">
        <v>20</v>
      </c>
      <c r="G17" s="78">
        <v>26</v>
      </c>
      <c r="H17" s="78">
        <v>20</v>
      </c>
      <c r="I17" s="78">
        <v>22</v>
      </c>
      <c r="J17" s="78">
        <v>10</v>
      </c>
      <c r="K17" s="78">
        <v>8</v>
      </c>
      <c r="M17" s="78">
        <v>17.75</v>
      </c>
      <c r="N17" s="78">
        <v>18.37</v>
      </c>
      <c r="O17" s="78">
        <v>19.059999999999999</v>
      </c>
      <c r="P17" s="78">
        <v>16.630000000000003</v>
      </c>
      <c r="R17" s="78">
        <f>((B17+C17)/2)-($J$7+$K$7)/2</f>
        <v>16</v>
      </c>
      <c r="S17" s="78">
        <f>((D17+E17)/2)-($J$7+$K$7)/2</f>
        <v>4</v>
      </c>
      <c r="T17" s="78">
        <f>((F17+G17)/2)-($J$7+$K$7)/2</f>
        <v>14</v>
      </c>
      <c r="U17" s="78">
        <f>((H17+I17)/2)-($J$7+$K$7)/2</f>
        <v>12</v>
      </c>
      <c r="W17" s="78">
        <v>48</v>
      </c>
      <c r="X17" s="70">
        <f t="shared" si="15"/>
        <v>2.84</v>
      </c>
      <c r="Y17" s="70">
        <f t="shared" si="15"/>
        <v>0.73480000000000001</v>
      </c>
      <c r="Z17" s="70">
        <f t="shared" si="15"/>
        <v>2.6684000000000001</v>
      </c>
      <c r="AA17" s="70">
        <f t="shared" si="15"/>
        <v>1.9956000000000005</v>
      </c>
      <c r="AC17" s="78">
        <v>48</v>
      </c>
      <c r="AD17" s="93">
        <f t="shared" si="16"/>
        <v>4.7267000000000001</v>
      </c>
      <c r="AE17" s="93">
        <f t="shared" si="16"/>
        <v>1.6843000000000001</v>
      </c>
      <c r="AF17" s="93">
        <f t="shared" si="16"/>
        <v>4.9370000000000003</v>
      </c>
      <c r="AG17" s="93">
        <f t="shared" si="16"/>
        <v>2.7909000000000006</v>
      </c>
      <c r="AI17" s="78">
        <v>48</v>
      </c>
      <c r="AJ17" s="71">
        <f t="shared" si="17"/>
        <v>23.633499999999998</v>
      </c>
      <c r="AK17" s="71">
        <f t="shared" si="18"/>
        <v>8.4215</v>
      </c>
      <c r="AL17" s="71">
        <f t="shared" si="19"/>
        <v>24.684999999999999</v>
      </c>
      <c r="AM17" s="71">
        <f t="shared" si="20"/>
        <v>13.954500000000003</v>
      </c>
      <c r="AO17" s="78">
        <v>48</v>
      </c>
      <c r="AP17" s="70">
        <f t="shared" si="9"/>
        <v>10.481364190012178</v>
      </c>
      <c r="AQ17" s="70">
        <f t="shared" si="9"/>
        <v>2.7118684531059678</v>
      </c>
      <c r="AR17" s="70">
        <f t="shared" si="9"/>
        <v>9.8480535931790492</v>
      </c>
      <c r="AS17" s="70">
        <f t="shared" si="9"/>
        <v>7.3650036540803914</v>
      </c>
      <c r="AU17" s="78">
        <v>48</v>
      </c>
      <c r="AV17" s="70">
        <f t="shared" si="21"/>
        <v>234.78255785627277</v>
      </c>
      <c r="AW17" s="70">
        <f t="shared" si="10"/>
        <v>60.745853349573672</v>
      </c>
      <c r="AX17" s="70">
        <f t="shared" si="11"/>
        <v>220.5964004872107</v>
      </c>
      <c r="AY17" s="70">
        <f t="shared" si="12"/>
        <v>164.97608185140075</v>
      </c>
      <c r="BA17" s="78">
        <v>48</v>
      </c>
      <c r="BB17" s="70">
        <f t="shared" si="13"/>
        <v>0.67080730816077938</v>
      </c>
      <c r="BC17" s="70">
        <f t="shared" si="13"/>
        <v>0.17355958099878191</v>
      </c>
      <c r="BD17" s="70">
        <f t="shared" si="13"/>
        <v>0.6302754299634592</v>
      </c>
      <c r="BE17" s="70">
        <f t="shared" si="13"/>
        <v>0.47136023386114501</v>
      </c>
      <c r="BF17" s="78">
        <f t="shared" si="22"/>
        <v>1.9795</v>
      </c>
      <c r="BH17" s="78">
        <v>48</v>
      </c>
      <c r="BI17" s="70">
        <f t="shared" si="23"/>
        <v>0.33887714481474079</v>
      </c>
      <c r="BJ17" s="70">
        <f t="shared" si="14"/>
        <v>8.767849507389841E-2</v>
      </c>
      <c r="BK17" s="70">
        <f t="shared" si="14"/>
        <v>0.31840132859987835</v>
      </c>
      <c r="BL17" s="70">
        <f t="shared" si="14"/>
        <v>0.23812085570151301</v>
      </c>
      <c r="BN17" s="78" t="s">
        <v>10</v>
      </c>
      <c r="BO17" s="78">
        <f>BF17</f>
        <v>1.9795</v>
      </c>
      <c r="BP17" s="70">
        <f>BD21</f>
        <v>0.46299876248477462</v>
      </c>
      <c r="BQ17" s="70">
        <f>AX21</f>
        <v>162.04956686967111</v>
      </c>
      <c r="BR17" s="70">
        <f>BP17/BO17</f>
        <v>0.23389682368516021</v>
      </c>
      <c r="BS17" s="86"/>
      <c r="BT17" s="86"/>
      <c r="BU17" s="86"/>
      <c r="BV17" s="86"/>
    </row>
    <row r="18" spans="1:74">
      <c r="A18" s="78">
        <v>72</v>
      </c>
      <c r="B18" s="78">
        <v>20</v>
      </c>
      <c r="C18" s="78">
        <v>22</v>
      </c>
      <c r="D18" s="78">
        <v>12</v>
      </c>
      <c r="E18" s="78">
        <v>14</v>
      </c>
      <c r="F18" s="78">
        <v>18</v>
      </c>
      <c r="G18" s="78">
        <v>22</v>
      </c>
      <c r="H18" s="78">
        <v>18</v>
      </c>
      <c r="I18" s="78">
        <v>16</v>
      </c>
      <c r="J18" s="78">
        <v>10</v>
      </c>
      <c r="K18" s="78">
        <v>8</v>
      </c>
      <c r="M18" s="78">
        <v>25.36</v>
      </c>
      <c r="N18" s="78">
        <v>26.98</v>
      </c>
      <c r="O18" s="78">
        <v>25.87</v>
      </c>
      <c r="P18" s="78">
        <v>21.47</v>
      </c>
      <c r="R18" s="78">
        <f>((B18+C18)/2)-($J$8+$K$8)/2</f>
        <v>12</v>
      </c>
      <c r="S18" s="78">
        <f>((D18+E18)/2)-($J$8+$K$8)/2</f>
        <v>4</v>
      </c>
      <c r="T18" s="78">
        <f>((F18+G18)/2)-($J$8+$K$8)/2</f>
        <v>11</v>
      </c>
      <c r="U18" s="78">
        <f>((H18+I18)/2)-($J$8+$K$8)/2</f>
        <v>8</v>
      </c>
      <c r="W18" s="78">
        <v>72</v>
      </c>
      <c r="X18" s="70">
        <f t="shared" si="15"/>
        <v>3.0431999999999997</v>
      </c>
      <c r="Y18" s="70">
        <f t="shared" si="15"/>
        <v>1.0791999999999999</v>
      </c>
      <c r="Z18" s="70">
        <f t="shared" si="15"/>
        <v>2.8456999999999999</v>
      </c>
      <c r="AA18" s="70">
        <f t="shared" si="15"/>
        <v>1.7176</v>
      </c>
      <c r="AC18" s="78">
        <v>72</v>
      </c>
      <c r="AD18" s="93">
        <f t="shared" si="16"/>
        <v>7.7698999999999998</v>
      </c>
      <c r="AE18" s="93">
        <f t="shared" si="16"/>
        <v>2.7635000000000001</v>
      </c>
      <c r="AF18" s="93">
        <f t="shared" si="16"/>
        <v>7.7827000000000002</v>
      </c>
      <c r="AG18" s="93">
        <f t="shared" si="16"/>
        <v>4.5085000000000006</v>
      </c>
      <c r="AI18" s="78">
        <v>72</v>
      </c>
      <c r="AJ18" s="71">
        <f t="shared" si="17"/>
        <v>38.849499999999999</v>
      </c>
      <c r="AK18" s="71">
        <f t="shared" si="18"/>
        <v>13.817499999999999</v>
      </c>
      <c r="AL18" s="71">
        <f t="shared" si="19"/>
        <v>38.913499999999999</v>
      </c>
      <c r="AM18" s="71">
        <f t="shared" si="20"/>
        <v>22.5425</v>
      </c>
      <c r="AO18" s="78">
        <v>72</v>
      </c>
      <c r="AP18" s="70">
        <f t="shared" si="9"/>
        <v>11.231298416565163</v>
      </c>
      <c r="AQ18" s="70">
        <f t="shared" si="9"/>
        <v>3.9829183922046281</v>
      </c>
      <c r="AR18" s="70">
        <f t="shared" si="9"/>
        <v>10.502400730816078</v>
      </c>
      <c r="AS18" s="70">
        <f t="shared" si="9"/>
        <v>6.3390109622411686</v>
      </c>
      <c r="AU18" s="78">
        <v>72</v>
      </c>
      <c r="AV18" s="70">
        <f t="shared" si="21"/>
        <v>251.58108453105964</v>
      </c>
      <c r="AW18" s="70">
        <f t="shared" si="10"/>
        <v>89.217371985383664</v>
      </c>
      <c r="AX18" s="70">
        <f t="shared" si="11"/>
        <v>235.25377637028012</v>
      </c>
      <c r="AY18" s="70">
        <f t="shared" si="12"/>
        <v>141.99384555420215</v>
      </c>
      <c r="BA18" s="78">
        <v>72</v>
      </c>
      <c r="BB18" s="70">
        <f t="shared" si="13"/>
        <v>0.71880309866017045</v>
      </c>
      <c r="BC18" s="70">
        <f t="shared" si="13"/>
        <v>0.25490677710109616</v>
      </c>
      <c r="BD18" s="70">
        <f t="shared" si="13"/>
        <v>0.67215364677222889</v>
      </c>
      <c r="BE18" s="70">
        <f t="shared" si="13"/>
        <v>0.40569670158343474</v>
      </c>
      <c r="BF18" s="78">
        <f t="shared" si="22"/>
        <v>1.9795</v>
      </c>
      <c r="BH18" s="78">
        <v>72</v>
      </c>
      <c r="BI18" s="70">
        <f t="shared" si="23"/>
        <v>0.36312356588035888</v>
      </c>
      <c r="BJ18" s="70">
        <f t="shared" si="14"/>
        <v>0.12877331502960149</v>
      </c>
      <c r="BK18" s="70">
        <f t="shared" si="14"/>
        <v>0.33955728556313658</v>
      </c>
      <c r="BL18" s="70">
        <f t="shared" si="14"/>
        <v>0.20494907884992913</v>
      </c>
      <c r="BN18" s="78" t="s">
        <v>17</v>
      </c>
      <c r="BO18" s="78">
        <f>BF18</f>
        <v>1.9795</v>
      </c>
      <c r="BP18" s="70">
        <f>BE21</f>
        <v>0.26567748599269186</v>
      </c>
      <c r="BQ18" s="70">
        <f>AY21</f>
        <v>92.987120097442144</v>
      </c>
      <c r="BR18" s="70">
        <f>BP18/BO18</f>
        <v>0.1342144410167678</v>
      </c>
      <c r="BS18" s="86"/>
      <c r="BT18" s="86"/>
      <c r="BU18" s="86"/>
      <c r="BV18" s="86"/>
    </row>
    <row r="19" spans="1:74">
      <c r="A19" s="78">
        <v>96</v>
      </c>
      <c r="B19" s="78">
        <v>18</v>
      </c>
      <c r="C19" s="78">
        <v>20</v>
      </c>
      <c r="D19" s="78">
        <v>14</v>
      </c>
      <c r="E19" s="78">
        <v>16</v>
      </c>
      <c r="F19" s="78">
        <v>18</v>
      </c>
      <c r="G19" s="78">
        <v>18</v>
      </c>
      <c r="H19" s="78">
        <v>14</v>
      </c>
      <c r="I19" s="78">
        <v>18</v>
      </c>
      <c r="J19" s="78">
        <v>10</v>
      </c>
      <c r="K19" s="78">
        <v>10</v>
      </c>
      <c r="M19" s="78">
        <v>40.5</v>
      </c>
      <c r="N19" s="78">
        <v>42.12</v>
      </c>
      <c r="O19" s="78">
        <v>40.25</v>
      </c>
      <c r="P19" s="78">
        <v>33.56</v>
      </c>
      <c r="R19" s="78">
        <f>((B19+C19)/2)-($J$9+$K$9)/2</f>
        <v>9</v>
      </c>
      <c r="S19" s="78">
        <f>((D19+E19)/2)-($J$9+$K$9)/2</f>
        <v>5</v>
      </c>
      <c r="T19" s="78">
        <f>((F19+G19)/2)-($J$9+$K$9)/2</f>
        <v>8</v>
      </c>
      <c r="U19" s="78">
        <f>((H19+I19)/2)-($J$9+$K$9)/2</f>
        <v>6</v>
      </c>
      <c r="W19" s="78">
        <v>96</v>
      </c>
      <c r="X19" s="70">
        <f t="shared" si="15"/>
        <v>3.6450000000000005</v>
      </c>
      <c r="Y19" s="70">
        <f t="shared" si="15"/>
        <v>2.1059999999999999</v>
      </c>
      <c r="Z19" s="70">
        <f t="shared" si="15"/>
        <v>3.22</v>
      </c>
      <c r="AA19" s="70">
        <f t="shared" si="15"/>
        <v>2.0136000000000003</v>
      </c>
      <c r="AC19" s="78">
        <v>96</v>
      </c>
      <c r="AD19" s="93">
        <f t="shared" si="16"/>
        <v>11.414899999999999</v>
      </c>
      <c r="AE19" s="93">
        <f t="shared" si="16"/>
        <v>4.8695000000000004</v>
      </c>
      <c r="AF19" s="93">
        <f t="shared" si="16"/>
        <v>11.002700000000001</v>
      </c>
      <c r="AG19" s="93">
        <f t="shared" si="16"/>
        <v>6.5221000000000009</v>
      </c>
      <c r="AI19" s="78">
        <v>96</v>
      </c>
      <c r="AJ19" s="71">
        <f t="shared" si="17"/>
        <v>57.074499999999993</v>
      </c>
      <c r="AK19" s="71">
        <f t="shared" si="18"/>
        <v>24.3475</v>
      </c>
      <c r="AL19" s="71">
        <f t="shared" si="19"/>
        <v>55.013500000000001</v>
      </c>
      <c r="AM19" s="71">
        <f t="shared" si="20"/>
        <v>32.610500000000002</v>
      </c>
      <c r="AO19" s="78">
        <v>96</v>
      </c>
      <c r="AP19" s="70">
        <f t="shared" si="9"/>
        <v>13.452314250913522</v>
      </c>
      <c r="AQ19" s="70">
        <f t="shared" si="9"/>
        <v>7.7724482338611436</v>
      </c>
      <c r="AR19" s="70">
        <f t="shared" si="9"/>
        <v>11.883800243605361</v>
      </c>
      <c r="AS19" s="70">
        <f t="shared" si="9"/>
        <v>7.4314348355663835</v>
      </c>
      <c r="AU19" s="78">
        <v>96</v>
      </c>
      <c r="AV19" s="70">
        <f t="shared" si="21"/>
        <v>301.33183922046288</v>
      </c>
      <c r="AW19" s="70">
        <f t="shared" si="10"/>
        <v>174.10284043848961</v>
      </c>
      <c r="AX19" s="70">
        <f t="shared" si="11"/>
        <v>266.19712545676009</v>
      </c>
      <c r="AY19" s="70">
        <f t="shared" si="12"/>
        <v>166.46414031668698</v>
      </c>
      <c r="BA19" s="78">
        <v>96</v>
      </c>
      <c r="BB19" s="70">
        <f t="shared" si="13"/>
        <v>0.86094811205846533</v>
      </c>
      <c r="BC19" s="70">
        <f t="shared" si="13"/>
        <v>0.49743668696711318</v>
      </c>
      <c r="BD19" s="70">
        <f t="shared" si="13"/>
        <v>0.76056321559074314</v>
      </c>
      <c r="BE19" s="70">
        <f t="shared" si="13"/>
        <v>0.47561182947624853</v>
      </c>
      <c r="BF19" s="78">
        <f t="shared" si="22"/>
        <v>1.9795</v>
      </c>
      <c r="BH19" s="78">
        <v>96</v>
      </c>
      <c r="BI19" s="70">
        <f t="shared" si="23"/>
        <v>0.43493211015835581</v>
      </c>
      <c r="BJ19" s="70">
        <f t="shared" si="14"/>
        <v>0.25129410809149438</v>
      </c>
      <c r="BK19" s="70">
        <f t="shared" si="14"/>
        <v>0.38421986137445979</v>
      </c>
      <c r="BL19" s="70">
        <f t="shared" si="14"/>
        <v>0.2402686685911839</v>
      </c>
      <c r="BS19" s="86"/>
      <c r="BT19" s="86"/>
      <c r="BU19" s="86"/>
      <c r="BV19" s="86"/>
    </row>
    <row r="20" spans="1:74">
      <c r="A20" s="78">
        <v>120</v>
      </c>
      <c r="B20" s="78">
        <v>18</v>
      </c>
      <c r="C20" s="78">
        <v>20</v>
      </c>
      <c r="D20" s="78">
        <v>20</v>
      </c>
      <c r="E20" s="78">
        <v>22</v>
      </c>
      <c r="F20" s="78">
        <v>22</v>
      </c>
      <c r="G20" s="78">
        <v>26</v>
      </c>
      <c r="H20" s="78">
        <v>16</v>
      </c>
      <c r="I20" s="78">
        <v>18</v>
      </c>
      <c r="J20" s="78">
        <v>10</v>
      </c>
      <c r="K20" s="78">
        <v>8</v>
      </c>
      <c r="M20" s="78">
        <v>41.21</v>
      </c>
      <c r="N20" s="78">
        <v>43.11</v>
      </c>
      <c r="O20" s="78">
        <v>44.23</v>
      </c>
      <c r="P20" s="78">
        <v>35.340000000000003</v>
      </c>
      <c r="R20" s="78">
        <f>((B20+C20)/2)-($J$10+$K$9)/2</f>
        <v>9</v>
      </c>
      <c r="S20" s="78">
        <f>((D20+E20)/2)-($J$10+$K$10)/2</f>
        <v>12</v>
      </c>
      <c r="T20" s="78">
        <f>((F20+G20)/2)-($J$10+$K$10)/2</f>
        <v>15</v>
      </c>
      <c r="U20" s="78">
        <f>((H20+I20)/2)-($J$10+$K$10)/2</f>
        <v>8</v>
      </c>
      <c r="W20" s="78">
        <v>120</v>
      </c>
      <c r="X20" s="70">
        <f t="shared" si="15"/>
        <v>3.7089000000000003</v>
      </c>
      <c r="Y20" s="70">
        <f t="shared" si="15"/>
        <v>5.1731999999999996</v>
      </c>
      <c r="Z20" s="70">
        <f t="shared" si="15"/>
        <v>6.6344999999999992</v>
      </c>
      <c r="AA20" s="70">
        <f t="shared" si="15"/>
        <v>2.8272000000000004</v>
      </c>
      <c r="AC20" s="78">
        <v>120</v>
      </c>
      <c r="AD20" s="93">
        <f t="shared" si="16"/>
        <v>15.123799999999999</v>
      </c>
      <c r="AE20" s="93">
        <f t="shared" si="16"/>
        <v>10.0427</v>
      </c>
      <c r="AF20" s="93">
        <f t="shared" si="16"/>
        <v>17.6372</v>
      </c>
      <c r="AG20" s="93">
        <f t="shared" si="16"/>
        <v>9.3493000000000013</v>
      </c>
      <c r="AI20" s="78">
        <v>120</v>
      </c>
      <c r="AJ20" s="71">
        <f t="shared" si="17"/>
        <v>75.618999999999986</v>
      </c>
      <c r="AK20" s="71">
        <f t="shared" si="18"/>
        <v>50.213499999999996</v>
      </c>
      <c r="AL20" s="71">
        <f t="shared" si="19"/>
        <v>88.185999999999993</v>
      </c>
      <c r="AM20" s="71">
        <f t="shared" si="20"/>
        <v>46.746500000000005</v>
      </c>
      <c r="AO20" s="78">
        <v>120</v>
      </c>
      <c r="AP20" s="70">
        <f t="shared" si="9"/>
        <v>13.688144945188792</v>
      </c>
      <c r="AQ20" s="70">
        <f t="shared" si="9"/>
        <v>19.092321559074296</v>
      </c>
      <c r="AR20" s="70">
        <f t="shared" si="9"/>
        <v>24.485426309378802</v>
      </c>
      <c r="AS20" s="70">
        <f t="shared" si="9"/>
        <v>10.434124238733252</v>
      </c>
      <c r="AU20" s="78">
        <v>120</v>
      </c>
      <c r="AV20" s="70">
        <f t="shared" si="21"/>
        <v>306.61444677222892</v>
      </c>
      <c r="AW20" s="70">
        <f t="shared" si="10"/>
        <v>427.66800292326423</v>
      </c>
      <c r="AX20" s="70">
        <f t="shared" si="11"/>
        <v>548.47354933008512</v>
      </c>
      <c r="AY20" s="70">
        <f t="shared" si="12"/>
        <v>233.72438294762483</v>
      </c>
      <c r="BA20" s="78">
        <v>120</v>
      </c>
      <c r="BB20" s="70">
        <f t="shared" si="13"/>
        <v>0.87604127649208263</v>
      </c>
      <c r="BC20" s="70">
        <f t="shared" si="13"/>
        <v>1.221908579780755</v>
      </c>
      <c r="BD20" s="70">
        <f t="shared" si="13"/>
        <v>1.5670672838002433</v>
      </c>
      <c r="BE20" s="70">
        <f t="shared" si="13"/>
        <v>0.66778395127892809</v>
      </c>
      <c r="BF20" s="78">
        <f t="shared" si="22"/>
        <v>1.9795</v>
      </c>
      <c r="BH20" s="78">
        <v>120</v>
      </c>
      <c r="BI20" s="70">
        <f t="shared" si="23"/>
        <v>0.44255684591668737</v>
      </c>
      <c r="BJ20" s="70">
        <f t="shared" si="14"/>
        <v>0.61728142449141443</v>
      </c>
      <c r="BK20" s="70">
        <f t="shared" si="14"/>
        <v>0.79164803425119634</v>
      </c>
      <c r="BL20" s="70">
        <f t="shared" si="14"/>
        <v>0.33734981120430818</v>
      </c>
    </row>
    <row r="21" spans="1:74">
      <c r="A21" s="78">
        <v>144</v>
      </c>
      <c r="B21" s="78">
        <v>24</v>
      </c>
      <c r="C21" s="78">
        <v>21</v>
      </c>
      <c r="D21" s="78">
        <v>20</v>
      </c>
      <c r="E21" s="78">
        <v>18</v>
      </c>
      <c r="F21" s="78">
        <v>14</v>
      </c>
      <c r="G21" s="78">
        <v>13</v>
      </c>
      <c r="H21" s="78">
        <v>12</v>
      </c>
      <c r="I21" s="78">
        <v>14</v>
      </c>
      <c r="J21" s="78">
        <v>10</v>
      </c>
      <c r="K21" s="78">
        <v>8</v>
      </c>
      <c r="M21" s="78">
        <v>42.45</v>
      </c>
      <c r="N21" s="78">
        <v>44.24</v>
      </c>
      <c r="O21" s="78">
        <v>43.56</v>
      </c>
      <c r="P21" s="78">
        <v>28.12</v>
      </c>
      <c r="R21" s="78">
        <f>((B21+C21)/2)-($J$11+$K$11)/2</f>
        <v>13.5</v>
      </c>
      <c r="S21" s="78">
        <f>((D21+E21)/2)-($J$11+$K$11)/2</f>
        <v>10</v>
      </c>
      <c r="T21" s="78">
        <f>((F21+G21)/2)-($J$11+$K$11)/2</f>
        <v>4.5</v>
      </c>
      <c r="U21" s="78">
        <f>((H21+I21)/2)-($J$11+$K$11)/2</f>
        <v>4</v>
      </c>
      <c r="W21" s="78">
        <v>144</v>
      </c>
      <c r="X21" s="70">
        <f>(M21/100)*R21</f>
        <v>5.7307500000000005</v>
      </c>
      <c r="Y21" s="70">
        <f t="shared" si="15"/>
        <v>4.4240000000000004</v>
      </c>
      <c r="Z21" s="70">
        <f t="shared" si="15"/>
        <v>1.9602000000000002</v>
      </c>
      <c r="AA21" s="70">
        <f t="shared" si="15"/>
        <v>1.1248</v>
      </c>
      <c r="AC21" s="78">
        <v>144</v>
      </c>
      <c r="AD21" s="93">
        <f t="shared" si="16"/>
        <v>20.85455</v>
      </c>
      <c r="AE21" s="93">
        <f t="shared" si="16"/>
        <v>14.466699999999999</v>
      </c>
      <c r="AF21" s="93">
        <f t="shared" si="16"/>
        <v>19.5974</v>
      </c>
      <c r="AG21" s="93">
        <f t="shared" si="16"/>
        <v>10.474100000000002</v>
      </c>
      <c r="AI21" s="78">
        <v>144</v>
      </c>
      <c r="AJ21" s="71">
        <f t="shared" si="17"/>
        <v>104.27274999999999</v>
      </c>
      <c r="AK21" s="71">
        <f t="shared" si="18"/>
        <v>72.333499999999987</v>
      </c>
      <c r="AL21" s="71">
        <f t="shared" si="19"/>
        <v>97.986999999999995</v>
      </c>
      <c r="AM21" s="71">
        <f t="shared" si="20"/>
        <v>52.370500000000007</v>
      </c>
      <c r="AO21" s="78">
        <v>144</v>
      </c>
      <c r="AP21" s="70">
        <f t="shared" si="9"/>
        <v>21.150027405602923</v>
      </c>
      <c r="AQ21" s="70">
        <f t="shared" si="9"/>
        <v>16.327308160779538</v>
      </c>
      <c r="AR21" s="70">
        <f t="shared" si="9"/>
        <v>7.2343556638246032</v>
      </c>
      <c r="AS21" s="70">
        <f t="shared" si="9"/>
        <v>4.1512107186358103</v>
      </c>
      <c r="AU21" s="78">
        <v>144</v>
      </c>
      <c r="AV21" s="70">
        <f t="shared" si="21"/>
        <v>473.76061388550545</v>
      </c>
      <c r="AW21" s="70">
        <f t="shared" si="10"/>
        <v>365.73170280146161</v>
      </c>
      <c r="AX21" s="70">
        <f t="shared" si="11"/>
        <v>162.04956686967111</v>
      </c>
      <c r="AY21" s="70">
        <f t="shared" si="12"/>
        <v>92.987120097442144</v>
      </c>
      <c r="BA21" s="78">
        <v>144</v>
      </c>
      <c r="BB21" s="70">
        <f t="shared" si="13"/>
        <v>1.353601753958587</v>
      </c>
      <c r="BC21" s="70">
        <f t="shared" si="13"/>
        <v>1.0449477222898904</v>
      </c>
      <c r="BD21" s="70">
        <f t="shared" si="13"/>
        <v>0.46299876248477462</v>
      </c>
      <c r="BE21" s="70">
        <f t="shared" si="13"/>
        <v>0.26567748599269186</v>
      </c>
      <c r="BF21" s="78">
        <f t="shared" si="22"/>
        <v>1.9795</v>
      </c>
      <c r="BH21" s="78">
        <v>144</v>
      </c>
      <c r="BI21" s="70">
        <f t="shared" si="23"/>
        <v>0.6838099287489704</v>
      </c>
      <c r="BJ21" s="70">
        <f t="shared" si="14"/>
        <v>0.52788467910577941</v>
      </c>
      <c r="BK21" s="70">
        <f t="shared" si="14"/>
        <v>0.23389682368516021</v>
      </c>
      <c r="BL21" s="70">
        <f t="shared" si="14"/>
        <v>0.1342144410167678</v>
      </c>
    </row>
    <row r="22" spans="1:74">
      <c r="AH22" s="113" t="s">
        <v>39</v>
      </c>
      <c r="AI22" s="114"/>
      <c r="AJ22" s="71">
        <f>AJ21</f>
        <v>104.27274999999999</v>
      </c>
      <c r="AK22" s="71">
        <f>AK21</f>
        <v>72.333499999999987</v>
      </c>
      <c r="AL22" s="71">
        <f>AL21</f>
        <v>97.986999999999995</v>
      </c>
      <c r="AM22" s="71">
        <f>AM21</f>
        <v>52.370500000000007</v>
      </c>
    </row>
    <row r="23" spans="1:74">
      <c r="J23" s="69" t="s">
        <v>31</v>
      </c>
      <c r="K23" s="69"/>
      <c r="N23" s="83" t="s">
        <v>32</v>
      </c>
      <c r="O23" s="83"/>
      <c r="P23" s="69"/>
      <c r="Q23" s="69"/>
      <c r="R23" s="69"/>
      <c r="S23" s="115" t="s">
        <v>97</v>
      </c>
      <c r="T23" s="115"/>
      <c r="Y23" s="69" t="s">
        <v>38</v>
      </c>
      <c r="AD23" s="89" t="s">
        <v>89</v>
      </c>
      <c r="AJ23" s="116" t="s">
        <v>50</v>
      </c>
      <c r="AK23" s="116"/>
      <c r="AL23" s="116"/>
    </row>
    <row r="24" spans="1:74" ht="30">
      <c r="A24" s="90" t="s">
        <v>100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M24" s="82" t="s">
        <v>83</v>
      </c>
      <c r="N24" s="80"/>
      <c r="O24" s="80"/>
      <c r="P24" s="81"/>
      <c r="R24" s="113" t="s">
        <v>83</v>
      </c>
      <c r="S24" s="117"/>
      <c r="T24" s="117"/>
      <c r="U24" s="114"/>
      <c r="W24" s="113" t="s">
        <v>83</v>
      </c>
      <c r="X24" s="117"/>
      <c r="Y24" s="117"/>
      <c r="Z24" s="117"/>
      <c r="AA24" s="114"/>
      <c r="AC24" s="113" t="s">
        <v>83</v>
      </c>
      <c r="AD24" s="117"/>
      <c r="AE24" s="117"/>
      <c r="AF24" s="117"/>
      <c r="AG24" s="114"/>
      <c r="AI24" s="113" t="s">
        <v>83</v>
      </c>
      <c r="AJ24" s="117"/>
      <c r="AK24" s="117"/>
      <c r="AL24" s="117"/>
      <c r="AM24" s="114"/>
      <c r="AO24" s="120" t="s">
        <v>30</v>
      </c>
      <c r="AP24" s="113" t="s">
        <v>74</v>
      </c>
      <c r="AQ24" s="117"/>
      <c r="AR24" s="117"/>
      <c r="AS24" s="114"/>
      <c r="AU24" s="122" t="s">
        <v>30</v>
      </c>
      <c r="AV24" s="113" t="s">
        <v>75</v>
      </c>
      <c r="AW24" s="117"/>
      <c r="AX24" s="117"/>
      <c r="AY24" s="114"/>
      <c r="BA24" s="120" t="s">
        <v>30</v>
      </c>
      <c r="BB24" s="119" t="s">
        <v>76</v>
      </c>
      <c r="BC24" s="119"/>
      <c r="BD24" s="119"/>
      <c r="BE24" s="119"/>
      <c r="BF24" s="119"/>
      <c r="BH24" s="122" t="s">
        <v>30</v>
      </c>
      <c r="BI24" s="113" t="s">
        <v>79</v>
      </c>
      <c r="BJ24" s="117"/>
      <c r="BK24" s="117"/>
      <c r="BL24" s="114"/>
      <c r="BN24" s="92" t="s">
        <v>100</v>
      </c>
      <c r="BO24" s="92"/>
      <c r="BP24" s="92"/>
      <c r="BQ24" s="92"/>
      <c r="BR24" s="92"/>
    </row>
    <row r="25" spans="1:74">
      <c r="A25" s="78" t="s">
        <v>30</v>
      </c>
      <c r="B25" s="78" t="s">
        <v>22</v>
      </c>
      <c r="C25" s="78" t="s">
        <v>26</v>
      </c>
      <c r="D25" s="78" t="s">
        <v>23</v>
      </c>
      <c r="E25" s="78" t="s">
        <v>27</v>
      </c>
      <c r="F25" s="78" t="s">
        <v>24</v>
      </c>
      <c r="G25" s="78" t="s">
        <v>28</v>
      </c>
      <c r="H25" s="78" t="s">
        <v>25</v>
      </c>
      <c r="I25" s="78" t="s">
        <v>29</v>
      </c>
      <c r="J25" s="78" t="s">
        <v>87</v>
      </c>
      <c r="K25" s="78" t="s">
        <v>88</v>
      </c>
      <c r="M25" s="78" t="s">
        <v>18</v>
      </c>
      <c r="N25" s="78" t="s">
        <v>16</v>
      </c>
      <c r="O25" s="78" t="s">
        <v>10</v>
      </c>
      <c r="P25" s="78" t="s">
        <v>17</v>
      </c>
      <c r="R25" s="78" t="s">
        <v>18</v>
      </c>
      <c r="S25" s="78" t="s">
        <v>16</v>
      </c>
      <c r="T25" s="78" t="s">
        <v>10</v>
      </c>
      <c r="U25" s="78" t="s">
        <v>17</v>
      </c>
      <c r="W25" s="78" t="s">
        <v>30</v>
      </c>
      <c r="X25" s="78" t="s">
        <v>34</v>
      </c>
      <c r="Y25" s="78" t="s">
        <v>16</v>
      </c>
      <c r="Z25" s="78" t="s">
        <v>10</v>
      </c>
      <c r="AA25" s="78" t="s">
        <v>17</v>
      </c>
      <c r="AC25" s="78" t="s">
        <v>30</v>
      </c>
      <c r="AD25" s="78" t="s">
        <v>34</v>
      </c>
      <c r="AE25" s="78" t="s">
        <v>16</v>
      </c>
      <c r="AF25" s="78" t="s">
        <v>10</v>
      </c>
      <c r="AG25" s="78" t="s">
        <v>17</v>
      </c>
      <c r="AI25" s="78" t="s">
        <v>30</v>
      </c>
      <c r="AJ25" s="78" t="s">
        <v>34</v>
      </c>
      <c r="AK25" s="78" t="s">
        <v>16</v>
      </c>
      <c r="AL25" s="78" t="s">
        <v>10</v>
      </c>
      <c r="AM25" s="78" t="s">
        <v>17</v>
      </c>
      <c r="AO25" s="121"/>
      <c r="AP25" s="78" t="s">
        <v>34</v>
      </c>
      <c r="AQ25" s="78" t="s">
        <v>16</v>
      </c>
      <c r="AR25" s="78" t="s">
        <v>10</v>
      </c>
      <c r="AS25" s="78" t="s">
        <v>17</v>
      </c>
      <c r="AU25" s="123"/>
      <c r="AV25" s="78" t="s">
        <v>34</v>
      </c>
      <c r="AW25" s="78" t="s">
        <v>16</v>
      </c>
      <c r="AX25" s="78" t="s">
        <v>10</v>
      </c>
      <c r="AY25" s="78" t="s">
        <v>17</v>
      </c>
      <c r="BA25" s="121"/>
      <c r="BB25" s="78" t="s">
        <v>34</v>
      </c>
      <c r="BC25" s="78" t="s">
        <v>16</v>
      </c>
      <c r="BD25" s="78" t="s">
        <v>10</v>
      </c>
      <c r="BE25" s="78" t="s">
        <v>17</v>
      </c>
      <c r="BF25" s="78" t="s">
        <v>80</v>
      </c>
      <c r="BH25" s="123"/>
      <c r="BI25" s="78" t="s">
        <v>34</v>
      </c>
      <c r="BJ25" s="78" t="s">
        <v>16</v>
      </c>
      <c r="BK25" s="78" t="s">
        <v>10</v>
      </c>
      <c r="BL25" s="78" t="s">
        <v>17</v>
      </c>
      <c r="BN25" s="78"/>
      <c r="BO25" s="78" t="s">
        <v>80</v>
      </c>
      <c r="BP25" s="78" t="s">
        <v>76</v>
      </c>
      <c r="BQ25" s="78" t="s">
        <v>38</v>
      </c>
      <c r="BR25" s="84" t="s">
        <v>81</v>
      </c>
    </row>
    <row r="26" spans="1:74">
      <c r="A26" s="78">
        <v>0</v>
      </c>
      <c r="B26" s="78">
        <v>0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M26" s="78">
        <v>0</v>
      </c>
      <c r="N26" s="78">
        <v>0</v>
      </c>
      <c r="O26" s="78">
        <v>0</v>
      </c>
      <c r="P26" s="78">
        <v>0</v>
      </c>
      <c r="R26" s="78">
        <v>0</v>
      </c>
      <c r="S26" s="78">
        <v>0</v>
      </c>
      <c r="T26" s="78">
        <v>0</v>
      </c>
      <c r="U26" s="78">
        <v>0</v>
      </c>
      <c r="W26" s="78">
        <v>0</v>
      </c>
      <c r="X26" s="70">
        <v>0</v>
      </c>
      <c r="Y26" s="70">
        <v>0</v>
      </c>
      <c r="Z26" s="70">
        <v>0</v>
      </c>
      <c r="AA26" s="70">
        <v>0</v>
      </c>
      <c r="AC26" s="78">
        <v>0</v>
      </c>
      <c r="AD26" s="93">
        <f>X26</f>
        <v>0</v>
      </c>
      <c r="AE26" s="93">
        <f>Y26</f>
        <v>0</v>
      </c>
      <c r="AF26" s="93">
        <f>Z26</f>
        <v>0</v>
      </c>
      <c r="AG26" s="93">
        <f>AA26</f>
        <v>0</v>
      </c>
      <c r="AI26" s="78">
        <v>0</v>
      </c>
      <c r="AJ26" s="71">
        <v>0</v>
      </c>
      <c r="AK26" s="71">
        <v>0</v>
      </c>
      <c r="AL26" s="71">
        <v>0</v>
      </c>
      <c r="AM26" s="71">
        <v>0</v>
      </c>
      <c r="AO26" s="78">
        <v>0</v>
      </c>
      <c r="AP26" s="70">
        <f t="shared" ref="AP26:AS32" si="24">(1)*(X26/1000)/(0.0821)*(273+30)</f>
        <v>0</v>
      </c>
      <c r="AQ26" s="70">
        <f t="shared" si="24"/>
        <v>0</v>
      </c>
      <c r="AR26" s="70">
        <f t="shared" si="24"/>
        <v>0</v>
      </c>
      <c r="AS26" s="70">
        <f t="shared" si="24"/>
        <v>0</v>
      </c>
      <c r="AU26" s="78">
        <v>0</v>
      </c>
      <c r="AV26" s="70">
        <f>AP26*22.4/1</f>
        <v>0</v>
      </c>
      <c r="AW26" s="70">
        <f t="shared" ref="AW26:AW32" si="25">AQ26*22.4/1</f>
        <v>0</v>
      </c>
      <c r="AX26" s="70">
        <f t="shared" ref="AX26:AX32" si="26">AR26*22.4/1</f>
        <v>0</v>
      </c>
      <c r="AY26" s="70">
        <f t="shared" ref="AY26:AY32" si="27">AS26*22.4/1</f>
        <v>0</v>
      </c>
      <c r="BA26" s="78">
        <v>0</v>
      </c>
      <c r="BB26" s="70">
        <f t="shared" ref="BB26:BE32" si="28">AV26*1/350</f>
        <v>0</v>
      </c>
      <c r="BC26" s="70">
        <f t="shared" si="28"/>
        <v>0</v>
      </c>
      <c r="BD26" s="70">
        <f t="shared" si="28"/>
        <v>0</v>
      </c>
      <c r="BE26" s="70">
        <f t="shared" si="28"/>
        <v>0</v>
      </c>
      <c r="BF26" s="78">
        <f>54.2*37/1000</f>
        <v>2.0054000000000003</v>
      </c>
      <c r="BH26" s="78">
        <v>0</v>
      </c>
      <c r="BI26" s="70">
        <f>BB26/$BF$26</f>
        <v>0</v>
      </c>
      <c r="BJ26" s="70">
        <f t="shared" ref="BJ26:BL32" si="29">BC26/$BF$26</f>
        <v>0</v>
      </c>
      <c r="BK26" s="70">
        <f t="shared" si="29"/>
        <v>0</v>
      </c>
      <c r="BL26" s="70">
        <f t="shared" si="29"/>
        <v>0</v>
      </c>
      <c r="BN26" s="78" t="s">
        <v>34</v>
      </c>
      <c r="BO26" s="78">
        <f>BF26</f>
        <v>2.0054000000000003</v>
      </c>
      <c r="BP26" s="70">
        <f>BB32</f>
        <v>1.319742518879415</v>
      </c>
      <c r="BQ26" s="70">
        <f>AV32</f>
        <v>461.90988160779523</v>
      </c>
      <c r="BR26" s="70">
        <f>BP26/BO26</f>
        <v>0.65809440454742929</v>
      </c>
    </row>
    <row r="27" spans="1:74">
      <c r="A27" s="78">
        <v>24</v>
      </c>
      <c r="B27" s="78">
        <v>26</v>
      </c>
      <c r="C27" s="78">
        <v>25</v>
      </c>
      <c r="D27" s="78">
        <v>24</v>
      </c>
      <c r="E27" s="78">
        <v>25</v>
      </c>
      <c r="F27" s="78">
        <v>26</v>
      </c>
      <c r="G27" s="78">
        <v>26</v>
      </c>
      <c r="H27" s="78">
        <v>10</v>
      </c>
      <c r="I27" s="78">
        <v>12</v>
      </c>
      <c r="J27" s="78">
        <v>4</v>
      </c>
      <c r="K27" s="78">
        <v>4</v>
      </c>
      <c r="M27" s="78">
        <v>12.37</v>
      </c>
      <c r="N27" s="78">
        <v>13.99</v>
      </c>
      <c r="O27" s="78">
        <v>15.38</v>
      </c>
      <c r="P27" s="78">
        <v>12.23</v>
      </c>
      <c r="R27" s="78">
        <f>((B27+C27)/2)-($J$6+$K$6)/2</f>
        <v>21.5</v>
      </c>
      <c r="S27" s="78">
        <f>((D27+E27)/2)-($J$6+$K$6)/2</f>
        <v>20.5</v>
      </c>
      <c r="T27" s="78">
        <f>((F27+G27)/2)-($J$6+$K$6)/2</f>
        <v>22</v>
      </c>
      <c r="U27" s="78">
        <f>((H27+I27)/2)-($J$6+$K$6)/2</f>
        <v>7</v>
      </c>
      <c r="W27" s="78">
        <v>24</v>
      </c>
      <c r="X27" s="70">
        <f t="shared" ref="X27:AA32" si="30">(M27/100)*R27</f>
        <v>2.6595499999999999</v>
      </c>
      <c r="Y27" s="70">
        <f t="shared" si="30"/>
        <v>2.86795</v>
      </c>
      <c r="Z27" s="70">
        <f t="shared" si="30"/>
        <v>3.3836000000000004</v>
      </c>
      <c r="AA27" s="70">
        <f t="shared" si="30"/>
        <v>0.85610000000000008</v>
      </c>
      <c r="AC27" s="78">
        <v>24</v>
      </c>
      <c r="AD27" s="93">
        <f t="shared" ref="AD27:AG32" si="31">AD26+X27</f>
        <v>2.6595499999999999</v>
      </c>
      <c r="AE27" s="93">
        <f t="shared" si="31"/>
        <v>2.86795</v>
      </c>
      <c r="AF27" s="93">
        <f t="shared" si="31"/>
        <v>3.3836000000000004</v>
      </c>
      <c r="AG27" s="93">
        <f t="shared" si="31"/>
        <v>0.85610000000000008</v>
      </c>
      <c r="AI27" s="78">
        <v>24</v>
      </c>
      <c r="AJ27" s="71">
        <f t="shared" ref="AJ27:AJ32" si="32">AD27/0.2</f>
        <v>13.297749999999999</v>
      </c>
      <c r="AK27" s="71">
        <f t="shared" ref="AK27:AK32" si="33">AE27/0.2</f>
        <v>14.339749999999999</v>
      </c>
      <c r="AL27" s="71">
        <f t="shared" ref="AL27:AL32" si="34">AF27/0.2</f>
        <v>16.917999999999999</v>
      </c>
      <c r="AM27" s="71">
        <f t="shared" ref="AM27:AM32" si="35">AG27/0.2</f>
        <v>4.2805</v>
      </c>
      <c r="AO27" s="78">
        <v>24</v>
      </c>
      <c r="AP27" s="70">
        <f t="shared" si="24"/>
        <v>9.8153915956151021</v>
      </c>
      <c r="AQ27" s="70">
        <f t="shared" si="24"/>
        <v>10.584517052375151</v>
      </c>
      <c r="AR27" s="70">
        <f t="shared" si="24"/>
        <v>12.487585870889159</v>
      </c>
      <c r="AS27" s="70">
        <f t="shared" si="24"/>
        <v>3.159540803897686</v>
      </c>
      <c r="AU27" s="78">
        <v>24</v>
      </c>
      <c r="AV27" s="70">
        <f t="shared" ref="AV27:AV32" si="36">AP27*22.4/1</f>
        <v>219.86477174177827</v>
      </c>
      <c r="AW27" s="70">
        <f t="shared" si="25"/>
        <v>237.09318197320337</v>
      </c>
      <c r="AX27" s="70">
        <f t="shared" si="26"/>
        <v>279.72192350791715</v>
      </c>
      <c r="AY27" s="70">
        <f t="shared" si="27"/>
        <v>70.773714007308158</v>
      </c>
      <c r="BA27" s="78">
        <v>24</v>
      </c>
      <c r="BB27" s="70">
        <f t="shared" si="28"/>
        <v>0.62818506211936653</v>
      </c>
      <c r="BC27" s="70">
        <f t="shared" si="28"/>
        <v>0.67740909135200966</v>
      </c>
      <c r="BD27" s="70">
        <f t="shared" si="28"/>
        <v>0.79920549573690614</v>
      </c>
      <c r="BE27" s="70">
        <f t="shared" si="28"/>
        <v>0.20221061144945188</v>
      </c>
      <c r="BF27" s="78">
        <f t="shared" ref="BF27:BF32" si="37">54.2*37/1000</f>
        <v>2.0054000000000003</v>
      </c>
      <c r="BH27" s="78">
        <v>24</v>
      </c>
      <c r="BI27" s="70">
        <f t="shared" ref="BI27:BI32" si="38">BB27/$BF$26</f>
        <v>0.31324676479473745</v>
      </c>
      <c r="BJ27" s="70">
        <f t="shared" si="29"/>
        <v>0.33779250591004767</v>
      </c>
      <c r="BK27" s="70">
        <f t="shared" si="29"/>
        <v>0.39852672570903863</v>
      </c>
      <c r="BL27" s="70">
        <f t="shared" si="29"/>
        <v>0.10083305647225084</v>
      </c>
      <c r="BN27" s="78" t="s">
        <v>16</v>
      </c>
      <c r="BO27" s="78">
        <f>BF27</f>
        <v>2.0054000000000003</v>
      </c>
      <c r="BP27" s="70">
        <f>BC32</f>
        <v>1.194627507917174</v>
      </c>
      <c r="BQ27" s="70">
        <f>AW32</f>
        <v>418.11962777101093</v>
      </c>
      <c r="BR27" s="70">
        <f>BP27/BO27</f>
        <v>0.59570534951489673</v>
      </c>
    </row>
    <row r="28" spans="1:74">
      <c r="A28" s="78">
        <v>48</v>
      </c>
      <c r="B28" s="78">
        <v>32</v>
      </c>
      <c r="C28" s="78">
        <v>31</v>
      </c>
      <c r="D28" s="78">
        <v>26</v>
      </c>
      <c r="E28" s="78">
        <v>30</v>
      </c>
      <c r="F28" s="78">
        <v>24</v>
      </c>
      <c r="G28" s="78">
        <v>24</v>
      </c>
      <c r="H28" s="78">
        <v>20</v>
      </c>
      <c r="I28" s="78">
        <v>22</v>
      </c>
      <c r="J28" s="78">
        <v>10</v>
      </c>
      <c r="K28" s="78">
        <v>8</v>
      </c>
      <c r="M28" s="78">
        <v>20.190000000000001</v>
      </c>
      <c r="N28" s="78">
        <v>21.810000000000002</v>
      </c>
      <c r="O28" s="78">
        <v>22.5</v>
      </c>
      <c r="P28" s="78">
        <v>21.630000000000003</v>
      </c>
      <c r="R28" s="78">
        <f>((B28+C28)/2)-($J$7+$K$7)/2</f>
        <v>22.5</v>
      </c>
      <c r="S28" s="78">
        <f>((D28+E28)/2)-($J$7+$K$7)/2</f>
        <v>19</v>
      </c>
      <c r="T28" s="78">
        <f>((F28+G28)/2)-($J$7+$K$7)/2</f>
        <v>15</v>
      </c>
      <c r="U28" s="78">
        <f>((H28+I28)/2)-($J$7+$K$7)/2</f>
        <v>12</v>
      </c>
      <c r="W28" s="78">
        <v>48</v>
      </c>
      <c r="X28" s="70">
        <f t="shared" si="30"/>
        <v>4.5427500000000007</v>
      </c>
      <c r="Y28" s="70">
        <f t="shared" si="30"/>
        <v>4.1439000000000004</v>
      </c>
      <c r="Z28" s="70">
        <f t="shared" si="30"/>
        <v>3.375</v>
      </c>
      <c r="AA28" s="70">
        <f t="shared" si="30"/>
        <v>2.5956000000000001</v>
      </c>
      <c r="AC28" s="78">
        <v>48</v>
      </c>
      <c r="AD28" s="93">
        <f t="shared" si="31"/>
        <v>7.202300000000001</v>
      </c>
      <c r="AE28" s="93">
        <f t="shared" si="31"/>
        <v>7.0118500000000008</v>
      </c>
      <c r="AF28" s="93">
        <f t="shared" si="31"/>
        <v>6.7586000000000004</v>
      </c>
      <c r="AG28" s="93">
        <f t="shared" si="31"/>
        <v>3.4517000000000002</v>
      </c>
      <c r="AI28" s="78">
        <v>48</v>
      </c>
      <c r="AJ28" s="71">
        <f t="shared" si="32"/>
        <v>36.011500000000005</v>
      </c>
      <c r="AK28" s="71">
        <f t="shared" si="33"/>
        <v>35.059249999999999</v>
      </c>
      <c r="AL28" s="71">
        <f t="shared" si="34"/>
        <v>33.792999999999999</v>
      </c>
      <c r="AM28" s="71">
        <f t="shared" si="35"/>
        <v>17.258500000000002</v>
      </c>
      <c r="AO28" s="78">
        <v>48</v>
      </c>
      <c r="AP28" s="70">
        <f t="shared" si="24"/>
        <v>16.765569427527407</v>
      </c>
      <c r="AQ28" s="70">
        <f t="shared" si="24"/>
        <v>15.29356516443362</v>
      </c>
      <c r="AR28" s="70">
        <f t="shared" si="24"/>
        <v>12.455846528623628</v>
      </c>
      <c r="AS28" s="70">
        <f t="shared" si="24"/>
        <v>9.5793763702801442</v>
      </c>
      <c r="AU28" s="78">
        <v>48</v>
      </c>
      <c r="AV28" s="70">
        <f t="shared" si="36"/>
        <v>375.54875517661389</v>
      </c>
      <c r="AW28" s="70">
        <f t="shared" si="25"/>
        <v>342.57585968331307</v>
      </c>
      <c r="AX28" s="70">
        <f t="shared" si="26"/>
        <v>279.01096224116924</v>
      </c>
      <c r="AY28" s="70">
        <f t="shared" si="27"/>
        <v>214.57803069427521</v>
      </c>
      <c r="BA28" s="78">
        <v>48</v>
      </c>
      <c r="BB28" s="70">
        <f t="shared" si="28"/>
        <v>1.072996443361754</v>
      </c>
      <c r="BC28" s="70">
        <f t="shared" si="28"/>
        <v>0.97878817052375167</v>
      </c>
      <c r="BD28" s="70">
        <f t="shared" si="28"/>
        <v>0.79717417783191213</v>
      </c>
      <c r="BE28" s="70">
        <f t="shared" si="28"/>
        <v>0.61308008769792921</v>
      </c>
      <c r="BF28" s="78">
        <f t="shared" si="37"/>
        <v>2.0054000000000003</v>
      </c>
      <c r="BH28" s="78">
        <v>48</v>
      </c>
      <c r="BI28" s="70">
        <f t="shared" si="38"/>
        <v>0.53505357702291512</v>
      </c>
      <c r="BJ28" s="70">
        <f t="shared" si="29"/>
        <v>0.48807627930774483</v>
      </c>
      <c r="BK28" s="70">
        <f t="shared" si="29"/>
        <v>0.39751380165149697</v>
      </c>
      <c r="BL28" s="70">
        <f t="shared" si="29"/>
        <v>0.30571461439011127</v>
      </c>
      <c r="BN28" s="78" t="s">
        <v>10</v>
      </c>
      <c r="BO28" s="78">
        <f>BF28</f>
        <v>2.0054000000000003</v>
      </c>
      <c r="BP28" s="70">
        <f>BD32</f>
        <v>0.52755215590742999</v>
      </c>
      <c r="BQ28" s="70">
        <f>AX32</f>
        <v>184.64325456760048</v>
      </c>
      <c r="BR28" s="70">
        <f>BP28/BO28</f>
        <v>0.26306580029292403</v>
      </c>
    </row>
    <row r="29" spans="1:74">
      <c r="A29" s="78">
        <v>72</v>
      </c>
      <c r="B29" s="78">
        <v>33</v>
      </c>
      <c r="C29" s="78">
        <v>31</v>
      </c>
      <c r="D29" s="78">
        <v>28</v>
      </c>
      <c r="E29" s="78">
        <v>33</v>
      </c>
      <c r="F29" s="78">
        <v>28</v>
      </c>
      <c r="G29" s="78">
        <v>28</v>
      </c>
      <c r="H29" s="78">
        <v>18</v>
      </c>
      <c r="I29" s="78">
        <v>20</v>
      </c>
      <c r="J29" s="78">
        <v>10</v>
      </c>
      <c r="K29" s="78">
        <v>8</v>
      </c>
      <c r="M29" s="78">
        <v>28.8</v>
      </c>
      <c r="N29" s="78">
        <v>30.42</v>
      </c>
      <c r="O29" s="78">
        <v>29.310000000000002</v>
      </c>
      <c r="P29" s="78">
        <v>26.47</v>
      </c>
      <c r="R29" s="78">
        <f>((B29+C29)/2)-($J$8+$K$8)/2</f>
        <v>23</v>
      </c>
      <c r="S29" s="78">
        <f>((D29+E29)/2)-($J$8+$K$8)/2</f>
        <v>21.5</v>
      </c>
      <c r="T29" s="78">
        <f>((F29+G29)/2)-($J$8+$K$8)/2</f>
        <v>19</v>
      </c>
      <c r="U29" s="78">
        <f>((H29+I29)/2)-($J$8+$K$8)/2</f>
        <v>10</v>
      </c>
      <c r="W29" s="78">
        <v>72</v>
      </c>
      <c r="X29" s="70">
        <f t="shared" si="30"/>
        <v>6.6240000000000006</v>
      </c>
      <c r="Y29" s="70">
        <f t="shared" si="30"/>
        <v>6.5403000000000002</v>
      </c>
      <c r="Z29" s="70">
        <f t="shared" si="30"/>
        <v>5.5689000000000002</v>
      </c>
      <c r="AA29" s="70">
        <f t="shared" si="30"/>
        <v>2.6469999999999998</v>
      </c>
      <c r="AC29" s="78">
        <v>72</v>
      </c>
      <c r="AD29" s="93">
        <f t="shared" si="31"/>
        <v>13.826300000000002</v>
      </c>
      <c r="AE29" s="93">
        <f t="shared" si="31"/>
        <v>13.552150000000001</v>
      </c>
      <c r="AF29" s="93">
        <f t="shared" si="31"/>
        <v>12.327500000000001</v>
      </c>
      <c r="AG29" s="93">
        <f t="shared" si="31"/>
        <v>6.0987</v>
      </c>
      <c r="AI29" s="78">
        <v>72</v>
      </c>
      <c r="AJ29" s="71">
        <f t="shared" si="32"/>
        <v>69.131500000000003</v>
      </c>
      <c r="AK29" s="71">
        <f t="shared" si="33"/>
        <v>67.760750000000002</v>
      </c>
      <c r="AL29" s="71">
        <f t="shared" si="34"/>
        <v>61.637500000000003</v>
      </c>
      <c r="AM29" s="71">
        <f t="shared" si="35"/>
        <v>30.493499999999997</v>
      </c>
      <c r="AO29" s="78">
        <v>72</v>
      </c>
      <c r="AP29" s="70">
        <f t="shared" si="24"/>
        <v>24.44667478684531</v>
      </c>
      <c r="AQ29" s="70">
        <f t="shared" si="24"/>
        <v>24.137769792935444</v>
      </c>
      <c r="AR29" s="70">
        <f t="shared" si="24"/>
        <v>20.552700365408036</v>
      </c>
      <c r="AS29" s="70">
        <f t="shared" si="24"/>
        <v>9.769074299634589</v>
      </c>
      <c r="AU29" s="78">
        <v>72</v>
      </c>
      <c r="AV29" s="70">
        <f t="shared" si="36"/>
        <v>547.6055152253349</v>
      </c>
      <c r="AW29" s="70">
        <f t="shared" si="25"/>
        <v>540.68604336175395</v>
      </c>
      <c r="AX29" s="70">
        <f t="shared" si="26"/>
        <v>460.38048818514</v>
      </c>
      <c r="AY29" s="70">
        <f t="shared" si="27"/>
        <v>218.82726431181479</v>
      </c>
      <c r="BA29" s="78">
        <v>72</v>
      </c>
      <c r="BB29" s="70">
        <f t="shared" si="28"/>
        <v>1.5645871863580998</v>
      </c>
      <c r="BC29" s="70">
        <f t="shared" si="28"/>
        <v>1.5448172667478683</v>
      </c>
      <c r="BD29" s="70">
        <f t="shared" si="28"/>
        <v>1.3153728233861142</v>
      </c>
      <c r="BE29" s="70">
        <f t="shared" si="28"/>
        <v>0.62522075517661369</v>
      </c>
      <c r="BF29" s="78">
        <f t="shared" si="37"/>
        <v>2.0054000000000003</v>
      </c>
      <c r="BH29" s="78">
        <v>72</v>
      </c>
      <c r="BI29" s="70">
        <f t="shared" si="38"/>
        <v>0.78018708804133818</v>
      </c>
      <c r="BJ29" s="70">
        <f t="shared" si="29"/>
        <v>0.77032874576038102</v>
      </c>
      <c r="BK29" s="70">
        <f t="shared" si="29"/>
        <v>0.65591544000504332</v>
      </c>
      <c r="BL29" s="70">
        <f t="shared" si="29"/>
        <v>0.3117686023619296</v>
      </c>
      <c r="BN29" s="78" t="s">
        <v>17</v>
      </c>
      <c r="BO29" s="78">
        <f>BF29</f>
        <v>2.0054000000000003</v>
      </c>
      <c r="BP29" s="70">
        <f>BE32</f>
        <v>0.13217738367844087</v>
      </c>
      <c r="BQ29" s="70">
        <f>AY32</f>
        <v>46.262084287454307</v>
      </c>
      <c r="BR29" s="70">
        <f>BP29/BO29</f>
        <v>6.5910732860497076E-2</v>
      </c>
    </row>
    <row r="30" spans="1:74">
      <c r="A30" s="78">
        <v>96</v>
      </c>
      <c r="B30" s="78">
        <v>34</v>
      </c>
      <c r="C30" s="78">
        <v>36</v>
      </c>
      <c r="D30" s="78">
        <v>22</v>
      </c>
      <c r="E30" s="78">
        <v>23</v>
      </c>
      <c r="F30" s="78">
        <v>24</v>
      </c>
      <c r="G30" s="78">
        <v>24</v>
      </c>
      <c r="H30" s="78">
        <v>14</v>
      </c>
      <c r="I30" s="78">
        <v>16</v>
      </c>
      <c r="J30" s="78">
        <v>10</v>
      </c>
      <c r="K30" s="78">
        <v>10</v>
      </c>
      <c r="M30" s="78">
        <v>43.94</v>
      </c>
      <c r="N30" s="78">
        <v>45.559999999999995</v>
      </c>
      <c r="O30" s="78">
        <v>41.69</v>
      </c>
      <c r="P30" s="78">
        <v>38.56</v>
      </c>
      <c r="R30" s="78">
        <f>((B30+C30)/2)-($J$9+$K$9)/2</f>
        <v>25</v>
      </c>
      <c r="S30" s="78">
        <f>((D30+E30)/2)-($J$9+$K$9)/2</f>
        <v>12.5</v>
      </c>
      <c r="T30" s="78">
        <f>((F30+G30)/2)-($J$9+$K$9)/2</f>
        <v>14</v>
      </c>
      <c r="U30" s="78">
        <f>((H30+I30)/2)-($J$9+$K$9)/2</f>
        <v>5</v>
      </c>
      <c r="W30" s="78">
        <v>96</v>
      </c>
      <c r="X30" s="70">
        <f t="shared" si="30"/>
        <v>10.984999999999999</v>
      </c>
      <c r="Y30" s="70">
        <f t="shared" si="30"/>
        <v>5.6949999999999994</v>
      </c>
      <c r="Z30" s="70">
        <f t="shared" si="30"/>
        <v>5.8365999999999998</v>
      </c>
      <c r="AA30" s="70">
        <f t="shared" si="30"/>
        <v>1.9279999999999999</v>
      </c>
      <c r="AC30" s="78">
        <v>96</v>
      </c>
      <c r="AD30" s="93">
        <f t="shared" si="31"/>
        <v>24.811300000000003</v>
      </c>
      <c r="AE30" s="93">
        <f t="shared" si="31"/>
        <v>19.247150000000001</v>
      </c>
      <c r="AF30" s="93">
        <f t="shared" si="31"/>
        <v>18.164100000000001</v>
      </c>
      <c r="AG30" s="93">
        <f t="shared" si="31"/>
        <v>8.0266999999999999</v>
      </c>
      <c r="AI30" s="78">
        <v>96</v>
      </c>
      <c r="AJ30" s="71">
        <f t="shared" si="32"/>
        <v>124.05650000000001</v>
      </c>
      <c r="AK30" s="71">
        <f t="shared" si="33"/>
        <v>96.235749999999996</v>
      </c>
      <c r="AL30" s="71">
        <f t="shared" si="34"/>
        <v>90.820499999999996</v>
      </c>
      <c r="AM30" s="71">
        <f t="shared" si="35"/>
        <v>40.133499999999998</v>
      </c>
      <c r="AO30" s="78">
        <v>96</v>
      </c>
      <c r="AP30" s="70">
        <f t="shared" si="24"/>
        <v>40.541473812423867</v>
      </c>
      <c r="AQ30" s="70">
        <f t="shared" si="24"/>
        <v>21.018087697929353</v>
      </c>
      <c r="AR30" s="70">
        <f t="shared" si="24"/>
        <v>21.540679658952492</v>
      </c>
      <c r="AS30" s="70">
        <f t="shared" si="24"/>
        <v>7.1155176613885498</v>
      </c>
      <c r="AU30" s="78">
        <v>96</v>
      </c>
      <c r="AV30" s="70">
        <f t="shared" si="36"/>
        <v>908.12901339829455</v>
      </c>
      <c r="AW30" s="70">
        <f t="shared" si="25"/>
        <v>470.80516443361745</v>
      </c>
      <c r="AX30" s="70">
        <f t="shared" si="26"/>
        <v>482.51122436053578</v>
      </c>
      <c r="AY30" s="70">
        <f t="shared" si="27"/>
        <v>159.38759561510349</v>
      </c>
      <c r="BA30" s="78">
        <v>96</v>
      </c>
      <c r="BB30" s="70">
        <f t="shared" si="28"/>
        <v>2.5946543239951274</v>
      </c>
      <c r="BC30" s="70">
        <f t="shared" si="28"/>
        <v>1.3451576126674785</v>
      </c>
      <c r="BD30" s="70">
        <f t="shared" si="28"/>
        <v>1.3786034981729594</v>
      </c>
      <c r="BE30" s="70">
        <f t="shared" si="28"/>
        <v>0.45539313032886714</v>
      </c>
      <c r="BF30" s="78">
        <f t="shared" si="37"/>
        <v>2.0054000000000003</v>
      </c>
      <c r="BH30" s="78">
        <v>96</v>
      </c>
      <c r="BI30" s="70">
        <f t="shared" si="38"/>
        <v>1.2938338107086502</v>
      </c>
      <c r="BJ30" s="70">
        <f t="shared" si="29"/>
        <v>0.67076773345341489</v>
      </c>
      <c r="BK30" s="70">
        <f t="shared" si="29"/>
        <v>0.68744564584270429</v>
      </c>
      <c r="BL30" s="70">
        <f t="shared" si="29"/>
        <v>0.22708343987676627</v>
      </c>
    </row>
    <row r="31" spans="1:74">
      <c r="A31" s="78">
        <v>120</v>
      </c>
      <c r="B31" s="78">
        <v>28</v>
      </c>
      <c r="C31" s="78">
        <v>25</v>
      </c>
      <c r="D31" s="78">
        <v>24</v>
      </c>
      <c r="E31" s="78">
        <v>20</v>
      </c>
      <c r="F31" s="78">
        <v>20</v>
      </c>
      <c r="G31" s="78">
        <v>24</v>
      </c>
      <c r="H31" s="78">
        <v>16</v>
      </c>
      <c r="I31" s="78">
        <v>18</v>
      </c>
      <c r="J31" s="78">
        <v>10</v>
      </c>
      <c r="K31" s="78">
        <v>8</v>
      </c>
      <c r="M31" s="78">
        <v>43.22</v>
      </c>
      <c r="N31" s="78">
        <v>44.21</v>
      </c>
      <c r="O31" s="78">
        <v>42.45</v>
      </c>
      <c r="P31" s="78">
        <v>39.870000000000005</v>
      </c>
      <c r="R31" s="78">
        <f>((B31+C31)/2)-($J$10+$K$9)/2</f>
        <v>16.5</v>
      </c>
      <c r="S31" s="78">
        <f>((D31+E31)/2)-($J$10+$K$10)/2</f>
        <v>13</v>
      </c>
      <c r="T31" s="78">
        <f>((F31+G31)/2)-($J$10+$K$10)/2</f>
        <v>13</v>
      </c>
      <c r="U31" s="78">
        <f>((H31+I31)/2)-($J$10+$K$10)/2</f>
        <v>8</v>
      </c>
      <c r="W31" s="78">
        <v>120</v>
      </c>
      <c r="X31" s="70">
        <f t="shared" si="30"/>
        <v>7.1312999999999995</v>
      </c>
      <c r="Y31" s="70">
        <f t="shared" si="30"/>
        <v>5.7473000000000001</v>
      </c>
      <c r="Z31" s="70">
        <f t="shared" si="30"/>
        <v>5.5185000000000004</v>
      </c>
      <c r="AA31" s="70">
        <f t="shared" si="30"/>
        <v>3.1896000000000004</v>
      </c>
      <c r="AC31" s="78">
        <v>120</v>
      </c>
      <c r="AD31" s="93">
        <f t="shared" si="31"/>
        <v>31.942600000000002</v>
      </c>
      <c r="AE31" s="93">
        <f t="shared" si="31"/>
        <v>24.994450000000001</v>
      </c>
      <c r="AF31" s="93">
        <f t="shared" si="31"/>
        <v>23.682600000000001</v>
      </c>
      <c r="AG31" s="93">
        <f t="shared" si="31"/>
        <v>11.2163</v>
      </c>
      <c r="AI31" s="78">
        <v>120</v>
      </c>
      <c r="AJ31" s="71">
        <f t="shared" si="32"/>
        <v>159.71299999999999</v>
      </c>
      <c r="AK31" s="71">
        <f t="shared" si="33"/>
        <v>124.97225</v>
      </c>
      <c r="AL31" s="71">
        <f t="shared" si="34"/>
        <v>118.413</v>
      </c>
      <c r="AM31" s="71">
        <f t="shared" si="35"/>
        <v>56.081499999999998</v>
      </c>
      <c r="AO31" s="78">
        <v>120</v>
      </c>
      <c r="AP31" s="70">
        <f t="shared" si="24"/>
        <v>26.318926918392201</v>
      </c>
      <c r="AQ31" s="70">
        <f t="shared" si="24"/>
        <v>21.211107186358099</v>
      </c>
      <c r="AR31" s="70">
        <f t="shared" si="24"/>
        <v>20.366693057247261</v>
      </c>
      <c r="AS31" s="70">
        <f t="shared" si="24"/>
        <v>11.771605359317906</v>
      </c>
      <c r="AU31" s="78">
        <v>120</v>
      </c>
      <c r="AV31" s="70">
        <f t="shared" si="36"/>
        <v>589.54396297198525</v>
      </c>
      <c r="AW31" s="70">
        <f t="shared" si="25"/>
        <v>475.12880097442138</v>
      </c>
      <c r="AX31" s="70">
        <f t="shared" si="26"/>
        <v>456.2139244823386</v>
      </c>
      <c r="AY31" s="70">
        <f t="shared" si="27"/>
        <v>263.68396004872108</v>
      </c>
      <c r="BA31" s="78">
        <v>120</v>
      </c>
      <c r="BB31" s="70">
        <f t="shared" si="28"/>
        <v>1.6844113227771007</v>
      </c>
      <c r="BC31" s="70">
        <f t="shared" si="28"/>
        <v>1.3575108599269183</v>
      </c>
      <c r="BD31" s="70">
        <f t="shared" si="28"/>
        <v>1.3034683556638245</v>
      </c>
      <c r="BE31" s="70">
        <f t="shared" si="28"/>
        <v>0.75338274299634589</v>
      </c>
      <c r="BF31" s="78">
        <f t="shared" si="37"/>
        <v>2.0054000000000003</v>
      </c>
      <c r="BH31" s="78">
        <v>120</v>
      </c>
      <c r="BI31" s="70">
        <f t="shared" si="38"/>
        <v>0.83993782924957638</v>
      </c>
      <c r="BJ31" s="70">
        <f t="shared" si="29"/>
        <v>0.67692772510567378</v>
      </c>
      <c r="BK31" s="70">
        <f t="shared" si="29"/>
        <v>0.64997923390038115</v>
      </c>
      <c r="BL31" s="70">
        <f t="shared" si="29"/>
        <v>0.3756770434807748</v>
      </c>
    </row>
    <row r="32" spans="1:74">
      <c r="A32" s="78">
        <v>144</v>
      </c>
      <c r="B32" s="78">
        <v>21</v>
      </c>
      <c r="C32" s="78">
        <v>23</v>
      </c>
      <c r="D32" s="78">
        <v>20</v>
      </c>
      <c r="E32" s="78">
        <v>21</v>
      </c>
      <c r="F32" s="78">
        <v>12</v>
      </c>
      <c r="G32" s="78">
        <v>16</v>
      </c>
      <c r="H32" s="78">
        <v>10</v>
      </c>
      <c r="I32" s="78">
        <v>12</v>
      </c>
      <c r="J32" s="78">
        <v>10</v>
      </c>
      <c r="K32" s="78">
        <v>8</v>
      </c>
      <c r="M32" s="78">
        <v>42.98</v>
      </c>
      <c r="N32" s="78">
        <v>43.98</v>
      </c>
      <c r="O32" s="78">
        <v>44.67</v>
      </c>
      <c r="P32" s="78">
        <v>27.98</v>
      </c>
      <c r="R32" s="78">
        <f>((B32+C32)/2)-($J$11+$K$11)/2</f>
        <v>13</v>
      </c>
      <c r="S32" s="78">
        <f>((D32+E32)/2)-($J$11+$K$11)/2</f>
        <v>11.5</v>
      </c>
      <c r="T32" s="78">
        <f>((F32+G32)/2)-($J$11+$K$11)/2</f>
        <v>5</v>
      </c>
      <c r="U32" s="78">
        <f>((H32+I32)/2)-($J$11+$K$11)/2</f>
        <v>2</v>
      </c>
      <c r="W32" s="78">
        <v>144</v>
      </c>
      <c r="X32" s="70">
        <f t="shared" si="30"/>
        <v>5.5873999999999997</v>
      </c>
      <c r="Y32" s="70">
        <f t="shared" si="30"/>
        <v>5.0576999999999996</v>
      </c>
      <c r="Z32" s="70">
        <f t="shared" si="30"/>
        <v>2.2335000000000003</v>
      </c>
      <c r="AA32" s="70">
        <f t="shared" si="30"/>
        <v>0.55959999999999999</v>
      </c>
      <c r="AC32" s="78">
        <v>144</v>
      </c>
      <c r="AD32" s="93">
        <f t="shared" si="31"/>
        <v>37.53</v>
      </c>
      <c r="AE32" s="93">
        <f t="shared" si="31"/>
        <v>30.052150000000001</v>
      </c>
      <c r="AF32" s="93">
        <f t="shared" si="31"/>
        <v>25.9161</v>
      </c>
      <c r="AG32" s="93">
        <f t="shared" si="31"/>
        <v>11.7759</v>
      </c>
      <c r="AI32" s="78">
        <v>144</v>
      </c>
      <c r="AJ32" s="71">
        <f t="shared" si="32"/>
        <v>187.65</v>
      </c>
      <c r="AK32" s="71">
        <f t="shared" si="33"/>
        <v>150.26075</v>
      </c>
      <c r="AL32" s="71">
        <f t="shared" si="34"/>
        <v>129.5805</v>
      </c>
      <c r="AM32" s="71">
        <f t="shared" si="35"/>
        <v>58.8795</v>
      </c>
      <c r="AO32" s="78">
        <v>144</v>
      </c>
      <c r="AP32" s="70">
        <f t="shared" si="24"/>
        <v>20.620976857490859</v>
      </c>
      <c r="AQ32" s="70">
        <f t="shared" si="24"/>
        <v>18.666054811205846</v>
      </c>
      <c r="AR32" s="70">
        <f t="shared" si="24"/>
        <v>8.2430024360535938</v>
      </c>
      <c r="AS32" s="70">
        <f t="shared" si="24"/>
        <v>2.0652716199756389</v>
      </c>
      <c r="AU32" s="78">
        <v>144</v>
      </c>
      <c r="AV32" s="70">
        <f t="shared" si="36"/>
        <v>461.90988160779523</v>
      </c>
      <c r="AW32" s="70">
        <f t="shared" si="25"/>
        <v>418.11962777101093</v>
      </c>
      <c r="AX32" s="70">
        <f t="shared" si="26"/>
        <v>184.64325456760048</v>
      </c>
      <c r="AY32" s="70">
        <f t="shared" si="27"/>
        <v>46.262084287454307</v>
      </c>
      <c r="BA32" s="78">
        <v>144</v>
      </c>
      <c r="BB32" s="70">
        <f t="shared" si="28"/>
        <v>1.319742518879415</v>
      </c>
      <c r="BC32" s="70">
        <f t="shared" si="28"/>
        <v>1.194627507917174</v>
      </c>
      <c r="BD32" s="70">
        <f t="shared" si="28"/>
        <v>0.52755215590742999</v>
      </c>
      <c r="BE32" s="70">
        <f t="shared" si="28"/>
        <v>0.13217738367844087</v>
      </c>
      <c r="BF32" s="78">
        <f t="shared" si="37"/>
        <v>2.0054000000000003</v>
      </c>
      <c r="BH32" s="78">
        <v>144</v>
      </c>
      <c r="BI32" s="70">
        <f t="shared" si="38"/>
        <v>0.65809440454742929</v>
      </c>
      <c r="BJ32" s="70">
        <f t="shared" si="29"/>
        <v>0.59570534951489673</v>
      </c>
      <c r="BK32" s="70">
        <f t="shared" si="29"/>
        <v>0.26306580029292403</v>
      </c>
      <c r="BL32" s="70">
        <f t="shared" si="29"/>
        <v>6.5910732860497076E-2</v>
      </c>
    </row>
    <row r="33" spans="1:70">
      <c r="AH33" s="113" t="s">
        <v>39</v>
      </c>
      <c r="AI33" s="114"/>
      <c r="AJ33" s="71">
        <f>AJ32</f>
        <v>187.65</v>
      </c>
      <c r="AK33" s="71">
        <f>AK32</f>
        <v>150.26075</v>
      </c>
      <c r="AL33" s="71">
        <f>AL32</f>
        <v>129.5805</v>
      </c>
      <c r="AM33" s="71">
        <f>AM32</f>
        <v>58.8795</v>
      </c>
    </row>
    <row r="35" spans="1:70">
      <c r="J35" s="69" t="s">
        <v>31</v>
      </c>
      <c r="K35" s="69"/>
      <c r="N35" s="83" t="s">
        <v>32</v>
      </c>
      <c r="O35" s="83"/>
      <c r="S35" s="115" t="s">
        <v>97</v>
      </c>
      <c r="T35" s="115"/>
      <c r="Y35" s="69" t="s">
        <v>38</v>
      </c>
      <c r="AD35" s="89" t="s">
        <v>89</v>
      </c>
      <c r="AJ35" s="116" t="s">
        <v>50</v>
      </c>
      <c r="AK35" s="116"/>
      <c r="AL35" s="116"/>
    </row>
    <row r="36" spans="1:70" ht="30">
      <c r="A36" s="90" t="s">
        <v>102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M36" s="82" t="s">
        <v>84</v>
      </c>
      <c r="N36" s="80"/>
      <c r="O36" s="80"/>
      <c r="P36" s="81"/>
      <c r="R36" s="113" t="s">
        <v>84</v>
      </c>
      <c r="S36" s="117"/>
      <c r="T36" s="117"/>
      <c r="U36" s="114"/>
      <c r="W36" s="113" t="s">
        <v>84</v>
      </c>
      <c r="X36" s="117"/>
      <c r="Y36" s="117"/>
      <c r="Z36" s="117"/>
      <c r="AA36" s="114"/>
      <c r="AC36" s="113" t="s">
        <v>84</v>
      </c>
      <c r="AD36" s="117"/>
      <c r="AE36" s="117"/>
      <c r="AF36" s="117"/>
      <c r="AG36" s="114"/>
      <c r="AI36" s="113" t="s">
        <v>84</v>
      </c>
      <c r="AJ36" s="117"/>
      <c r="AK36" s="117"/>
      <c r="AL36" s="117"/>
      <c r="AM36" s="114"/>
      <c r="AO36" s="120" t="s">
        <v>30</v>
      </c>
      <c r="AP36" s="113" t="s">
        <v>74</v>
      </c>
      <c r="AQ36" s="117"/>
      <c r="AR36" s="117"/>
      <c r="AS36" s="114"/>
      <c r="AU36" s="122" t="s">
        <v>30</v>
      </c>
      <c r="AV36" s="113" t="s">
        <v>75</v>
      </c>
      <c r="AW36" s="117"/>
      <c r="AX36" s="117"/>
      <c r="AY36" s="114"/>
      <c r="BA36" s="120" t="s">
        <v>30</v>
      </c>
      <c r="BB36" s="119" t="s">
        <v>76</v>
      </c>
      <c r="BC36" s="119"/>
      <c r="BD36" s="119"/>
      <c r="BE36" s="119"/>
      <c r="BF36" s="119"/>
      <c r="BH36" s="122" t="s">
        <v>30</v>
      </c>
      <c r="BI36" s="113" t="s">
        <v>79</v>
      </c>
      <c r="BJ36" s="117"/>
      <c r="BK36" s="117"/>
      <c r="BL36" s="114"/>
      <c r="BN36" s="92" t="s">
        <v>96</v>
      </c>
      <c r="BO36" s="92"/>
      <c r="BP36" s="92"/>
      <c r="BQ36" s="92"/>
      <c r="BR36" s="92"/>
    </row>
    <row r="37" spans="1:70">
      <c r="A37" s="78" t="s">
        <v>30</v>
      </c>
      <c r="B37" s="78" t="s">
        <v>22</v>
      </c>
      <c r="C37" s="78" t="s">
        <v>26</v>
      </c>
      <c r="D37" s="78" t="s">
        <v>23</v>
      </c>
      <c r="E37" s="78" t="s">
        <v>27</v>
      </c>
      <c r="F37" s="78" t="s">
        <v>24</v>
      </c>
      <c r="G37" s="78" t="s">
        <v>28</v>
      </c>
      <c r="H37" s="78" t="s">
        <v>25</v>
      </c>
      <c r="I37" s="78" t="s">
        <v>29</v>
      </c>
      <c r="J37" s="78" t="s">
        <v>87</v>
      </c>
      <c r="K37" s="78" t="s">
        <v>88</v>
      </c>
      <c r="M37" s="78" t="s">
        <v>18</v>
      </c>
      <c r="N37" s="78" t="s">
        <v>16</v>
      </c>
      <c r="O37" s="78" t="s">
        <v>10</v>
      </c>
      <c r="P37" s="78" t="s">
        <v>17</v>
      </c>
      <c r="R37" s="78" t="s">
        <v>18</v>
      </c>
      <c r="S37" s="78" t="s">
        <v>16</v>
      </c>
      <c r="T37" s="78" t="s">
        <v>10</v>
      </c>
      <c r="U37" s="78" t="s">
        <v>17</v>
      </c>
      <c r="W37" s="78" t="s">
        <v>30</v>
      </c>
      <c r="X37" s="78" t="s">
        <v>34</v>
      </c>
      <c r="Y37" s="78" t="s">
        <v>16</v>
      </c>
      <c r="Z37" s="78" t="s">
        <v>10</v>
      </c>
      <c r="AA37" s="78" t="s">
        <v>17</v>
      </c>
      <c r="AC37" s="78" t="s">
        <v>30</v>
      </c>
      <c r="AD37" s="78" t="s">
        <v>34</v>
      </c>
      <c r="AE37" s="78" t="s">
        <v>16</v>
      </c>
      <c r="AF37" s="78" t="s">
        <v>10</v>
      </c>
      <c r="AG37" s="78" t="s">
        <v>17</v>
      </c>
      <c r="AI37" s="78" t="s">
        <v>30</v>
      </c>
      <c r="AJ37" s="78" t="s">
        <v>34</v>
      </c>
      <c r="AK37" s="78" t="s">
        <v>16</v>
      </c>
      <c r="AL37" s="78" t="s">
        <v>10</v>
      </c>
      <c r="AM37" s="78" t="s">
        <v>17</v>
      </c>
      <c r="AO37" s="121"/>
      <c r="AP37" s="78" t="s">
        <v>34</v>
      </c>
      <c r="AQ37" s="78" t="s">
        <v>16</v>
      </c>
      <c r="AR37" s="78" t="s">
        <v>10</v>
      </c>
      <c r="AS37" s="78" t="s">
        <v>17</v>
      </c>
      <c r="AU37" s="123"/>
      <c r="AV37" s="78" t="s">
        <v>34</v>
      </c>
      <c r="AW37" s="78" t="s">
        <v>16</v>
      </c>
      <c r="AX37" s="78" t="s">
        <v>10</v>
      </c>
      <c r="AY37" s="78" t="s">
        <v>17</v>
      </c>
      <c r="BA37" s="121"/>
      <c r="BB37" s="78" t="s">
        <v>34</v>
      </c>
      <c r="BC37" s="78" t="s">
        <v>16</v>
      </c>
      <c r="BD37" s="78" t="s">
        <v>10</v>
      </c>
      <c r="BE37" s="78" t="s">
        <v>17</v>
      </c>
      <c r="BF37" s="78" t="s">
        <v>80</v>
      </c>
      <c r="BH37" s="123"/>
      <c r="BI37" s="78" t="s">
        <v>34</v>
      </c>
      <c r="BJ37" s="78" t="s">
        <v>16</v>
      </c>
      <c r="BK37" s="78" t="s">
        <v>10</v>
      </c>
      <c r="BL37" s="78" t="s">
        <v>17</v>
      </c>
      <c r="BN37" s="78"/>
      <c r="BO37" s="78" t="s">
        <v>80</v>
      </c>
      <c r="BP37" s="78" t="s">
        <v>76</v>
      </c>
      <c r="BQ37" s="78" t="s">
        <v>38</v>
      </c>
      <c r="BR37" s="84" t="s">
        <v>81</v>
      </c>
    </row>
    <row r="38" spans="1:70">
      <c r="A38" s="78">
        <v>0</v>
      </c>
      <c r="B38" s="78">
        <v>0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M38" s="78">
        <v>0</v>
      </c>
      <c r="N38" s="78">
        <v>0</v>
      </c>
      <c r="O38" s="78">
        <v>0</v>
      </c>
      <c r="P38" s="78">
        <v>0</v>
      </c>
      <c r="R38" s="78">
        <v>0</v>
      </c>
      <c r="S38" s="78">
        <v>0</v>
      </c>
      <c r="T38" s="78">
        <v>0</v>
      </c>
      <c r="U38" s="78">
        <v>0</v>
      </c>
      <c r="W38" s="78">
        <v>0</v>
      </c>
      <c r="X38" s="70">
        <v>0</v>
      </c>
      <c r="Y38" s="70">
        <v>0</v>
      </c>
      <c r="Z38" s="70">
        <v>0</v>
      </c>
      <c r="AA38" s="70">
        <v>0</v>
      </c>
      <c r="AC38" s="78">
        <v>0</v>
      </c>
      <c r="AD38" s="93">
        <f>X38</f>
        <v>0</v>
      </c>
      <c r="AE38" s="93">
        <f>Y38</f>
        <v>0</v>
      </c>
      <c r="AF38" s="93">
        <f>Z38</f>
        <v>0</v>
      </c>
      <c r="AG38" s="93">
        <f>AA38</f>
        <v>0</v>
      </c>
      <c r="AI38" s="78">
        <v>0</v>
      </c>
      <c r="AJ38" s="71">
        <v>0</v>
      </c>
      <c r="AK38" s="71">
        <v>0</v>
      </c>
      <c r="AL38" s="71">
        <v>0</v>
      </c>
      <c r="AM38" s="71">
        <v>0</v>
      </c>
      <c r="AO38" s="78">
        <v>0</v>
      </c>
      <c r="AP38" s="70">
        <f t="shared" ref="AP38:AS44" si="39">(1)*(X38/1000)/(0.0821)*(273+30)</f>
        <v>0</v>
      </c>
      <c r="AQ38" s="70">
        <f t="shared" si="39"/>
        <v>0</v>
      </c>
      <c r="AR38" s="70">
        <f t="shared" si="39"/>
        <v>0</v>
      </c>
      <c r="AS38" s="70">
        <f t="shared" si="39"/>
        <v>0</v>
      </c>
      <c r="AU38" s="78">
        <v>0</v>
      </c>
      <c r="AV38" s="70">
        <f>AP38*22.4/1</f>
        <v>0</v>
      </c>
      <c r="AW38" s="70">
        <f t="shared" ref="AW38:AW44" si="40">AQ38*22.4/1</f>
        <v>0</v>
      </c>
      <c r="AX38" s="70">
        <f t="shared" ref="AX38:AX44" si="41">AR38*22.4/1</f>
        <v>0</v>
      </c>
      <c r="AY38" s="70">
        <f t="shared" ref="AY38:AY44" si="42">AS38*22.4/1</f>
        <v>0</v>
      </c>
      <c r="BA38" s="78">
        <v>0</v>
      </c>
      <c r="BB38" s="70">
        <f t="shared" ref="BB38:BE44" si="43">AV38*1/350</f>
        <v>0</v>
      </c>
      <c r="BC38" s="70">
        <f t="shared" si="43"/>
        <v>0</v>
      </c>
      <c r="BD38" s="70">
        <f t="shared" si="43"/>
        <v>0</v>
      </c>
      <c r="BE38" s="70">
        <f t="shared" si="43"/>
        <v>0</v>
      </c>
      <c r="BF38" s="78">
        <f>67.12*37/1000</f>
        <v>2.4834399999999999</v>
      </c>
      <c r="BH38" s="78">
        <v>0</v>
      </c>
      <c r="BI38" s="70">
        <f>BB38/$BF$38</f>
        <v>0</v>
      </c>
      <c r="BJ38" s="70">
        <f t="shared" ref="BJ38:BL44" si="44">BC38/$BF$38</f>
        <v>0</v>
      </c>
      <c r="BK38" s="70">
        <f t="shared" si="44"/>
        <v>0</v>
      </c>
      <c r="BL38" s="70">
        <f t="shared" si="44"/>
        <v>0</v>
      </c>
      <c r="BN38" s="78" t="s">
        <v>34</v>
      </c>
      <c r="BO38" s="70">
        <f>BF38</f>
        <v>2.4834399999999999</v>
      </c>
      <c r="BP38" s="70">
        <f>BB44</f>
        <v>1.9054635887941533</v>
      </c>
      <c r="BQ38" s="70">
        <f>AV44</f>
        <v>666.91225607795366</v>
      </c>
      <c r="BR38" s="70">
        <f>BP38/BO38</f>
        <v>0.76726781754105333</v>
      </c>
    </row>
    <row r="39" spans="1:70">
      <c r="A39" s="78">
        <v>24</v>
      </c>
      <c r="B39" s="78">
        <v>32</v>
      </c>
      <c r="C39" s="78">
        <v>34.200000000000003</v>
      </c>
      <c r="D39" s="78">
        <v>34</v>
      </c>
      <c r="E39" s="78">
        <v>32</v>
      </c>
      <c r="F39" s="78">
        <v>26</v>
      </c>
      <c r="G39" s="78">
        <v>24</v>
      </c>
      <c r="H39" s="78">
        <v>16</v>
      </c>
      <c r="I39" s="78">
        <v>16</v>
      </c>
      <c r="J39" s="78">
        <v>4</v>
      </c>
      <c r="K39" s="78">
        <v>4</v>
      </c>
      <c r="M39" s="78">
        <v>15.919999999999998</v>
      </c>
      <c r="N39" s="78">
        <v>17.54</v>
      </c>
      <c r="O39" s="78">
        <v>18.93</v>
      </c>
      <c r="P39" s="78">
        <v>16.23</v>
      </c>
      <c r="R39" s="78">
        <f>((B39+C39)/2)-($J$6+$K$6)/2</f>
        <v>29.1</v>
      </c>
      <c r="S39" s="78">
        <f>((D39+E39)/2)-($J$6+$K$6)/2</f>
        <v>29</v>
      </c>
      <c r="T39" s="78">
        <f>((F39+G39)/2)-($J$6+$K$6)/2</f>
        <v>21</v>
      </c>
      <c r="U39" s="78">
        <f>((H39+I39)/2)-($J$6+$K$6)/2</f>
        <v>12</v>
      </c>
      <c r="W39" s="78">
        <v>24</v>
      </c>
      <c r="X39" s="70">
        <f t="shared" ref="X39:AA44" si="45">(M39/100)*R39</f>
        <v>4.6327199999999999</v>
      </c>
      <c r="Y39" s="70">
        <f t="shared" si="45"/>
        <v>5.0865999999999998</v>
      </c>
      <c r="Z39" s="70">
        <f t="shared" si="45"/>
        <v>3.9752999999999998</v>
      </c>
      <c r="AA39" s="70">
        <f t="shared" si="45"/>
        <v>1.9476</v>
      </c>
      <c r="AC39" s="78">
        <v>24</v>
      </c>
      <c r="AD39" s="93">
        <f t="shared" ref="AD39:AG44" si="46">AD38+X39</f>
        <v>4.6327199999999999</v>
      </c>
      <c r="AE39" s="93">
        <f t="shared" si="46"/>
        <v>5.0865999999999998</v>
      </c>
      <c r="AF39" s="93">
        <f t="shared" si="46"/>
        <v>3.9752999999999998</v>
      </c>
      <c r="AG39" s="93">
        <f t="shared" si="46"/>
        <v>1.9476</v>
      </c>
      <c r="AI39" s="78">
        <v>24</v>
      </c>
      <c r="AJ39" s="71">
        <f t="shared" ref="AJ39:AJ44" si="47">AD39/0.2</f>
        <v>23.163599999999999</v>
      </c>
      <c r="AK39" s="71">
        <f t="shared" ref="AK39:AK44" si="48">AE39/0.2</f>
        <v>25.432999999999996</v>
      </c>
      <c r="AL39" s="71">
        <f t="shared" ref="AL39:AL44" si="49">AF39/0.2</f>
        <v>19.876499999999997</v>
      </c>
      <c r="AM39" s="71">
        <f t="shared" ref="AM39:AM44" si="50">AG39/0.2</f>
        <v>9.7379999999999995</v>
      </c>
      <c r="AO39" s="78">
        <v>24</v>
      </c>
      <c r="AP39" s="70">
        <f t="shared" si="39"/>
        <v>17.097614616321557</v>
      </c>
      <c r="AQ39" s="70">
        <f t="shared" si="39"/>
        <v>18.7727137637028</v>
      </c>
      <c r="AR39" s="70">
        <f t="shared" si="39"/>
        <v>14.671326431181486</v>
      </c>
      <c r="AS39" s="70">
        <f t="shared" si="39"/>
        <v>7.1878538367844094</v>
      </c>
      <c r="AU39" s="78">
        <v>24</v>
      </c>
      <c r="AV39" s="70">
        <f t="shared" ref="AV39:AV44" si="51">AP39*22.4/1</f>
        <v>382.98656740560284</v>
      </c>
      <c r="AW39" s="70">
        <f t="shared" si="40"/>
        <v>420.50878830694268</v>
      </c>
      <c r="AX39" s="70">
        <f t="shared" si="41"/>
        <v>328.63771205846524</v>
      </c>
      <c r="AY39" s="70">
        <f t="shared" si="42"/>
        <v>161.00792594397075</v>
      </c>
      <c r="BA39" s="78">
        <v>24</v>
      </c>
      <c r="BB39" s="70">
        <f t="shared" si="43"/>
        <v>1.0942473354445796</v>
      </c>
      <c r="BC39" s="70">
        <f t="shared" si="43"/>
        <v>1.2014536808769791</v>
      </c>
      <c r="BD39" s="70">
        <f t="shared" si="43"/>
        <v>0.93896489159561503</v>
      </c>
      <c r="BE39" s="70">
        <f t="shared" si="43"/>
        <v>0.46002264555420214</v>
      </c>
      <c r="BF39" s="78">
        <f t="shared" ref="BF39:BF44" si="52">67.12*37/1000</f>
        <v>2.4834399999999999</v>
      </c>
      <c r="BH39" s="78">
        <v>24</v>
      </c>
      <c r="BI39" s="70">
        <f t="shared" ref="BI39:BI44" si="53">BB39/$BF$38</f>
        <v>0.44061758506127779</v>
      </c>
      <c r="BJ39" s="70">
        <f t="shared" si="44"/>
        <v>0.48378607128699674</v>
      </c>
      <c r="BK39" s="70">
        <f t="shared" si="44"/>
        <v>0.37809042763087292</v>
      </c>
      <c r="BL39" s="70">
        <f t="shared" si="44"/>
        <v>0.18523606189567784</v>
      </c>
      <c r="BN39" s="78" t="s">
        <v>16</v>
      </c>
      <c r="BO39" s="70">
        <f>BF39</f>
        <v>2.4834399999999999</v>
      </c>
      <c r="BP39" s="70">
        <f>BC44</f>
        <v>2.0399155761266741</v>
      </c>
      <c r="BQ39" s="70">
        <f>AW44</f>
        <v>713.97045164433598</v>
      </c>
      <c r="BR39" s="70">
        <f>BP39/BO39</f>
        <v>0.82140723195514054</v>
      </c>
    </row>
    <row r="40" spans="1:70">
      <c r="A40" s="78">
        <v>48</v>
      </c>
      <c r="B40" s="78">
        <v>34</v>
      </c>
      <c r="C40" s="78">
        <v>36.200000000000003</v>
      </c>
      <c r="D40" s="78">
        <v>36</v>
      </c>
      <c r="E40" s="78">
        <v>34</v>
      </c>
      <c r="F40" s="78">
        <v>28</v>
      </c>
      <c r="G40" s="78">
        <v>26</v>
      </c>
      <c r="H40" s="78">
        <v>26</v>
      </c>
      <c r="I40" s="78">
        <v>26</v>
      </c>
      <c r="J40" s="78">
        <v>10</v>
      </c>
      <c r="K40" s="78">
        <v>8</v>
      </c>
      <c r="M40" s="78">
        <v>23.740000000000002</v>
      </c>
      <c r="N40" s="78">
        <v>25.360000000000003</v>
      </c>
      <c r="O40" s="78">
        <v>26.05</v>
      </c>
      <c r="P40" s="78">
        <v>25.630000000000003</v>
      </c>
      <c r="R40" s="78">
        <f>((B40+C40)/2)-($J$7+$K$7)/2</f>
        <v>26.1</v>
      </c>
      <c r="S40" s="78">
        <f>((D40+E40)/2)-($J$7+$K$7)/2</f>
        <v>26</v>
      </c>
      <c r="T40" s="78">
        <f>((F40+G40)/2)-($J$7+$K$7)/2</f>
        <v>18</v>
      </c>
      <c r="U40" s="78">
        <f>((H40+I40)/2)-($J$7+$K$7)/2</f>
        <v>17</v>
      </c>
      <c r="W40" s="78">
        <v>48</v>
      </c>
      <c r="X40" s="70">
        <f t="shared" si="45"/>
        <v>6.1961400000000006</v>
      </c>
      <c r="Y40" s="70">
        <f t="shared" si="45"/>
        <v>6.5936000000000012</v>
      </c>
      <c r="Z40" s="70">
        <f t="shared" si="45"/>
        <v>4.6890000000000001</v>
      </c>
      <c r="AA40" s="70">
        <f t="shared" si="45"/>
        <v>4.3571000000000009</v>
      </c>
      <c r="AC40" s="78">
        <v>48</v>
      </c>
      <c r="AD40" s="93">
        <f t="shared" si="46"/>
        <v>10.828860000000001</v>
      </c>
      <c r="AE40" s="93">
        <f t="shared" si="46"/>
        <v>11.680200000000001</v>
      </c>
      <c r="AF40" s="93">
        <f t="shared" si="46"/>
        <v>8.6643000000000008</v>
      </c>
      <c r="AG40" s="93">
        <f t="shared" si="46"/>
        <v>6.3047000000000004</v>
      </c>
      <c r="AI40" s="78">
        <v>48</v>
      </c>
      <c r="AJ40" s="71">
        <f t="shared" si="47"/>
        <v>54.144300000000001</v>
      </c>
      <c r="AK40" s="71">
        <f t="shared" si="48"/>
        <v>58.401000000000003</v>
      </c>
      <c r="AL40" s="71">
        <f t="shared" si="49"/>
        <v>43.3215</v>
      </c>
      <c r="AM40" s="71">
        <f t="shared" si="50"/>
        <v>31.523500000000002</v>
      </c>
      <c r="AO40" s="78">
        <v>48</v>
      </c>
      <c r="AP40" s="70">
        <f t="shared" si="39"/>
        <v>22.867605602923266</v>
      </c>
      <c r="AQ40" s="70">
        <f t="shared" si="39"/>
        <v>24.33447990255786</v>
      </c>
      <c r="AR40" s="70">
        <f t="shared" si="39"/>
        <v>17.305322777101097</v>
      </c>
      <c r="AS40" s="70">
        <f t="shared" si="39"/>
        <v>16.080405602923268</v>
      </c>
      <c r="AU40" s="78">
        <v>48</v>
      </c>
      <c r="AV40" s="70">
        <f t="shared" si="51"/>
        <v>512.23436550548115</v>
      </c>
      <c r="AW40" s="70">
        <f t="shared" si="40"/>
        <v>545.09234981729605</v>
      </c>
      <c r="AX40" s="70">
        <f t="shared" si="41"/>
        <v>387.63923020706454</v>
      </c>
      <c r="AY40" s="70">
        <f t="shared" si="42"/>
        <v>360.20108550548116</v>
      </c>
      <c r="BA40" s="78">
        <v>48</v>
      </c>
      <c r="BB40" s="70">
        <f t="shared" si="43"/>
        <v>1.463526758587089</v>
      </c>
      <c r="BC40" s="70">
        <f t="shared" si="43"/>
        <v>1.5574067137637031</v>
      </c>
      <c r="BD40" s="70">
        <f t="shared" si="43"/>
        <v>1.1075406577344702</v>
      </c>
      <c r="BE40" s="70">
        <f t="shared" si="43"/>
        <v>1.029145958587089</v>
      </c>
      <c r="BF40" s="78">
        <f t="shared" si="52"/>
        <v>2.4834399999999999</v>
      </c>
      <c r="BH40" s="78">
        <v>48</v>
      </c>
      <c r="BI40" s="70">
        <f t="shared" si="53"/>
        <v>0.58931432150045471</v>
      </c>
      <c r="BJ40" s="70">
        <f t="shared" si="44"/>
        <v>0.62711670656979968</v>
      </c>
      <c r="BK40" s="70">
        <f t="shared" si="44"/>
        <v>0.44597037083016711</v>
      </c>
      <c r="BL40" s="70">
        <f t="shared" si="44"/>
        <v>0.4144033915001325</v>
      </c>
      <c r="BN40" s="78" t="s">
        <v>10</v>
      </c>
      <c r="BO40" s="70">
        <f>BF40</f>
        <v>2.4834399999999999</v>
      </c>
      <c r="BP40" s="70">
        <f>BD44</f>
        <v>1.0940772716199754</v>
      </c>
      <c r="BQ40" s="70">
        <f>AX44</f>
        <v>382.92704506699135</v>
      </c>
      <c r="BR40" s="70">
        <f>BP40/BO40</f>
        <v>0.44054910592564162</v>
      </c>
    </row>
    <row r="41" spans="1:70">
      <c r="A41" s="78">
        <v>72</v>
      </c>
      <c r="B41" s="78">
        <v>30</v>
      </c>
      <c r="C41" s="78">
        <v>32.200000000000003</v>
      </c>
      <c r="D41" s="78">
        <v>32</v>
      </c>
      <c r="E41" s="78">
        <v>30</v>
      </c>
      <c r="F41" s="78">
        <v>26</v>
      </c>
      <c r="G41" s="78">
        <v>24</v>
      </c>
      <c r="H41" s="78">
        <v>24</v>
      </c>
      <c r="I41" s="78">
        <v>24</v>
      </c>
      <c r="J41" s="78">
        <v>10</v>
      </c>
      <c r="K41" s="78">
        <v>8</v>
      </c>
      <c r="M41" s="78">
        <v>32.35</v>
      </c>
      <c r="N41" s="78">
        <v>33.97</v>
      </c>
      <c r="O41" s="78">
        <v>32.86</v>
      </c>
      <c r="P41" s="78">
        <v>30.47</v>
      </c>
      <c r="R41" s="78">
        <f>((B41+C41)/2)-($J$8+$K$8)/2</f>
        <v>22.1</v>
      </c>
      <c r="S41" s="78">
        <f>((D41+E41)/2)-($J$8+$K$8)/2</f>
        <v>22</v>
      </c>
      <c r="T41" s="78">
        <f>((F41+G41)/2)-($J$8+$K$8)/2</f>
        <v>16</v>
      </c>
      <c r="U41" s="78">
        <f>((H41+I41)/2)-($J$8+$K$8)/2</f>
        <v>15</v>
      </c>
      <c r="W41" s="78">
        <v>72</v>
      </c>
      <c r="X41" s="70">
        <f t="shared" si="45"/>
        <v>7.149350000000001</v>
      </c>
      <c r="Y41" s="70">
        <f t="shared" si="45"/>
        <v>7.4733999999999998</v>
      </c>
      <c r="Z41" s="70">
        <f t="shared" si="45"/>
        <v>5.2576000000000001</v>
      </c>
      <c r="AA41" s="70">
        <f t="shared" si="45"/>
        <v>4.5704999999999991</v>
      </c>
      <c r="AC41" s="78">
        <v>72</v>
      </c>
      <c r="AD41" s="93">
        <f t="shared" si="46"/>
        <v>17.978210000000001</v>
      </c>
      <c r="AE41" s="93">
        <f t="shared" si="46"/>
        <v>19.153600000000001</v>
      </c>
      <c r="AF41" s="93">
        <f t="shared" si="46"/>
        <v>13.921900000000001</v>
      </c>
      <c r="AG41" s="93">
        <f t="shared" si="46"/>
        <v>10.8752</v>
      </c>
      <c r="AI41" s="78">
        <v>72</v>
      </c>
      <c r="AJ41" s="71">
        <f t="shared" si="47"/>
        <v>89.891049999999993</v>
      </c>
      <c r="AK41" s="71">
        <f t="shared" si="48"/>
        <v>95.768000000000001</v>
      </c>
      <c r="AL41" s="71">
        <f t="shared" si="49"/>
        <v>69.609499999999997</v>
      </c>
      <c r="AM41" s="71">
        <f t="shared" si="50"/>
        <v>54.375999999999998</v>
      </c>
      <c r="AO41" s="78">
        <v>72</v>
      </c>
      <c r="AP41" s="70">
        <f t="shared" si="39"/>
        <v>26.385542630937884</v>
      </c>
      <c r="AQ41" s="70">
        <f t="shared" si="39"/>
        <v>27.58148842874543</v>
      </c>
      <c r="AR41" s="70">
        <f t="shared" si="39"/>
        <v>19.403809987819734</v>
      </c>
      <c r="AS41" s="70">
        <f t="shared" si="39"/>
        <v>16.867984165651638</v>
      </c>
      <c r="AU41" s="78">
        <v>72</v>
      </c>
      <c r="AV41" s="70">
        <f t="shared" si="51"/>
        <v>591.03615493300856</v>
      </c>
      <c r="AW41" s="70">
        <f t="shared" si="40"/>
        <v>617.82534080389757</v>
      </c>
      <c r="AX41" s="70">
        <f t="shared" si="41"/>
        <v>434.64534372716201</v>
      </c>
      <c r="AY41" s="70">
        <f t="shared" si="42"/>
        <v>377.84284531059666</v>
      </c>
      <c r="BA41" s="78">
        <v>72</v>
      </c>
      <c r="BB41" s="70">
        <f t="shared" si="43"/>
        <v>1.6886747283800245</v>
      </c>
      <c r="BC41" s="70">
        <f t="shared" si="43"/>
        <v>1.7652152594397073</v>
      </c>
      <c r="BD41" s="70">
        <f t="shared" si="43"/>
        <v>1.2418438392204629</v>
      </c>
      <c r="BE41" s="70">
        <f t="shared" si="43"/>
        <v>1.0795509866017048</v>
      </c>
      <c r="BF41" s="78">
        <f t="shared" si="52"/>
        <v>2.4834399999999999</v>
      </c>
      <c r="BH41" s="78">
        <v>72</v>
      </c>
      <c r="BI41" s="70">
        <f t="shared" si="53"/>
        <v>0.67997403938892209</v>
      </c>
      <c r="BJ41" s="70">
        <f t="shared" si="44"/>
        <v>0.71079440592070164</v>
      </c>
      <c r="BK41" s="70">
        <f t="shared" si="44"/>
        <v>0.500049866000573</v>
      </c>
      <c r="BL41" s="70">
        <f t="shared" si="44"/>
        <v>0.43469984642339049</v>
      </c>
      <c r="BN41" s="78" t="s">
        <v>17</v>
      </c>
      <c r="BO41" s="70">
        <f>BF41</f>
        <v>2.4834399999999999</v>
      </c>
      <c r="BP41" s="70">
        <f>BE44</f>
        <v>0.20803293544457971</v>
      </c>
      <c r="BQ41" s="70">
        <f>AY44</f>
        <v>72.811527405602902</v>
      </c>
      <c r="BR41" s="70">
        <f>BP41/BO41</f>
        <v>8.3768053765977721E-2</v>
      </c>
    </row>
    <row r="42" spans="1:70">
      <c r="A42" s="78">
        <v>96</v>
      </c>
      <c r="B42" s="78">
        <v>28</v>
      </c>
      <c r="C42" s="78">
        <v>30.2</v>
      </c>
      <c r="D42" s="78">
        <v>30</v>
      </c>
      <c r="E42" s="78">
        <v>28</v>
      </c>
      <c r="F42" s="78">
        <v>22</v>
      </c>
      <c r="G42" s="78">
        <v>20</v>
      </c>
      <c r="H42" s="78">
        <v>20</v>
      </c>
      <c r="I42" s="78">
        <v>20</v>
      </c>
      <c r="J42" s="78">
        <v>10</v>
      </c>
      <c r="K42" s="78">
        <v>10</v>
      </c>
      <c r="M42" s="78">
        <v>47.489999999999995</v>
      </c>
      <c r="N42" s="78">
        <v>49.109999999999992</v>
      </c>
      <c r="O42" s="78">
        <v>45.239999999999995</v>
      </c>
      <c r="P42" s="78">
        <v>33.119999999999997</v>
      </c>
      <c r="R42" s="78">
        <f>((B42+C42)/2)-($J$9+$K$9)/2</f>
        <v>19.100000000000001</v>
      </c>
      <c r="S42" s="78">
        <f>((D42+E42)/2)-($J$9+$K$9)/2</f>
        <v>19</v>
      </c>
      <c r="T42" s="78">
        <f>((F42+G42)/2)-($J$9+$K$9)/2</f>
        <v>11</v>
      </c>
      <c r="U42" s="78">
        <f>((H42+I42)/2)-($J$9+$K$9)/2</f>
        <v>10</v>
      </c>
      <c r="W42" s="78">
        <v>96</v>
      </c>
      <c r="X42" s="70">
        <f t="shared" si="45"/>
        <v>9.0705899999999993</v>
      </c>
      <c r="Y42" s="70">
        <f t="shared" si="45"/>
        <v>9.330899999999998</v>
      </c>
      <c r="Z42" s="70">
        <f t="shared" si="45"/>
        <v>4.9763999999999999</v>
      </c>
      <c r="AA42" s="70">
        <f t="shared" si="45"/>
        <v>3.3119999999999998</v>
      </c>
      <c r="AC42" s="78">
        <v>96</v>
      </c>
      <c r="AD42" s="93">
        <f t="shared" si="46"/>
        <v>27.0488</v>
      </c>
      <c r="AE42" s="93">
        <f t="shared" si="46"/>
        <v>28.484499999999997</v>
      </c>
      <c r="AF42" s="93">
        <f t="shared" si="46"/>
        <v>18.898299999999999</v>
      </c>
      <c r="AG42" s="93">
        <f t="shared" si="46"/>
        <v>14.187199999999999</v>
      </c>
      <c r="AI42" s="78">
        <v>96</v>
      </c>
      <c r="AJ42" s="71">
        <f t="shared" si="47"/>
        <v>135.244</v>
      </c>
      <c r="AK42" s="71">
        <f t="shared" si="48"/>
        <v>142.42249999999999</v>
      </c>
      <c r="AL42" s="71">
        <f t="shared" si="49"/>
        <v>94.491499999999988</v>
      </c>
      <c r="AM42" s="71">
        <f t="shared" si="50"/>
        <v>70.935999999999993</v>
      </c>
      <c r="AO42" s="78">
        <v>96</v>
      </c>
      <c r="AP42" s="70">
        <f t="shared" si="39"/>
        <v>33.476111693057241</v>
      </c>
      <c r="AQ42" s="70">
        <f t="shared" si="39"/>
        <v>34.436817295980504</v>
      </c>
      <c r="AR42" s="70">
        <f t="shared" si="39"/>
        <v>18.366007308160778</v>
      </c>
      <c r="AS42" s="70">
        <f t="shared" si="39"/>
        <v>12.223337393422653</v>
      </c>
      <c r="AU42" s="78">
        <v>96</v>
      </c>
      <c r="AV42" s="70">
        <f t="shared" si="51"/>
        <v>749.86490192448218</v>
      </c>
      <c r="AW42" s="70">
        <f t="shared" si="40"/>
        <v>771.38470742996321</v>
      </c>
      <c r="AX42" s="70">
        <f t="shared" si="41"/>
        <v>411.39856370280143</v>
      </c>
      <c r="AY42" s="70">
        <f t="shared" si="42"/>
        <v>273.80275761266739</v>
      </c>
      <c r="BA42" s="78">
        <v>96</v>
      </c>
      <c r="BB42" s="70">
        <f t="shared" si="43"/>
        <v>2.1424711483556633</v>
      </c>
      <c r="BC42" s="70">
        <f t="shared" si="43"/>
        <v>2.2039563069427519</v>
      </c>
      <c r="BD42" s="70">
        <f t="shared" si="43"/>
        <v>1.1754244677222898</v>
      </c>
      <c r="BE42" s="70">
        <f t="shared" si="43"/>
        <v>0.78229359317904967</v>
      </c>
      <c r="BF42" s="78">
        <f t="shared" si="52"/>
        <v>2.4834399999999999</v>
      </c>
      <c r="BH42" s="78">
        <v>96</v>
      </c>
      <c r="BI42" s="70">
        <f t="shared" si="53"/>
        <v>0.86270300404103317</v>
      </c>
      <c r="BJ42" s="70">
        <f t="shared" si="44"/>
        <v>0.88746106487080501</v>
      </c>
      <c r="BK42" s="70">
        <f t="shared" si="44"/>
        <v>0.47330495913824772</v>
      </c>
      <c r="BL42" s="70">
        <f t="shared" si="44"/>
        <v>0.31500402392610644</v>
      </c>
    </row>
    <row r="43" spans="1:70">
      <c r="A43" s="78">
        <v>120</v>
      </c>
      <c r="B43" s="78">
        <v>28</v>
      </c>
      <c r="C43" s="78">
        <v>30.2</v>
      </c>
      <c r="D43" s="78">
        <v>30</v>
      </c>
      <c r="E43" s="78">
        <v>28</v>
      </c>
      <c r="F43" s="78">
        <v>22</v>
      </c>
      <c r="G43" s="78">
        <v>20</v>
      </c>
      <c r="H43" s="78">
        <v>22</v>
      </c>
      <c r="I43" s="78">
        <v>22</v>
      </c>
      <c r="J43" s="78">
        <v>10</v>
      </c>
      <c r="K43" s="78">
        <v>8</v>
      </c>
      <c r="M43" s="78">
        <v>45.54</v>
      </c>
      <c r="N43" s="78">
        <v>48.32</v>
      </c>
      <c r="O43" s="78">
        <v>44.54</v>
      </c>
      <c r="P43" s="78">
        <v>39.880000000000003</v>
      </c>
      <c r="R43" s="78">
        <f>((B43+C43)/2)-($J$10+$K$9)/2</f>
        <v>19.100000000000001</v>
      </c>
      <c r="S43" s="78">
        <f>((D43+E43)/2)-($J$10+$K$10)/2</f>
        <v>20</v>
      </c>
      <c r="T43" s="78">
        <f>((F43+G43)/2)-($J$10+$K$10)/2</f>
        <v>12</v>
      </c>
      <c r="U43" s="78">
        <f>((H43+I43)/2)-($J$10+$K$10)/2</f>
        <v>13</v>
      </c>
      <c r="W43" s="78">
        <v>120</v>
      </c>
      <c r="X43" s="70">
        <f t="shared" si="45"/>
        <v>8.6981400000000004</v>
      </c>
      <c r="Y43" s="70">
        <f t="shared" si="45"/>
        <v>9.6639999999999997</v>
      </c>
      <c r="Z43" s="70">
        <f t="shared" si="45"/>
        <v>5.3448000000000002</v>
      </c>
      <c r="AA43" s="70">
        <f t="shared" si="45"/>
        <v>5.1844000000000001</v>
      </c>
      <c r="AC43" s="78">
        <v>120</v>
      </c>
      <c r="AD43" s="93">
        <f t="shared" si="46"/>
        <v>35.746940000000002</v>
      </c>
      <c r="AE43" s="93">
        <f t="shared" si="46"/>
        <v>38.148499999999999</v>
      </c>
      <c r="AF43" s="93">
        <f t="shared" si="46"/>
        <v>24.243099999999998</v>
      </c>
      <c r="AG43" s="93">
        <f t="shared" si="46"/>
        <v>19.371600000000001</v>
      </c>
      <c r="AI43" s="78">
        <v>120</v>
      </c>
      <c r="AJ43" s="71">
        <f t="shared" si="47"/>
        <v>178.7347</v>
      </c>
      <c r="AK43" s="71">
        <f t="shared" si="48"/>
        <v>190.74249999999998</v>
      </c>
      <c r="AL43" s="71">
        <f t="shared" si="49"/>
        <v>121.21549999999999</v>
      </c>
      <c r="AM43" s="71">
        <f t="shared" si="50"/>
        <v>96.858000000000004</v>
      </c>
      <c r="AO43" s="78">
        <v>120</v>
      </c>
      <c r="AP43" s="70">
        <f t="shared" si="39"/>
        <v>32.101539829476245</v>
      </c>
      <c r="AQ43" s="70">
        <f t="shared" si="39"/>
        <v>35.666163215590736</v>
      </c>
      <c r="AR43" s="70">
        <f t="shared" si="39"/>
        <v>19.72563215590743</v>
      </c>
      <c r="AS43" s="70">
        <f t="shared" si="39"/>
        <v>19.133656516443363</v>
      </c>
      <c r="AU43" s="78">
        <v>120</v>
      </c>
      <c r="AV43" s="70">
        <f t="shared" si="51"/>
        <v>719.07449218026784</v>
      </c>
      <c r="AW43" s="70">
        <f t="shared" si="40"/>
        <v>798.92205602923241</v>
      </c>
      <c r="AX43" s="70">
        <f t="shared" si="41"/>
        <v>441.85416029232641</v>
      </c>
      <c r="AY43" s="70">
        <f t="shared" si="42"/>
        <v>428.59390596833128</v>
      </c>
      <c r="BA43" s="78">
        <v>120</v>
      </c>
      <c r="BB43" s="70">
        <f t="shared" si="43"/>
        <v>2.0544985490864796</v>
      </c>
      <c r="BC43" s="70">
        <f t="shared" si="43"/>
        <v>2.2826344457978069</v>
      </c>
      <c r="BD43" s="70">
        <f t="shared" si="43"/>
        <v>1.2624404579780755</v>
      </c>
      <c r="BE43" s="70">
        <f t="shared" si="43"/>
        <v>1.2245540170523752</v>
      </c>
      <c r="BF43" s="78">
        <f t="shared" si="52"/>
        <v>2.4834399999999999</v>
      </c>
      <c r="BH43" s="78">
        <v>120</v>
      </c>
      <c r="BI43" s="70">
        <f t="shared" si="53"/>
        <v>0.82727931783593711</v>
      </c>
      <c r="BJ43" s="70">
        <f t="shared" si="44"/>
        <v>0.91914217609356663</v>
      </c>
      <c r="BK43" s="70">
        <f t="shared" si="44"/>
        <v>0.50834345020539073</v>
      </c>
      <c r="BL43" s="70">
        <f t="shared" si="44"/>
        <v>0.49308782054423511</v>
      </c>
    </row>
    <row r="44" spans="1:70">
      <c r="A44" s="78">
        <v>144</v>
      </c>
      <c r="B44" s="78">
        <v>26</v>
      </c>
      <c r="C44" s="78">
        <v>28.2</v>
      </c>
      <c r="D44" s="78">
        <v>28</v>
      </c>
      <c r="E44" s="78">
        <v>26</v>
      </c>
      <c r="F44" s="78">
        <v>20</v>
      </c>
      <c r="G44" s="78">
        <v>18</v>
      </c>
      <c r="H44" s="78">
        <v>11</v>
      </c>
      <c r="I44" s="78">
        <v>12</v>
      </c>
      <c r="J44" s="78">
        <v>10</v>
      </c>
      <c r="K44" s="78">
        <v>8</v>
      </c>
      <c r="M44" s="78">
        <v>44.57</v>
      </c>
      <c r="N44" s="78">
        <v>47.98</v>
      </c>
      <c r="O44" s="78">
        <v>46.32</v>
      </c>
      <c r="P44" s="78">
        <v>35.229999999999997</v>
      </c>
      <c r="R44" s="78">
        <f>((B44+C44)/2)-($J$11+$K$11)/2</f>
        <v>18.100000000000001</v>
      </c>
      <c r="S44" s="78">
        <f>((D44+E44)/2)-($J$11+$K$11)/2</f>
        <v>18</v>
      </c>
      <c r="T44" s="78">
        <f>((F44+G44)/2)-($J$11+$K$11)/2</f>
        <v>10</v>
      </c>
      <c r="U44" s="78">
        <f>((H44+I44)/2)-($J$11+$K$11)/2</f>
        <v>2.5</v>
      </c>
      <c r="W44" s="78">
        <v>144</v>
      </c>
      <c r="X44" s="70">
        <f t="shared" si="45"/>
        <v>8.0671700000000008</v>
      </c>
      <c r="Y44" s="70">
        <f t="shared" si="45"/>
        <v>8.6363999999999983</v>
      </c>
      <c r="Z44" s="70">
        <f t="shared" si="45"/>
        <v>4.6319999999999997</v>
      </c>
      <c r="AA44" s="70">
        <f t="shared" si="45"/>
        <v>0.88074999999999992</v>
      </c>
      <c r="AC44" s="78">
        <v>144</v>
      </c>
      <c r="AD44" s="93">
        <f t="shared" si="46"/>
        <v>43.814109999999999</v>
      </c>
      <c r="AE44" s="93">
        <f t="shared" si="46"/>
        <v>46.784899999999993</v>
      </c>
      <c r="AF44" s="93">
        <f t="shared" si="46"/>
        <v>28.875099999999996</v>
      </c>
      <c r="AG44" s="93">
        <f t="shared" si="46"/>
        <v>20.25235</v>
      </c>
      <c r="AI44" s="78">
        <v>144</v>
      </c>
      <c r="AJ44" s="71">
        <f t="shared" si="47"/>
        <v>219.07055</v>
      </c>
      <c r="AK44" s="71">
        <f t="shared" si="48"/>
        <v>233.92449999999997</v>
      </c>
      <c r="AL44" s="71">
        <f t="shared" si="49"/>
        <v>144.37549999999996</v>
      </c>
      <c r="AM44" s="71">
        <f t="shared" si="50"/>
        <v>101.26174999999999</v>
      </c>
      <c r="AO44" s="78">
        <v>144</v>
      </c>
      <c r="AP44" s="70">
        <f t="shared" si="39"/>
        <v>29.772868574908646</v>
      </c>
      <c r="AQ44" s="70">
        <f t="shared" si="39"/>
        <v>31.873680876979286</v>
      </c>
      <c r="AR44" s="70">
        <f t="shared" si="39"/>
        <v>17.094957369062115</v>
      </c>
      <c r="AS44" s="70">
        <f t="shared" si="39"/>
        <v>3.2505146163215581</v>
      </c>
      <c r="AU44" s="78">
        <v>144</v>
      </c>
      <c r="AV44" s="70">
        <f t="shared" si="51"/>
        <v>666.91225607795366</v>
      </c>
      <c r="AW44" s="70">
        <f t="shared" si="40"/>
        <v>713.97045164433598</v>
      </c>
      <c r="AX44" s="70">
        <f t="shared" si="41"/>
        <v>382.92704506699135</v>
      </c>
      <c r="AY44" s="70">
        <f t="shared" si="42"/>
        <v>72.811527405602902</v>
      </c>
      <c r="BA44" s="78">
        <v>144</v>
      </c>
      <c r="BB44" s="70">
        <f t="shared" si="43"/>
        <v>1.9054635887941533</v>
      </c>
      <c r="BC44" s="70">
        <f t="shared" si="43"/>
        <v>2.0399155761266741</v>
      </c>
      <c r="BD44" s="70">
        <f t="shared" si="43"/>
        <v>1.0940772716199754</v>
      </c>
      <c r="BE44" s="70">
        <f t="shared" si="43"/>
        <v>0.20803293544457971</v>
      </c>
      <c r="BF44" s="78">
        <f t="shared" si="52"/>
        <v>2.4834399999999999</v>
      </c>
      <c r="BH44" s="78">
        <v>144</v>
      </c>
      <c r="BI44" s="70">
        <f t="shared" si="53"/>
        <v>0.76726781754105333</v>
      </c>
      <c r="BJ44" s="70">
        <f t="shared" si="44"/>
        <v>0.82140723195514054</v>
      </c>
      <c r="BK44" s="70">
        <f t="shared" si="44"/>
        <v>0.44054910592564162</v>
      </c>
      <c r="BL44" s="70">
        <f t="shared" si="44"/>
        <v>8.3768053765977721E-2</v>
      </c>
    </row>
    <row r="45" spans="1:70">
      <c r="AH45" s="113" t="s">
        <v>39</v>
      </c>
      <c r="AI45" s="114"/>
      <c r="AJ45" s="71">
        <f>AJ44</f>
        <v>219.07055</v>
      </c>
      <c r="AK45" s="71">
        <f>AK44</f>
        <v>233.92449999999997</v>
      </c>
      <c r="AL45" s="71">
        <f>AL44</f>
        <v>144.37549999999996</v>
      </c>
      <c r="AM45" s="71">
        <f>AM44</f>
        <v>101.26174999999999</v>
      </c>
    </row>
    <row r="46" spans="1:70">
      <c r="J46" s="69" t="s">
        <v>31</v>
      </c>
      <c r="K46" s="69"/>
      <c r="N46" s="72" t="s">
        <v>32</v>
      </c>
      <c r="O46" s="72"/>
      <c r="S46" s="118" t="s">
        <v>97</v>
      </c>
      <c r="T46" s="118"/>
      <c r="Y46" s="69" t="s">
        <v>38</v>
      </c>
      <c r="AD46" s="89" t="s">
        <v>89</v>
      </c>
      <c r="AJ46" s="116" t="s">
        <v>50</v>
      </c>
      <c r="AK46" s="116"/>
      <c r="AL46" s="116"/>
    </row>
    <row r="47" spans="1:70" ht="30">
      <c r="A47" s="94" t="s">
        <v>99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M47" s="79" t="s">
        <v>85</v>
      </c>
      <c r="N47" s="80"/>
      <c r="O47" s="80"/>
      <c r="P47" s="81"/>
      <c r="R47" s="113" t="s">
        <v>85</v>
      </c>
      <c r="S47" s="117"/>
      <c r="T47" s="117"/>
      <c r="U47" s="114"/>
      <c r="W47" s="113" t="s">
        <v>85</v>
      </c>
      <c r="X47" s="117"/>
      <c r="Y47" s="117"/>
      <c r="Z47" s="117"/>
      <c r="AA47" s="114"/>
      <c r="AC47" s="113" t="s">
        <v>85</v>
      </c>
      <c r="AD47" s="117"/>
      <c r="AE47" s="117"/>
      <c r="AF47" s="117"/>
      <c r="AG47" s="114"/>
      <c r="AI47" s="113" t="s">
        <v>85</v>
      </c>
      <c r="AJ47" s="117"/>
      <c r="AK47" s="117"/>
      <c r="AL47" s="117"/>
      <c r="AM47" s="114"/>
      <c r="AO47" s="120" t="s">
        <v>30</v>
      </c>
      <c r="AP47" s="113" t="s">
        <v>74</v>
      </c>
      <c r="AQ47" s="117"/>
      <c r="AR47" s="117"/>
      <c r="AS47" s="114"/>
      <c r="AU47" s="122" t="s">
        <v>30</v>
      </c>
      <c r="AV47" s="113" t="s">
        <v>75</v>
      </c>
      <c r="AW47" s="117"/>
      <c r="AX47" s="117"/>
      <c r="AY47" s="114"/>
      <c r="BA47" s="120" t="s">
        <v>30</v>
      </c>
      <c r="BB47" s="119" t="s">
        <v>76</v>
      </c>
      <c r="BC47" s="119"/>
      <c r="BD47" s="119"/>
      <c r="BE47" s="119"/>
      <c r="BF47" s="119"/>
      <c r="BH47" s="122" t="s">
        <v>30</v>
      </c>
      <c r="BI47" s="113" t="s">
        <v>79</v>
      </c>
      <c r="BJ47" s="117"/>
      <c r="BK47" s="117"/>
      <c r="BL47" s="114"/>
      <c r="BN47" s="92" t="s">
        <v>99</v>
      </c>
    </row>
    <row r="48" spans="1:70">
      <c r="A48" s="78" t="s">
        <v>30</v>
      </c>
      <c r="B48" s="78" t="s">
        <v>22</v>
      </c>
      <c r="C48" s="78" t="s">
        <v>26</v>
      </c>
      <c r="D48" s="78" t="s">
        <v>23</v>
      </c>
      <c r="E48" s="78" t="s">
        <v>27</v>
      </c>
      <c r="F48" s="78" t="s">
        <v>24</v>
      </c>
      <c r="G48" s="78" t="s">
        <v>28</v>
      </c>
      <c r="H48" s="78" t="s">
        <v>25</v>
      </c>
      <c r="I48" s="78" t="s">
        <v>29</v>
      </c>
      <c r="J48" s="78" t="s">
        <v>87</v>
      </c>
      <c r="K48" s="78" t="s">
        <v>88</v>
      </c>
      <c r="M48" s="78" t="s">
        <v>18</v>
      </c>
      <c r="N48" s="78" t="s">
        <v>16</v>
      </c>
      <c r="O48" s="78" t="s">
        <v>10</v>
      </c>
      <c r="P48" s="78" t="s">
        <v>17</v>
      </c>
      <c r="R48" s="78" t="s">
        <v>18</v>
      </c>
      <c r="S48" s="78" t="s">
        <v>16</v>
      </c>
      <c r="T48" s="78" t="s">
        <v>10</v>
      </c>
      <c r="U48" s="78" t="s">
        <v>17</v>
      </c>
      <c r="W48" s="78" t="s">
        <v>30</v>
      </c>
      <c r="X48" s="78" t="s">
        <v>34</v>
      </c>
      <c r="Y48" s="78" t="s">
        <v>16</v>
      </c>
      <c r="Z48" s="78" t="s">
        <v>10</v>
      </c>
      <c r="AA48" s="78" t="s">
        <v>17</v>
      </c>
      <c r="AC48" s="78" t="s">
        <v>30</v>
      </c>
      <c r="AD48" s="78" t="s">
        <v>34</v>
      </c>
      <c r="AE48" s="78" t="s">
        <v>16</v>
      </c>
      <c r="AF48" s="78" t="s">
        <v>10</v>
      </c>
      <c r="AG48" s="78" t="s">
        <v>17</v>
      </c>
      <c r="AI48" s="78" t="s">
        <v>30</v>
      </c>
      <c r="AJ48" s="78" t="s">
        <v>34</v>
      </c>
      <c r="AK48" s="78" t="s">
        <v>16</v>
      </c>
      <c r="AL48" s="78" t="s">
        <v>10</v>
      </c>
      <c r="AM48" s="78" t="s">
        <v>17</v>
      </c>
      <c r="AO48" s="121"/>
      <c r="AP48" s="78" t="s">
        <v>34</v>
      </c>
      <c r="AQ48" s="78" t="s">
        <v>16</v>
      </c>
      <c r="AR48" s="78" t="s">
        <v>10</v>
      </c>
      <c r="AS48" s="78" t="s">
        <v>17</v>
      </c>
      <c r="AU48" s="123"/>
      <c r="AV48" s="78" t="s">
        <v>34</v>
      </c>
      <c r="AW48" s="78" t="s">
        <v>16</v>
      </c>
      <c r="AX48" s="78" t="s">
        <v>10</v>
      </c>
      <c r="AY48" s="78" t="s">
        <v>17</v>
      </c>
      <c r="BA48" s="121"/>
      <c r="BB48" s="78" t="s">
        <v>34</v>
      </c>
      <c r="BC48" s="78" t="s">
        <v>16</v>
      </c>
      <c r="BD48" s="78" t="s">
        <v>10</v>
      </c>
      <c r="BE48" s="78" t="s">
        <v>17</v>
      </c>
      <c r="BF48" s="78" t="s">
        <v>80</v>
      </c>
      <c r="BH48" s="123"/>
      <c r="BI48" s="78" t="s">
        <v>34</v>
      </c>
      <c r="BJ48" s="78" t="s">
        <v>16</v>
      </c>
      <c r="BK48" s="78" t="s">
        <v>10</v>
      </c>
      <c r="BL48" s="78" t="s">
        <v>17</v>
      </c>
      <c r="BN48" s="78"/>
      <c r="BO48" s="78" t="s">
        <v>80</v>
      </c>
      <c r="BP48" s="78" t="s">
        <v>76</v>
      </c>
      <c r="BQ48" s="78" t="s">
        <v>38</v>
      </c>
      <c r="BR48" s="84" t="s">
        <v>81</v>
      </c>
    </row>
    <row r="49" spans="1:72">
      <c r="A49" s="78">
        <v>0</v>
      </c>
      <c r="B49" s="78">
        <v>0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M49" s="78">
        <v>0</v>
      </c>
      <c r="N49" s="78">
        <v>0</v>
      </c>
      <c r="O49" s="78">
        <v>0</v>
      </c>
      <c r="P49" s="78">
        <v>0</v>
      </c>
      <c r="R49" s="78">
        <v>0</v>
      </c>
      <c r="S49" s="78">
        <v>0</v>
      </c>
      <c r="T49" s="78">
        <v>0</v>
      </c>
      <c r="U49" s="78">
        <v>0</v>
      </c>
      <c r="W49" s="78">
        <v>0</v>
      </c>
      <c r="X49" s="70">
        <v>0</v>
      </c>
      <c r="Y49" s="70">
        <v>0</v>
      </c>
      <c r="Z49" s="70">
        <v>0</v>
      </c>
      <c r="AA49" s="70">
        <v>0</v>
      </c>
      <c r="AC49" s="78">
        <v>0</v>
      </c>
      <c r="AD49" s="93">
        <f>X49</f>
        <v>0</v>
      </c>
      <c r="AE49" s="93">
        <f>Y49</f>
        <v>0</v>
      </c>
      <c r="AF49" s="93">
        <f>Z49</f>
        <v>0</v>
      </c>
      <c r="AG49" s="93">
        <f>AA49</f>
        <v>0</v>
      </c>
      <c r="AI49" s="78">
        <v>0</v>
      </c>
      <c r="AJ49" s="71">
        <v>0</v>
      </c>
      <c r="AK49" s="71">
        <v>0</v>
      </c>
      <c r="AL49" s="71">
        <v>0</v>
      </c>
      <c r="AM49" s="71">
        <v>0</v>
      </c>
      <c r="AO49" s="78">
        <v>0</v>
      </c>
      <c r="AP49" s="70">
        <f t="shared" ref="AP49:AS55" si="54">(1)*(X49/1000)/(0.0821)*(273+30)</f>
        <v>0</v>
      </c>
      <c r="AQ49" s="70">
        <f t="shared" si="54"/>
        <v>0</v>
      </c>
      <c r="AR49" s="70">
        <f t="shared" si="54"/>
        <v>0</v>
      </c>
      <c r="AS49" s="70">
        <f t="shared" si="54"/>
        <v>0</v>
      </c>
      <c r="AU49" s="78">
        <v>0</v>
      </c>
      <c r="AV49" s="70">
        <f>AP49*22.4/1</f>
        <v>0</v>
      </c>
      <c r="AW49" s="70">
        <f t="shared" ref="AW49:AW55" si="55">AQ49*22.4/1</f>
        <v>0</v>
      </c>
      <c r="AX49" s="70">
        <f t="shared" ref="AX49:AX55" si="56">AR49*22.4/1</f>
        <v>0</v>
      </c>
      <c r="AY49" s="70">
        <f t="shared" ref="AY49:AY55" si="57">AS49*22.4/1</f>
        <v>0</v>
      </c>
      <c r="BA49" s="78">
        <v>0</v>
      </c>
      <c r="BB49" s="70">
        <f>AV49*1/350</f>
        <v>0</v>
      </c>
      <c r="BC49" s="70">
        <f t="shared" ref="BB49:BE55" si="58">AW49*1/350</f>
        <v>0</v>
      </c>
      <c r="BD49" s="70">
        <f t="shared" si="58"/>
        <v>0</v>
      </c>
      <c r="BE49" s="70">
        <f t="shared" si="58"/>
        <v>0</v>
      </c>
      <c r="BF49" s="78">
        <f>71.92*37/1000</f>
        <v>2.6610399999999998</v>
      </c>
      <c r="BH49" s="78">
        <v>0</v>
      </c>
      <c r="BI49" s="70">
        <f>BB49/$BF$49</f>
        <v>0</v>
      </c>
      <c r="BJ49" s="70">
        <f t="shared" ref="BJ49:BL55" si="59">BC49/$BF$49</f>
        <v>0</v>
      </c>
      <c r="BK49" s="70">
        <f t="shared" si="59"/>
        <v>0</v>
      </c>
      <c r="BL49" s="70">
        <f t="shared" si="59"/>
        <v>0</v>
      </c>
      <c r="BN49" s="78" t="s">
        <v>34</v>
      </c>
      <c r="BO49" s="71">
        <f>BF49</f>
        <v>2.6610399999999998</v>
      </c>
      <c r="BP49" s="70">
        <f>BB55</f>
        <v>2.024893271619975</v>
      </c>
      <c r="BQ49" s="70">
        <f>AV55</f>
        <v>708.71264506699129</v>
      </c>
      <c r="BR49" s="70">
        <f>BP49/BO49</f>
        <v>0.76094056144213362</v>
      </c>
    </row>
    <row r="50" spans="1:72">
      <c r="A50" s="78">
        <v>24</v>
      </c>
      <c r="B50" s="78">
        <v>40</v>
      </c>
      <c r="C50" s="78">
        <v>42</v>
      </c>
      <c r="D50" s="78">
        <v>42</v>
      </c>
      <c r="E50" s="78">
        <v>40</v>
      </c>
      <c r="F50" s="78">
        <v>22</v>
      </c>
      <c r="G50" s="78">
        <v>25</v>
      </c>
      <c r="H50" s="78">
        <v>14</v>
      </c>
      <c r="I50" s="78">
        <v>14</v>
      </c>
      <c r="J50" s="78">
        <v>4</v>
      </c>
      <c r="K50" s="78">
        <v>4</v>
      </c>
      <c r="M50" s="78">
        <v>19.579999999999998</v>
      </c>
      <c r="N50" s="78">
        <v>21.2</v>
      </c>
      <c r="O50" s="78">
        <v>18.84</v>
      </c>
      <c r="P50" s="78">
        <v>14.18</v>
      </c>
      <c r="R50" s="78">
        <f>((B50+C50)/2)-($J$6+$K$6)/2</f>
        <v>37</v>
      </c>
      <c r="S50" s="78">
        <f>((D50+E50)/2)-($J$6+$K$6)/2</f>
        <v>37</v>
      </c>
      <c r="T50" s="73">
        <f>((F50+G50)/2)-($J$6+$K$6)/2</f>
        <v>19.5</v>
      </c>
      <c r="U50" s="78">
        <f>((H50+I50)/2)-($J$6+$K$6)/2</f>
        <v>10</v>
      </c>
      <c r="W50" s="78">
        <v>24</v>
      </c>
      <c r="X50" s="70">
        <f t="shared" ref="X50:AA55" si="60">(M50/100)*R50</f>
        <v>7.2445999999999993</v>
      </c>
      <c r="Y50" s="70">
        <f t="shared" si="60"/>
        <v>7.8439999999999994</v>
      </c>
      <c r="Z50" s="70">
        <f t="shared" si="60"/>
        <v>3.6738000000000004</v>
      </c>
      <c r="AA50" s="70">
        <f t="shared" si="60"/>
        <v>1.4180000000000001</v>
      </c>
      <c r="AC50" s="78">
        <v>24</v>
      </c>
      <c r="AD50" s="93">
        <f t="shared" ref="AD50:AG55" si="61">AD49+X50</f>
        <v>7.2445999999999993</v>
      </c>
      <c r="AE50" s="93">
        <f t="shared" si="61"/>
        <v>7.8439999999999994</v>
      </c>
      <c r="AF50" s="93">
        <f t="shared" si="61"/>
        <v>3.6738000000000004</v>
      </c>
      <c r="AG50" s="93">
        <f t="shared" si="61"/>
        <v>1.4180000000000001</v>
      </c>
      <c r="AI50" s="78">
        <v>24</v>
      </c>
      <c r="AJ50" s="71">
        <f t="shared" ref="AJ50:AJ55" si="62">AD50/0.2</f>
        <v>36.222999999999992</v>
      </c>
      <c r="AK50" s="71">
        <f t="shared" ref="AK50:AK55" si="63">AE50/0.2</f>
        <v>39.219999999999992</v>
      </c>
      <c r="AL50" s="71">
        <f t="shared" ref="AL50:AL55" si="64">AF50/0.2</f>
        <v>18.369</v>
      </c>
      <c r="AM50" s="71">
        <f t="shared" ref="AM50:AM55" si="65">AG50/0.2</f>
        <v>7.0900000000000007</v>
      </c>
      <c r="AO50" s="78">
        <v>24</v>
      </c>
      <c r="AP50" s="70">
        <f t="shared" si="54"/>
        <v>26.737074299634589</v>
      </c>
      <c r="AQ50" s="70">
        <f t="shared" si="54"/>
        <v>28.949232643118144</v>
      </c>
      <c r="AR50" s="70">
        <f t="shared" si="54"/>
        <v>13.558604141291109</v>
      </c>
      <c r="AS50" s="70">
        <f t="shared" si="54"/>
        <v>5.2333008526187577</v>
      </c>
      <c r="AU50" s="78">
        <v>24</v>
      </c>
      <c r="AV50" s="70">
        <f t="shared" ref="AV50:AV55" si="66">AP50*22.4/1</f>
        <v>598.91046431181474</v>
      </c>
      <c r="AW50" s="70">
        <f t="shared" si="55"/>
        <v>648.46281120584638</v>
      </c>
      <c r="AX50" s="70">
        <f t="shared" si="56"/>
        <v>303.71273276492082</v>
      </c>
      <c r="AY50" s="70">
        <f t="shared" si="57"/>
        <v>117.22593909866016</v>
      </c>
      <c r="BA50" s="78">
        <v>24</v>
      </c>
      <c r="BB50" s="70">
        <f t="shared" si="58"/>
        <v>1.7111727551766136</v>
      </c>
      <c r="BC50" s="70">
        <f t="shared" si="58"/>
        <v>1.852750889159561</v>
      </c>
      <c r="BD50" s="70">
        <f t="shared" si="58"/>
        <v>0.86775066504263088</v>
      </c>
      <c r="BE50" s="70">
        <f t="shared" si="58"/>
        <v>0.33493125456760048</v>
      </c>
      <c r="BF50" s="78">
        <f t="shared" ref="BF50:BF55" si="67">71.92*37/1000</f>
        <v>2.6610399999999998</v>
      </c>
      <c r="BH50" s="78">
        <v>24</v>
      </c>
      <c r="BI50" s="70">
        <f t="shared" ref="BI50:BI55" si="68">BB50/$BF$49</f>
        <v>0.64304661154158282</v>
      </c>
      <c r="BJ50" s="70">
        <f t="shared" si="59"/>
        <v>0.69625067235350124</v>
      </c>
      <c r="BK50" s="70">
        <f t="shared" si="59"/>
        <v>0.32609455891028732</v>
      </c>
      <c r="BL50" s="70">
        <f t="shared" si="59"/>
        <v>0.12586479518068142</v>
      </c>
      <c r="BN50" s="78" t="s">
        <v>16</v>
      </c>
      <c r="BO50" s="71">
        <f>BF50</f>
        <v>2.6610399999999998</v>
      </c>
      <c r="BP50" s="70">
        <f>BC55</f>
        <v>1.8219504409257001</v>
      </c>
      <c r="BQ50" s="70">
        <f>AW55</f>
        <v>637.68265432399505</v>
      </c>
      <c r="BR50" s="70">
        <f>BP50/BO50</f>
        <v>0.68467608187990414</v>
      </c>
    </row>
    <row r="51" spans="1:72">
      <c r="A51" s="78">
        <v>48</v>
      </c>
      <c r="B51" s="78">
        <v>45</v>
      </c>
      <c r="C51" s="78">
        <v>44</v>
      </c>
      <c r="D51" s="78">
        <v>47</v>
      </c>
      <c r="E51" s="78">
        <v>45</v>
      </c>
      <c r="F51" s="78">
        <v>24</v>
      </c>
      <c r="G51" s="78">
        <v>27</v>
      </c>
      <c r="H51" s="78">
        <v>22</v>
      </c>
      <c r="I51" s="78">
        <v>22</v>
      </c>
      <c r="J51" s="78">
        <v>10</v>
      </c>
      <c r="K51" s="78">
        <v>8</v>
      </c>
      <c r="M51" s="78">
        <v>27.400000000000002</v>
      </c>
      <c r="N51" s="78">
        <v>29.020000000000003</v>
      </c>
      <c r="O51" s="78">
        <v>25.96</v>
      </c>
      <c r="P51" s="78">
        <v>21.58</v>
      </c>
      <c r="R51" s="78">
        <f>((B51+C51)/2)-($J$7+$K$7)/2</f>
        <v>35.5</v>
      </c>
      <c r="S51" s="78">
        <f>((D51+E51)/2)-($J$7+$K$7)/2</f>
        <v>37</v>
      </c>
      <c r="T51" s="73">
        <f>((F51+G51)/2)-($J$7+$K$7)/2</f>
        <v>16.5</v>
      </c>
      <c r="U51" s="78">
        <f>((H51+I51)/2)-($J$7+$K$7)/2</f>
        <v>13</v>
      </c>
      <c r="W51" s="78">
        <v>48</v>
      </c>
      <c r="X51" s="70">
        <f t="shared" si="60"/>
        <v>9.7270000000000003</v>
      </c>
      <c r="Y51" s="70">
        <f t="shared" si="60"/>
        <v>10.737400000000001</v>
      </c>
      <c r="Z51" s="70">
        <f t="shared" si="60"/>
        <v>4.2834000000000003</v>
      </c>
      <c r="AA51" s="70">
        <f t="shared" si="60"/>
        <v>2.8053999999999997</v>
      </c>
      <c r="AC51" s="78">
        <v>48</v>
      </c>
      <c r="AD51" s="93">
        <f t="shared" si="61"/>
        <v>16.971599999999999</v>
      </c>
      <c r="AE51" s="93">
        <f t="shared" si="61"/>
        <v>18.581400000000002</v>
      </c>
      <c r="AF51" s="93">
        <f t="shared" si="61"/>
        <v>7.9572000000000003</v>
      </c>
      <c r="AG51" s="93">
        <f t="shared" si="61"/>
        <v>4.2233999999999998</v>
      </c>
      <c r="AI51" s="78">
        <v>48</v>
      </c>
      <c r="AJ51" s="71">
        <f t="shared" si="62"/>
        <v>84.85799999999999</v>
      </c>
      <c r="AK51" s="71">
        <f t="shared" si="63"/>
        <v>92.907000000000011</v>
      </c>
      <c r="AL51" s="71">
        <f t="shared" si="64"/>
        <v>39.786000000000001</v>
      </c>
      <c r="AM51" s="71">
        <f t="shared" si="65"/>
        <v>21.116999999999997</v>
      </c>
      <c r="AO51" s="78">
        <v>48</v>
      </c>
      <c r="AP51" s="70">
        <f t="shared" si="54"/>
        <v>35.898672350791713</v>
      </c>
      <c r="AQ51" s="70">
        <f t="shared" si="54"/>
        <v>39.627676004872107</v>
      </c>
      <c r="AR51" s="70">
        <f t="shared" si="54"/>
        <v>15.808406820950061</v>
      </c>
      <c r="AS51" s="70">
        <f t="shared" si="54"/>
        <v>10.353668696711326</v>
      </c>
      <c r="AU51" s="78">
        <v>48</v>
      </c>
      <c r="AV51" s="70">
        <f t="shared" si="66"/>
        <v>804.13026065773431</v>
      </c>
      <c r="AW51" s="70">
        <f t="shared" si="55"/>
        <v>887.65994250913513</v>
      </c>
      <c r="AX51" s="70">
        <f t="shared" si="56"/>
        <v>354.10831278928134</v>
      </c>
      <c r="AY51" s="70">
        <f t="shared" si="57"/>
        <v>231.92217880633368</v>
      </c>
      <c r="BA51" s="78">
        <v>48</v>
      </c>
      <c r="BB51" s="70">
        <f t="shared" si="58"/>
        <v>2.2975150304506693</v>
      </c>
      <c r="BC51" s="70">
        <f t="shared" si="58"/>
        <v>2.5361712643118146</v>
      </c>
      <c r="BD51" s="70">
        <f t="shared" si="58"/>
        <v>1.0117380365408037</v>
      </c>
      <c r="BE51" s="70">
        <f t="shared" si="58"/>
        <v>0.66263479658952484</v>
      </c>
      <c r="BF51" s="78">
        <f t="shared" si="67"/>
        <v>2.6610399999999998</v>
      </c>
      <c r="BH51" s="78">
        <v>48</v>
      </c>
      <c r="BI51" s="70">
        <f t="shared" si="68"/>
        <v>0.86338988908497027</v>
      </c>
      <c r="BJ51" s="70">
        <f t="shared" si="59"/>
        <v>0.95307521281597218</v>
      </c>
      <c r="BK51" s="70">
        <f t="shared" si="59"/>
        <v>0.38020399413041661</v>
      </c>
      <c r="BL51" s="70">
        <f t="shared" si="59"/>
        <v>0.24901346713673034</v>
      </c>
      <c r="BN51" s="78" t="s">
        <v>10</v>
      </c>
      <c r="BO51" s="71">
        <f>BF51</f>
        <v>2.6610399999999998</v>
      </c>
      <c r="BP51" s="70">
        <f>BD55</f>
        <v>1.5727596979293541</v>
      </c>
      <c r="BQ51" s="70">
        <f>AX55</f>
        <v>550.46589427527397</v>
      </c>
      <c r="BR51" s="70">
        <f>BP51/BO51</f>
        <v>0.59103196416790205</v>
      </c>
    </row>
    <row r="52" spans="1:72">
      <c r="A52" s="78">
        <v>72</v>
      </c>
      <c r="B52" s="78">
        <v>36</v>
      </c>
      <c r="C52" s="78">
        <v>38</v>
      </c>
      <c r="D52" s="78">
        <v>38</v>
      </c>
      <c r="E52" s="78">
        <v>36</v>
      </c>
      <c r="F52" s="78">
        <v>26</v>
      </c>
      <c r="G52" s="78">
        <v>29</v>
      </c>
      <c r="H52" s="78">
        <v>20</v>
      </c>
      <c r="I52" s="78">
        <v>20</v>
      </c>
      <c r="J52" s="78">
        <v>10</v>
      </c>
      <c r="K52" s="78">
        <v>8</v>
      </c>
      <c r="M52" s="78">
        <v>36.010000000000005</v>
      </c>
      <c r="N52" s="78">
        <v>37.629999999999995</v>
      </c>
      <c r="O52" s="78">
        <v>32.769999999999996</v>
      </c>
      <c r="P52" s="78">
        <v>29.42</v>
      </c>
      <c r="R52" s="78">
        <f>((B52+C52)/2)-($J$8+$K$8)/2</f>
        <v>28</v>
      </c>
      <c r="S52" s="78">
        <f>((D52+E52)/2)-($J$8+$K$8)/2</f>
        <v>28</v>
      </c>
      <c r="T52" s="73">
        <f>((F52+G52)/2)-($J$8+$K$8)/2</f>
        <v>18.5</v>
      </c>
      <c r="U52" s="78">
        <f>((H52+I52)/2)-($J$8+$K$8)/2</f>
        <v>11</v>
      </c>
      <c r="W52" s="78">
        <v>72</v>
      </c>
      <c r="X52" s="70">
        <f t="shared" si="60"/>
        <v>10.082800000000001</v>
      </c>
      <c r="Y52" s="70">
        <f t="shared" si="60"/>
        <v>10.536399999999999</v>
      </c>
      <c r="Z52" s="70">
        <f t="shared" si="60"/>
        <v>6.0624499999999992</v>
      </c>
      <c r="AA52" s="70">
        <f t="shared" si="60"/>
        <v>3.2362000000000002</v>
      </c>
      <c r="AC52" s="78">
        <v>72</v>
      </c>
      <c r="AD52" s="93">
        <f t="shared" si="61"/>
        <v>27.054400000000001</v>
      </c>
      <c r="AE52" s="93">
        <f t="shared" si="61"/>
        <v>29.117800000000003</v>
      </c>
      <c r="AF52" s="93">
        <f t="shared" si="61"/>
        <v>14.019649999999999</v>
      </c>
      <c r="AG52" s="93">
        <f t="shared" si="61"/>
        <v>7.4596</v>
      </c>
      <c r="AI52" s="78">
        <v>72</v>
      </c>
      <c r="AJ52" s="71">
        <f t="shared" si="62"/>
        <v>135.27199999999999</v>
      </c>
      <c r="AK52" s="71">
        <f t="shared" si="63"/>
        <v>145.589</v>
      </c>
      <c r="AL52" s="71">
        <f t="shared" si="64"/>
        <v>70.098249999999993</v>
      </c>
      <c r="AM52" s="71">
        <f t="shared" si="65"/>
        <v>37.297999999999995</v>
      </c>
      <c r="AO52" s="78">
        <v>72</v>
      </c>
      <c r="AP52" s="70">
        <f t="shared" si="54"/>
        <v>37.211795371498177</v>
      </c>
      <c r="AQ52" s="70">
        <f t="shared" si="54"/>
        <v>38.885861144945181</v>
      </c>
      <c r="AR52" s="70">
        <f t="shared" si="54"/>
        <v>22.374206455542019</v>
      </c>
      <c r="AS52" s="70">
        <f t="shared" si="54"/>
        <v>11.943588306942754</v>
      </c>
      <c r="AU52" s="78">
        <v>72</v>
      </c>
      <c r="AV52" s="70">
        <f t="shared" si="66"/>
        <v>833.54421632155913</v>
      </c>
      <c r="AW52" s="70">
        <f t="shared" si="55"/>
        <v>871.043289646772</v>
      </c>
      <c r="AX52" s="70">
        <f t="shared" si="56"/>
        <v>501.1822246041412</v>
      </c>
      <c r="AY52" s="70">
        <f t="shared" si="57"/>
        <v>267.53637807551769</v>
      </c>
      <c r="BA52" s="78">
        <v>72</v>
      </c>
      <c r="BB52" s="70">
        <f t="shared" si="58"/>
        <v>2.3815549037758834</v>
      </c>
      <c r="BC52" s="70">
        <f t="shared" si="58"/>
        <v>2.4886951132764916</v>
      </c>
      <c r="BD52" s="70">
        <f t="shared" si="58"/>
        <v>1.4319492131546891</v>
      </c>
      <c r="BE52" s="70">
        <f t="shared" si="58"/>
        <v>0.76438965164433625</v>
      </c>
      <c r="BF52" s="78">
        <f t="shared" si="67"/>
        <v>2.6610399999999998</v>
      </c>
      <c r="BH52" s="78">
        <v>72</v>
      </c>
      <c r="BI52" s="70">
        <f t="shared" si="68"/>
        <v>0.89497147873608951</v>
      </c>
      <c r="BJ52" s="70">
        <f t="shared" si="59"/>
        <v>0.9352340112424059</v>
      </c>
      <c r="BK52" s="70">
        <f t="shared" si="59"/>
        <v>0.53811638049585475</v>
      </c>
      <c r="BL52" s="70">
        <f t="shared" si="59"/>
        <v>0.28725222155410529</v>
      </c>
      <c r="BN52" s="78" t="s">
        <v>17</v>
      </c>
      <c r="BO52" s="71">
        <f>BF52</f>
        <v>2.6610399999999998</v>
      </c>
      <c r="BP52" s="70">
        <f>BE55</f>
        <v>0.25587519610231418</v>
      </c>
      <c r="BQ52" s="70">
        <f>AY55</f>
        <v>89.556318635809973</v>
      </c>
      <c r="BR52" s="70">
        <f>BP52/BO52</f>
        <v>9.6156087883802643E-2</v>
      </c>
    </row>
    <row r="53" spans="1:72">
      <c r="A53" s="78">
        <v>96</v>
      </c>
      <c r="B53" s="78">
        <v>26</v>
      </c>
      <c r="C53" s="78">
        <v>28</v>
      </c>
      <c r="D53" s="78">
        <v>24</v>
      </c>
      <c r="E53" s="78">
        <v>22</v>
      </c>
      <c r="F53" s="78">
        <v>28</v>
      </c>
      <c r="G53" s="78">
        <v>31</v>
      </c>
      <c r="H53" s="78">
        <v>22</v>
      </c>
      <c r="I53" s="78">
        <v>22</v>
      </c>
      <c r="J53" s="78">
        <v>10</v>
      </c>
      <c r="K53" s="78">
        <v>10</v>
      </c>
      <c r="M53" s="78">
        <v>54.15</v>
      </c>
      <c r="N53" s="78">
        <v>50.12</v>
      </c>
      <c r="O53" s="78">
        <v>49.32</v>
      </c>
      <c r="P53" s="78">
        <v>32.78</v>
      </c>
      <c r="R53" s="78">
        <f>((B53+C53)/2)-($J$9+$K$9)/2</f>
        <v>17</v>
      </c>
      <c r="S53" s="78">
        <f>((D53+E53)/2)-($J$9+$K$9)/2</f>
        <v>13</v>
      </c>
      <c r="T53" s="73">
        <f>((F53+G53)/2)-($J$9+$K$9)/2</f>
        <v>19.5</v>
      </c>
      <c r="U53" s="78">
        <f>((H53+I53)/2)-($J$9+$K$9)/2</f>
        <v>12</v>
      </c>
      <c r="W53" s="78">
        <v>96</v>
      </c>
      <c r="X53" s="70">
        <f t="shared" si="60"/>
        <v>9.2054999999999989</v>
      </c>
      <c r="Y53" s="70">
        <f t="shared" si="60"/>
        <v>6.5156000000000001</v>
      </c>
      <c r="Z53" s="70">
        <f t="shared" si="60"/>
        <v>9.6173999999999999</v>
      </c>
      <c r="AA53" s="70">
        <f t="shared" si="60"/>
        <v>3.9336000000000002</v>
      </c>
      <c r="AC53" s="78">
        <v>96</v>
      </c>
      <c r="AD53" s="93">
        <f t="shared" si="61"/>
        <v>36.259900000000002</v>
      </c>
      <c r="AE53" s="93">
        <f t="shared" si="61"/>
        <v>35.633400000000002</v>
      </c>
      <c r="AF53" s="93">
        <f t="shared" si="61"/>
        <v>23.637049999999999</v>
      </c>
      <c r="AG53" s="93">
        <f t="shared" si="61"/>
        <v>11.3932</v>
      </c>
      <c r="AI53" s="78">
        <v>96</v>
      </c>
      <c r="AJ53" s="71">
        <f t="shared" si="62"/>
        <v>181.29949999999999</v>
      </c>
      <c r="AK53" s="71">
        <f t="shared" si="63"/>
        <v>178.167</v>
      </c>
      <c r="AL53" s="71">
        <f t="shared" si="64"/>
        <v>118.18524999999998</v>
      </c>
      <c r="AM53" s="71">
        <f t="shared" si="65"/>
        <v>56.966000000000001</v>
      </c>
      <c r="AO53" s="78">
        <v>96</v>
      </c>
      <c r="AP53" s="70">
        <f t="shared" si="54"/>
        <v>33.974013398294751</v>
      </c>
      <c r="AQ53" s="70">
        <f t="shared" si="54"/>
        <v>24.046611449451884</v>
      </c>
      <c r="AR53" s="70">
        <f t="shared" si="54"/>
        <v>35.494180267965895</v>
      </c>
      <c r="AS53" s="70">
        <f t="shared" si="54"/>
        <v>14.517427527405603</v>
      </c>
      <c r="AU53" s="78">
        <v>96</v>
      </c>
      <c r="AV53" s="70">
        <f t="shared" si="66"/>
        <v>761.01790012180243</v>
      </c>
      <c r="AW53" s="70">
        <f t="shared" si="55"/>
        <v>538.64409646772219</v>
      </c>
      <c r="AX53" s="70">
        <f t="shared" si="56"/>
        <v>795.06963800243602</v>
      </c>
      <c r="AY53" s="70">
        <f t="shared" si="57"/>
        <v>325.19037661388552</v>
      </c>
      <c r="BA53" s="78">
        <v>96</v>
      </c>
      <c r="BB53" s="70">
        <f t="shared" si="58"/>
        <v>2.1743368574908639</v>
      </c>
      <c r="BC53" s="70">
        <f t="shared" si="58"/>
        <v>1.5389831327649206</v>
      </c>
      <c r="BD53" s="70">
        <f t="shared" si="58"/>
        <v>2.2716275371498171</v>
      </c>
      <c r="BE53" s="70">
        <f t="shared" si="58"/>
        <v>0.92911536175395859</v>
      </c>
      <c r="BF53" s="78">
        <f t="shared" si="67"/>
        <v>2.6610399999999998</v>
      </c>
      <c r="BH53" s="78">
        <v>96</v>
      </c>
      <c r="BI53" s="70">
        <f t="shared" si="68"/>
        <v>0.81710040341026968</v>
      </c>
      <c r="BJ53" s="70">
        <f t="shared" si="59"/>
        <v>0.57833897001357393</v>
      </c>
      <c r="BK53" s="70">
        <f t="shared" si="59"/>
        <v>0.85366155230654828</v>
      </c>
      <c r="BL53" s="70">
        <f t="shared" si="59"/>
        <v>0.34915497766059833</v>
      </c>
    </row>
    <row r="54" spans="1:72">
      <c r="A54" s="78">
        <v>120</v>
      </c>
      <c r="B54" s="78">
        <v>27</v>
      </c>
      <c r="C54" s="78">
        <v>28</v>
      </c>
      <c r="D54" s="78">
        <v>24</v>
      </c>
      <c r="E54" s="78">
        <v>26</v>
      </c>
      <c r="F54" s="78">
        <v>26</v>
      </c>
      <c r="G54" s="78">
        <v>22</v>
      </c>
      <c r="H54" s="78">
        <v>18</v>
      </c>
      <c r="I54" s="78">
        <v>18</v>
      </c>
      <c r="J54" s="78">
        <v>10</v>
      </c>
      <c r="K54" s="78">
        <v>8</v>
      </c>
      <c r="M54" s="78">
        <v>46.22</v>
      </c>
      <c r="N54" s="78">
        <v>48.99</v>
      </c>
      <c r="O54" s="78">
        <v>50.12</v>
      </c>
      <c r="P54" s="78">
        <v>35.22</v>
      </c>
      <c r="R54" s="78">
        <f>((B54+C54)/2)-($J$10+$K$9)/2</f>
        <v>17.5</v>
      </c>
      <c r="S54" s="78">
        <f>((D54+E54)/2)-($J$10+$K$10)/2</f>
        <v>16</v>
      </c>
      <c r="T54" s="73">
        <f>((F54+G54)/2)-($J$10+$K$10)/2</f>
        <v>15</v>
      </c>
      <c r="U54" s="78">
        <f>((H54+I54)/2)-($J$10+$K$10)/2</f>
        <v>9</v>
      </c>
      <c r="W54" s="78">
        <v>120</v>
      </c>
      <c r="X54" s="70">
        <f t="shared" si="60"/>
        <v>8.0884999999999998</v>
      </c>
      <c r="Y54" s="70">
        <f t="shared" si="60"/>
        <v>7.8384</v>
      </c>
      <c r="Z54" s="70">
        <f t="shared" si="60"/>
        <v>7.5179999999999998</v>
      </c>
      <c r="AA54" s="70">
        <f t="shared" si="60"/>
        <v>3.1698</v>
      </c>
      <c r="AC54" s="78">
        <v>120</v>
      </c>
      <c r="AD54" s="93">
        <f t="shared" si="61"/>
        <v>44.348399999999998</v>
      </c>
      <c r="AE54" s="93">
        <f t="shared" si="61"/>
        <v>43.471800000000002</v>
      </c>
      <c r="AF54" s="93">
        <f t="shared" si="61"/>
        <v>31.155049999999999</v>
      </c>
      <c r="AG54" s="93">
        <f t="shared" si="61"/>
        <v>14.563000000000001</v>
      </c>
      <c r="AI54" s="78">
        <v>120</v>
      </c>
      <c r="AJ54" s="71">
        <f t="shared" si="62"/>
        <v>221.74199999999999</v>
      </c>
      <c r="AK54" s="71">
        <f t="shared" si="63"/>
        <v>217.35900000000001</v>
      </c>
      <c r="AL54" s="71">
        <f t="shared" si="64"/>
        <v>155.77525</v>
      </c>
      <c r="AM54" s="71">
        <f t="shared" si="65"/>
        <v>72.814999999999998</v>
      </c>
      <c r="AO54" s="78">
        <v>120</v>
      </c>
      <c r="AP54" s="70">
        <f t="shared" si="54"/>
        <v>29.851589524969548</v>
      </c>
      <c r="AQ54" s="70">
        <f t="shared" si="54"/>
        <v>28.928565164433618</v>
      </c>
      <c r="AR54" s="70">
        <f t="shared" si="54"/>
        <v>27.746090133982943</v>
      </c>
      <c r="AS54" s="70">
        <f t="shared" si="54"/>
        <v>11.698531059683312</v>
      </c>
      <c r="AU54" s="78">
        <v>120</v>
      </c>
      <c r="AV54" s="70">
        <f t="shared" si="66"/>
        <v>668.67560535931784</v>
      </c>
      <c r="AW54" s="70">
        <f t="shared" si="55"/>
        <v>647.99985968331305</v>
      </c>
      <c r="AX54" s="70">
        <f t="shared" si="56"/>
        <v>621.51241900121784</v>
      </c>
      <c r="AY54" s="70">
        <f t="shared" si="57"/>
        <v>262.04709573690616</v>
      </c>
      <c r="BA54" s="78">
        <v>120</v>
      </c>
      <c r="BB54" s="70">
        <f t="shared" si="58"/>
        <v>1.9105017295980509</v>
      </c>
      <c r="BC54" s="70">
        <f t="shared" si="58"/>
        <v>1.8514281705237516</v>
      </c>
      <c r="BD54" s="70">
        <f t="shared" si="58"/>
        <v>1.7757497685749082</v>
      </c>
      <c r="BE54" s="70">
        <f t="shared" si="58"/>
        <v>0.74870598781973186</v>
      </c>
      <c r="BF54" s="78">
        <f t="shared" si="67"/>
        <v>2.6610399999999998</v>
      </c>
      <c r="BH54" s="78">
        <v>120</v>
      </c>
      <c r="BI54" s="70">
        <f t="shared" si="68"/>
        <v>0.7179530294914962</v>
      </c>
      <c r="BJ54" s="70">
        <f t="shared" si="59"/>
        <v>0.69575360405095443</v>
      </c>
      <c r="BK54" s="70">
        <f t="shared" si="59"/>
        <v>0.66731419616950827</v>
      </c>
      <c r="BL54" s="70">
        <f t="shared" si="59"/>
        <v>0.28135841168104647</v>
      </c>
    </row>
    <row r="55" spans="1:72">
      <c r="A55" s="78">
        <v>144</v>
      </c>
      <c r="B55" s="78">
        <v>30</v>
      </c>
      <c r="C55" s="78">
        <v>26</v>
      </c>
      <c r="D55" s="78">
        <v>24</v>
      </c>
      <c r="E55" s="78">
        <v>26</v>
      </c>
      <c r="F55" s="78">
        <v>20</v>
      </c>
      <c r="G55" s="78">
        <v>24</v>
      </c>
      <c r="H55" s="78">
        <v>12</v>
      </c>
      <c r="I55" s="78">
        <v>12</v>
      </c>
      <c r="J55" s="78">
        <v>10</v>
      </c>
      <c r="K55" s="78">
        <v>8</v>
      </c>
      <c r="M55" s="78">
        <v>45.12</v>
      </c>
      <c r="N55" s="78">
        <v>48.21</v>
      </c>
      <c r="O55" s="78">
        <v>51.22</v>
      </c>
      <c r="P55" s="78">
        <v>36.11</v>
      </c>
      <c r="R55" s="78">
        <f>((B55+C55)/2)-($J$11+$K$11)/2</f>
        <v>19</v>
      </c>
      <c r="S55" s="78">
        <f>((D55+E55)/2)-($J$11+$K$11)/2</f>
        <v>16</v>
      </c>
      <c r="T55" s="73">
        <f>((F55+G55)/2)-($J$11+$K$11)/2</f>
        <v>13</v>
      </c>
      <c r="U55" s="78">
        <f>((H55+I55)/2)-($J$11+$K$11)/2</f>
        <v>3</v>
      </c>
      <c r="W55" s="78">
        <v>144</v>
      </c>
      <c r="X55" s="70">
        <f t="shared" si="60"/>
        <v>8.5727999999999991</v>
      </c>
      <c r="Y55" s="70">
        <f t="shared" si="60"/>
        <v>7.7136000000000005</v>
      </c>
      <c r="Z55" s="70">
        <f t="shared" si="60"/>
        <v>6.6585999999999999</v>
      </c>
      <c r="AA55" s="70">
        <f t="shared" si="60"/>
        <v>1.0832999999999999</v>
      </c>
      <c r="AC55" s="78">
        <v>144</v>
      </c>
      <c r="AD55" s="93">
        <f t="shared" si="61"/>
        <v>52.921199999999999</v>
      </c>
      <c r="AE55" s="93">
        <f t="shared" si="61"/>
        <v>51.185400000000001</v>
      </c>
      <c r="AF55" s="93">
        <f t="shared" si="61"/>
        <v>37.813649999999996</v>
      </c>
      <c r="AG55" s="93">
        <f t="shared" si="61"/>
        <v>15.6463</v>
      </c>
      <c r="AI55" s="78">
        <v>144</v>
      </c>
      <c r="AJ55" s="71">
        <f t="shared" si="62"/>
        <v>264.60599999999999</v>
      </c>
      <c r="AK55" s="71">
        <f t="shared" si="63"/>
        <v>255.92699999999999</v>
      </c>
      <c r="AL55" s="71">
        <f t="shared" si="64"/>
        <v>189.06824999999998</v>
      </c>
      <c r="AM55" s="71">
        <f t="shared" si="65"/>
        <v>78.231499999999997</v>
      </c>
      <c r="AO55" s="78">
        <v>144</v>
      </c>
      <c r="AP55" s="70">
        <f t="shared" si="54"/>
        <v>31.638957369062112</v>
      </c>
      <c r="AQ55" s="70">
        <f t="shared" si="54"/>
        <v>28.467975639464068</v>
      </c>
      <c r="AR55" s="70">
        <f t="shared" si="54"/>
        <v>24.574370280146159</v>
      </c>
      <c r="AS55" s="70">
        <f t="shared" si="54"/>
        <v>3.9980499390986597</v>
      </c>
      <c r="AU55" s="78">
        <v>144</v>
      </c>
      <c r="AV55" s="70">
        <f t="shared" si="66"/>
        <v>708.71264506699129</v>
      </c>
      <c r="AW55" s="70">
        <f t="shared" si="55"/>
        <v>637.68265432399505</v>
      </c>
      <c r="AX55" s="70">
        <f t="shared" si="56"/>
        <v>550.46589427527397</v>
      </c>
      <c r="AY55" s="70">
        <f t="shared" si="57"/>
        <v>89.556318635809973</v>
      </c>
      <c r="BA55" s="78">
        <v>144</v>
      </c>
      <c r="BB55" s="70">
        <f t="shared" si="58"/>
        <v>2.024893271619975</v>
      </c>
      <c r="BC55" s="70">
        <f t="shared" si="58"/>
        <v>1.8219504409257001</v>
      </c>
      <c r="BD55" s="70">
        <f t="shared" si="58"/>
        <v>1.5727596979293541</v>
      </c>
      <c r="BE55" s="70">
        <f t="shared" si="58"/>
        <v>0.25587519610231418</v>
      </c>
      <c r="BF55" s="78">
        <f t="shared" si="67"/>
        <v>2.6610399999999998</v>
      </c>
      <c r="BH55" s="78">
        <v>144</v>
      </c>
      <c r="BI55" s="70">
        <f t="shared" si="68"/>
        <v>0.76094056144213362</v>
      </c>
      <c r="BJ55" s="70">
        <f t="shared" si="59"/>
        <v>0.68467608187990414</v>
      </c>
      <c r="BK55" s="70">
        <f t="shared" si="59"/>
        <v>0.59103196416790205</v>
      </c>
      <c r="BL55" s="70">
        <f t="shared" si="59"/>
        <v>9.6156087883802643E-2</v>
      </c>
    </row>
    <row r="56" spans="1:72">
      <c r="AH56" s="113" t="s">
        <v>39</v>
      </c>
      <c r="AI56" s="114"/>
      <c r="AJ56" s="71">
        <f>AJ55</f>
        <v>264.60599999999999</v>
      </c>
      <c r="AK56" s="71">
        <f>AK55</f>
        <v>255.92699999999999</v>
      </c>
      <c r="AL56" s="71">
        <f>AL55</f>
        <v>189.06824999999998</v>
      </c>
      <c r="AM56" s="71">
        <f>AM55</f>
        <v>78.231499999999997</v>
      </c>
    </row>
    <row r="57" spans="1:72">
      <c r="BN57" s="110" t="s">
        <v>92</v>
      </c>
      <c r="BO57" s="110"/>
      <c r="BP57" s="110"/>
      <c r="BQ57" s="110"/>
      <c r="BR57" s="110"/>
      <c r="BS57" s="110"/>
      <c r="BT57" s="110"/>
    </row>
    <row r="58" spans="1:72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G58" s="69"/>
      <c r="AH58" s="69"/>
      <c r="AI58" s="69"/>
      <c r="AJ58" s="69"/>
      <c r="AK58" s="69"/>
      <c r="AL58" s="69"/>
      <c r="AM58" s="69"/>
      <c r="BN58" s="78"/>
      <c r="BO58" s="78" t="s">
        <v>101</v>
      </c>
      <c r="BP58" s="78" t="s">
        <v>93</v>
      </c>
      <c r="BQ58" s="78" t="s">
        <v>98</v>
      </c>
      <c r="BR58" s="78" t="s">
        <v>94</v>
      </c>
      <c r="BS58" s="78" t="s">
        <v>96</v>
      </c>
      <c r="BT58" s="78" t="s">
        <v>105</v>
      </c>
    </row>
    <row r="59" spans="1:72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74"/>
      <c r="O59" s="74"/>
      <c r="P59" s="69"/>
      <c r="Q59" s="69"/>
      <c r="R59" s="69"/>
      <c r="S59" s="75"/>
      <c r="T59" s="75"/>
      <c r="U59" s="69"/>
      <c r="V59" s="69"/>
      <c r="W59" s="69"/>
      <c r="X59" s="69"/>
      <c r="Y59" s="69"/>
      <c r="Z59" s="69"/>
      <c r="AA59" s="69"/>
      <c r="AG59" s="69"/>
      <c r="AH59" s="69"/>
      <c r="AI59" s="69"/>
      <c r="AJ59" s="75"/>
      <c r="AK59" s="75"/>
      <c r="AL59" s="75"/>
      <c r="AM59" s="69"/>
      <c r="BN59" s="78" t="s">
        <v>34</v>
      </c>
      <c r="BO59" s="71">
        <v>0.34442415925582809</v>
      </c>
      <c r="BP59" s="71">
        <f>BR5</f>
        <v>0.48065933879888967</v>
      </c>
      <c r="BQ59" s="71">
        <f>BR15</f>
        <v>0.6838099287489704</v>
      </c>
      <c r="BR59" s="71">
        <f>BR26</f>
        <v>0.65809440454742929</v>
      </c>
      <c r="BS59" s="71">
        <f>BR38</f>
        <v>0.76726781754105333</v>
      </c>
      <c r="BT59" s="71">
        <f>BR49</f>
        <v>0.76094056144213362</v>
      </c>
    </row>
    <row r="60" spans="1:7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69"/>
      <c r="M60" s="75"/>
      <c r="N60" s="75"/>
      <c r="O60" s="75"/>
      <c r="P60" s="75"/>
      <c r="Q60" s="69"/>
      <c r="R60" s="75"/>
      <c r="S60" s="75"/>
      <c r="T60" s="75"/>
      <c r="U60" s="75"/>
      <c r="V60" s="69"/>
      <c r="W60" s="75"/>
      <c r="X60" s="75"/>
      <c r="Y60" s="75"/>
      <c r="Z60" s="75"/>
      <c r="AA60" s="75"/>
      <c r="AG60" s="69"/>
      <c r="AH60" s="69"/>
      <c r="AI60" s="75"/>
      <c r="AJ60" s="75"/>
      <c r="AK60" s="75"/>
      <c r="AL60" s="75"/>
      <c r="AM60" s="75"/>
      <c r="BN60" s="78" t="s">
        <v>16</v>
      </c>
      <c r="BO60" s="71">
        <v>0.40081035332182707</v>
      </c>
      <c r="BP60" s="71">
        <f>BR6</f>
        <v>0.11214602884970033</v>
      </c>
      <c r="BQ60" s="71">
        <f>BR16</f>
        <v>0.52788467910577941</v>
      </c>
      <c r="BR60" s="71">
        <f>BR27</f>
        <v>0.59570534951489673</v>
      </c>
      <c r="BS60" s="71">
        <f>BR39</f>
        <v>0.82140723195514054</v>
      </c>
      <c r="BT60" s="71">
        <f>BR50</f>
        <v>0.68467608187990414</v>
      </c>
    </row>
    <row r="61" spans="1:72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G61" s="69"/>
      <c r="AH61" s="69"/>
      <c r="AI61" s="69"/>
      <c r="AJ61" s="69"/>
      <c r="AK61" s="69"/>
      <c r="AL61" s="69"/>
      <c r="AM61" s="69"/>
      <c r="BN61" s="78" t="s">
        <v>10</v>
      </c>
      <c r="BO61" s="71">
        <v>0.20778014926706764</v>
      </c>
      <c r="BP61" s="71">
        <f>BR7</f>
        <v>0.10552774554862601</v>
      </c>
      <c r="BQ61" s="71">
        <f>BR17</f>
        <v>0.23389682368516021</v>
      </c>
      <c r="BR61" s="71">
        <f>BR28</f>
        <v>0.26306580029292403</v>
      </c>
      <c r="BS61" s="71">
        <f>BR40</f>
        <v>0.44054910592564162</v>
      </c>
      <c r="BT61" s="71">
        <f>BR51</f>
        <v>0.59103196416790205</v>
      </c>
    </row>
    <row r="62" spans="1:72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76"/>
      <c r="Y62" s="76"/>
      <c r="Z62" s="76"/>
      <c r="AA62" s="76"/>
      <c r="AG62" s="69"/>
      <c r="AH62" s="69"/>
      <c r="AI62" s="69"/>
      <c r="AJ62" s="77"/>
      <c r="AK62" s="77"/>
      <c r="AL62" s="77"/>
      <c r="AM62" s="77"/>
      <c r="BN62" s="78" t="s">
        <v>17</v>
      </c>
      <c r="BO62" s="71">
        <v>6.510677570906559E-2</v>
      </c>
      <c r="BP62" s="71">
        <f>BR8</f>
        <v>0.12163049783234228</v>
      </c>
      <c r="BQ62" s="71">
        <f>BR18</f>
        <v>0.1342144410167678</v>
      </c>
      <c r="BR62" s="71">
        <f>BR29</f>
        <v>6.5910732860497076E-2</v>
      </c>
      <c r="BS62" s="71">
        <f>BR41</f>
        <v>8.3768053765977721E-2</v>
      </c>
      <c r="BT62" s="71">
        <f>BR52</f>
        <v>9.6156087883802643E-2</v>
      </c>
    </row>
    <row r="63" spans="1:72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76"/>
      <c r="Y63" s="76"/>
      <c r="Z63" s="76"/>
      <c r="AA63" s="76"/>
      <c r="AG63" s="69"/>
      <c r="AH63" s="69"/>
      <c r="AI63" s="69"/>
      <c r="AJ63" s="77"/>
      <c r="AK63" s="77"/>
      <c r="AL63" s="77"/>
      <c r="AM63" s="77"/>
    </row>
    <row r="64" spans="1:72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76"/>
      <c r="Y64" s="76"/>
      <c r="Z64" s="76"/>
      <c r="AA64" s="76"/>
      <c r="AG64" s="69"/>
      <c r="AH64" s="69"/>
      <c r="AI64" s="69"/>
      <c r="AJ64" s="77"/>
      <c r="AK64" s="77"/>
      <c r="AL64" s="77"/>
      <c r="AM64" s="77"/>
    </row>
    <row r="65" spans="1:39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76"/>
      <c r="Y65" s="76"/>
      <c r="Z65" s="76"/>
      <c r="AA65" s="76"/>
      <c r="AG65" s="69"/>
      <c r="AH65" s="69"/>
      <c r="AI65" s="69"/>
      <c r="AJ65" s="77"/>
      <c r="AK65" s="77"/>
      <c r="AL65" s="77"/>
      <c r="AM65" s="77"/>
    </row>
    <row r="66" spans="1:39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76"/>
      <c r="Y66" s="76"/>
      <c r="Z66" s="76"/>
      <c r="AA66" s="76"/>
      <c r="AG66" s="69"/>
      <c r="AH66" s="69"/>
      <c r="AI66" s="69"/>
      <c r="AJ66" s="77"/>
      <c r="AK66" s="77"/>
      <c r="AL66" s="77"/>
      <c r="AM66" s="77"/>
    </row>
    <row r="67" spans="1:39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76"/>
      <c r="Y67" s="76"/>
      <c r="Z67" s="76"/>
      <c r="AA67" s="76"/>
      <c r="AG67" s="69"/>
      <c r="AH67" s="69"/>
      <c r="AI67" s="69"/>
      <c r="AJ67" s="77"/>
      <c r="AK67" s="77"/>
      <c r="AL67" s="77"/>
      <c r="AM67" s="77"/>
    </row>
    <row r="68" spans="1:39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76"/>
      <c r="Y68" s="76"/>
      <c r="Z68" s="76"/>
      <c r="AA68" s="76"/>
      <c r="AG68" s="69"/>
      <c r="AH68" s="69"/>
      <c r="AI68" s="69"/>
      <c r="AJ68" s="77"/>
      <c r="AK68" s="77"/>
      <c r="AL68" s="77"/>
      <c r="AM68" s="77"/>
    </row>
    <row r="69" spans="1:39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G69" s="69"/>
      <c r="AH69" s="75"/>
      <c r="AI69" s="75"/>
      <c r="AJ69" s="69"/>
      <c r="AK69" s="69"/>
      <c r="AL69" s="69"/>
      <c r="AM69" s="69"/>
    </row>
    <row r="70" spans="1:39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G70" s="69"/>
      <c r="AH70" s="69"/>
      <c r="AI70" s="69"/>
      <c r="AJ70" s="69"/>
      <c r="AK70" s="69"/>
      <c r="AL70" s="69"/>
      <c r="AM70" s="69"/>
    </row>
    <row r="71" spans="1:39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G71" s="69"/>
      <c r="AH71" s="69"/>
      <c r="AI71" s="69"/>
      <c r="AJ71" s="69"/>
      <c r="AK71" s="69"/>
      <c r="AL71" s="69"/>
      <c r="AM71" s="69"/>
    </row>
  </sheetData>
  <mergeCells count="82">
    <mergeCell ref="AP24:AS24"/>
    <mergeCell ref="AU24:AU25"/>
    <mergeCell ref="BH2:BL2"/>
    <mergeCell ref="BA36:BA37"/>
    <mergeCell ref="BB36:BF36"/>
    <mergeCell ref="BH13:BH14"/>
    <mergeCell ref="BI13:BL13"/>
    <mergeCell ref="AV24:AY24"/>
    <mergeCell ref="BA24:BA25"/>
    <mergeCell ref="BB24:BF24"/>
    <mergeCell ref="AO2:AS2"/>
    <mergeCell ref="AU2:AY2"/>
    <mergeCell ref="BA2:BF2"/>
    <mergeCell ref="AO24:AO25"/>
    <mergeCell ref="BH36:BH37"/>
    <mergeCell ref="BI36:BL36"/>
    <mergeCell ref="M2:P2"/>
    <mergeCell ref="AI2:AM2"/>
    <mergeCell ref="W3:AA3"/>
    <mergeCell ref="AI3:AM3"/>
    <mergeCell ref="AH12:AI12"/>
    <mergeCell ref="AC3:AG3"/>
    <mergeCell ref="R2:U2"/>
    <mergeCell ref="W2:AA2"/>
    <mergeCell ref="AC2:AG2"/>
    <mergeCell ref="R3:U3"/>
    <mergeCell ref="BB47:BF47"/>
    <mergeCell ref="BH47:BH48"/>
    <mergeCell ref="BI47:BL47"/>
    <mergeCell ref="AO36:AO37"/>
    <mergeCell ref="AP36:AS36"/>
    <mergeCell ref="AU36:AU37"/>
    <mergeCell ref="AV36:AY36"/>
    <mergeCell ref="AO47:AO48"/>
    <mergeCell ref="AP47:AS47"/>
    <mergeCell ref="AU47:AU48"/>
    <mergeCell ref="AV47:AY47"/>
    <mergeCell ref="BA47:BA48"/>
    <mergeCell ref="BI24:BL24"/>
    <mergeCell ref="BB3:BF3"/>
    <mergeCell ref="AO13:AO14"/>
    <mergeCell ref="AP13:AS13"/>
    <mergeCell ref="AU13:AU14"/>
    <mergeCell ref="AV13:AY13"/>
    <mergeCell ref="BA13:BA14"/>
    <mergeCell ref="BB13:BF13"/>
    <mergeCell ref="AP3:AS3"/>
    <mergeCell ref="BI3:BL3"/>
    <mergeCell ref="BH3:BH4"/>
    <mergeCell ref="BA3:BA4"/>
    <mergeCell ref="AV3:AY3"/>
    <mergeCell ref="AU3:AU4"/>
    <mergeCell ref="AO3:AO4"/>
    <mergeCell ref="BH24:BH25"/>
    <mergeCell ref="AH56:AI56"/>
    <mergeCell ref="S46:T46"/>
    <mergeCell ref="AJ46:AL46"/>
    <mergeCell ref="R47:U47"/>
    <mergeCell ref="W47:AA47"/>
    <mergeCell ref="AI47:AM47"/>
    <mergeCell ref="AC47:AG47"/>
    <mergeCell ref="R36:U36"/>
    <mergeCell ref="W36:AA36"/>
    <mergeCell ref="AI36:AM36"/>
    <mergeCell ref="AH45:AI45"/>
    <mergeCell ref="AC36:AG36"/>
    <mergeCell ref="BN57:BT57"/>
    <mergeCell ref="A1:XFD1"/>
    <mergeCell ref="AH33:AI33"/>
    <mergeCell ref="S35:T35"/>
    <mergeCell ref="AJ35:AL35"/>
    <mergeCell ref="R13:U13"/>
    <mergeCell ref="R24:U24"/>
    <mergeCell ref="W24:AA24"/>
    <mergeCell ref="AI24:AM24"/>
    <mergeCell ref="W13:AA13"/>
    <mergeCell ref="AI13:AM13"/>
    <mergeCell ref="AH22:AI22"/>
    <mergeCell ref="AC13:AG13"/>
    <mergeCell ref="AC24:AG24"/>
    <mergeCell ref="S23:T23"/>
    <mergeCell ref="AJ23:AL23"/>
  </mergeCells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SMA p.panit</vt:lpstr>
      <vt:lpstr>SMA p.panit 1</vt:lpstr>
      <vt:lpstr>SMA test</vt:lpstr>
    </vt:vector>
  </TitlesOfParts>
  <Company>IC Shop And IC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 Speed</dc:creator>
  <cp:lastModifiedBy>Windows User</cp:lastModifiedBy>
  <cp:lastPrinted>2016-06-22T05:35:57Z</cp:lastPrinted>
  <dcterms:created xsi:type="dcterms:W3CDTF">2016-06-10T05:28:45Z</dcterms:created>
  <dcterms:modified xsi:type="dcterms:W3CDTF">2020-04-18T16:16:23Z</dcterms:modified>
</cp:coreProperties>
</file>