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WALDO\Desktop\artículo composición química\"/>
    </mc:Choice>
  </mc:AlternateContent>
  <xr:revisionPtr revIDLastSave="0" documentId="8_{205085A2-983E-4855-9E56-DCAC1F546467}" xr6:coauthVersionLast="45" xr6:coauthVersionMax="45" xr10:uidLastSave="{00000000-0000-0000-0000-000000000000}"/>
  <bookViews>
    <workbookView xWindow="-120" yWindow="-120" windowWidth="24240" windowHeight="13140" xr2:uid="{A4EC5C06-B91D-4678-AC5C-8FAF64952BC6}"/>
  </bookViews>
  <sheets>
    <sheet name="% Humidity for extracrtives" sheetId="6" r:id="rId1"/>
    <sheet name="Cyclohexane" sheetId="1" r:id="rId2"/>
    <sheet name="Acetone" sheetId="2" r:id="rId3"/>
    <sheet name="Methanol" sheetId="3" r:id="rId4"/>
    <sheet name="Hot water" sheetId="4" r:id="rId5"/>
    <sheet name="Total extractives" sheetId="5" r:id="rId6"/>
    <sheet name="pH" sheetId="9" r:id="rId7"/>
    <sheet name="Ash" sheetId="13" r:id="rId8"/>
    <sheet name="Lignin" sheetId="7" r:id="rId9"/>
    <sheet name="Holocellulose" sheetId="12" r:id="rId10"/>
    <sheet name="Microanalysis" sheetId="14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3" l="1"/>
  <c r="E28" i="14"/>
  <c r="F28" i="14"/>
  <c r="F66" i="14"/>
  <c r="E66" i="14"/>
  <c r="F68" i="14"/>
  <c r="E68" i="14"/>
  <c r="F72" i="14"/>
  <c r="E72" i="14"/>
  <c r="F69" i="14"/>
  <c r="E69" i="14"/>
  <c r="F67" i="14"/>
  <c r="E67" i="14"/>
  <c r="F71" i="14"/>
  <c r="E71" i="14"/>
  <c r="F70" i="14"/>
  <c r="E70" i="14"/>
  <c r="F38" i="14"/>
  <c r="E38" i="14"/>
  <c r="F45" i="14"/>
  <c r="E45" i="14"/>
  <c r="F41" i="14"/>
  <c r="E41" i="14"/>
  <c r="F40" i="14"/>
  <c r="E40" i="14"/>
  <c r="F42" i="14"/>
  <c r="E42" i="14"/>
  <c r="F39" i="14"/>
  <c r="E39" i="14"/>
  <c r="F44" i="14"/>
  <c r="E44" i="14"/>
  <c r="F43" i="14"/>
  <c r="E43" i="14"/>
  <c r="F52" i="14"/>
  <c r="E52" i="14"/>
  <c r="F59" i="14"/>
  <c r="E59" i="14"/>
  <c r="F55" i="14"/>
  <c r="E55" i="14"/>
  <c r="F56" i="14"/>
  <c r="E56" i="14"/>
  <c r="F54" i="14"/>
  <c r="E54" i="14"/>
  <c r="F53" i="14"/>
  <c r="E53" i="14"/>
  <c r="F58" i="14"/>
  <c r="E58" i="14"/>
  <c r="F57" i="14"/>
  <c r="E57" i="14"/>
  <c r="F30" i="14"/>
  <c r="E30" i="14"/>
  <c r="F29" i="14"/>
  <c r="E29" i="14"/>
  <c r="F31" i="14"/>
  <c r="E31" i="14"/>
  <c r="F24" i="14"/>
  <c r="E24" i="14"/>
  <c r="F26" i="14"/>
  <c r="E26" i="14"/>
  <c r="F25" i="14"/>
  <c r="E25" i="14"/>
  <c r="F27" i="14"/>
  <c r="E27" i="14"/>
  <c r="F17" i="14"/>
  <c r="E17" i="14"/>
  <c r="F10" i="14"/>
  <c r="E10" i="14"/>
  <c r="F12" i="14"/>
  <c r="E12" i="14"/>
  <c r="F13" i="14"/>
  <c r="E13" i="14"/>
  <c r="F16" i="14"/>
  <c r="E16" i="14"/>
  <c r="F8" i="14"/>
  <c r="E8" i="14"/>
  <c r="F15" i="14"/>
  <c r="E15" i="14"/>
  <c r="F11" i="14"/>
  <c r="E11" i="14"/>
  <c r="F14" i="14"/>
  <c r="E14" i="14"/>
  <c r="F9" i="14"/>
  <c r="E9" i="14"/>
  <c r="K93" i="12" l="1"/>
  <c r="K90" i="12"/>
  <c r="K91" i="12"/>
  <c r="K92" i="12"/>
  <c r="J90" i="12"/>
  <c r="J91" i="12"/>
  <c r="J92" i="12"/>
  <c r="I90" i="12"/>
  <c r="I91" i="12"/>
  <c r="I92" i="12"/>
  <c r="E90" i="12"/>
  <c r="E91" i="12"/>
  <c r="E92" i="12"/>
  <c r="K53" i="12"/>
  <c r="K52" i="12"/>
  <c r="K51" i="12"/>
  <c r="K50" i="12"/>
  <c r="J52" i="12"/>
  <c r="J51" i="12"/>
  <c r="J50" i="12"/>
  <c r="I52" i="12"/>
  <c r="I51" i="12"/>
  <c r="I50" i="12"/>
  <c r="E52" i="12"/>
  <c r="E51" i="12"/>
  <c r="E50" i="12"/>
  <c r="I85" i="7"/>
  <c r="K85" i="7"/>
  <c r="K46" i="7"/>
  <c r="K10" i="7"/>
  <c r="K89" i="12"/>
  <c r="K70" i="12"/>
  <c r="K71" i="12"/>
  <c r="K72" i="12"/>
  <c r="K69" i="12"/>
  <c r="I69" i="12"/>
  <c r="K49" i="12"/>
  <c r="I49" i="12"/>
  <c r="K32" i="12"/>
  <c r="K30" i="12"/>
  <c r="K31" i="12"/>
  <c r="K29" i="12"/>
  <c r="I29" i="12"/>
  <c r="F35" i="13"/>
  <c r="F36" i="13"/>
  <c r="F34" i="13"/>
  <c r="D36" i="13"/>
  <c r="D35" i="13"/>
  <c r="D34" i="13"/>
  <c r="F27" i="13"/>
  <c r="K10" i="12"/>
  <c r="K11" i="12"/>
  <c r="K12" i="12"/>
  <c r="K9" i="12"/>
  <c r="E89" i="13"/>
  <c r="E25" i="5"/>
  <c r="E29" i="5"/>
  <c r="C29" i="5"/>
  <c r="D29" i="5"/>
  <c r="F29" i="5"/>
  <c r="B29" i="5"/>
  <c r="C28" i="5"/>
  <c r="D28" i="5"/>
  <c r="E28" i="5"/>
  <c r="F28" i="5"/>
  <c r="B28" i="5"/>
  <c r="D26" i="5"/>
  <c r="B27" i="5"/>
  <c r="B26" i="5"/>
  <c r="C26" i="5"/>
  <c r="E26" i="5"/>
  <c r="F26" i="5"/>
  <c r="C27" i="5"/>
  <c r="D27" i="5"/>
  <c r="E27" i="5"/>
  <c r="F27" i="5"/>
  <c r="C25" i="5"/>
  <c r="D25" i="5"/>
  <c r="F25" i="5"/>
  <c r="B25" i="5"/>
  <c r="C7" i="1"/>
  <c r="C8" i="1"/>
  <c r="C6" i="1"/>
  <c r="I72" i="12"/>
  <c r="I32" i="12"/>
  <c r="J9" i="12"/>
  <c r="I10" i="12"/>
  <c r="I11" i="12"/>
  <c r="I12" i="12"/>
  <c r="I9" i="12"/>
  <c r="I11" i="7"/>
  <c r="I29" i="7"/>
  <c r="I48" i="7"/>
  <c r="I86" i="7"/>
  <c r="I66" i="7"/>
  <c r="D21" i="9"/>
  <c r="E21" i="9"/>
  <c r="F21" i="9"/>
  <c r="G21" i="9"/>
  <c r="C21" i="9"/>
  <c r="G20" i="9"/>
  <c r="D20" i="9"/>
  <c r="E20" i="9"/>
  <c r="F20" i="9"/>
  <c r="C20" i="9"/>
  <c r="I9" i="7"/>
  <c r="E8" i="13"/>
  <c r="F8" i="13" s="1"/>
  <c r="E26" i="13"/>
  <c r="E71" i="13"/>
  <c r="E9" i="13"/>
  <c r="F9" i="13" s="1"/>
  <c r="E10" i="13"/>
  <c r="F10" i="13" s="1"/>
  <c r="E11" i="13"/>
  <c r="F11" i="13" s="1"/>
  <c r="F12" i="13" l="1"/>
  <c r="D16" i="13" s="1"/>
  <c r="I89" i="12"/>
  <c r="I100" i="12"/>
  <c r="E99" i="12"/>
  <c r="F99" i="12" s="1"/>
  <c r="E98" i="12"/>
  <c r="F98" i="12" s="1"/>
  <c r="F100" i="12" s="1"/>
  <c r="I70" i="12"/>
  <c r="I71" i="12"/>
  <c r="I82" i="12"/>
  <c r="E81" i="12"/>
  <c r="F81" i="12" s="1"/>
  <c r="E80" i="12"/>
  <c r="F80" i="12" s="1"/>
  <c r="F82" i="12" s="1"/>
  <c r="I61" i="12"/>
  <c r="E60" i="12"/>
  <c r="F60" i="12" s="1"/>
  <c r="E59" i="12"/>
  <c r="F59" i="12" s="1"/>
  <c r="F61" i="12" s="1"/>
  <c r="I41" i="12"/>
  <c r="E40" i="12"/>
  <c r="F40" i="12" s="1"/>
  <c r="E39" i="12"/>
  <c r="F39" i="12" s="1"/>
  <c r="F41" i="12" s="1"/>
  <c r="I30" i="12" s="1"/>
  <c r="I20" i="12"/>
  <c r="E19" i="12"/>
  <c r="F19" i="12" s="1"/>
  <c r="E18" i="12"/>
  <c r="F18" i="12" s="1"/>
  <c r="F20" i="12" s="1"/>
  <c r="I67" i="7"/>
  <c r="I65" i="7"/>
  <c r="I38" i="7"/>
  <c r="K29" i="7" s="1"/>
  <c r="J47" i="4"/>
  <c r="J48" i="4"/>
  <c r="J46" i="4"/>
  <c r="J37" i="4"/>
  <c r="J38" i="4"/>
  <c r="J36" i="4"/>
  <c r="J27" i="4"/>
  <c r="J28" i="4"/>
  <c r="J26" i="4"/>
  <c r="G18" i="4"/>
  <c r="G17" i="4"/>
  <c r="G16" i="4"/>
  <c r="P7" i="4"/>
  <c r="P8" i="4"/>
  <c r="P6" i="4"/>
  <c r="G48" i="2"/>
  <c r="G47" i="2"/>
  <c r="G46" i="2"/>
  <c r="G28" i="2"/>
  <c r="G27" i="2"/>
  <c r="G26" i="2"/>
  <c r="G18" i="2"/>
  <c r="G17" i="2"/>
  <c r="G16" i="2"/>
  <c r="V44" i="3"/>
  <c r="V45" i="3"/>
  <c r="V43" i="3"/>
  <c r="S35" i="3"/>
  <c r="S36" i="3"/>
  <c r="S34" i="3"/>
  <c r="S26" i="3"/>
  <c r="S27" i="3"/>
  <c r="S25" i="3"/>
  <c r="J15" i="3"/>
  <c r="F15" i="3"/>
  <c r="M7" i="3"/>
  <c r="M8" i="3"/>
  <c r="M6" i="3"/>
  <c r="I6" i="1"/>
  <c r="C6" i="3"/>
  <c r="I31" i="12" l="1"/>
  <c r="C47" i="4"/>
  <c r="K47" i="4" s="1"/>
  <c r="C48" i="4"/>
  <c r="K48" i="4" s="1"/>
  <c r="C46" i="4"/>
  <c r="K46" i="4" s="1"/>
  <c r="C37" i="4"/>
  <c r="K37" i="4" s="1"/>
  <c r="C38" i="4"/>
  <c r="K38" i="4" s="1"/>
  <c r="C36" i="4"/>
  <c r="K36" i="4" s="1"/>
  <c r="C27" i="4"/>
  <c r="K27" i="4" s="1"/>
  <c r="C28" i="4"/>
  <c r="K28" i="4" s="1"/>
  <c r="C26" i="4"/>
  <c r="K26" i="4" s="1"/>
  <c r="C17" i="4"/>
  <c r="H17" i="4" s="1"/>
  <c r="C18" i="4"/>
  <c r="H18" i="4" s="1"/>
  <c r="C16" i="4"/>
  <c r="H16" i="4" s="1"/>
  <c r="C7" i="4"/>
  <c r="Q7" i="4" s="1"/>
  <c r="C8" i="4"/>
  <c r="Q8" i="4" s="1"/>
  <c r="C6" i="4"/>
  <c r="Q6" i="4" s="1"/>
  <c r="C44" i="3"/>
  <c r="W44" i="3" s="1"/>
  <c r="C45" i="3"/>
  <c r="W45" i="3" s="1"/>
  <c r="C43" i="3"/>
  <c r="W43" i="3" s="1"/>
  <c r="C35" i="3"/>
  <c r="T35" i="3" s="1"/>
  <c r="C36" i="3"/>
  <c r="T36" i="3" s="1"/>
  <c r="C34" i="3"/>
  <c r="T34" i="3" s="1"/>
  <c r="C26" i="3"/>
  <c r="T26" i="3" s="1"/>
  <c r="C27" i="3"/>
  <c r="T27" i="3" s="1"/>
  <c r="C25" i="3"/>
  <c r="T25" i="3" s="1"/>
  <c r="C16" i="3"/>
  <c r="C17" i="3"/>
  <c r="K17" i="3" s="1"/>
  <c r="C15" i="3"/>
  <c r="K15" i="3" s="1"/>
  <c r="C7" i="3"/>
  <c r="N7" i="3" s="1"/>
  <c r="N9" i="3" s="1"/>
  <c r="C8" i="3"/>
  <c r="N8" i="3" s="1"/>
  <c r="C47" i="2"/>
  <c r="H47" i="2" s="1"/>
  <c r="C48" i="2"/>
  <c r="H48" i="2" s="1"/>
  <c r="C46" i="2"/>
  <c r="H46" i="2" s="1"/>
  <c r="C37" i="2"/>
  <c r="C38" i="2"/>
  <c r="C36" i="2"/>
  <c r="K36" i="2" s="1"/>
  <c r="C27" i="2"/>
  <c r="H27" i="2" s="1"/>
  <c r="C28" i="2"/>
  <c r="H28" i="2" s="1"/>
  <c r="C26" i="2"/>
  <c r="H26" i="2" s="1"/>
  <c r="C17" i="2"/>
  <c r="C18" i="2"/>
  <c r="C16" i="2"/>
  <c r="C7" i="2"/>
  <c r="C8" i="2"/>
  <c r="C6" i="2"/>
  <c r="C46" i="1"/>
  <c r="C47" i="1"/>
  <c r="C45" i="1"/>
  <c r="C37" i="1"/>
  <c r="C38" i="1"/>
  <c r="C36" i="1"/>
  <c r="C27" i="1"/>
  <c r="C28" i="1"/>
  <c r="C26" i="1"/>
  <c r="C17" i="1"/>
  <c r="C18" i="1"/>
  <c r="C16" i="1"/>
  <c r="E39" i="6"/>
  <c r="E38" i="6"/>
  <c r="E32" i="6"/>
  <c r="E31" i="6"/>
  <c r="E8" i="6"/>
  <c r="E9" i="6"/>
  <c r="E10" i="6"/>
  <c r="E7" i="6"/>
  <c r="E25" i="6"/>
  <c r="E24" i="6"/>
  <c r="E18" i="6"/>
  <c r="F18" i="6" s="1"/>
  <c r="E17" i="6"/>
  <c r="F17" i="6" s="1"/>
  <c r="E16" i="6"/>
  <c r="F16" i="6" s="1"/>
  <c r="F19" i="6" s="1"/>
  <c r="H49" i="2" l="1"/>
  <c r="H50" i="2"/>
  <c r="T28" i="3"/>
  <c r="T29" i="3"/>
  <c r="Q10" i="4"/>
  <c r="Q9" i="4"/>
  <c r="W46" i="3"/>
  <c r="W47" i="3"/>
  <c r="K40" i="4"/>
  <c r="K39" i="4"/>
  <c r="H19" i="4"/>
  <c r="H20" i="4"/>
  <c r="K50" i="4"/>
  <c r="K49" i="4"/>
  <c r="T37" i="3"/>
  <c r="T38" i="3"/>
  <c r="K30" i="4"/>
  <c r="K29" i="4"/>
  <c r="N10" i="3"/>
  <c r="F25" i="6"/>
  <c r="F24" i="6"/>
  <c r="F26" i="6" s="1"/>
  <c r="F39" i="6"/>
  <c r="F38" i="6"/>
  <c r="F32" i="6"/>
  <c r="F31" i="6"/>
  <c r="F33" i="6" s="1"/>
  <c r="F40" i="6" l="1"/>
  <c r="L8" i="3"/>
  <c r="I8" i="3"/>
  <c r="F8" i="3"/>
  <c r="L7" i="3"/>
  <c r="I7" i="3"/>
  <c r="F7" i="3"/>
  <c r="L6" i="3"/>
  <c r="I6" i="3"/>
  <c r="F6" i="3"/>
  <c r="J6" i="4"/>
  <c r="K6" i="4"/>
  <c r="L6" i="4" s="1"/>
  <c r="M6" i="4"/>
  <c r="N6" i="4"/>
  <c r="O6" i="4" s="1"/>
  <c r="J7" i="4"/>
  <c r="K7" i="4"/>
  <c r="M7" i="4"/>
  <c r="N7" i="4"/>
  <c r="O7" i="4" s="1"/>
  <c r="J8" i="4"/>
  <c r="K8" i="4"/>
  <c r="L8" i="4" s="1"/>
  <c r="M8" i="4"/>
  <c r="N8" i="4"/>
  <c r="O8" i="4" s="1"/>
  <c r="G8" i="4"/>
  <c r="I8" i="4" s="1"/>
  <c r="E8" i="4"/>
  <c r="D8" i="4"/>
  <c r="G7" i="4"/>
  <c r="I7" i="4" s="1"/>
  <c r="F7" i="4"/>
  <c r="G6" i="4"/>
  <c r="I6" i="4" s="1"/>
  <c r="E6" i="4"/>
  <c r="D6" i="4"/>
  <c r="O25" i="3"/>
  <c r="R25" i="3"/>
  <c r="O26" i="3"/>
  <c r="R26" i="3"/>
  <c r="O27" i="3"/>
  <c r="R27" i="3"/>
  <c r="L27" i="3"/>
  <c r="I27" i="3"/>
  <c r="F27" i="3"/>
  <c r="L26" i="3"/>
  <c r="I26" i="3"/>
  <c r="F26" i="3"/>
  <c r="L25" i="3"/>
  <c r="I25" i="3"/>
  <c r="F25" i="3"/>
  <c r="I28" i="4"/>
  <c r="F28" i="4"/>
  <c r="I27" i="4"/>
  <c r="F27" i="4"/>
  <c r="I26" i="4"/>
  <c r="F26" i="4"/>
  <c r="I48" i="4"/>
  <c r="F48" i="4"/>
  <c r="I47" i="4"/>
  <c r="F47" i="4"/>
  <c r="I46" i="4"/>
  <c r="F46" i="4"/>
  <c r="F43" i="3"/>
  <c r="I43" i="3"/>
  <c r="L43" i="3"/>
  <c r="O43" i="3"/>
  <c r="R43" i="3"/>
  <c r="U43" i="3"/>
  <c r="F44" i="3"/>
  <c r="I44" i="3"/>
  <c r="L44" i="3"/>
  <c r="O44" i="3"/>
  <c r="R44" i="3"/>
  <c r="U44" i="3"/>
  <c r="F45" i="3"/>
  <c r="I45" i="3"/>
  <c r="L45" i="3"/>
  <c r="O45" i="3"/>
  <c r="R45" i="3"/>
  <c r="U45" i="3"/>
  <c r="I38" i="4"/>
  <c r="F38" i="4"/>
  <c r="I37" i="4"/>
  <c r="F37" i="4"/>
  <c r="I36" i="4"/>
  <c r="F36" i="4"/>
  <c r="R36" i="3"/>
  <c r="O36" i="3"/>
  <c r="L36" i="3"/>
  <c r="I36" i="3"/>
  <c r="F36" i="3"/>
  <c r="R35" i="3"/>
  <c r="O35" i="3"/>
  <c r="L35" i="3"/>
  <c r="I35" i="3"/>
  <c r="F35" i="3"/>
  <c r="R34" i="3"/>
  <c r="O34" i="3"/>
  <c r="L34" i="3"/>
  <c r="I34" i="3"/>
  <c r="F34" i="3"/>
  <c r="F6" i="1"/>
  <c r="F6" i="4" l="1"/>
  <c r="F8" i="4"/>
  <c r="L7" i="4"/>
  <c r="E91" i="13"/>
  <c r="E90" i="13"/>
  <c r="E83" i="13"/>
  <c r="F83" i="13" s="1"/>
  <c r="E82" i="13"/>
  <c r="F82" i="13" s="1"/>
  <c r="E72" i="13"/>
  <c r="E73" i="13"/>
  <c r="E65" i="13"/>
  <c r="F65" i="13" s="1"/>
  <c r="E64" i="13"/>
  <c r="E54" i="13"/>
  <c r="E53" i="13"/>
  <c r="E52" i="13"/>
  <c r="E46" i="13"/>
  <c r="F46" i="13" s="1"/>
  <c r="E45" i="13"/>
  <c r="F45" i="13" s="1"/>
  <c r="F47" i="13" s="1"/>
  <c r="E36" i="13"/>
  <c r="E35" i="13"/>
  <c r="E34" i="13"/>
  <c r="E28" i="13"/>
  <c r="F28" i="13" s="1"/>
  <c r="E27" i="13"/>
  <c r="F26" i="13"/>
  <c r="E18" i="13"/>
  <c r="E17" i="13"/>
  <c r="E16" i="13"/>
  <c r="F16" i="13" s="1"/>
  <c r="D54" i="13" l="1"/>
  <c r="D52" i="13"/>
  <c r="F64" i="13"/>
  <c r="F66" i="13" s="1"/>
  <c r="D71" i="13" s="1"/>
  <c r="F71" i="13" s="1"/>
  <c r="F84" i="13"/>
  <c r="F29" i="13"/>
  <c r="E89" i="12"/>
  <c r="J89" i="12" s="1"/>
  <c r="J72" i="12"/>
  <c r="E72" i="12"/>
  <c r="E71" i="12"/>
  <c r="J71" i="12" s="1"/>
  <c r="E70" i="12"/>
  <c r="J70" i="12" s="1"/>
  <c r="E69" i="12"/>
  <c r="J69" i="12" s="1"/>
  <c r="E49" i="12"/>
  <c r="J49" i="12" s="1"/>
  <c r="E32" i="12"/>
  <c r="J32" i="12" s="1"/>
  <c r="E31" i="12"/>
  <c r="J31" i="12" s="1"/>
  <c r="E30" i="12"/>
  <c r="J30" i="12" s="1"/>
  <c r="E29" i="12"/>
  <c r="J29" i="12" s="1"/>
  <c r="E12" i="12"/>
  <c r="J12" i="12" s="1"/>
  <c r="E11" i="12"/>
  <c r="J11" i="12" s="1"/>
  <c r="E10" i="12"/>
  <c r="J10" i="12" s="1"/>
  <c r="E9" i="12"/>
  <c r="E94" i="7"/>
  <c r="F94" i="7" s="1"/>
  <c r="E93" i="7"/>
  <c r="F93" i="7" s="1"/>
  <c r="F95" i="7" s="1"/>
  <c r="I95" i="7"/>
  <c r="K86" i="7" s="1"/>
  <c r="E86" i="7"/>
  <c r="J86" i="7" s="1"/>
  <c r="E85" i="7"/>
  <c r="J85" i="7" s="1"/>
  <c r="E84" i="7"/>
  <c r="J84" i="7" s="1"/>
  <c r="E75" i="7"/>
  <c r="F75" i="7" s="1"/>
  <c r="E74" i="7"/>
  <c r="F74" i="7" s="1"/>
  <c r="I76" i="7"/>
  <c r="E67" i="7"/>
  <c r="J67" i="7" s="1"/>
  <c r="E66" i="7"/>
  <c r="J66" i="7" s="1"/>
  <c r="E65" i="7"/>
  <c r="J65" i="7" s="1"/>
  <c r="E56" i="7"/>
  <c r="F56" i="7" s="1"/>
  <c r="E55" i="7"/>
  <c r="F55" i="7" s="1"/>
  <c r="I57" i="7"/>
  <c r="K48" i="7" s="1"/>
  <c r="E48" i="7"/>
  <c r="J48" i="7" s="1"/>
  <c r="E47" i="7"/>
  <c r="J47" i="7" s="1"/>
  <c r="E46" i="7"/>
  <c r="J46" i="7" s="1"/>
  <c r="E37" i="7"/>
  <c r="F37" i="7" s="1"/>
  <c r="E36" i="7"/>
  <c r="F36" i="7" s="1"/>
  <c r="E29" i="7"/>
  <c r="J29" i="7" s="1"/>
  <c r="E28" i="7"/>
  <c r="J28" i="7" s="1"/>
  <c r="E27" i="7"/>
  <c r="J27" i="7" s="1"/>
  <c r="E19" i="7"/>
  <c r="F19" i="7" s="1"/>
  <c r="E18" i="7"/>
  <c r="F18" i="7" s="1"/>
  <c r="I20" i="7"/>
  <c r="K11" i="7" s="1"/>
  <c r="E11" i="7"/>
  <c r="J11" i="7" s="1"/>
  <c r="E10" i="7"/>
  <c r="J10" i="7" s="1"/>
  <c r="E9" i="7"/>
  <c r="J9" i="7" s="1"/>
  <c r="F10" i="6"/>
  <c r="F9" i="6"/>
  <c r="F8" i="6"/>
  <c r="F7" i="6"/>
  <c r="F18" i="4"/>
  <c r="F17" i="4"/>
  <c r="F16" i="4"/>
  <c r="F17" i="3"/>
  <c r="J17" i="3" s="1"/>
  <c r="F16" i="3"/>
  <c r="J16" i="3" s="1"/>
  <c r="K16" i="3" s="1"/>
  <c r="F18" i="2"/>
  <c r="H18" i="2" s="1"/>
  <c r="F17" i="2"/>
  <c r="H17" i="2" s="1"/>
  <c r="F16" i="2"/>
  <c r="H16" i="2" s="1"/>
  <c r="F28" i="2"/>
  <c r="F27" i="2"/>
  <c r="F26" i="2"/>
  <c r="I38" i="2"/>
  <c r="F38" i="2"/>
  <c r="J38" i="2" s="1"/>
  <c r="K38" i="2" s="1"/>
  <c r="I37" i="2"/>
  <c r="F37" i="2"/>
  <c r="J37" i="2" s="1"/>
  <c r="K37" i="2" s="1"/>
  <c r="I36" i="2"/>
  <c r="F36" i="2"/>
  <c r="J36" i="2" s="1"/>
  <c r="F48" i="2"/>
  <c r="F47" i="2"/>
  <c r="F46" i="2"/>
  <c r="I8" i="2"/>
  <c r="F8" i="2"/>
  <c r="J8" i="2" s="1"/>
  <c r="K8" i="2" s="1"/>
  <c r="I7" i="2"/>
  <c r="F7" i="2"/>
  <c r="I6" i="2"/>
  <c r="F6" i="2"/>
  <c r="J6" i="2" s="1"/>
  <c r="K6" i="2" s="1"/>
  <c r="F47" i="1"/>
  <c r="G47" i="1" s="1"/>
  <c r="H47" i="1" s="1"/>
  <c r="F46" i="1"/>
  <c r="G46" i="1" s="1"/>
  <c r="H46" i="1" s="1"/>
  <c r="F45" i="1"/>
  <c r="G45" i="1" s="1"/>
  <c r="H45" i="1" s="1"/>
  <c r="L38" i="1"/>
  <c r="I38" i="1"/>
  <c r="F38" i="1"/>
  <c r="L37" i="1"/>
  <c r="I37" i="1"/>
  <c r="F37" i="1"/>
  <c r="L36" i="1"/>
  <c r="I36" i="1"/>
  <c r="F36" i="1"/>
  <c r="X28" i="1"/>
  <c r="U28" i="1"/>
  <c r="R28" i="1"/>
  <c r="O28" i="1"/>
  <c r="L28" i="1"/>
  <c r="I28" i="1"/>
  <c r="F28" i="1"/>
  <c r="X27" i="1"/>
  <c r="U27" i="1"/>
  <c r="R27" i="1"/>
  <c r="O27" i="1"/>
  <c r="L27" i="1"/>
  <c r="I27" i="1"/>
  <c r="F27" i="1"/>
  <c r="X26" i="1"/>
  <c r="U26" i="1"/>
  <c r="R26" i="1"/>
  <c r="O26" i="1"/>
  <c r="L26" i="1"/>
  <c r="I26" i="1"/>
  <c r="F26" i="1"/>
  <c r="F18" i="1"/>
  <c r="G18" i="1" s="1"/>
  <c r="H18" i="1" s="1"/>
  <c r="F17" i="1"/>
  <c r="G17" i="1" s="1"/>
  <c r="H17" i="1" s="1"/>
  <c r="F16" i="1"/>
  <c r="G16" i="1" s="1"/>
  <c r="H16" i="1" s="1"/>
  <c r="K66" i="7" l="1"/>
  <c r="K65" i="7"/>
  <c r="K67" i="7"/>
  <c r="D72" i="13"/>
  <c r="F72" i="13" s="1"/>
  <c r="D73" i="13"/>
  <c r="F73" i="13" s="1"/>
  <c r="F74" i="13" s="1"/>
  <c r="D91" i="13"/>
  <c r="F91" i="13" s="1"/>
  <c r="D89" i="13"/>
  <c r="F89" i="13" s="1"/>
  <c r="D90" i="13"/>
  <c r="F90" i="13" s="1"/>
  <c r="D53" i="13"/>
  <c r="F53" i="13" s="1"/>
  <c r="F54" i="13"/>
  <c r="F52" i="13"/>
  <c r="F75" i="13"/>
  <c r="D17" i="13"/>
  <c r="F17" i="13" s="1"/>
  <c r="D18" i="13"/>
  <c r="F18" i="13" s="1"/>
  <c r="K13" i="12"/>
  <c r="K14" i="12"/>
  <c r="K54" i="12"/>
  <c r="K74" i="12"/>
  <c r="I84" i="7"/>
  <c r="K84" i="7" s="1"/>
  <c r="F76" i="7"/>
  <c r="F38" i="7"/>
  <c r="K40" i="2"/>
  <c r="K39" i="2"/>
  <c r="K19" i="3"/>
  <c r="K18" i="3"/>
  <c r="H30" i="2"/>
  <c r="H29" i="2"/>
  <c r="H20" i="2"/>
  <c r="H19" i="2"/>
  <c r="M37" i="1"/>
  <c r="M36" i="1"/>
  <c r="N36" i="1" s="1"/>
  <c r="J7" i="2"/>
  <c r="K7" i="2" s="1"/>
  <c r="K10" i="2" s="1"/>
  <c r="Y27" i="1"/>
  <c r="M38" i="1"/>
  <c r="Y26" i="1"/>
  <c r="Y28" i="1"/>
  <c r="K94" i="12"/>
  <c r="F57" i="7"/>
  <c r="F20" i="7"/>
  <c r="F11" i="6"/>
  <c r="F93" i="13" l="1"/>
  <c r="F38" i="13"/>
  <c r="F92" i="13"/>
  <c r="F37" i="13"/>
  <c r="F55" i="13"/>
  <c r="F56" i="13"/>
  <c r="F19" i="13"/>
  <c r="F20" i="13"/>
  <c r="K34" i="12"/>
  <c r="K33" i="12"/>
  <c r="K73" i="12"/>
  <c r="I28" i="7"/>
  <c r="K28" i="7" s="1"/>
  <c r="I27" i="7"/>
  <c r="K27" i="7" s="1"/>
  <c r="K50" i="7"/>
  <c r="I46" i="7"/>
  <c r="I47" i="7"/>
  <c r="K47" i="7" s="1"/>
  <c r="K69" i="7"/>
  <c r="K68" i="7"/>
  <c r="K88" i="7"/>
  <c r="K87" i="7"/>
  <c r="K31" i="7"/>
  <c r="K9" i="7"/>
  <c r="I10" i="7"/>
  <c r="K9" i="2"/>
  <c r="Z26" i="1"/>
  <c r="Z27" i="1"/>
  <c r="Z28" i="1"/>
  <c r="N38" i="1"/>
  <c r="N37" i="1"/>
  <c r="K30" i="7" l="1"/>
  <c r="K49" i="7"/>
  <c r="K12" i="7"/>
  <c r="K13" i="7"/>
  <c r="N40" i="1"/>
  <c r="N39" i="1"/>
  <c r="H48" i="1"/>
  <c r="H49" i="1"/>
  <c r="H20" i="1"/>
  <c r="H19" i="1"/>
  <c r="Z30" i="1"/>
  <c r="Z29" i="1"/>
  <c r="I8" i="1"/>
  <c r="F8" i="1"/>
  <c r="I7" i="1"/>
  <c r="F7" i="1"/>
  <c r="J6" i="1"/>
  <c r="K6" i="1" s="1"/>
  <c r="J8" i="1" l="1"/>
  <c r="K8" i="1" s="1"/>
  <c r="J7" i="1"/>
  <c r="K7" i="1" s="1"/>
  <c r="K9" i="1" s="1"/>
  <c r="K10" i="1" l="1"/>
</calcChain>
</file>

<file path=xl/sharedStrings.xml><?xml version="1.0" encoding="utf-8"?>
<sst xmlns="http://schemas.openxmlformats.org/spreadsheetml/2006/main" count="994" uniqueCount="142">
  <si>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 xml:space="preserve">Agave durangensis </t>
    </r>
    <r>
      <rPr>
        <b/>
        <sz val="11"/>
        <color theme="1"/>
        <rFont val="Calibri"/>
        <family val="2"/>
        <scheme val="minor"/>
      </rPr>
      <t>bagasse</t>
    </r>
  </si>
  <si>
    <t>Luffa aegyptiaca fruit</t>
  </si>
  <si>
    <r>
      <t>Pennisetum sp.</t>
    </r>
    <r>
      <rPr>
        <b/>
        <sz val="12"/>
        <color theme="1"/>
        <rFont val="Times New Roman"/>
        <family val="1"/>
      </rPr>
      <t xml:space="preserve"> leaves</t>
    </r>
  </si>
  <si>
    <r>
      <rPr>
        <b/>
        <i/>
        <sz val="12"/>
        <color theme="1"/>
        <rFont val="Times New Roman"/>
        <family val="1"/>
      </rPr>
      <t>Pennisetum sp.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plant</t>
    </r>
  </si>
  <si>
    <r>
      <rPr>
        <b/>
        <i/>
        <sz val="12"/>
        <color theme="1"/>
        <rFont val="Times New Roman"/>
        <family val="1"/>
      </rPr>
      <t>Pennisetum sp.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stem</t>
    </r>
  </si>
  <si>
    <t>%H</t>
  </si>
  <si>
    <t>Sample</t>
  </si>
  <si>
    <t>5 minutes</t>
  </si>
  <si>
    <t>24 hours</t>
  </si>
  <si>
    <t>48 hours</t>
  </si>
  <si>
    <t>Start</t>
  </si>
  <si>
    <t>Determination pf pH of the fibers</t>
  </si>
  <si>
    <t>4 hours</t>
  </si>
  <si>
    <t>Media</t>
  </si>
  <si>
    <t>Desv. Est.</t>
  </si>
  <si>
    <t>% Extractives</t>
  </si>
  <si>
    <t>Extractives</t>
  </si>
  <si>
    <t>Cyclohexane I</t>
  </si>
  <si>
    <t>Cyclohexane II</t>
  </si>
  <si>
    <t>Dry weight</t>
  </si>
  <si>
    <t>Cyclohexane</t>
  </si>
  <si>
    <t xml:space="preserve">Total weight extractives </t>
  </si>
  <si>
    <t>Cyclohexane III</t>
  </si>
  <si>
    <t>Cyclohexane IV</t>
  </si>
  <si>
    <t>Cyclohexane V</t>
  </si>
  <si>
    <t>Cyclohexane VI</t>
  </si>
  <si>
    <t>Cyclohexane VII</t>
  </si>
  <si>
    <t>Acetone I</t>
  </si>
  <si>
    <t>Acetone II</t>
  </si>
  <si>
    <t>Acetone</t>
  </si>
  <si>
    <r>
      <rPr>
        <b/>
        <sz val="11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 xml:space="preserve">Agave durangensis </t>
    </r>
    <r>
      <rPr>
        <b/>
        <sz val="11"/>
        <rFont val="Times New Roman"/>
        <family val="1"/>
      </rPr>
      <t>bagasse</t>
    </r>
  </si>
  <si>
    <r>
      <t xml:space="preserve">Luffa aegyptiaca </t>
    </r>
    <r>
      <rPr>
        <b/>
        <sz val="11"/>
        <rFont val="Times New Roman"/>
        <family val="1"/>
      </rPr>
      <t>fruit</t>
    </r>
  </si>
  <si>
    <r>
      <t>Pennisetum sp.</t>
    </r>
    <r>
      <rPr>
        <b/>
        <sz val="11"/>
        <rFont val="Times New Roman"/>
        <family val="1"/>
      </rPr>
      <t xml:space="preserve"> leaves</t>
    </r>
  </si>
  <si>
    <r>
      <rPr>
        <b/>
        <i/>
        <sz val="11"/>
        <rFont val="Times New Roman"/>
        <family val="1"/>
      </rPr>
      <t>Pennisetum sp.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plant</t>
    </r>
  </si>
  <si>
    <r>
      <rPr>
        <b/>
        <i/>
        <sz val="11"/>
        <rFont val="Times New Roman"/>
        <family val="1"/>
      </rPr>
      <t>Pennisetum sp.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stem</t>
    </r>
  </si>
  <si>
    <r>
      <rPr>
        <b/>
        <i/>
        <sz val="11"/>
        <color theme="1"/>
        <rFont val="Times New Roman"/>
        <family val="1"/>
      </rPr>
      <t>Pennisetum sp.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plant</t>
    </r>
  </si>
  <si>
    <r>
      <rPr>
        <b/>
        <i/>
        <sz val="11"/>
        <color theme="1"/>
        <rFont val="Times New Roman"/>
        <family val="1"/>
      </rPr>
      <t>Pennisetum sp.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stem</t>
    </r>
  </si>
  <si>
    <r>
      <t>Pennisetum sp.</t>
    </r>
    <r>
      <rPr>
        <b/>
        <sz val="11"/>
        <color theme="1"/>
        <rFont val="Times New Roman"/>
        <family val="1"/>
      </rPr>
      <t xml:space="preserve"> leaves</t>
    </r>
  </si>
  <si>
    <r>
      <rPr>
        <b/>
        <i/>
        <sz val="11"/>
        <rFont val="Times New Roman"/>
        <family val="1"/>
      </rPr>
      <t>Agave durangensis</t>
    </r>
    <r>
      <rPr>
        <b/>
        <sz val="11"/>
        <rFont val="Times New Roman"/>
        <family val="1"/>
      </rPr>
      <t xml:space="preserve"> bagasse</t>
    </r>
  </si>
  <si>
    <t>Methanol I</t>
  </si>
  <si>
    <t>Methanol III</t>
  </si>
  <si>
    <t>Methanol II</t>
  </si>
  <si>
    <t>Methanol V</t>
  </si>
  <si>
    <t>Methanol VI</t>
  </si>
  <si>
    <t>Methanol IV</t>
  </si>
  <si>
    <t>Hot water I</t>
  </si>
  <si>
    <t>Hot water II</t>
  </si>
  <si>
    <t>Hot water III</t>
  </si>
  <si>
    <t>Hot water IV</t>
  </si>
  <si>
    <t>Hot water</t>
  </si>
  <si>
    <t>DW=WW*(1-(%H/100))</t>
  </si>
  <si>
    <t>Where:</t>
  </si>
  <si>
    <t>DW = Dry weight</t>
  </si>
  <si>
    <t>WW = Wet weight</t>
  </si>
  <si>
    <t>% H = Humidity percentage</t>
  </si>
  <si>
    <r>
      <t>TWE = EW</t>
    </r>
    <r>
      <rPr>
        <b/>
        <vertAlign val="subscript"/>
        <sz val="11"/>
        <color theme="1"/>
        <rFont val="Times New Roman"/>
        <family val="1"/>
      </rPr>
      <t>1</t>
    </r>
    <r>
      <rPr>
        <b/>
        <sz val="11"/>
        <color theme="1"/>
        <rFont val="Times New Roman"/>
        <family val="1"/>
      </rPr>
      <t xml:space="preserve"> + EW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 xml:space="preserve"> + EW</t>
    </r>
    <r>
      <rPr>
        <b/>
        <vertAlign val="subscript"/>
        <sz val="11"/>
        <color theme="1"/>
        <rFont val="Times New Roman"/>
        <family val="1"/>
      </rPr>
      <t>3</t>
    </r>
    <r>
      <rPr>
        <b/>
        <sz val="11"/>
        <color theme="1"/>
        <rFont val="Times New Roman"/>
        <family val="1"/>
      </rPr>
      <t>+…+EW</t>
    </r>
    <r>
      <rPr>
        <b/>
        <vertAlign val="subscript"/>
        <sz val="11"/>
        <color theme="1"/>
        <rFont val="Times New Roman"/>
        <family val="1"/>
      </rPr>
      <t>n</t>
    </r>
  </si>
  <si>
    <t>TWE = Total weight extractives</t>
  </si>
  <si>
    <t>EW = Extractives weight</t>
  </si>
  <si>
    <t>% Extractives = (TWE/DW)*100</t>
  </si>
  <si>
    <r>
      <rPr>
        <b/>
        <sz val="11"/>
        <color theme="1"/>
        <rFont val="Times New Roman"/>
        <family val="1"/>
      </rPr>
      <t xml:space="preserve"> </t>
    </r>
    <r>
      <rPr>
        <b/>
        <i/>
        <sz val="11"/>
        <color theme="1"/>
        <rFont val="Times New Roman"/>
        <family val="1"/>
      </rPr>
      <t xml:space="preserve">Agave durangensis </t>
    </r>
    <r>
      <rPr>
        <b/>
        <sz val="11"/>
        <color theme="1"/>
        <rFont val="Times New Roman"/>
        <family val="1"/>
      </rPr>
      <t>bagasse</t>
    </r>
  </si>
  <si>
    <t>%H=((WW-DW)/WW)*100</t>
  </si>
  <si>
    <t>%H = Humidity percentage</t>
  </si>
  <si>
    <t>Box (g)</t>
  </si>
  <si>
    <t>Cover (g)</t>
  </si>
  <si>
    <t>Wet weight (g)</t>
  </si>
  <si>
    <t>Box + cover + WW (g)</t>
  </si>
  <si>
    <t>Dry weight (g)</t>
  </si>
  <si>
    <t>Overall</t>
  </si>
  <si>
    <t>Wet Weight (g)</t>
  </si>
  <si>
    <t>Dry Weight (g)</t>
  </si>
  <si>
    <t>Initial weight (g)</t>
  </si>
  <si>
    <t>Final weight (g)</t>
  </si>
  <si>
    <t>Extractives weight (g)</t>
  </si>
  <si>
    <t xml:space="preserve">Total weight extractives (g) </t>
  </si>
  <si>
    <t>Mean</t>
  </si>
  <si>
    <t>Std. Dev.</t>
  </si>
  <si>
    <t>% Lignin</t>
  </si>
  <si>
    <t>Filter paper (g)</t>
  </si>
  <si>
    <t>Box + filter paper (g)</t>
  </si>
  <si>
    <t>Lignin weight (g)</t>
  </si>
  <si>
    <t>% Humidity of extractives free materials</t>
  </si>
  <si>
    <t>Ash</t>
  </si>
  <si>
    <t>% Humudity</t>
  </si>
  <si>
    <t>LW = Lignin weight</t>
  </si>
  <si>
    <t>Extractives and ash content</t>
  </si>
  <si>
    <t>EAC</t>
  </si>
  <si>
    <t>EAC = Extractives and ash content</t>
  </si>
  <si>
    <t>EC = Extractives content</t>
  </si>
  <si>
    <t>AC = Ash content</t>
  </si>
  <si>
    <t>EAC = EC + AC</t>
  </si>
  <si>
    <t>Determination of % lignin</t>
  </si>
  <si>
    <t>Determination of % holocellulose</t>
  </si>
  <si>
    <t>Determination of % ash</t>
  </si>
  <si>
    <t>Holocellulose weight (g)</t>
  </si>
  <si>
    <t>% Holocellulose</t>
  </si>
  <si>
    <t>Ash weight (g)</t>
  </si>
  <si>
    <t>Crucible (g)</t>
  </si>
  <si>
    <t>% Ash</t>
  </si>
  <si>
    <t>AW = Ash weight</t>
  </si>
  <si>
    <t>% Humidity</t>
  </si>
  <si>
    <t>Sample dry weight (g)</t>
  </si>
  <si>
    <t>SDW = Sample dry weight</t>
  </si>
  <si>
    <t>% Ash = (AW/SDW)*100</t>
  </si>
  <si>
    <t>SWW = Sample wet weight</t>
  </si>
  <si>
    <t>SDW=SWW*(1-(%H/100))</t>
  </si>
  <si>
    <t>Sample wet weight (g)</t>
  </si>
  <si>
    <t>Crucible + Sample wet weight (g)</t>
  </si>
  <si>
    <t>SDW = SWW*(1-(%H/100))</t>
  </si>
  <si>
    <t>%H = ((WW-DW)/WW)*100</t>
  </si>
  <si>
    <t>% Lignin = (LW/SDW)*EAC</t>
  </si>
  <si>
    <t>Bok + filter paper + sample wet weight (g)</t>
  </si>
  <si>
    <t>HW = Holocellulose weight</t>
  </si>
  <si>
    <t>% Holocellulose = (HW/SDW)*EAC</t>
  </si>
  <si>
    <t>Methanol</t>
  </si>
  <si>
    <t>Total Extractives</t>
  </si>
  <si>
    <t>St. Dev.</t>
  </si>
  <si>
    <t xml:space="preserve">Leaves of Pennisetum sp. </t>
  </si>
  <si>
    <t xml:space="preserve">Plant of Pennisetum sp. </t>
  </si>
  <si>
    <r>
      <t xml:space="preserve">Bagasse of </t>
    </r>
    <r>
      <rPr>
        <b/>
        <i/>
        <sz val="11"/>
        <color theme="1"/>
        <rFont val="Calibri"/>
        <family val="2"/>
        <scheme val="minor"/>
      </rPr>
      <t>A. gurangensis</t>
    </r>
  </si>
  <si>
    <r>
      <t xml:space="preserve">Fruit of  </t>
    </r>
    <r>
      <rPr>
        <b/>
        <i/>
        <sz val="11"/>
        <color theme="1"/>
        <rFont val="Calibri"/>
        <family val="2"/>
        <scheme val="minor"/>
      </rPr>
      <t>L. aegyptiaca</t>
    </r>
  </si>
  <si>
    <t xml:space="preserve">Stem of Pennisetum sp. </t>
  </si>
  <si>
    <t>Element</t>
  </si>
  <si>
    <t>Sample (atomic %)</t>
  </si>
  <si>
    <t>Calcium</t>
  </si>
  <si>
    <t>Potassium</t>
  </si>
  <si>
    <t>Magnesium</t>
  </si>
  <si>
    <t>Silicon</t>
  </si>
  <si>
    <t>Aluminium</t>
  </si>
  <si>
    <t>Sodium</t>
  </si>
  <si>
    <t>Phosphorus</t>
  </si>
  <si>
    <t>Molybdenum</t>
  </si>
  <si>
    <t>Iron</t>
  </si>
  <si>
    <t>Titanium</t>
  </si>
  <si>
    <t>Chlorine</t>
  </si>
  <si>
    <t>Sulfur</t>
  </si>
  <si>
    <t>Ash microanalysis</t>
  </si>
  <si>
    <t>% Humidity to calculate the materials dry weigth for determination of extractives</t>
  </si>
  <si>
    <t xml:space="preserve">Cyclohexane extractives </t>
  </si>
  <si>
    <t xml:space="preserve">Acetone extractives </t>
  </si>
  <si>
    <t xml:space="preserve">Methanol extractives </t>
  </si>
  <si>
    <t xml:space="preserve">Hot water extractives </t>
  </si>
  <si>
    <t xml:space="preserve">Total extractives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</si>
</sst>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00000"/>
    <numFmt numFmtId="166" formatCode="0.000000"/>
    <numFmt numFmtId="167" formatCode="0.00000000000000"/>
    <numFmt numFmtId="169" formatCode="0.00000"/>
    <numFmt numFmtId="175" formatCode="0.000000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9" fontId="1" fillId="0" borderId="0" applyFont="0" applyFill="0" applyBorder="0" applyAlignment="0" applyProtection="0"/>
  </cellStyleXfs>
  <cellXfs count="316"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3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0" xfId="0" applyFill="1"/>
    <xf numFmtId="0" fontId="12" fillId="0" borderId="0" xfId="2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/>
    <xf numFmtId="0" fontId="17" fillId="0" borderId="0" xfId="0" applyFont="1" applyFill="1" applyBorder="1"/>
    <xf numFmtId="165" fontId="14" fillId="0" borderId="0" xfId="0" applyNumberFormat="1" applyFont="1"/>
    <xf numFmtId="0" fontId="14" fillId="0" borderId="0" xfId="0" applyFont="1" applyFill="1" applyBorder="1"/>
    <xf numFmtId="0" fontId="11" fillId="0" borderId="0" xfId="1" applyFont="1" applyFill="1" applyBorder="1" applyAlignment="1">
      <alignment vertical="center" wrapText="1"/>
    </xf>
    <xf numFmtId="0" fontId="14" fillId="0" borderId="0" xfId="0" applyFont="1" applyFill="1"/>
    <xf numFmtId="0" fontId="21" fillId="0" borderId="0" xfId="2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164" fontId="17" fillId="0" borderId="0" xfId="2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164" fontId="17" fillId="0" borderId="0" xfId="3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7" fillId="0" borderId="3" xfId="0" applyFont="1" applyFill="1" applyBorder="1"/>
    <xf numFmtId="0" fontId="14" fillId="0" borderId="6" xfId="0" applyFont="1" applyBorder="1"/>
    <xf numFmtId="0" fontId="14" fillId="0" borderId="8" xfId="0" applyFont="1" applyBorder="1"/>
    <xf numFmtId="0" fontId="17" fillId="0" borderId="9" xfId="0" applyFont="1" applyFill="1" applyBorder="1"/>
    <xf numFmtId="0" fontId="17" fillId="0" borderId="5" xfId="0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17" fillId="0" borderId="8" xfId="0" applyFont="1" applyFill="1" applyBorder="1"/>
    <xf numFmtId="0" fontId="19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164" fontId="17" fillId="0" borderId="9" xfId="1" applyNumberFormat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164" fontId="17" fillId="0" borderId="14" xfId="1" applyNumberFormat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164" fontId="17" fillId="0" borderId="13" xfId="1" applyNumberFormat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164" fontId="17" fillId="0" borderId="3" xfId="1" applyNumberFormat="1" applyFont="1" applyFill="1" applyBorder="1" applyAlignment="1">
      <alignment horizontal="center" vertical="center"/>
    </xf>
    <xf numFmtId="164" fontId="17" fillId="0" borderId="15" xfId="1" applyNumberFormat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164" fontId="17" fillId="0" borderId="9" xfId="0" applyNumberFormat="1" applyFont="1" applyFill="1" applyBorder="1"/>
    <xf numFmtId="0" fontId="17" fillId="0" borderId="9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9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164" fontId="17" fillId="0" borderId="9" xfId="3" applyNumberFormat="1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164" fontId="17" fillId="0" borderId="13" xfId="3" applyNumberFormat="1" applyFont="1" applyFill="1" applyBorder="1" applyAlignment="1">
      <alignment horizontal="center" vertical="center"/>
    </xf>
    <xf numFmtId="164" fontId="17" fillId="0" borderId="14" xfId="3" applyNumberFormat="1" applyFont="1" applyFill="1" applyBorder="1" applyAlignment="1">
      <alignment horizontal="center" vertical="center"/>
    </xf>
    <xf numFmtId="164" fontId="17" fillId="0" borderId="15" xfId="3" applyNumberFormat="1" applyFont="1" applyFill="1" applyBorder="1" applyAlignment="1">
      <alignment horizontal="center" vertical="center"/>
    </xf>
    <xf numFmtId="0" fontId="17" fillId="0" borderId="9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164" fontId="17" fillId="0" borderId="9" xfId="2" applyNumberFormat="1" applyFont="1" applyFill="1" applyBorder="1" applyAlignment="1">
      <alignment horizontal="center" vertical="center"/>
    </xf>
    <xf numFmtId="164" fontId="17" fillId="0" borderId="13" xfId="2" applyNumberFormat="1" applyFont="1" applyFill="1" applyBorder="1" applyAlignment="1">
      <alignment horizontal="center" vertical="center"/>
    </xf>
    <xf numFmtId="164" fontId="17" fillId="0" borderId="14" xfId="2" applyNumberFormat="1" applyFont="1" applyFill="1" applyBorder="1" applyAlignment="1">
      <alignment horizontal="center" vertical="center"/>
    </xf>
    <xf numFmtId="0" fontId="17" fillId="0" borderId="15" xfId="2" applyFont="1" applyFill="1" applyBorder="1" applyAlignment="1">
      <alignment horizontal="center" vertical="center"/>
    </xf>
    <xf numFmtId="164" fontId="14" fillId="0" borderId="9" xfId="0" applyNumberFormat="1" applyFont="1" applyBorder="1"/>
    <xf numFmtId="0" fontId="14" fillId="0" borderId="3" xfId="0" applyFont="1" applyBorder="1"/>
    <xf numFmtId="165" fontId="17" fillId="0" borderId="3" xfId="1" applyNumberFormat="1" applyFont="1" applyFill="1" applyBorder="1" applyAlignment="1">
      <alignment horizontal="center" vertical="center"/>
    </xf>
    <xf numFmtId="165" fontId="17" fillId="0" borderId="15" xfId="1" applyNumberFormat="1" applyFont="1" applyFill="1" applyBorder="1" applyAlignment="1">
      <alignment horizontal="center" vertical="center"/>
    </xf>
    <xf numFmtId="164" fontId="17" fillId="0" borderId="3" xfId="2" applyNumberFormat="1" applyFont="1" applyFill="1" applyBorder="1" applyAlignment="1">
      <alignment horizontal="center" vertical="center"/>
    </xf>
    <xf numFmtId="0" fontId="17" fillId="0" borderId="13" xfId="2" applyFont="1" applyFill="1" applyBorder="1" applyAlignment="1">
      <alignment horizontal="center" vertical="center"/>
    </xf>
    <xf numFmtId="0" fontId="17" fillId="0" borderId="14" xfId="2" applyFont="1" applyFill="1" applyBorder="1" applyAlignment="1">
      <alignment horizontal="center" vertical="center"/>
    </xf>
    <xf numFmtId="0" fontId="0" fillId="0" borderId="9" xfId="0" applyBorder="1"/>
    <xf numFmtId="165" fontId="17" fillId="0" borderId="3" xfId="2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166" fontId="17" fillId="0" borderId="3" xfId="1" applyNumberFormat="1" applyFont="1" applyFill="1" applyBorder="1" applyAlignment="1">
      <alignment horizontal="center" vertical="center"/>
    </xf>
    <xf numFmtId="0" fontId="14" fillId="0" borderId="3" xfId="0" applyFont="1" applyFill="1" applyBorder="1"/>
    <xf numFmtId="0" fontId="17" fillId="0" borderId="14" xfId="3" applyFont="1" applyFill="1" applyBorder="1" applyAlignment="1">
      <alignment horizontal="center" vertical="center"/>
    </xf>
    <xf numFmtId="0" fontId="17" fillId="0" borderId="15" xfId="3" applyFont="1" applyFill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15" fillId="0" borderId="9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vertical="center" wrapText="1"/>
    </xf>
    <xf numFmtId="0" fontId="22" fillId="0" borderId="0" xfId="0" applyFont="1" applyFill="1" applyAlignment="1"/>
    <xf numFmtId="167" fontId="17" fillId="0" borderId="4" xfId="0" applyNumberFormat="1" applyFont="1" applyBorder="1"/>
    <xf numFmtId="0" fontId="14" fillId="0" borderId="4" xfId="0" applyFont="1" applyBorder="1"/>
    <xf numFmtId="0" fontId="14" fillId="0" borderId="4" xfId="0" applyFont="1" applyFill="1" applyBorder="1"/>
    <xf numFmtId="0" fontId="20" fillId="0" borderId="0" xfId="0" applyFont="1" applyFill="1" applyAlignment="1">
      <alignment horizontal="center"/>
    </xf>
    <xf numFmtId="0" fontId="0" fillId="0" borderId="9" xfId="0" applyFont="1" applyBorder="1"/>
    <xf numFmtId="0" fontId="0" fillId="0" borderId="0" xfId="0" applyFont="1"/>
    <xf numFmtId="0" fontId="16" fillId="0" borderId="6" xfId="0" applyFont="1" applyFill="1" applyBorder="1"/>
    <xf numFmtId="0" fontId="16" fillId="0" borderId="8" xfId="0" applyFont="1" applyFill="1" applyBorder="1"/>
    <xf numFmtId="0" fontId="4" fillId="0" borderId="0" xfId="0" applyFont="1" applyFill="1" applyAlignment="1">
      <alignment vertical="center"/>
    </xf>
    <xf numFmtId="0" fontId="14" fillId="0" borderId="0" xfId="0" applyFont="1" applyBorder="1" applyAlignment="1">
      <alignment horizontal="center"/>
    </xf>
    <xf numFmtId="0" fontId="14" fillId="12" borderId="0" xfId="0" applyFont="1" applyFill="1"/>
    <xf numFmtId="0" fontId="23" fillId="6" borderId="0" xfId="0" applyFont="1" applyFill="1" applyAlignment="1">
      <alignment horizontal="center" vertical="center"/>
    </xf>
    <xf numFmtId="0" fontId="23" fillId="0" borderId="0" xfId="0" applyFont="1" applyAlignment="1"/>
    <xf numFmtId="0" fontId="20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3" fillId="6" borderId="0" xfId="0" applyFont="1" applyFill="1" applyAlignment="1">
      <alignment horizontal="center"/>
    </xf>
    <xf numFmtId="0" fontId="23" fillId="10" borderId="0" xfId="0" applyFont="1" applyFill="1" applyAlignment="1">
      <alignment horizontal="center" vertical="center"/>
    </xf>
    <xf numFmtId="0" fontId="23" fillId="0" borderId="0" xfId="2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5" fillId="11" borderId="0" xfId="0" applyFont="1" applyFill="1" applyBorder="1" applyAlignment="1">
      <alignment horizontal="center"/>
    </xf>
    <xf numFmtId="0" fontId="20" fillId="11" borderId="0" xfId="0" applyFont="1" applyFill="1" applyBorder="1" applyAlignment="1">
      <alignment horizontal="center"/>
    </xf>
    <xf numFmtId="0" fontId="22" fillId="0" borderId="10" xfId="2" applyFont="1" applyFill="1" applyBorder="1" applyAlignment="1">
      <alignment horizontal="center" vertical="center" wrapText="1"/>
    </xf>
    <xf numFmtId="0" fontId="22" fillId="0" borderId="9" xfId="2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5" fillId="11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horizontal="center" vertical="center"/>
    </xf>
    <xf numFmtId="0" fontId="16" fillId="0" borderId="10" xfId="2" applyFont="1" applyFill="1" applyBorder="1" applyAlignment="1">
      <alignment horizontal="center" vertical="center"/>
    </xf>
    <xf numFmtId="0" fontId="16" fillId="0" borderId="11" xfId="2" applyFont="1" applyFill="1" applyBorder="1" applyAlignment="1">
      <alignment horizontal="center" vertical="center"/>
    </xf>
    <xf numFmtId="0" fontId="16" fillId="0" borderId="12" xfId="2" applyFont="1" applyFill="1" applyBorder="1" applyAlignment="1">
      <alignment horizontal="center" vertical="center"/>
    </xf>
    <xf numFmtId="0" fontId="16" fillId="0" borderId="10" xfId="3" applyFont="1" applyFill="1" applyBorder="1" applyAlignment="1">
      <alignment horizontal="center" vertical="center"/>
    </xf>
    <xf numFmtId="0" fontId="16" fillId="0" borderId="11" xfId="3" applyFont="1" applyFill="1" applyBorder="1" applyAlignment="1">
      <alignment horizontal="center" vertical="center"/>
    </xf>
    <xf numFmtId="0" fontId="16" fillId="0" borderId="12" xfId="3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23" fillId="10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19" fillId="12" borderId="0" xfId="0" applyFont="1" applyFill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6" fillId="0" borderId="0" xfId="0" applyFont="1" applyFill="1" applyAlignment="1"/>
    <xf numFmtId="0" fontId="3" fillId="0" borderId="0" xfId="0" applyFont="1"/>
    <xf numFmtId="0" fontId="16" fillId="0" borderId="7" xfId="0" applyFont="1" applyFill="1" applyBorder="1"/>
    <xf numFmtId="0" fontId="3" fillId="0" borderId="5" xfId="0" applyFont="1" applyBorder="1"/>
    <xf numFmtId="0" fontId="6" fillId="11" borderId="0" xfId="0" applyFont="1" applyFill="1" applyAlignment="1">
      <alignment horizontal="center" vertical="center"/>
    </xf>
    <xf numFmtId="0" fontId="3" fillId="0" borderId="16" xfId="0" applyFont="1" applyBorder="1"/>
    <xf numFmtId="0" fontId="0" fillId="0" borderId="17" xfId="0" applyBorder="1"/>
    <xf numFmtId="0" fontId="3" fillId="0" borderId="8" xfId="0" applyFont="1" applyBorder="1"/>
    <xf numFmtId="0" fontId="3" fillId="0" borderId="13" xfId="0" applyFont="1" applyBorder="1"/>
    <xf numFmtId="0" fontId="3" fillId="0" borderId="15" xfId="0" applyFont="1" applyBorder="1"/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18" xfId="0" applyFont="1" applyBorder="1"/>
    <xf numFmtId="0" fontId="3" fillId="0" borderId="19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Fill="1"/>
    <xf numFmtId="0" fontId="23" fillId="0" borderId="0" xfId="0" applyFont="1" applyFill="1" applyAlignment="1">
      <alignment vertical="center" wrapText="1"/>
    </xf>
    <xf numFmtId="0" fontId="0" fillId="0" borderId="14" xfId="0" applyBorder="1" applyAlignment="1">
      <alignment horizontal="center"/>
    </xf>
    <xf numFmtId="0" fontId="25" fillId="0" borderId="14" xfId="0" applyFont="1" applyBorder="1" applyAlignment="1">
      <alignment horizontal="center" vertical="center"/>
    </xf>
    <xf numFmtId="0" fontId="0" fillId="0" borderId="0" xfId="0" applyFill="1" applyBorder="1"/>
    <xf numFmtId="0" fontId="0" fillId="0" borderId="14" xfId="0" applyFill="1" applyBorder="1"/>
    <xf numFmtId="0" fontId="0" fillId="0" borderId="8" xfId="0" applyFill="1" applyBorder="1"/>
    <xf numFmtId="0" fontId="0" fillId="0" borderId="19" xfId="0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/>
    <xf numFmtId="0" fontId="14" fillId="0" borderId="13" xfId="0" applyFont="1" applyBorder="1"/>
    <xf numFmtId="0" fontId="14" fillId="0" borderId="14" xfId="0" applyFont="1" applyBorder="1"/>
    <xf numFmtId="0" fontId="14" fillId="0" borderId="15" xfId="0" applyFont="1" applyBorder="1"/>
    <xf numFmtId="0" fontId="25" fillId="0" borderId="14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17" fillId="0" borderId="14" xfId="0" applyFont="1" applyFill="1" applyBorder="1"/>
    <xf numFmtId="0" fontId="17" fillId="0" borderId="14" xfId="0" applyFont="1" applyFill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16" fillId="0" borderId="18" xfId="0" applyFont="1" applyFill="1" applyBorder="1"/>
    <xf numFmtId="0" fontId="16" fillId="0" borderId="5" xfId="0" applyFont="1" applyFill="1" applyBorder="1"/>
    <xf numFmtId="0" fontId="19" fillId="0" borderId="0" xfId="0" applyFont="1" applyBorder="1"/>
    <xf numFmtId="0" fontId="26" fillId="0" borderId="5" xfId="0" applyFont="1" applyFill="1" applyBorder="1"/>
    <xf numFmtId="0" fontId="26" fillId="0" borderId="7" xfId="0" applyFont="1" applyFill="1" applyBorder="1"/>
    <xf numFmtId="0" fontId="26" fillId="0" borderId="6" xfId="0" applyFont="1" applyFill="1" applyBorder="1"/>
    <xf numFmtId="0" fontId="26" fillId="0" borderId="8" xfId="0" applyFont="1" applyFill="1" applyBorder="1"/>
    <xf numFmtId="0" fontId="16" fillId="0" borderId="19" xfId="0" applyFont="1" applyFill="1" applyBorder="1"/>
    <xf numFmtId="2" fontId="14" fillId="0" borderId="0" xfId="0" applyNumberFormat="1" applyFont="1"/>
    <xf numFmtId="2" fontId="0" fillId="0" borderId="0" xfId="0" applyNumberFormat="1"/>
    <xf numFmtId="2" fontId="17" fillId="0" borderId="0" xfId="0" applyNumberFormat="1" applyFont="1" applyFill="1" applyBorder="1"/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/>
    </xf>
    <xf numFmtId="2" fontId="0" fillId="13" borderId="11" xfId="0" applyNumberFormat="1" applyFill="1" applyBorder="1" applyAlignment="1">
      <alignment horizontal="center"/>
    </xf>
    <xf numFmtId="2" fontId="0" fillId="13" borderId="12" xfId="0" applyNumberFormat="1" applyFill="1" applyBorder="1" applyAlignment="1">
      <alignment horizontal="center"/>
    </xf>
    <xf numFmtId="0" fontId="0" fillId="13" borderId="9" xfId="0" applyFill="1" applyBorder="1" applyAlignment="1">
      <alignment horizontal="center" vertical="center"/>
    </xf>
    <xf numFmtId="2" fontId="0" fillId="13" borderId="0" xfId="0" applyNumberFormat="1" applyFill="1" applyBorder="1" applyAlignment="1">
      <alignment horizontal="center"/>
    </xf>
    <xf numFmtId="2" fontId="0" fillId="13" borderId="3" xfId="0" applyNumberFormat="1" applyFill="1" applyBorder="1" applyAlignment="1">
      <alignment horizontal="center"/>
    </xf>
    <xf numFmtId="0" fontId="3" fillId="13" borderId="9" xfId="0" applyFont="1" applyFill="1" applyBorder="1" applyAlignment="1">
      <alignment horizontal="center" vertical="center"/>
    </xf>
    <xf numFmtId="2" fontId="3" fillId="13" borderId="0" xfId="0" applyNumberFormat="1" applyFont="1" applyFill="1" applyBorder="1" applyAlignment="1">
      <alignment horizontal="center"/>
    </xf>
    <xf numFmtId="2" fontId="3" fillId="13" borderId="3" xfId="0" applyNumberFormat="1" applyFont="1" applyFill="1" applyBorder="1" applyAlignment="1">
      <alignment horizontal="center"/>
    </xf>
    <xf numFmtId="0" fontId="3" fillId="13" borderId="13" xfId="0" applyFont="1" applyFill="1" applyBorder="1" applyAlignment="1">
      <alignment horizontal="center" vertical="center"/>
    </xf>
    <xf numFmtId="2" fontId="3" fillId="13" borderId="14" xfId="0" applyNumberFormat="1" applyFont="1" applyFill="1" applyBorder="1" applyAlignment="1">
      <alignment horizontal="center" vertical="center"/>
    </xf>
    <xf numFmtId="2" fontId="3" fillId="13" borderId="15" xfId="0" applyNumberFormat="1" applyFont="1" applyFill="1" applyBorder="1" applyAlignment="1">
      <alignment horizontal="center" vertical="center"/>
    </xf>
    <xf numFmtId="167" fontId="0" fillId="0" borderId="0" xfId="0" applyNumberFormat="1" applyFill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26" fillId="0" borderId="18" xfId="0" applyFont="1" applyFill="1" applyBorder="1"/>
    <xf numFmtId="0" fontId="26" fillId="0" borderId="19" xfId="0" applyFont="1" applyFill="1" applyBorder="1"/>
    <xf numFmtId="0" fontId="0" fillId="12" borderId="0" xfId="0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166" fontId="0" fillId="0" borderId="0" xfId="4" applyNumberFormat="1" applyFont="1" applyBorder="1" applyAlignment="1">
      <alignment horizontal="right" vertical="top"/>
    </xf>
    <xf numFmtId="169" fontId="0" fillId="0" borderId="0" xfId="4" applyNumberFormat="1" applyFont="1" applyBorder="1" applyAlignment="1">
      <alignment horizontal="right" vertical="top"/>
    </xf>
    <xf numFmtId="0" fontId="6" fillId="11" borderId="0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9" fontId="0" fillId="0" borderId="10" xfId="4" applyFont="1" applyBorder="1" applyAlignment="1">
      <alignment horizontal="right" vertical="top"/>
    </xf>
    <xf numFmtId="0" fontId="0" fillId="0" borderId="11" xfId="0" applyBorder="1"/>
    <xf numFmtId="0" fontId="0" fillId="0" borderId="12" xfId="0" applyBorder="1"/>
    <xf numFmtId="9" fontId="0" fillId="0" borderId="9" xfId="4" applyFont="1" applyBorder="1" applyAlignment="1">
      <alignment horizontal="right" vertical="top"/>
    </xf>
    <xf numFmtId="9" fontId="0" fillId="0" borderId="13" xfId="4" applyFont="1" applyBorder="1" applyAlignment="1">
      <alignment horizontal="right" vertical="top"/>
    </xf>
    <xf numFmtId="166" fontId="0" fillId="0" borderId="14" xfId="4" applyNumberFormat="1" applyFont="1" applyBorder="1" applyAlignment="1">
      <alignment horizontal="right" vertical="top"/>
    </xf>
    <xf numFmtId="0" fontId="0" fillId="0" borderId="10" xfId="0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9" xfId="0" applyFill="1" applyBorder="1"/>
    <xf numFmtId="0" fontId="0" fillId="0" borderId="3" xfId="0" applyFill="1" applyBorder="1"/>
    <xf numFmtId="0" fontId="0" fillId="0" borderId="13" xfId="0" applyFill="1" applyBorder="1"/>
    <xf numFmtId="0" fontId="0" fillId="0" borderId="15" xfId="0" applyFill="1" applyBorder="1"/>
    <xf numFmtId="175" fontId="0" fillId="0" borderId="11" xfId="0" applyNumberFormat="1" applyBorder="1"/>
    <xf numFmtId="0" fontId="23" fillId="0" borderId="0" xfId="0" applyFont="1" applyFill="1" applyAlignment="1">
      <alignment vertical="center"/>
    </xf>
  </cellXfs>
  <cellStyles count="5">
    <cellStyle name="40% - Énfasis2" xfId="1" builtinId="35"/>
    <cellStyle name="40% - Énfasis4" xfId="2" builtinId="43"/>
    <cellStyle name="40% - Énfasis6" xfId="3" builtinId="51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72E67-4F02-4880-BC5C-49C956E53E6B}">
  <dimension ref="A1:J40"/>
  <sheetViews>
    <sheetView tabSelected="1" zoomScaleNormal="100" workbookViewId="0">
      <selection sqref="A1:I1"/>
    </sheetView>
  </sheetViews>
  <sheetFormatPr baseColWidth="10" defaultRowHeight="15" x14ac:dyDescent="0.25"/>
  <cols>
    <col min="3" max="3" width="13.7109375" bestFit="1" customWidth="1"/>
    <col min="4" max="4" width="20.85546875" bestFit="1" customWidth="1"/>
    <col min="5" max="5" width="13.42578125" bestFit="1" customWidth="1"/>
    <col min="6" max="6" width="16.28515625" customWidth="1"/>
  </cols>
  <sheetData>
    <row r="1" spans="1:10" ht="18.75" x14ac:dyDescent="0.25">
      <c r="A1" s="113" t="s">
        <v>136</v>
      </c>
      <c r="B1" s="113"/>
      <c r="C1" s="113"/>
      <c r="D1" s="113"/>
      <c r="E1" s="113"/>
      <c r="F1" s="113"/>
      <c r="G1" s="113"/>
      <c r="H1" s="113"/>
      <c r="I1" s="113"/>
      <c r="J1" s="14"/>
    </row>
    <row r="2" spans="1:10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18.75" x14ac:dyDescent="0.3">
      <c r="A4" s="111" t="s">
        <v>59</v>
      </c>
      <c r="B4" s="111"/>
      <c r="C4" s="111"/>
      <c r="D4" s="111"/>
      <c r="E4" s="111"/>
      <c r="F4" s="111"/>
      <c r="G4" s="96"/>
      <c r="H4" s="112" t="s">
        <v>60</v>
      </c>
      <c r="I4" s="112"/>
      <c r="J4" s="112"/>
    </row>
    <row r="5" spans="1:10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42" t="s">
        <v>62</v>
      </c>
      <c r="B6" s="42" t="s">
        <v>63</v>
      </c>
      <c r="C6" s="42" t="s">
        <v>64</v>
      </c>
      <c r="D6" s="42" t="s">
        <v>65</v>
      </c>
      <c r="E6" s="42" t="s">
        <v>66</v>
      </c>
      <c r="F6" s="42" t="s">
        <v>5</v>
      </c>
      <c r="G6" s="14"/>
      <c r="H6" s="14" t="s">
        <v>51</v>
      </c>
      <c r="I6" s="14"/>
      <c r="J6" s="14"/>
    </row>
    <row r="7" spans="1:10" x14ac:dyDescent="0.25">
      <c r="A7" s="14">
        <v>44.375900000000001</v>
      </c>
      <c r="B7" s="14">
        <v>36.115499999999997</v>
      </c>
      <c r="C7" s="14">
        <v>1.0225</v>
      </c>
      <c r="D7" s="14">
        <v>81.453499999999991</v>
      </c>
      <c r="E7" s="14">
        <f>+D7-A7-B7</f>
        <v>0.96209999999999241</v>
      </c>
      <c r="F7" s="14">
        <f>+((C7-E7)/C7)*100</f>
        <v>5.9070904645484168</v>
      </c>
      <c r="G7" s="14"/>
      <c r="H7" s="14"/>
      <c r="I7" s="14"/>
      <c r="J7" s="14"/>
    </row>
    <row r="8" spans="1:10" x14ac:dyDescent="0.25">
      <c r="A8" s="14">
        <v>44.342199999999998</v>
      </c>
      <c r="B8" s="14">
        <v>47.031799999999997</v>
      </c>
      <c r="C8" s="14">
        <v>1.0244</v>
      </c>
      <c r="D8" s="14">
        <v>92.3416</v>
      </c>
      <c r="E8" s="14">
        <f t="shared" ref="E8:E10" si="0">+D8-A8-B8</f>
        <v>0.96760000000000446</v>
      </c>
      <c r="F8" s="14">
        <f>+((C8-E8)/C8)*100</f>
        <v>5.5447090980081537</v>
      </c>
      <c r="G8" s="14"/>
      <c r="H8" s="14" t="s">
        <v>61</v>
      </c>
      <c r="I8" s="14"/>
      <c r="J8" s="14"/>
    </row>
    <row r="9" spans="1:10" x14ac:dyDescent="0.25">
      <c r="A9" s="14">
        <v>36.277000000000001</v>
      </c>
      <c r="B9" s="14">
        <v>36.770000000000003</v>
      </c>
      <c r="C9" s="14">
        <v>1.0069999999999999</v>
      </c>
      <c r="D9" s="14">
        <v>73.995000000000005</v>
      </c>
      <c r="E9" s="14">
        <f t="shared" si="0"/>
        <v>0.9480000000000004</v>
      </c>
      <c r="F9" s="14">
        <f>+((C9-E9)/C9)*100</f>
        <v>5.8589870903673784</v>
      </c>
      <c r="G9" s="14"/>
      <c r="H9" s="14" t="s">
        <v>53</v>
      </c>
      <c r="I9" s="14"/>
      <c r="J9" s="14"/>
    </row>
    <row r="10" spans="1:10" ht="15.75" thickBot="1" x14ac:dyDescent="0.3">
      <c r="A10" s="14">
        <v>38.489600000000003</v>
      </c>
      <c r="B10" s="14">
        <v>37.653300000000002</v>
      </c>
      <c r="C10" s="14">
        <v>1.0262</v>
      </c>
      <c r="D10" s="14">
        <v>77.114900000000006</v>
      </c>
      <c r="E10" s="14">
        <f t="shared" si="0"/>
        <v>0.97200000000000131</v>
      </c>
      <c r="F10" s="14">
        <f>+((C10-E10)/C10)*100</f>
        <v>5.2816215162735034</v>
      </c>
      <c r="G10" s="14"/>
      <c r="H10" s="14" t="s">
        <v>52</v>
      </c>
      <c r="I10" s="14"/>
      <c r="J10" s="14"/>
    </row>
    <row r="11" spans="1:10" ht="15.75" thickBot="1" x14ac:dyDescent="0.3">
      <c r="A11" s="14"/>
      <c r="B11" s="14"/>
      <c r="C11" s="14"/>
      <c r="D11" s="14"/>
      <c r="E11" s="14" t="s">
        <v>67</v>
      </c>
      <c r="F11" s="97">
        <f>AVERAGE(F7:F10)</f>
        <v>5.6481020422993629</v>
      </c>
      <c r="G11" s="14"/>
      <c r="H11" s="14"/>
      <c r="I11" s="14"/>
      <c r="J11" s="14"/>
    </row>
    <row r="12" spans="1:10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x14ac:dyDescent="0.25">
      <c r="A13" s="111" t="s">
        <v>1</v>
      </c>
      <c r="B13" s="111"/>
      <c r="C13" s="111"/>
      <c r="D13" s="111"/>
      <c r="E13" s="111"/>
      <c r="F13" s="111"/>
      <c r="G13" s="14"/>
      <c r="H13" s="14"/>
      <c r="I13" s="14"/>
      <c r="J13" s="14"/>
    </row>
    <row r="14" spans="1:10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 x14ac:dyDescent="0.25">
      <c r="A15" s="42" t="s">
        <v>62</v>
      </c>
      <c r="B15" s="42" t="s">
        <v>63</v>
      </c>
      <c r="C15" s="42" t="s">
        <v>64</v>
      </c>
      <c r="D15" s="42" t="s">
        <v>65</v>
      </c>
      <c r="E15" s="42" t="s">
        <v>66</v>
      </c>
      <c r="F15" s="42" t="s">
        <v>5</v>
      </c>
      <c r="G15" s="14"/>
      <c r="H15" s="14"/>
      <c r="I15" s="14"/>
      <c r="J15" s="14"/>
    </row>
    <row r="16" spans="1:10" x14ac:dyDescent="0.25">
      <c r="A16" s="14">
        <v>44.647599999999997</v>
      </c>
      <c r="B16" s="14">
        <v>36.115499999999997</v>
      </c>
      <c r="C16" s="14">
        <v>1.0026999999999999</v>
      </c>
      <c r="D16" s="14">
        <v>81.715000000000003</v>
      </c>
      <c r="E16" s="14">
        <f>+D16-B16-A16</f>
        <v>0.95190000000000907</v>
      </c>
      <c r="F16" s="14">
        <f>+((C16-E16)/C16)*100</f>
        <v>5.0663209334786936</v>
      </c>
      <c r="G16" s="14"/>
      <c r="H16" s="14"/>
      <c r="I16" s="14"/>
      <c r="J16" s="14"/>
    </row>
    <row r="17" spans="1:10" x14ac:dyDescent="0.25">
      <c r="A17" s="14">
        <v>44.375999999999998</v>
      </c>
      <c r="B17" s="14">
        <v>47.031799999999997</v>
      </c>
      <c r="C17" s="14">
        <v>1.0019</v>
      </c>
      <c r="D17" s="14">
        <v>92.365700000000004</v>
      </c>
      <c r="E17" s="14">
        <f>+D17-B17-A17</f>
        <v>0.9579000000000093</v>
      </c>
      <c r="F17" s="14">
        <f>+((C17-E17)/C17)*100</f>
        <v>4.3916558538767054</v>
      </c>
      <c r="G17" s="14"/>
      <c r="H17" s="14"/>
      <c r="I17" s="14"/>
      <c r="J17" s="14"/>
    </row>
    <row r="18" spans="1:10" ht="15.75" thickBot="1" x14ac:dyDescent="0.3">
      <c r="A18" s="14">
        <v>39.545000000000002</v>
      </c>
      <c r="B18" s="14">
        <v>36.770000000000003</v>
      </c>
      <c r="C18" s="14">
        <v>1.0034000000000001</v>
      </c>
      <c r="D18" s="14">
        <v>77.257999999999996</v>
      </c>
      <c r="E18" s="14">
        <f>+D18-B18-A18</f>
        <v>0.94299999999999073</v>
      </c>
      <c r="F18" s="14">
        <f>+((C18-E18)/C18)*100</f>
        <v>6.0195335858091816</v>
      </c>
      <c r="G18" s="14"/>
      <c r="H18" s="14"/>
      <c r="I18" s="14"/>
      <c r="J18" s="14"/>
    </row>
    <row r="19" spans="1:10" ht="15.75" thickBot="1" x14ac:dyDescent="0.3">
      <c r="A19" s="14"/>
      <c r="B19" s="14"/>
      <c r="C19" s="14"/>
      <c r="D19" s="14"/>
      <c r="E19" s="14" t="s">
        <v>67</v>
      </c>
      <c r="F19" s="98">
        <f>AVERAGE(F16:F18)</f>
        <v>5.1591701243881936</v>
      </c>
      <c r="G19" s="14"/>
      <c r="H19" s="14"/>
      <c r="I19" s="14"/>
      <c r="J19" s="14"/>
    </row>
    <row r="20" spans="1:10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 x14ac:dyDescent="0.25">
      <c r="A21" s="111" t="s">
        <v>37</v>
      </c>
      <c r="B21" s="111"/>
      <c r="C21" s="111"/>
      <c r="D21" s="111"/>
      <c r="E21" s="111"/>
      <c r="F21" s="111"/>
      <c r="G21" s="14"/>
      <c r="H21" s="14"/>
      <c r="I21" s="14"/>
      <c r="J21" s="14"/>
    </row>
    <row r="22" spans="1:10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x14ac:dyDescent="0.25">
      <c r="A23" s="42" t="s">
        <v>62</v>
      </c>
      <c r="B23" s="42" t="s">
        <v>63</v>
      </c>
      <c r="C23" s="42" t="s">
        <v>64</v>
      </c>
      <c r="D23" s="42" t="s">
        <v>65</v>
      </c>
      <c r="E23" s="42" t="s">
        <v>66</v>
      </c>
      <c r="F23" s="42" t="s">
        <v>5</v>
      </c>
      <c r="G23" s="14"/>
      <c r="H23" s="14"/>
      <c r="I23" s="14"/>
      <c r="J23" s="14"/>
    </row>
    <row r="24" spans="1:10" x14ac:dyDescent="0.25">
      <c r="A24" s="14">
        <v>36.844700000000003</v>
      </c>
      <c r="B24" s="14">
        <v>36.115499999999997</v>
      </c>
      <c r="C24" s="14">
        <v>1.0091000000000001</v>
      </c>
      <c r="D24" s="14">
        <v>73.91</v>
      </c>
      <c r="E24" s="14">
        <f>+D24-A24-B24</f>
        <v>0.9497999999999962</v>
      </c>
      <c r="F24" s="14">
        <f>+((C24-E24)/C24)*100</f>
        <v>5.8765236349225942</v>
      </c>
      <c r="G24" s="14"/>
      <c r="H24" s="14"/>
      <c r="I24" s="14"/>
      <c r="J24" s="14"/>
    </row>
    <row r="25" spans="1:10" ht="15.75" thickBot="1" x14ac:dyDescent="0.3">
      <c r="A25" s="14">
        <v>47.030900000000003</v>
      </c>
      <c r="B25" s="14">
        <v>47.031799999999997</v>
      </c>
      <c r="C25" s="14">
        <v>1.0288999999999999</v>
      </c>
      <c r="D25" s="14">
        <v>95.023300000000006</v>
      </c>
      <c r="E25" s="14">
        <f>+D25-A25-B25</f>
        <v>0.96060000000000656</v>
      </c>
      <c r="F25" s="14">
        <f>+((C25-E25)/C25)*100</f>
        <v>6.6381572553205732</v>
      </c>
      <c r="G25" s="14"/>
      <c r="H25" s="14"/>
      <c r="I25" s="14"/>
      <c r="J25" s="14"/>
    </row>
    <row r="26" spans="1:10" ht="15.75" thickBot="1" x14ac:dyDescent="0.3">
      <c r="A26" s="14"/>
      <c r="B26" s="14"/>
      <c r="C26" s="14"/>
      <c r="D26" s="14"/>
      <c r="E26" s="14" t="s">
        <v>67</v>
      </c>
      <c r="F26" s="99">
        <f>AVERAGE(F24:F25)</f>
        <v>6.2573404451215833</v>
      </c>
      <c r="G26" s="14"/>
      <c r="H26" s="14"/>
      <c r="I26" s="14"/>
      <c r="J26" s="14"/>
    </row>
    <row r="27" spans="1:10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 x14ac:dyDescent="0.25">
      <c r="A28" s="110" t="s">
        <v>35</v>
      </c>
      <c r="B28" s="110"/>
      <c r="C28" s="110"/>
      <c r="D28" s="110"/>
      <c r="E28" s="110"/>
      <c r="F28" s="110"/>
      <c r="G28" s="14"/>
      <c r="H28" s="14"/>
      <c r="I28" s="14"/>
      <c r="J28" s="14"/>
    </row>
    <row r="29" spans="1:10" x14ac:dyDescent="0.25">
      <c r="A29" s="100"/>
      <c r="B29" s="100"/>
      <c r="C29" s="100"/>
      <c r="D29" s="100"/>
      <c r="E29" s="100"/>
      <c r="F29" s="100"/>
      <c r="G29" s="14"/>
      <c r="H29" s="14"/>
      <c r="I29" s="14"/>
      <c r="J29" s="14"/>
    </row>
    <row r="30" spans="1:10" x14ac:dyDescent="0.25">
      <c r="A30" s="42" t="s">
        <v>62</v>
      </c>
      <c r="B30" s="42" t="s">
        <v>63</v>
      </c>
      <c r="C30" s="42" t="s">
        <v>64</v>
      </c>
      <c r="D30" s="42" t="s">
        <v>65</v>
      </c>
      <c r="E30" s="42" t="s">
        <v>66</v>
      </c>
      <c r="F30" s="42" t="s">
        <v>5</v>
      </c>
      <c r="G30" s="14"/>
      <c r="H30" s="14"/>
      <c r="I30" s="14"/>
      <c r="J30" s="14"/>
    </row>
    <row r="31" spans="1:10" x14ac:dyDescent="0.25">
      <c r="A31" s="14">
        <v>45.721499999999999</v>
      </c>
      <c r="B31" s="14">
        <v>44.765799999999999</v>
      </c>
      <c r="C31" s="14">
        <v>1.0164</v>
      </c>
      <c r="D31" s="14">
        <v>91.408199999999994</v>
      </c>
      <c r="E31" s="14">
        <f>+D31-A31-B31</f>
        <v>0.92089999999999606</v>
      </c>
      <c r="F31" s="14">
        <f>+((C31-E31)/C31)*100</f>
        <v>9.3959071231802369</v>
      </c>
      <c r="G31" s="14"/>
      <c r="H31" s="14"/>
      <c r="I31" s="14"/>
      <c r="J31" s="14"/>
    </row>
    <row r="32" spans="1:10" ht="15.75" thickBot="1" x14ac:dyDescent="0.3">
      <c r="A32" s="14">
        <v>36.840000000000003</v>
      </c>
      <c r="B32" s="14">
        <v>37.775500000000001</v>
      </c>
      <c r="C32" s="14">
        <v>1.0056</v>
      </c>
      <c r="D32" s="14">
        <v>75.531100000000009</v>
      </c>
      <c r="E32" s="14">
        <f>+D32-A32-B32</f>
        <v>0.91560000000000485</v>
      </c>
      <c r="F32" s="14">
        <f>+((C32-E32)/C32)*100</f>
        <v>8.9498806682572773</v>
      </c>
      <c r="G32" s="14"/>
      <c r="H32" s="14"/>
      <c r="I32" s="14"/>
      <c r="J32" s="14"/>
    </row>
    <row r="33" spans="1:10" ht="15.75" thickBot="1" x14ac:dyDescent="0.3">
      <c r="A33" s="14"/>
      <c r="B33" s="14"/>
      <c r="C33" s="14"/>
      <c r="D33" s="14"/>
      <c r="E33" s="14" t="s">
        <v>67</v>
      </c>
      <c r="F33" s="99">
        <f>AVERAGE(F31:F32)</f>
        <v>9.172893895718758</v>
      </c>
      <c r="G33" s="14"/>
      <c r="H33" s="14"/>
      <c r="I33" s="14"/>
      <c r="J33" s="14"/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5">
      <c r="A35" s="110" t="s">
        <v>36</v>
      </c>
      <c r="B35" s="110"/>
      <c r="C35" s="110"/>
      <c r="D35" s="110"/>
      <c r="E35" s="110"/>
      <c r="F35" s="110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42" t="s">
        <v>62</v>
      </c>
      <c r="B37" s="42" t="s">
        <v>63</v>
      </c>
      <c r="C37" s="42" t="s">
        <v>64</v>
      </c>
      <c r="D37" s="42" t="s">
        <v>65</v>
      </c>
      <c r="E37" s="42" t="s">
        <v>66</v>
      </c>
      <c r="F37" s="42" t="s">
        <v>5</v>
      </c>
      <c r="G37" s="14"/>
      <c r="H37" s="14"/>
      <c r="I37" s="14"/>
      <c r="J37" s="14"/>
    </row>
    <row r="38" spans="1:10" x14ac:dyDescent="0.25">
      <c r="A38" s="14">
        <v>36.844999999999999</v>
      </c>
      <c r="B38" s="14">
        <v>37.348599999999998</v>
      </c>
      <c r="C38" s="14">
        <v>1.0207999999999999</v>
      </c>
      <c r="D38" s="14">
        <v>75.016099999999994</v>
      </c>
      <c r="E38" s="14">
        <f>+D38-A38-B38</f>
        <v>0.82249999999999801</v>
      </c>
      <c r="F38" s="14">
        <f>+((C38-E38)/C38)*100</f>
        <v>19.425940438871663</v>
      </c>
      <c r="G38" s="14"/>
      <c r="H38" s="14"/>
      <c r="I38" s="14"/>
      <c r="J38" s="14"/>
    </row>
    <row r="39" spans="1:10" ht="15.75" thickBot="1" x14ac:dyDescent="0.3">
      <c r="A39" s="14">
        <v>47.030700000000003</v>
      </c>
      <c r="B39" s="14">
        <v>47.335900000000002</v>
      </c>
      <c r="C39" s="14">
        <v>1.008</v>
      </c>
      <c r="D39" s="14">
        <v>95.195700000000002</v>
      </c>
      <c r="E39" s="14">
        <f>+D39-A39-B39</f>
        <v>0.82909999999999684</v>
      </c>
      <c r="F39" s="14">
        <f>+((C39-E39)/C39)*100</f>
        <v>17.748015873016186</v>
      </c>
      <c r="G39" s="14"/>
      <c r="H39" s="14"/>
      <c r="I39" s="14"/>
      <c r="J39" s="14"/>
    </row>
    <row r="40" spans="1:10" ht="15.75" thickBot="1" x14ac:dyDescent="0.3">
      <c r="A40" s="14"/>
      <c r="B40" s="14"/>
      <c r="C40" s="14"/>
      <c r="D40" s="14"/>
      <c r="E40" s="14"/>
      <c r="F40" s="99">
        <f>AVERAGE(F38:F39)</f>
        <v>18.586978155943925</v>
      </c>
      <c r="G40" s="14"/>
      <c r="H40" s="14"/>
      <c r="I40" s="14"/>
      <c r="J40" s="14"/>
    </row>
  </sheetData>
  <mergeCells count="7">
    <mergeCell ref="A35:F35"/>
    <mergeCell ref="A4:F4"/>
    <mergeCell ref="A13:F13"/>
    <mergeCell ref="H4:J4"/>
    <mergeCell ref="A1:I1"/>
    <mergeCell ref="A21:F21"/>
    <mergeCell ref="A28:F2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5BB47-F7A0-415A-86E6-B028DED1CEF1}">
  <dimension ref="A1:W100"/>
  <sheetViews>
    <sheetView zoomScaleNormal="100" workbookViewId="0">
      <selection sqref="A1:K2"/>
    </sheetView>
  </sheetViews>
  <sheetFormatPr baseColWidth="10" defaultRowHeight="15" x14ac:dyDescent="0.25"/>
  <cols>
    <col min="3" max="3" width="13.85546875" customWidth="1"/>
    <col min="4" max="4" width="20.85546875" customWidth="1"/>
    <col min="5" max="5" width="13.42578125" customWidth="1"/>
    <col min="9" max="9" width="15.85546875" customWidth="1"/>
    <col min="10" max="10" width="14.140625" customWidth="1"/>
    <col min="11" max="11" width="16.7109375" customWidth="1"/>
    <col min="15" max="15" width="19.7109375" bestFit="1" customWidth="1"/>
    <col min="23" max="23" width="21.28515625" customWidth="1"/>
  </cols>
  <sheetData>
    <row r="1" spans="1:23" ht="18.75" customHeight="1" x14ac:dyDescent="0.25">
      <c r="A1" s="152" t="s">
        <v>91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23" ht="15" customHeight="1" x14ac:dyDescent="0.2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23" ht="18.75" x14ac:dyDescent="0.3">
      <c r="Q3" s="153" t="s">
        <v>82</v>
      </c>
      <c r="R3" s="153"/>
      <c r="S3" s="153"/>
      <c r="T3" s="109"/>
      <c r="U3" s="125" t="s">
        <v>19</v>
      </c>
      <c r="V3" s="125"/>
      <c r="W3" s="125"/>
    </row>
    <row r="4" spans="1:23" ht="15" customHeight="1" x14ac:dyDescent="0.25">
      <c r="A4" s="151" t="s">
        <v>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T4" s="14"/>
    </row>
    <row r="5" spans="1:23" x14ac:dyDescent="0.25">
      <c r="Q5" s="160" t="s">
        <v>108</v>
      </c>
      <c r="R5" s="160"/>
      <c r="S5" s="160"/>
      <c r="T5" s="14"/>
      <c r="U5" s="160" t="s">
        <v>107</v>
      </c>
      <c r="V5" s="160"/>
      <c r="W5" s="160"/>
    </row>
    <row r="6" spans="1:23" ht="15.75" x14ac:dyDescent="0.25">
      <c r="A6" s="231" t="s">
        <v>94</v>
      </c>
      <c r="B6" s="232"/>
      <c r="C6" s="232"/>
      <c r="D6" s="232"/>
      <c r="E6" s="232"/>
      <c r="F6" s="232"/>
      <c r="G6" s="232"/>
      <c r="H6" s="232"/>
      <c r="I6" s="232"/>
      <c r="J6" s="232"/>
      <c r="K6" s="233"/>
      <c r="Q6" s="160"/>
      <c r="R6" s="160"/>
      <c r="S6" s="160"/>
      <c r="T6" s="14"/>
      <c r="U6" s="160"/>
      <c r="V6" s="160"/>
      <c r="W6" s="160"/>
    </row>
    <row r="7" spans="1:23" ht="15" customHeight="1" x14ac:dyDescent="0.25">
      <c r="A7" s="131" t="s">
        <v>6</v>
      </c>
      <c r="B7" s="132" t="s">
        <v>105</v>
      </c>
      <c r="C7" s="161" t="s">
        <v>62</v>
      </c>
      <c r="D7" s="161" t="s">
        <v>77</v>
      </c>
      <c r="E7" s="162" t="s">
        <v>78</v>
      </c>
      <c r="F7" s="162"/>
      <c r="G7" s="162" t="s">
        <v>110</v>
      </c>
      <c r="H7" s="162"/>
      <c r="I7" s="162" t="s">
        <v>100</v>
      </c>
      <c r="J7" s="162" t="s">
        <v>93</v>
      </c>
      <c r="K7" s="202" t="s">
        <v>94</v>
      </c>
      <c r="Q7" s="160"/>
      <c r="R7" s="160"/>
      <c r="S7" s="160"/>
      <c r="T7" s="14"/>
      <c r="U7" s="160"/>
      <c r="V7" s="160"/>
      <c r="W7" s="160"/>
    </row>
    <row r="8" spans="1:23" ht="15" customHeight="1" x14ac:dyDescent="0.25">
      <c r="A8" s="131"/>
      <c r="B8" s="132"/>
      <c r="C8" s="161"/>
      <c r="D8" s="161"/>
      <c r="E8" s="162"/>
      <c r="F8" s="162"/>
      <c r="G8" s="162"/>
      <c r="H8" s="162"/>
      <c r="I8" s="162"/>
      <c r="J8" s="162"/>
      <c r="K8" s="202"/>
      <c r="R8" s="14"/>
      <c r="S8" s="14"/>
      <c r="T8" s="14"/>
      <c r="U8" s="14"/>
      <c r="V8" s="14"/>
      <c r="W8" s="14"/>
    </row>
    <row r="9" spans="1:23" ht="18.75" x14ac:dyDescent="0.25">
      <c r="A9" s="204">
        <v>1</v>
      </c>
      <c r="B9" s="178">
        <v>1.0003</v>
      </c>
      <c r="C9" s="178">
        <v>102.208</v>
      </c>
      <c r="D9" s="178">
        <v>1.7499</v>
      </c>
      <c r="E9" s="203">
        <f>+C9+D9</f>
        <v>103.9579</v>
      </c>
      <c r="F9" s="203"/>
      <c r="G9" s="203">
        <v>104.752</v>
      </c>
      <c r="H9" s="203"/>
      <c r="I9" s="178">
        <f>+B9*(1-($F$20/100))</f>
        <v>0.94965878033817053</v>
      </c>
      <c r="J9" s="178">
        <f>+(G9-E9)</f>
        <v>0.79410000000000025</v>
      </c>
      <c r="K9" s="89">
        <f>+(J9/I9)*$I$20</f>
        <v>45.91348588581095</v>
      </c>
      <c r="M9" s="10"/>
      <c r="N9" s="10"/>
      <c r="O9" s="10"/>
      <c r="Q9" s="14" t="s">
        <v>51</v>
      </c>
      <c r="R9" s="14"/>
      <c r="S9" s="14"/>
      <c r="T9" s="14"/>
      <c r="U9" s="14" t="s">
        <v>51</v>
      </c>
      <c r="V9" s="14"/>
      <c r="W9" s="14"/>
    </row>
    <row r="10" spans="1:23" ht="18.75" x14ac:dyDescent="0.25">
      <c r="A10" s="204">
        <v>2</v>
      </c>
      <c r="B10" s="178">
        <v>1.0006999999999999</v>
      </c>
      <c r="C10" s="178">
        <v>91.584500000000006</v>
      </c>
      <c r="D10" s="178">
        <v>1.4844999999999999</v>
      </c>
      <c r="E10" s="203">
        <f>+C10+D10</f>
        <v>93.069000000000003</v>
      </c>
      <c r="F10" s="203"/>
      <c r="G10" s="203">
        <v>93.822000000000003</v>
      </c>
      <c r="H10" s="203"/>
      <c r="I10" s="178">
        <f t="shared" ref="I10:I12" si="0">+B10*(1-($F$20/100))</f>
        <v>0.95003852992542959</v>
      </c>
      <c r="J10" s="178">
        <f>+(G10-E10)</f>
        <v>0.75300000000000011</v>
      </c>
      <c r="K10" s="89">
        <f t="shared" ref="K10:K12" si="1">+(J10/I10)*$I$20</f>
        <v>43.519752428780578</v>
      </c>
      <c r="M10" s="10"/>
      <c r="N10" s="10"/>
      <c r="O10" s="10"/>
      <c r="Q10" s="14"/>
      <c r="R10" s="14"/>
      <c r="S10" s="14"/>
      <c r="T10" s="14"/>
      <c r="U10" s="14"/>
      <c r="V10" s="14"/>
      <c r="W10" s="14"/>
    </row>
    <row r="11" spans="1:23" ht="18.75" x14ac:dyDescent="0.25">
      <c r="A11" s="204">
        <v>3</v>
      </c>
      <c r="B11" s="178">
        <v>1.0003</v>
      </c>
      <c r="C11" s="178">
        <v>77.4465</v>
      </c>
      <c r="D11" s="178">
        <v>1.3427</v>
      </c>
      <c r="E11" s="203">
        <f>+C11+D11</f>
        <v>78.789199999999994</v>
      </c>
      <c r="F11" s="203"/>
      <c r="G11" s="203">
        <v>79.573499999999996</v>
      </c>
      <c r="H11" s="203"/>
      <c r="I11" s="178">
        <f t="shared" si="0"/>
        <v>0.94965878033817053</v>
      </c>
      <c r="J11" s="178">
        <f>+(G11-E11)</f>
        <v>0.78430000000000177</v>
      </c>
      <c r="K11" s="89">
        <f t="shared" si="1"/>
        <v>45.346866868456864</v>
      </c>
      <c r="M11" s="10"/>
      <c r="N11" s="10"/>
      <c r="O11" s="10"/>
      <c r="Q11" s="14" t="s">
        <v>61</v>
      </c>
      <c r="R11" s="14"/>
      <c r="S11" s="14"/>
      <c r="T11" s="14"/>
      <c r="U11" s="14" t="s">
        <v>101</v>
      </c>
      <c r="V11" s="14"/>
      <c r="W11" s="14"/>
    </row>
    <row r="12" spans="1:23" ht="19.5" thickBot="1" x14ac:dyDescent="0.3">
      <c r="A12" s="205">
        <v>4</v>
      </c>
      <c r="B12" s="180">
        <v>1.0014000000000001</v>
      </c>
      <c r="C12" s="180">
        <v>82.926100000000005</v>
      </c>
      <c r="D12" s="180">
        <v>1.7263999999999999</v>
      </c>
      <c r="E12" s="189">
        <f>+C12+D12</f>
        <v>84.652500000000003</v>
      </c>
      <c r="F12" s="189"/>
      <c r="G12" s="189">
        <v>85.415899999999993</v>
      </c>
      <c r="H12" s="189"/>
      <c r="I12" s="180">
        <f t="shared" si="0"/>
        <v>0.95070309170313316</v>
      </c>
      <c r="J12" s="178">
        <f>+(G12-E12)</f>
        <v>0.76339999999999009</v>
      </c>
      <c r="K12" s="89">
        <f t="shared" si="1"/>
        <v>44.089980653159344</v>
      </c>
      <c r="M12" s="10"/>
      <c r="N12" s="10"/>
      <c r="O12" s="10"/>
      <c r="Q12" s="14" t="s">
        <v>53</v>
      </c>
      <c r="R12" s="14"/>
      <c r="S12" s="14"/>
      <c r="T12" s="14"/>
      <c r="U12" s="14" t="s">
        <v>103</v>
      </c>
      <c r="V12" s="14"/>
      <c r="W12" s="14"/>
    </row>
    <row r="13" spans="1:23" x14ac:dyDescent="0.25">
      <c r="J13" s="237" t="s">
        <v>13</v>
      </c>
      <c r="K13" s="239">
        <f>AVERAGE(K9:K12)</f>
        <v>44.717521459051937</v>
      </c>
      <c r="M13" s="10"/>
      <c r="N13" s="10"/>
      <c r="O13" s="10"/>
      <c r="Q13" s="14" t="s">
        <v>52</v>
      </c>
      <c r="T13" s="14"/>
      <c r="U13" s="14" t="s">
        <v>54</v>
      </c>
      <c r="V13" s="14"/>
      <c r="W13" s="14"/>
    </row>
    <row r="14" spans="1:23" ht="15.75" thickBot="1" x14ac:dyDescent="0.3">
      <c r="J14" s="238" t="s">
        <v>14</v>
      </c>
      <c r="K14" s="240">
        <f>_xlfn.STDEV.S(K9:K12)</f>
        <v>1.103760944430388</v>
      </c>
      <c r="S14" s="14"/>
    </row>
    <row r="15" spans="1:23" ht="16.5" thickBot="1" x14ac:dyDescent="0.3">
      <c r="A15" s="216"/>
      <c r="B15" s="216"/>
      <c r="C15" s="216"/>
      <c r="D15" s="216"/>
      <c r="E15" s="216"/>
      <c r="F15" s="216"/>
      <c r="S15" s="14"/>
    </row>
    <row r="16" spans="1:23" ht="15.75" customHeight="1" x14ac:dyDescent="0.25">
      <c r="A16" s="206" t="s">
        <v>80</v>
      </c>
      <c r="B16" s="207"/>
      <c r="C16" s="207"/>
      <c r="D16" s="207"/>
      <c r="E16" s="207"/>
      <c r="F16" s="208"/>
      <c r="G16" s="14"/>
      <c r="H16" s="157" t="s">
        <v>84</v>
      </c>
      <c r="I16" s="157"/>
      <c r="Q16" s="153" t="s">
        <v>84</v>
      </c>
      <c r="R16" s="153"/>
      <c r="S16" s="153"/>
      <c r="U16" s="153" t="s">
        <v>94</v>
      </c>
      <c r="V16" s="153"/>
      <c r="W16" s="153"/>
    </row>
    <row r="17" spans="1:23" ht="15" customHeight="1" x14ac:dyDescent="0.25">
      <c r="A17" s="209" t="s">
        <v>62</v>
      </c>
      <c r="B17" s="210" t="s">
        <v>63</v>
      </c>
      <c r="C17" s="210" t="s">
        <v>64</v>
      </c>
      <c r="D17" s="210" t="s">
        <v>65</v>
      </c>
      <c r="E17" s="210" t="s">
        <v>66</v>
      </c>
      <c r="F17" s="211" t="s">
        <v>5</v>
      </c>
      <c r="G17" s="14"/>
      <c r="H17" s="107" t="s">
        <v>16</v>
      </c>
      <c r="I17" s="107">
        <v>32.440009436228394</v>
      </c>
      <c r="Q17" s="14"/>
      <c r="R17" s="14"/>
      <c r="S17" s="14"/>
    </row>
    <row r="18" spans="1:23" x14ac:dyDescent="0.25">
      <c r="A18" s="212">
        <v>18.518799999999999</v>
      </c>
      <c r="B18" s="43">
        <v>18.920500000000001</v>
      </c>
      <c r="C18" s="43">
        <v>1.0109999999999999</v>
      </c>
      <c r="D18" s="43">
        <v>38.398600000000002</v>
      </c>
      <c r="E18" s="43">
        <f>+D18-B18-A18</f>
        <v>0.95930000000000248</v>
      </c>
      <c r="F18" s="72">
        <f>+((C18-E18)/C18)*100</f>
        <v>5.1137487636001406</v>
      </c>
      <c r="G18" s="14"/>
      <c r="H18" s="107" t="s">
        <v>81</v>
      </c>
      <c r="I18" s="107">
        <v>12.652365570202763</v>
      </c>
      <c r="Q18" s="154" t="s">
        <v>89</v>
      </c>
      <c r="R18" s="154"/>
      <c r="S18" s="154"/>
      <c r="U18" s="154" t="s">
        <v>112</v>
      </c>
      <c r="V18" s="154"/>
      <c r="W18" s="154"/>
    </row>
    <row r="19" spans="1:23" x14ac:dyDescent="0.25">
      <c r="A19" s="213">
        <v>11.0892</v>
      </c>
      <c r="B19" s="214">
        <v>18.79</v>
      </c>
      <c r="C19" s="214">
        <v>1.0037</v>
      </c>
      <c r="D19" s="214">
        <v>30.832599999999999</v>
      </c>
      <c r="E19" s="214">
        <f>+D19-B19-A19</f>
        <v>0.95340000000000025</v>
      </c>
      <c r="F19" s="215">
        <f>+((C19-E19)/C19)*100</f>
        <v>5.0114576068546173</v>
      </c>
      <c r="G19" s="14"/>
      <c r="H19" s="107"/>
      <c r="I19" s="107"/>
      <c r="Q19" s="154"/>
      <c r="R19" s="154"/>
      <c r="S19" s="154"/>
      <c r="U19" s="154"/>
      <c r="V19" s="154"/>
      <c r="W19" s="154"/>
    </row>
    <row r="20" spans="1:23" x14ac:dyDescent="0.25">
      <c r="A20" s="14"/>
      <c r="B20" s="14"/>
      <c r="C20" s="14"/>
      <c r="D20" s="14"/>
      <c r="E20" s="41" t="s">
        <v>74</v>
      </c>
      <c r="F20" s="41">
        <f>AVERAGE(F18:F19)</f>
        <v>5.0626031852273794</v>
      </c>
      <c r="G20" s="14"/>
      <c r="H20" s="107" t="s">
        <v>85</v>
      </c>
      <c r="I20" s="107">
        <f>100-I17-I18</f>
        <v>54.907624993568845</v>
      </c>
      <c r="Q20" s="14"/>
      <c r="R20" s="14"/>
      <c r="S20" s="14"/>
      <c r="U20" s="14"/>
      <c r="V20" s="14"/>
    </row>
    <row r="21" spans="1:23" x14ac:dyDescent="0.25">
      <c r="Q21" s="14" t="s">
        <v>86</v>
      </c>
      <c r="R21" s="14"/>
      <c r="S21" s="14"/>
      <c r="U21" s="14" t="s">
        <v>51</v>
      </c>
      <c r="V21" s="14"/>
    </row>
    <row r="22" spans="1:23" x14ac:dyDescent="0.25">
      <c r="Q22" s="14" t="s">
        <v>87</v>
      </c>
      <c r="R22" s="14"/>
      <c r="S22" s="14"/>
      <c r="U22" s="14"/>
      <c r="V22" s="14"/>
    </row>
    <row r="23" spans="1:23" x14ac:dyDescent="0.25">
      <c r="Q23" s="14" t="s">
        <v>88</v>
      </c>
      <c r="R23" s="14"/>
      <c r="S23" s="14"/>
      <c r="U23" s="14" t="s">
        <v>111</v>
      </c>
      <c r="V23" s="14"/>
    </row>
    <row r="24" spans="1:23" x14ac:dyDescent="0.25">
      <c r="A24" s="151" t="s">
        <v>1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Q24" s="14"/>
      <c r="R24" s="14"/>
      <c r="S24" s="14"/>
      <c r="U24" s="14" t="s">
        <v>101</v>
      </c>
      <c r="V24" s="14"/>
    </row>
    <row r="25" spans="1:23" x14ac:dyDescent="0.25">
      <c r="R25" s="14"/>
      <c r="S25" s="14"/>
      <c r="U25" s="14" t="s">
        <v>86</v>
      </c>
    </row>
    <row r="26" spans="1:23" ht="15.75" x14ac:dyDescent="0.25">
      <c r="A26" s="231" t="s">
        <v>94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3"/>
      <c r="R26" s="14"/>
      <c r="S26" s="14"/>
      <c r="U26" s="14"/>
    </row>
    <row r="27" spans="1:23" ht="15" customHeight="1" x14ac:dyDescent="0.25">
      <c r="A27" s="131" t="s">
        <v>6</v>
      </c>
      <c r="B27" s="132" t="s">
        <v>105</v>
      </c>
      <c r="C27" s="161" t="s">
        <v>62</v>
      </c>
      <c r="D27" s="161" t="s">
        <v>77</v>
      </c>
      <c r="E27" s="162" t="s">
        <v>78</v>
      </c>
      <c r="F27" s="162"/>
      <c r="G27" s="162" t="s">
        <v>110</v>
      </c>
      <c r="H27" s="162"/>
      <c r="I27" s="162" t="s">
        <v>100</v>
      </c>
      <c r="J27" s="162" t="s">
        <v>93</v>
      </c>
      <c r="K27" s="202" t="s">
        <v>94</v>
      </c>
    </row>
    <row r="28" spans="1:23" ht="15" customHeight="1" x14ac:dyDescent="0.25">
      <c r="A28" s="131"/>
      <c r="B28" s="132"/>
      <c r="C28" s="161"/>
      <c r="D28" s="161"/>
      <c r="E28" s="162"/>
      <c r="F28" s="162"/>
      <c r="G28" s="162"/>
      <c r="H28" s="162"/>
      <c r="I28" s="162"/>
      <c r="J28" s="162"/>
      <c r="K28" s="202"/>
    </row>
    <row r="29" spans="1:23" ht="18.75" x14ac:dyDescent="0.25">
      <c r="A29" s="204">
        <v>1</v>
      </c>
      <c r="B29" s="178">
        <v>1.0058</v>
      </c>
      <c r="C29" s="178">
        <v>83.162300000000002</v>
      </c>
      <c r="D29" s="178">
        <v>1.7446999999999999</v>
      </c>
      <c r="E29" s="203">
        <f>+C29+D29</f>
        <v>84.906999999999996</v>
      </c>
      <c r="F29" s="203"/>
      <c r="G29" s="203">
        <v>85.695700000000002</v>
      </c>
      <c r="H29" s="203"/>
      <c r="I29" s="178">
        <f>+B29*(1-($F$41/100))</f>
        <v>0.96761585348099532</v>
      </c>
      <c r="J29" s="178">
        <f>+(G29-E29)</f>
        <v>0.78870000000000573</v>
      </c>
      <c r="K29" s="89">
        <f>+(J29/I29)*$I$41</f>
        <v>62.233402632376382</v>
      </c>
      <c r="M29" s="10"/>
      <c r="N29" s="10"/>
    </row>
    <row r="30" spans="1:23" ht="18.75" x14ac:dyDescent="0.25">
      <c r="A30" s="204">
        <v>2</v>
      </c>
      <c r="B30" s="178">
        <v>1.0069999999999999</v>
      </c>
      <c r="C30" s="178">
        <v>91.584500000000006</v>
      </c>
      <c r="D30" s="178">
        <v>1.4115</v>
      </c>
      <c r="E30" s="203">
        <f>+C30+D30</f>
        <v>92.996000000000009</v>
      </c>
      <c r="F30" s="203"/>
      <c r="G30" s="203">
        <v>93.765000000000001</v>
      </c>
      <c r="H30" s="203"/>
      <c r="I30" s="178">
        <f>+B30*(1-($F$41/100))</f>
        <v>0.96877029673430315</v>
      </c>
      <c r="J30" s="178">
        <f>+(G30-E30)</f>
        <v>0.76899999999999125</v>
      </c>
      <c r="K30" s="89">
        <f t="shared" ref="K30:K32" si="2">+(J30/I30)*$I$41</f>
        <v>60.606639848834845</v>
      </c>
      <c r="M30" s="10"/>
      <c r="N30" s="10"/>
    </row>
    <row r="31" spans="1:23" ht="18.75" x14ac:dyDescent="0.25">
      <c r="A31" s="204">
        <v>3</v>
      </c>
      <c r="B31" s="178">
        <v>1.0065</v>
      </c>
      <c r="C31" s="178">
        <v>77.481999999999999</v>
      </c>
      <c r="D31" s="178">
        <v>1.3688</v>
      </c>
      <c r="E31" s="203">
        <f>+C31+D31</f>
        <v>78.850799999999992</v>
      </c>
      <c r="F31" s="203"/>
      <c r="G31" s="203">
        <v>79.62115</v>
      </c>
      <c r="H31" s="203"/>
      <c r="I31" s="178">
        <f>+B31*(1-($F$41/100))</f>
        <v>0.96828927871209158</v>
      </c>
      <c r="J31" s="178">
        <f>+(G31-E31)</f>
        <v>0.77035000000000764</v>
      </c>
      <c r="K31" s="89">
        <f t="shared" si="2"/>
        <v>60.743196895864486</v>
      </c>
      <c r="M31" s="10"/>
      <c r="N31" s="10"/>
    </row>
    <row r="32" spans="1:23" ht="19.5" thickBot="1" x14ac:dyDescent="0.3">
      <c r="A32" s="205">
        <v>4</v>
      </c>
      <c r="B32" s="180">
        <v>1.006</v>
      </c>
      <c r="C32" s="180">
        <v>100.952</v>
      </c>
      <c r="D32" s="180">
        <v>1.8240000000000001</v>
      </c>
      <c r="E32" s="189">
        <f>+C32+D32</f>
        <v>102.776</v>
      </c>
      <c r="F32" s="189"/>
      <c r="G32" s="189">
        <v>103.57696</v>
      </c>
      <c r="H32" s="189"/>
      <c r="I32" s="180">
        <f>+B32*(1-($F$41/100))</f>
        <v>0.96780826068987991</v>
      </c>
      <c r="J32" s="178">
        <f>+(G32-E32)</f>
        <v>0.80096000000000345</v>
      </c>
      <c r="K32" s="89">
        <f>+(J32/I32)*$I$41</f>
        <v>63.188229159628413</v>
      </c>
      <c r="M32" s="10"/>
      <c r="N32" s="10"/>
    </row>
    <row r="33" spans="1:14" x14ac:dyDescent="0.25">
      <c r="J33" s="237" t="s">
        <v>13</v>
      </c>
      <c r="K33" s="239">
        <f>AVERAGE(K29:K32)</f>
        <v>61.692867134176026</v>
      </c>
      <c r="M33" s="10"/>
      <c r="N33" s="10"/>
    </row>
    <row r="34" spans="1:14" ht="15.75" thickBot="1" x14ac:dyDescent="0.3">
      <c r="J34" s="238" t="s">
        <v>14</v>
      </c>
      <c r="K34" s="240">
        <f>_xlfn.STDEV.S(K29:K32)</f>
        <v>1.2396302525261502</v>
      </c>
    </row>
    <row r="36" spans="1:14" ht="15.75" thickBot="1" x14ac:dyDescent="0.3"/>
    <row r="37" spans="1:14" x14ac:dyDescent="0.25">
      <c r="A37" s="206" t="s">
        <v>80</v>
      </c>
      <c r="B37" s="207"/>
      <c r="C37" s="207"/>
      <c r="D37" s="207"/>
      <c r="E37" s="207"/>
      <c r="F37" s="208"/>
      <c r="G37" s="14"/>
      <c r="H37" s="157" t="s">
        <v>84</v>
      </c>
      <c r="I37" s="157"/>
    </row>
    <row r="38" spans="1:14" x14ac:dyDescent="0.25">
      <c r="A38" s="209" t="s">
        <v>62</v>
      </c>
      <c r="B38" s="210" t="s">
        <v>63</v>
      </c>
      <c r="C38" s="210" t="s">
        <v>64</v>
      </c>
      <c r="D38" s="210" t="s">
        <v>65</v>
      </c>
      <c r="E38" s="210" t="s">
        <v>66</v>
      </c>
      <c r="F38" s="211" t="s">
        <v>5</v>
      </c>
      <c r="G38" s="14"/>
      <c r="H38" s="107" t="s">
        <v>16</v>
      </c>
      <c r="I38" s="107">
        <v>18.351768443107481</v>
      </c>
    </row>
    <row r="39" spans="1:14" x14ac:dyDescent="0.25">
      <c r="A39" s="212">
        <v>19.007100000000001</v>
      </c>
      <c r="B39" s="43">
        <v>18.790800000000001</v>
      </c>
      <c r="C39" s="43">
        <v>1.0017</v>
      </c>
      <c r="D39" s="43">
        <v>38.761600000000001</v>
      </c>
      <c r="E39" s="43">
        <f>+D39-B39-A39</f>
        <v>0.96369999999999933</v>
      </c>
      <c r="F39" s="72">
        <f>+((C39-E39)/C39)*100</f>
        <v>3.7935509633623541</v>
      </c>
      <c r="G39" s="14"/>
      <c r="H39" s="107" t="s">
        <v>81</v>
      </c>
      <c r="I39" s="286">
        <v>5.297240047886735</v>
      </c>
    </row>
    <row r="40" spans="1:14" x14ac:dyDescent="0.25">
      <c r="A40" s="213">
        <v>17.8901</v>
      </c>
      <c r="B40" s="214">
        <v>19.021000000000001</v>
      </c>
      <c r="C40" s="214">
        <v>1.0002</v>
      </c>
      <c r="D40" s="214">
        <v>37.8733</v>
      </c>
      <c r="E40" s="214">
        <f>+D40-B40-A40</f>
        <v>0.96219999999999928</v>
      </c>
      <c r="F40" s="215">
        <f>+((C40-E40)/C40)*100</f>
        <v>3.7992401519696761</v>
      </c>
      <c r="G40" s="14"/>
      <c r="H40" s="107"/>
      <c r="I40" s="107"/>
    </row>
    <row r="41" spans="1:14" x14ac:dyDescent="0.25">
      <c r="A41" s="43"/>
      <c r="B41" s="43"/>
      <c r="C41" s="43"/>
      <c r="D41" s="43"/>
      <c r="E41" s="236" t="s">
        <v>74</v>
      </c>
      <c r="F41" s="236">
        <f>AVERAGE(F39:F40)</f>
        <v>3.7963955576660151</v>
      </c>
      <c r="G41" s="14"/>
      <c r="H41" s="107" t="s">
        <v>85</v>
      </c>
      <c r="I41" s="107">
        <f>100-I39-I38</f>
        <v>76.35099150900578</v>
      </c>
    </row>
    <row r="44" spans="1:14" ht="15.75" x14ac:dyDescent="0.25">
      <c r="A44" s="150" t="s">
        <v>2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</row>
    <row r="46" spans="1:14" ht="15.75" x14ac:dyDescent="0.25">
      <c r="A46" s="231" t="s">
        <v>94</v>
      </c>
      <c r="B46" s="232"/>
      <c r="C46" s="232"/>
      <c r="D46" s="232"/>
      <c r="E46" s="232"/>
      <c r="F46" s="232"/>
      <c r="G46" s="232"/>
      <c r="H46" s="232"/>
      <c r="I46" s="232"/>
      <c r="J46" s="232"/>
      <c r="K46" s="233"/>
    </row>
    <row r="47" spans="1:14" ht="15" customHeight="1" x14ac:dyDescent="0.25">
      <c r="A47" s="131" t="s">
        <v>6</v>
      </c>
      <c r="B47" s="132" t="s">
        <v>105</v>
      </c>
      <c r="C47" s="161" t="s">
        <v>62</v>
      </c>
      <c r="D47" s="161" t="s">
        <v>77</v>
      </c>
      <c r="E47" s="162" t="s">
        <v>78</v>
      </c>
      <c r="F47" s="162"/>
      <c r="G47" s="162" t="s">
        <v>110</v>
      </c>
      <c r="H47" s="162"/>
      <c r="I47" s="162" t="s">
        <v>100</v>
      </c>
      <c r="J47" s="162" t="s">
        <v>93</v>
      </c>
      <c r="K47" s="202" t="s">
        <v>94</v>
      </c>
    </row>
    <row r="48" spans="1:14" ht="15" customHeight="1" x14ac:dyDescent="0.25">
      <c r="A48" s="131"/>
      <c r="B48" s="132"/>
      <c r="C48" s="161"/>
      <c r="D48" s="161"/>
      <c r="E48" s="162"/>
      <c r="F48" s="162"/>
      <c r="G48" s="162"/>
      <c r="H48" s="162"/>
      <c r="I48" s="162"/>
      <c r="J48" s="162"/>
      <c r="K48" s="202"/>
    </row>
    <row r="49" spans="1:16" ht="18.75" x14ac:dyDescent="0.25">
      <c r="A49" s="204">
        <v>1</v>
      </c>
      <c r="B49" s="178">
        <v>1.0133000000000001</v>
      </c>
      <c r="C49" s="178">
        <v>95.858599999999996</v>
      </c>
      <c r="D49" s="178">
        <v>2.2863000000000002</v>
      </c>
      <c r="E49" s="203">
        <f>+C49+D49</f>
        <v>98.144899999999993</v>
      </c>
      <c r="F49" s="203"/>
      <c r="G49" s="203">
        <v>98.838999999999999</v>
      </c>
      <c r="H49" s="203"/>
      <c r="I49" s="178">
        <f>+B49*(1-($F$61/100))</f>
        <v>0.95623928167380834</v>
      </c>
      <c r="J49" s="178">
        <f>+(G49-E49)</f>
        <v>0.69410000000000593</v>
      </c>
      <c r="K49" s="89">
        <f>+(J49/I49)*$I$61</f>
        <v>16.157053644736386</v>
      </c>
      <c r="N49" s="10"/>
      <c r="O49" s="10"/>
      <c r="P49" s="10"/>
    </row>
    <row r="50" spans="1:16" ht="18.75" x14ac:dyDescent="0.25">
      <c r="A50" s="204">
        <v>2</v>
      </c>
      <c r="B50" s="178">
        <v>1.0085</v>
      </c>
      <c r="C50" s="178">
        <v>91.605500000000006</v>
      </c>
      <c r="D50" s="178">
        <v>1.2813000000000001</v>
      </c>
      <c r="E50" s="203">
        <f t="shared" ref="E50:E51" si="3">+C50+D50</f>
        <v>92.886800000000008</v>
      </c>
      <c r="F50" s="203"/>
      <c r="G50" s="203">
        <v>93.6417</v>
      </c>
      <c r="H50" s="203"/>
      <c r="I50" s="178">
        <f t="shared" ref="I50:I52" si="4">+B50*(1-($F$61/100))</f>
        <v>0.95170957817826463</v>
      </c>
      <c r="J50" s="178">
        <f t="shared" ref="J50:J52" si="5">+(G50-E50)</f>
        <v>0.75489999999999213</v>
      </c>
      <c r="K50" s="89">
        <f t="shared" ref="K50:K52" si="6">+(J50/I50)*$I$61</f>
        <v>17.655974300142407</v>
      </c>
      <c r="N50" s="10"/>
      <c r="O50" s="10"/>
      <c r="P50" s="10"/>
    </row>
    <row r="51" spans="1:16" ht="18.75" x14ac:dyDescent="0.25">
      <c r="A51" s="204">
        <v>3</v>
      </c>
      <c r="B51" s="178">
        <v>1.0085</v>
      </c>
      <c r="C51" s="282">
        <v>90.015000000000001</v>
      </c>
      <c r="D51" s="178">
        <v>1.2425999999999999</v>
      </c>
      <c r="E51" s="203">
        <f t="shared" si="3"/>
        <v>91.257599999999996</v>
      </c>
      <c r="F51" s="203"/>
      <c r="G51" s="203">
        <v>91.962999999999994</v>
      </c>
      <c r="H51" s="203"/>
      <c r="I51" s="178">
        <f t="shared" si="4"/>
        <v>0.95170957817826463</v>
      </c>
      <c r="J51" s="178">
        <f t="shared" si="5"/>
        <v>0.70539999999999736</v>
      </c>
      <c r="K51" s="89">
        <f t="shared" si="6"/>
        <v>16.498243835369635</v>
      </c>
      <c r="N51" s="10"/>
      <c r="O51" s="10"/>
      <c r="P51" s="10"/>
    </row>
    <row r="52" spans="1:16" ht="18.75" x14ac:dyDescent="0.25">
      <c r="A52" s="205">
        <v>4</v>
      </c>
      <c r="B52" s="180">
        <v>1.0074000000000001</v>
      </c>
      <c r="C52" s="180">
        <v>92.490399999999994</v>
      </c>
      <c r="D52" s="180">
        <v>1.6007</v>
      </c>
      <c r="E52" s="189">
        <f>+C52+D52</f>
        <v>94.091099999999997</v>
      </c>
      <c r="F52" s="189"/>
      <c r="G52" s="189">
        <v>94.811899999999994</v>
      </c>
      <c r="H52" s="189"/>
      <c r="I52" s="180">
        <f t="shared" si="4"/>
        <v>0.95067152112720266</v>
      </c>
      <c r="J52" s="180">
        <f t="shared" si="5"/>
        <v>0.720799999999997</v>
      </c>
      <c r="K52" s="181">
        <f t="shared" si="6"/>
        <v>16.876834696375496</v>
      </c>
      <c r="N52" s="10"/>
      <c r="O52" s="10"/>
      <c r="P52" s="10"/>
    </row>
    <row r="53" spans="1:16" x14ac:dyDescent="0.25">
      <c r="A53" s="178"/>
      <c r="B53" s="178"/>
      <c r="C53" s="178"/>
      <c r="D53" s="178"/>
      <c r="E53" s="178"/>
      <c r="F53" s="178"/>
      <c r="G53" s="178"/>
      <c r="H53" s="178"/>
      <c r="I53" s="178"/>
      <c r="J53" s="284" t="s">
        <v>13</v>
      </c>
      <c r="K53" s="285">
        <f>AVERAGE(K49:K52)</f>
        <v>16.797026619155982</v>
      </c>
      <c r="N53" s="10"/>
      <c r="O53" s="10"/>
      <c r="P53" s="10"/>
    </row>
    <row r="54" spans="1:16" ht="15.75" thickBot="1" x14ac:dyDescent="0.3">
      <c r="A54" s="178"/>
      <c r="B54" s="282"/>
      <c r="C54" s="282"/>
      <c r="D54" s="282"/>
      <c r="E54" s="283"/>
      <c r="F54" s="283"/>
      <c r="G54" s="203"/>
      <c r="H54" s="203"/>
      <c r="I54" s="178"/>
      <c r="J54" s="238" t="s">
        <v>14</v>
      </c>
      <c r="K54" s="240">
        <f>_xlfn.STDEV.S(K49:K51)</f>
        <v>0.78565404880797118</v>
      </c>
      <c r="P54" s="10"/>
    </row>
    <row r="55" spans="1:16" x14ac:dyDescent="0.25">
      <c r="G55" s="203"/>
      <c r="H55" s="203"/>
      <c r="P55" s="10"/>
    </row>
    <row r="56" spans="1:16" ht="15.75" thickBot="1" x14ac:dyDescent="0.3"/>
    <row r="57" spans="1:16" x14ac:dyDescent="0.25">
      <c r="A57" s="206" t="s">
        <v>80</v>
      </c>
      <c r="B57" s="207"/>
      <c r="C57" s="207"/>
      <c r="D57" s="207"/>
      <c r="E57" s="207"/>
      <c r="F57" s="208"/>
      <c r="G57" s="14"/>
      <c r="H57" s="157" t="s">
        <v>84</v>
      </c>
      <c r="I57" s="157"/>
    </row>
    <row r="58" spans="1:16" x14ac:dyDescent="0.25">
      <c r="A58" s="209" t="s">
        <v>62</v>
      </c>
      <c r="B58" s="210" t="s">
        <v>63</v>
      </c>
      <c r="C58" s="210" t="s">
        <v>64</v>
      </c>
      <c r="D58" s="210" t="s">
        <v>65</v>
      </c>
      <c r="E58" s="210" t="s">
        <v>66</v>
      </c>
      <c r="F58" s="211" t="s">
        <v>5</v>
      </c>
      <c r="G58" s="14"/>
      <c r="H58" s="107" t="s">
        <v>16</v>
      </c>
      <c r="I58" s="107">
        <v>64.164837100849283</v>
      </c>
    </row>
    <row r="59" spans="1:16" x14ac:dyDescent="0.25">
      <c r="A59" s="212">
        <v>44.546700000000001</v>
      </c>
      <c r="B59" s="43">
        <v>46.633600000000001</v>
      </c>
      <c r="C59" s="43">
        <v>1.0042</v>
      </c>
      <c r="D59" s="43">
        <v>92.127799999999993</v>
      </c>
      <c r="E59" s="43">
        <f>+D59-B59-A59</f>
        <v>0.94749999999999091</v>
      </c>
      <c r="F59" s="72">
        <f>+((C59-E59)/C59)*100</f>
        <v>5.6462856004788966</v>
      </c>
      <c r="G59" s="14"/>
      <c r="H59" s="107" t="s">
        <v>81</v>
      </c>
      <c r="I59" s="107">
        <v>13.576108913834799</v>
      </c>
    </row>
    <row r="60" spans="1:16" x14ac:dyDescent="0.25">
      <c r="A60" s="213">
        <v>44.273800000000001</v>
      </c>
      <c r="B60" s="214">
        <v>47.237299999999998</v>
      </c>
      <c r="C60" s="214">
        <v>1.0006999999999999</v>
      </c>
      <c r="D60" s="214">
        <v>92.455600000000004</v>
      </c>
      <c r="E60" s="214">
        <f>+D60-B60-A60</f>
        <v>0.944500000000005</v>
      </c>
      <c r="F60" s="215">
        <f>+((C60-E60)/C60)*100</f>
        <v>5.6160687518731818</v>
      </c>
      <c r="G60" s="14"/>
      <c r="H60" s="107"/>
      <c r="I60" s="107"/>
    </row>
    <row r="61" spans="1:16" x14ac:dyDescent="0.25">
      <c r="A61" s="14"/>
      <c r="B61" s="14"/>
      <c r="C61" s="14"/>
      <c r="D61" s="14"/>
      <c r="E61" s="41" t="s">
        <v>74</v>
      </c>
      <c r="F61" s="41">
        <f>AVERAGE(F59:F60)</f>
        <v>5.6311771761760392</v>
      </c>
      <c r="G61" s="14"/>
      <c r="H61" s="107" t="s">
        <v>85</v>
      </c>
      <c r="I61" s="107">
        <f>100-I58-I59</f>
        <v>22.259053985315916</v>
      </c>
    </row>
    <row r="64" spans="1:16" ht="15.75" x14ac:dyDescent="0.25">
      <c r="A64" s="149" t="s">
        <v>3</v>
      </c>
      <c r="B64" s="149"/>
      <c r="C64" s="149"/>
      <c r="D64" s="149"/>
      <c r="E64" s="149"/>
      <c r="F64" s="149"/>
      <c r="G64" s="149"/>
      <c r="H64" s="149"/>
      <c r="I64" s="149"/>
      <c r="J64" s="149"/>
      <c r="K64" s="149"/>
    </row>
    <row r="66" spans="1:15" ht="15.75" x14ac:dyDescent="0.25">
      <c r="A66" s="231" t="s">
        <v>94</v>
      </c>
      <c r="B66" s="232"/>
      <c r="C66" s="232"/>
      <c r="D66" s="232"/>
      <c r="E66" s="232"/>
      <c r="F66" s="232"/>
      <c r="G66" s="232"/>
      <c r="H66" s="232"/>
      <c r="I66" s="232"/>
      <c r="J66" s="232"/>
      <c r="K66" s="233"/>
    </row>
    <row r="67" spans="1:15" ht="15" customHeight="1" x14ac:dyDescent="0.25">
      <c r="A67" s="131" t="s">
        <v>6</v>
      </c>
      <c r="B67" s="132" t="s">
        <v>105</v>
      </c>
      <c r="C67" s="161" t="s">
        <v>62</v>
      </c>
      <c r="D67" s="161" t="s">
        <v>77</v>
      </c>
      <c r="E67" s="162" t="s">
        <v>78</v>
      </c>
      <c r="F67" s="162"/>
      <c r="G67" s="162" t="s">
        <v>110</v>
      </c>
      <c r="H67" s="162"/>
      <c r="I67" s="162" t="s">
        <v>100</v>
      </c>
      <c r="J67" s="162" t="s">
        <v>93</v>
      </c>
      <c r="K67" s="202" t="s">
        <v>94</v>
      </c>
    </row>
    <row r="68" spans="1:15" ht="15" customHeight="1" x14ac:dyDescent="0.25">
      <c r="A68" s="131"/>
      <c r="B68" s="132"/>
      <c r="C68" s="161"/>
      <c r="D68" s="161"/>
      <c r="E68" s="162"/>
      <c r="F68" s="162"/>
      <c r="G68" s="162"/>
      <c r="H68" s="162"/>
      <c r="I68" s="162"/>
      <c r="J68" s="162"/>
      <c r="K68" s="202"/>
    </row>
    <row r="69" spans="1:15" ht="18.75" x14ac:dyDescent="0.25">
      <c r="A69" s="204">
        <v>1</v>
      </c>
      <c r="B69" s="178">
        <v>1.0003</v>
      </c>
      <c r="C69" s="178">
        <v>102.22920000000001</v>
      </c>
      <c r="D69" s="178">
        <v>1.3188</v>
      </c>
      <c r="E69" s="203">
        <f>+C69+D69</f>
        <v>103.548</v>
      </c>
      <c r="F69" s="203"/>
      <c r="G69" s="203">
        <v>104.294</v>
      </c>
      <c r="H69" s="203"/>
      <c r="I69" s="178">
        <f>+B69*(1-($F$82/100))</f>
        <v>0.94923579365425703</v>
      </c>
      <c r="J69" s="178">
        <f>+(G69-E69)</f>
        <v>0.74599999999999511</v>
      </c>
      <c r="K69" s="89">
        <f>+(J69/I69)*$I$82</f>
        <v>20.63058267379084</v>
      </c>
      <c r="N69" s="10"/>
      <c r="O69" s="10"/>
    </row>
    <row r="70" spans="1:15" ht="18.75" x14ac:dyDescent="0.25">
      <c r="A70" s="204">
        <v>2</v>
      </c>
      <c r="B70" s="178">
        <v>1.0009999999999999</v>
      </c>
      <c r="C70" s="178">
        <v>91.584500000000006</v>
      </c>
      <c r="D70" s="178">
        <v>1.3133999999999999</v>
      </c>
      <c r="E70" s="203">
        <f>+C70+D70</f>
        <v>92.897900000000007</v>
      </c>
      <c r="F70" s="203"/>
      <c r="G70" s="203">
        <v>93.679599999999994</v>
      </c>
      <c r="H70" s="203"/>
      <c r="I70" s="178">
        <f>+B70*(1-($F$82/100))</f>
        <v>0.94990005943008216</v>
      </c>
      <c r="J70" s="178">
        <f>+(G70-E70)</f>
        <v>0.78169999999998652</v>
      </c>
      <c r="K70" s="89">
        <f t="shared" ref="K70:K72" si="7">+(J70/I70)*$I$82</f>
        <v>21.602746521635147</v>
      </c>
      <c r="N70" s="10"/>
      <c r="O70" s="10"/>
    </row>
    <row r="71" spans="1:15" ht="18.75" x14ac:dyDescent="0.25">
      <c r="A71" s="204">
        <v>3</v>
      </c>
      <c r="B71" s="178">
        <v>1.0007999999999999</v>
      </c>
      <c r="C71" s="178">
        <v>77.481999999999999</v>
      </c>
      <c r="D71" s="178">
        <v>1.6755</v>
      </c>
      <c r="E71" s="203">
        <f>+C71+D71</f>
        <v>79.157499999999999</v>
      </c>
      <c r="F71" s="203"/>
      <c r="G71" s="203">
        <v>79.905000000000001</v>
      </c>
      <c r="H71" s="203"/>
      <c r="I71" s="178">
        <f>+B71*(1-($F$82/100))</f>
        <v>0.94971026920841783</v>
      </c>
      <c r="J71" s="178">
        <f>+(G71-E71)</f>
        <v>0.74750000000000227</v>
      </c>
      <c r="K71" s="89">
        <f t="shared" si="7"/>
        <v>20.661737308308048</v>
      </c>
      <c r="N71" s="10"/>
      <c r="O71" s="10"/>
    </row>
    <row r="72" spans="1:15" ht="19.5" thickBot="1" x14ac:dyDescent="0.3">
      <c r="A72" s="205">
        <v>4</v>
      </c>
      <c r="B72" s="180">
        <v>1.0018</v>
      </c>
      <c r="C72" s="180">
        <v>84.930499999999995</v>
      </c>
      <c r="D72" s="180">
        <v>1.6659999999999999</v>
      </c>
      <c r="E72" s="189">
        <f>+C72+D72</f>
        <v>86.596499999999992</v>
      </c>
      <c r="F72" s="189"/>
      <c r="G72" s="189">
        <v>87.354100000000003</v>
      </c>
      <c r="H72" s="189"/>
      <c r="I72" s="180">
        <f>+B72*(1-($F$82/100))</f>
        <v>0.95065922031673977</v>
      </c>
      <c r="J72" s="178">
        <f>+(G72-E72)</f>
        <v>0.75760000000001071</v>
      </c>
      <c r="K72" s="89">
        <f t="shared" si="7"/>
        <v>20.920009335065998</v>
      </c>
      <c r="N72" s="10"/>
      <c r="O72" s="10"/>
    </row>
    <row r="73" spans="1:15" x14ac:dyDescent="0.25">
      <c r="A73" s="178"/>
      <c r="B73" s="178"/>
      <c r="C73" s="178"/>
      <c r="D73" s="178"/>
      <c r="E73" s="178"/>
      <c r="F73" s="178"/>
      <c r="G73" s="178"/>
      <c r="H73" s="178"/>
      <c r="I73" s="178"/>
      <c r="J73" s="237" t="s">
        <v>13</v>
      </c>
      <c r="K73" s="239">
        <f>AVERAGE(K69:K72)</f>
        <v>20.953768959700007</v>
      </c>
      <c r="N73" s="10"/>
      <c r="O73" s="10"/>
    </row>
    <row r="74" spans="1:15" ht="15.75" thickBot="1" x14ac:dyDescent="0.3">
      <c r="A74" s="178"/>
      <c r="B74" s="178"/>
      <c r="C74" s="178"/>
      <c r="D74" s="178"/>
      <c r="E74" s="178"/>
      <c r="F74" s="178"/>
      <c r="G74" s="178"/>
      <c r="H74" s="178"/>
      <c r="I74" s="178"/>
      <c r="J74" s="238" t="s">
        <v>14</v>
      </c>
      <c r="K74" s="240">
        <f>_xlfn.STDEV.S(K69:K72)</f>
        <v>0.45167962427853081</v>
      </c>
    </row>
    <row r="77" spans="1:15" ht="15.75" thickBot="1" x14ac:dyDescent="0.3"/>
    <row r="78" spans="1:15" x14ac:dyDescent="0.25">
      <c r="A78" s="206" t="s">
        <v>80</v>
      </c>
      <c r="B78" s="207"/>
      <c r="C78" s="207"/>
      <c r="D78" s="207"/>
      <c r="E78" s="207"/>
      <c r="F78" s="208"/>
      <c r="G78" s="14"/>
      <c r="H78" s="157" t="s">
        <v>84</v>
      </c>
      <c r="I78" s="157"/>
    </row>
    <row r="79" spans="1:15" x14ac:dyDescent="0.25">
      <c r="A79" s="209" t="s">
        <v>62</v>
      </c>
      <c r="B79" s="210" t="s">
        <v>63</v>
      </c>
      <c r="C79" s="210" t="s">
        <v>64</v>
      </c>
      <c r="D79" s="210" t="s">
        <v>65</v>
      </c>
      <c r="E79" s="210" t="s">
        <v>66</v>
      </c>
      <c r="F79" s="211" t="s">
        <v>5</v>
      </c>
      <c r="G79" s="14"/>
      <c r="H79" s="107" t="s">
        <v>16</v>
      </c>
      <c r="I79" s="107">
        <v>60.722009921554594</v>
      </c>
    </row>
    <row r="80" spans="1:15" x14ac:dyDescent="0.25">
      <c r="A80" s="212">
        <v>17.613199999999999</v>
      </c>
      <c r="B80" s="43">
        <v>18.8172</v>
      </c>
      <c r="C80" s="43">
        <v>1.0011000000000001</v>
      </c>
      <c r="D80" s="43">
        <v>37.379800000000003</v>
      </c>
      <c r="E80" s="43">
        <f>+D80-B80-A80</f>
        <v>0.94940000000000424</v>
      </c>
      <c r="F80" s="72">
        <f>+((C80-E80)/C80)*100</f>
        <v>5.1643192488258771</v>
      </c>
      <c r="G80" s="14"/>
      <c r="H80" s="107" t="s">
        <v>81</v>
      </c>
      <c r="I80" s="107">
        <v>13.026934424416261</v>
      </c>
    </row>
    <row r="81" spans="1:16" x14ac:dyDescent="0.25">
      <c r="A81" s="213">
        <v>18.078199999999999</v>
      </c>
      <c r="B81" s="214">
        <v>18.589300000000001</v>
      </c>
      <c r="C81" s="214">
        <v>1.0008999999999999</v>
      </c>
      <c r="D81" s="214">
        <v>37.617899999999999</v>
      </c>
      <c r="E81" s="214">
        <f>+D81-B81-A81</f>
        <v>0.95039999999999836</v>
      </c>
      <c r="F81" s="215">
        <f>+((C81-E81)/C81)*100</f>
        <v>5.0454590868220146</v>
      </c>
      <c r="G81" s="14"/>
      <c r="H81" s="107"/>
      <c r="I81" s="107"/>
    </row>
    <row r="82" spans="1:16" x14ac:dyDescent="0.25">
      <c r="A82" s="14"/>
      <c r="B82" s="14"/>
      <c r="C82" s="14"/>
      <c r="D82" s="14"/>
      <c r="E82" s="41" t="s">
        <v>74</v>
      </c>
      <c r="F82" s="41">
        <f>AVERAGE(F80:F81)</f>
        <v>5.1048891678239459</v>
      </c>
      <c r="G82" s="14"/>
      <c r="H82" s="107" t="s">
        <v>85</v>
      </c>
      <c r="I82" s="107">
        <f>100-I79-I80</f>
        <v>26.251055654029145</v>
      </c>
    </row>
    <row r="84" spans="1:16" ht="15.75" x14ac:dyDescent="0.25">
      <c r="A84" s="149" t="s">
        <v>4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</row>
    <row r="86" spans="1:16" ht="15.75" x14ac:dyDescent="0.25">
      <c r="A86" s="231" t="s">
        <v>94</v>
      </c>
      <c r="B86" s="232"/>
      <c r="C86" s="232"/>
      <c r="D86" s="232"/>
      <c r="E86" s="232"/>
      <c r="F86" s="232"/>
      <c r="G86" s="232"/>
      <c r="H86" s="232"/>
      <c r="I86" s="232"/>
      <c r="J86" s="232"/>
      <c r="K86" s="233"/>
    </row>
    <row r="87" spans="1:16" ht="15" customHeight="1" x14ac:dyDescent="0.25">
      <c r="A87" s="131" t="s">
        <v>6</v>
      </c>
      <c r="B87" s="132" t="s">
        <v>105</v>
      </c>
      <c r="C87" s="161" t="s">
        <v>62</v>
      </c>
      <c r="D87" s="161" t="s">
        <v>77</v>
      </c>
      <c r="E87" s="162" t="s">
        <v>78</v>
      </c>
      <c r="F87" s="162"/>
      <c r="G87" s="162" t="s">
        <v>110</v>
      </c>
      <c r="H87" s="162"/>
      <c r="I87" s="162" t="s">
        <v>100</v>
      </c>
      <c r="J87" s="162" t="s">
        <v>93</v>
      </c>
      <c r="K87" s="202" t="s">
        <v>94</v>
      </c>
    </row>
    <row r="88" spans="1:16" ht="15" customHeight="1" x14ac:dyDescent="0.25">
      <c r="A88" s="131"/>
      <c r="B88" s="132"/>
      <c r="C88" s="161"/>
      <c r="D88" s="161"/>
      <c r="E88" s="162"/>
      <c r="F88" s="162"/>
      <c r="G88" s="162"/>
      <c r="H88" s="162"/>
      <c r="I88" s="162"/>
      <c r="J88" s="162"/>
      <c r="K88" s="202"/>
    </row>
    <row r="89" spans="1:16" ht="18.75" x14ac:dyDescent="0.25">
      <c r="A89" s="204">
        <v>1</v>
      </c>
      <c r="B89" s="178">
        <v>1.0391999999999999</v>
      </c>
      <c r="C89" s="178">
        <v>77.260000000000005</v>
      </c>
      <c r="D89" s="178">
        <v>2.3199999999999998</v>
      </c>
      <c r="E89" s="203">
        <f>+C89+D89</f>
        <v>79.58</v>
      </c>
      <c r="F89" s="203"/>
      <c r="G89" s="203">
        <v>80.685299999999998</v>
      </c>
      <c r="H89" s="203"/>
      <c r="I89" s="178">
        <f>+B89*(1-($F$100/100))</f>
        <v>0.9919161328455034</v>
      </c>
      <c r="J89" s="178">
        <f>+(G89-E89)</f>
        <v>1.1052999999999997</v>
      </c>
      <c r="K89" s="89">
        <f>+(J89/I89)*$I$100</f>
        <v>36.055095759709459</v>
      </c>
      <c r="N89" s="10"/>
      <c r="O89" s="10"/>
    </row>
    <row r="90" spans="1:16" ht="18.75" x14ac:dyDescent="0.25">
      <c r="A90" s="204">
        <v>2</v>
      </c>
      <c r="B90" s="178">
        <v>1.0125</v>
      </c>
      <c r="C90" s="178">
        <v>75.072000000000003</v>
      </c>
      <c r="D90" s="178">
        <v>1.8529</v>
      </c>
      <c r="E90" s="203">
        <f t="shared" ref="E90:E92" si="8">+C90+D90</f>
        <v>76.924900000000008</v>
      </c>
      <c r="F90" s="203"/>
      <c r="G90" s="203">
        <v>78.000299999999996</v>
      </c>
      <c r="H90" s="203"/>
      <c r="I90" s="178">
        <f t="shared" ref="I90:I92" si="9">+B90*(1-($F$100/100))</f>
        <v>0.9664309897094614</v>
      </c>
      <c r="J90" s="178">
        <f t="shared" ref="J90:J92" si="10">+(G90-E90)</f>
        <v>1.0753999999999877</v>
      </c>
      <c r="K90" s="89">
        <f t="shared" ref="K90:K92" si="11">+(J90/I90)*$I$100</f>
        <v>36.004818140391372</v>
      </c>
      <c r="N90" s="10"/>
      <c r="O90" s="281"/>
      <c r="P90" s="10"/>
    </row>
    <row r="91" spans="1:16" ht="18.75" x14ac:dyDescent="0.25">
      <c r="A91" s="204">
        <v>3</v>
      </c>
      <c r="B91" s="178">
        <v>1.0367999999999999</v>
      </c>
      <c r="C91" s="178">
        <v>97.32</v>
      </c>
      <c r="D91" s="178">
        <v>1.7985</v>
      </c>
      <c r="E91" s="203">
        <f t="shared" si="8"/>
        <v>99.118499999999997</v>
      </c>
      <c r="F91" s="203"/>
      <c r="G91" s="203">
        <v>100.2722</v>
      </c>
      <c r="H91" s="203"/>
      <c r="I91" s="178">
        <f t="shared" si="9"/>
        <v>0.98962533346248838</v>
      </c>
      <c r="J91" s="178">
        <f t="shared" si="10"/>
        <v>1.1537000000000006</v>
      </c>
      <c r="K91" s="89">
        <f t="shared" si="11"/>
        <v>37.721028484105148</v>
      </c>
      <c r="N91" s="10"/>
      <c r="O91" s="10"/>
      <c r="P91" s="10"/>
    </row>
    <row r="92" spans="1:16" ht="18.75" x14ac:dyDescent="0.25">
      <c r="A92" s="205">
        <v>4</v>
      </c>
      <c r="B92" s="180">
        <v>1.0267999999999999</v>
      </c>
      <c r="C92" s="180">
        <v>83.214699999999993</v>
      </c>
      <c r="D92" s="180">
        <v>1.9878</v>
      </c>
      <c r="E92" s="189">
        <f t="shared" si="8"/>
        <v>85.202499999999986</v>
      </c>
      <c r="F92" s="189"/>
      <c r="G92" s="189">
        <v>86.316599999999994</v>
      </c>
      <c r="H92" s="189"/>
      <c r="I92" s="180">
        <f t="shared" si="9"/>
        <v>0.98008033603325917</v>
      </c>
      <c r="J92" s="180">
        <f t="shared" si="10"/>
        <v>1.1141000000000076</v>
      </c>
      <c r="K92" s="181">
        <f t="shared" si="11"/>
        <v>36.781034129515703</v>
      </c>
      <c r="N92" s="10"/>
      <c r="O92" s="10"/>
      <c r="P92" s="10"/>
    </row>
    <row r="93" spans="1:16" x14ac:dyDescent="0.25">
      <c r="A93" s="178"/>
      <c r="B93" s="178"/>
      <c r="C93" s="178"/>
      <c r="D93" s="178"/>
      <c r="E93" s="178"/>
      <c r="F93" s="178"/>
      <c r="G93" s="178"/>
      <c r="H93" s="178"/>
      <c r="I93" s="178"/>
      <c r="J93" s="284" t="s">
        <v>13</v>
      </c>
      <c r="K93" s="285">
        <f>AVERAGE(K89:K92)</f>
        <v>36.640494128430419</v>
      </c>
      <c r="N93" s="10"/>
      <c r="O93" s="10"/>
      <c r="P93" s="10"/>
    </row>
    <row r="94" spans="1:16" ht="15.75" thickBot="1" x14ac:dyDescent="0.3">
      <c r="A94" s="178"/>
      <c r="B94" s="282"/>
      <c r="C94" s="282"/>
      <c r="D94" s="178"/>
      <c r="E94" s="178"/>
      <c r="F94" s="178"/>
      <c r="G94" s="178"/>
      <c r="H94" s="178"/>
      <c r="I94" s="178"/>
      <c r="J94" s="238" t="s">
        <v>14</v>
      </c>
      <c r="K94" s="240">
        <f>_xlfn.STDEV.S(K89:K91)</f>
        <v>0.9766641887130304</v>
      </c>
      <c r="P94" s="10"/>
    </row>
    <row r="95" spans="1:16" ht="15.75" thickBot="1" x14ac:dyDescent="0.3"/>
    <row r="96" spans="1:16" x14ac:dyDescent="0.25">
      <c r="A96" s="206" t="s">
        <v>80</v>
      </c>
      <c r="B96" s="207"/>
      <c r="C96" s="207"/>
      <c r="D96" s="207"/>
      <c r="E96" s="207"/>
      <c r="F96" s="208"/>
      <c r="G96" s="14"/>
      <c r="H96" s="157" t="s">
        <v>84</v>
      </c>
      <c r="I96" s="157"/>
    </row>
    <row r="97" spans="1:9" x14ac:dyDescent="0.25">
      <c r="A97" s="209" t="s">
        <v>62</v>
      </c>
      <c r="B97" s="210" t="s">
        <v>63</v>
      </c>
      <c r="C97" s="210" t="s">
        <v>64</v>
      </c>
      <c r="D97" s="210" t="s">
        <v>65</v>
      </c>
      <c r="E97" s="210" t="s">
        <v>66</v>
      </c>
      <c r="F97" s="211" t="s">
        <v>5</v>
      </c>
      <c r="G97" s="14"/>
      <c r="H97" s="107" t="s">
        <v>16</v>
      </c>
      <c r="I97" s="107">
        <v>55.531101857527887</v>
      </c>
    </row>
    <row r="98" spans="1:9" ht="15" customHeight="1" x14ac:dyDescent="0.25">
      <c r="A98" s="212">
        <v>44.342599999999997</v>
      </c>
      <c r="B98" s="43">
        <v>48.399500000000003</v>
      </c>
      <c r="C98" s="43">
        <v>1.0049999999999999</v>
      </c>
      <c r="D98" s="43">
        <v>93.700299999999999</v>
      </c>
      <c r="E98" s="43">
        <f>+D98-B98-A98</f>
        <v>0.95819999999999794</v>
      </c>
      <c r="F98" s="72">
        <f>+((C98-E98)/C98)*100</f>
        <v>4.6567164179106424</v>
      </c>
      <c r="G98" s="14"/>
      <c r="H98" s="107" t="s">
        <v>81</v>
      </c>
      <c r="I98" s="107">
        <v>12.112405646909529</v>
      </c>
    </row>
    <row r="99" spans="1:9" x14ac:dyDescent="0.25">
      <c r="A99" s="213">
        <v>44.375700000000002</v>
      </c>
      <c r="B99" s="214">
        <v>47.033099999999997</v>
      </c>
      <c r="C99" s="214">
        <v>1.0015000000000001</v>
      </c>
      <c r="D99" s="214">
        <v>92.365799999999993</v>
      </c>
      <c r="E99" s="214">
        <f>+D99-B99-A99</f>
        <v>0.95699999999999363</v>
      </c>
      <c r="F99" s="215">
        <f>+((C99-E99)/C99)*100</f>
        <v>4.4433349975043859</v>
      </c>
      <c r="G99" s="14"/>
      <c r="H99" s="107"/>
      <c r="I99" s="107"/>
    </row>
    <row r="100" spans="1:9" x14ac:dyDescent="0.25">
      <c r="A100" s="14"/>
      <c r="B100" s="14"/>
      <c r="C100" s="14"/>
      <c r="D100" s="14"/>
      <c r="E100" s="41" t="s">
        <v>74</v>
      </c>
      <c r="F100" s="41">
        <f>AVERAGE(F98:F99)</f>
        <v>4.5500257077075137</v>
      </c>
      <c r="G100" s="14"/>
      <c r="H100" s="107" t="s">
        <v>85</v>
      </c>
      <c r="I100" s="107">
        <f>100-I97-I98</f>
        <v>32.356492495562584</v>
      </c>
    </row>
  </sheetData>
  <mergeCells count="117">
    <mergeCell ref="E92:F92"/>
    <mergeCell ref="G92:H92"/>
    <mergeCell ref="A46:K46"/>
    <mergeCell ref="A66:K66"/>
    <mergeCell ref="A86:K86"/>
    <mergeCell ref="E54:F54"/>
    <mergeCell ref="G54:H54"/>
    <mergeCell ref="G52:H52"/>
    <mergeCell ref="E52:F52"/>
    <mergeCell ref="G55:H55"/>
    <mergeCell ref="Q18:S19"/>
    <mergeCell ref="U18:W19"/>
    <mergeCell ref="A6:K6"/>
    <mergeCell ref="Q3:S3"/>
    <mergeCell ref="U3:W3"/>
    <mergeCell ref="Q5:S7"/>
    <mergeCell ref="U5:W7"/>
    <mergeCell ref="Q16:S16"/>
    <mergeCell ref="U16:W16"/>
    <mergeCell ref="G7:H8"/>
    <mergeCell ref="I7:I8"/>
    <mergeCell ref="A1:K2"/>
    <mergeCell ref="A4:K4"/>
    <mergeCell ref="A7:A8"/>
    <mergeCell ref="B7:B8"/>
    <mergeCell ref="C7:C8"/>
    <mergeCell ref="D7:D8"/>
    <mergeCell ref="E7:F8"/>
    <mergeCell ref="G27:H28"/>
    <mergeCell ref="E9:F9"/>
    <mergeCell ref="G9:H9"/>
    <mergeCell ref="E10:F10"/>
    <mergeCell ref="G10:H10"/>
    <mergeCell ref="E11:F11"/>
    <mergeCell ref="G11:H11"/>
    <mergeCell ref="A26:K26"/>
    <mergeCell ref="A27:A28"/>
    <mergeCell ref="B27:B28"/>
    <mergeCell ref="C27:C28"/>
    <mergeCell ref="D27:D28"/>
    <mergeCell ref="E27:F28"/>
    <mergeCell ref="E29:F29"/>
    <mergeCell ref="G29:H29"/>
    <mergeCell ref="E30:F30"/>
    <mergeCell ref="G30:H30"/>
    <mergeCell ref="E31:F31"/>
    <mergeCell ref="G31:H31"/>
    <mergeCell ref="E51:F51"/>
    <mergeCell ref="G51:H51"/>
    <mergeCell ref="A47:A48"/>
    <mergeCell ref="B47:B48"/>
    <mergeCell ref="C47:C48"/>
    <mergeCell ref="D47:D48"/>
    <mergeCell ref="E47:F48"/>
    <mergeCell ref="G47:H48"/>
    <mergeCell ref="E90:F90"/>
    <mergeCell ref="G90:H90"/>
    <mergeCell ref="E91:F91"/>
    <mergeCell ref="G91:H91"/>
    <mergeCell ref="A87:A88"/>
    <mergeCell ref="B87:B88"/>
    <mergeCell ref="C87:C88"/>
    <mergeCell ref="D87:D88"/>
    <mergeCell ref="E87:F88"/>
    <mergeCell ref="G87:H88"/>
    <mergeCell ref="A67:A68"/>
    <mergeCell ref="B67:B68"/>
    <mergeCell ref="C67:C68"/>
    <mergeCell ref="E89:F89"/>
    <mergeCell ref="G89:H89"/>
    <mergeCell ref="D67:D68"/>
    <mergeCell ref="E67:F68"/>
    <mergeCell ref="G67:H68"/>
    <mergeCell ref="E12:F12"/>
    <mergeCell ref="G12:H12"/>
    <mergeCell ref="E32:F32"/>
    <mergeCell ref="G32:H32"/>
    <mergeCell ref="E72:F72"/>
    <mergeCell ref="G72:H72"/>
    <mergeCell ref="E69:F69"/>
    <mergeCell ref="G69:H69"/>
    <mergeCell ref="E70:F70"/>
    <mergeCell ref="G70:H70"/>
    <mergeCell ref="E71:F71"/>
    <mergeCell ref="G71:H71"/>
    <mergeCell ref="E49:F49"/>
    <mergeCell ref="G49:H49"/>
    <mergeCell ref="E50:F50"/>
    <mergeCell ref="G50:H50"/>
    <mergeCell ref="J7:J8"/>
    <mergeCell ref="K7:K8"/>
    <mergeCell ref="I27:I28"/>
    <mergeCell ref="J27:J28"/>
    <mergeCell ref="K27:K28"/>
    <mergeCell ref="H78:I78"/>
    <mergeCell ref="J47:J48"/>
    <mergeCell ref="K47:K48"/>
    <mergeCell ref="I67:I68"/>
    <mergeCell ref="J67:J68"/>
    <mergeCell ref="K67:K68"/>
    <mergeCell ref="I47:I48"/>
    <mergeCell ref="A96:F96"/>
    <mergeCell ref="H96:I96"/>
    <mergeCell ref="J87:J88"/>
    <mergeCell ref="K87:K88"/>
    <mergeCell ref="A16:F16"/>
    <mergeCell ref="H16:I16"/>
    <mergeCell ref="A37:F37"/>
    <mergeCell ref="H37:I37"/>
    <mergeCell ref="I87:I88"/>
    <mergeCell ref="A84:K84"/>
    <mergeCell ref="A64:K64"/>
    <mergeCell ref="A44:K44"/>
    <mergeCell ref="A24:K24"/>
    <mergeCell ref="A57:F57"/>
    <mergeCell ref="H57:I57"/>
    <mergeCell ref="A78:F7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E48D-6716-4235-9F54-97D2AC6AB632}">
  <dimension ref="A1:K117"/>
  <sheetViews>
    <sheetView zoomScaleNormal="100" workbookViewId="0">
      <selection activeCell="A3" sqref="A3"/>
    </sheetView>
  </sheetViews>
  <sheetFormatPr baseColWidth="10" defaultRowHeight="15" x14ac:dyDescent="0.25"/>
  <cols>
    <col min="1" max="1" width="13" customWidth="1"/>
    <col min="4" max="4" width="14.5703125" bestFit="1" customWidth="1"/>
  </cols>
  <sheetData>
    <row r="1" spans="1:11" x14ac:dyDescent="0.25">
      <c r="A1" s="152" t="s">
        <v>135</v>
      </c>
      <c r="B1" s="152"/>
      <c r="C1" s="152"/>
      <c r="D1" s="152"/>
      <c r="E1" s="152"/>
      <c r="F1" s="152"/>
    </row>
    <row r="2" spans="1:11" x14ac:dyDescent="0.25">
      <c r="A2" s="152"/>
      <c r="B2" s="152"/>
      <c r="C2" s="152"/>
      <c r="D2" s="152"/>
      <c r="E2" s="152"/>
      <c r="F2" s="152"/>
    </row>
    <row r="3" spans="1:11" ht="18.75" customHeight="1" x14ac:dyDescent="0.25"/>
    <row r="4" spans="1:11" x14ac:dyDescent="0.25">
      <c r="A4" s="291" t="s">
        <v>0</v>
      </c>
      <c r="B4" s="291"/>
      <c r="C4" s="291"/>
      <c r="D4" s="291"/>
      <c r="E4" s="291"/>
      <c r="F4" s="291"/>
      <c r="G4" s="165"/>
      <c r="H4" s="165"/>
      <c r="I4" s="165"/>
      <c r="J4" s="165"/>
      <c r="K4" s="165"/>
    </row>
    <row r="5" spans="1:11" x14ac:dyDescent="0.25">
      <c r="A5" s="287"/>
      <c r="B5" s="287"/>
      <c r="C5" s="287"/>
      <c r="D5" s="287"/>
      <c r="E5" s="287"/>
      <c r="F5" s="287"/>
      <c r="G5" s="165"/>
      <c r="H5" s="165"/>
      <c r="I5" s="165"/>
      <c r="J5" s="165"/>
      <c r="K5" s="165"/>
    </row>
    <row r="6" spans="1:11" x14ac:dyDescent="0.25">
      <c r="A6" s="292" t="s">
        <v>121</v>
      </c>
      <c r="B6" s="293" t="s">
        <v>122</v>
      </c>
      <c r="C6" s="293"/>
      <c r="D6" s="293"/>
      <c r="E6" s="294" t="s">
        <v>74</v>
      </c>
      <c r="F6" s="295" t="s">
        <v>75</v>
      </c>
      <c r="G6" s="165"/>
      <c r="H6" s="165"/>
      <c r="I6" s="165"/>
      <c r="J6" s="165"/>
      <c r="K6" s="165"/>
    </row>
    <row r="7" spans="1:11" x14ac:dyDescent="0.25">
      <c r="A7" s="296"/>
      <c r="B7" s="297">
        <v>1</v>
      </c>
      <c r="C7" s="297">
        <v>2</v>
      </c>
      <c r="D7" s="297">
        <v>3</v>
      </c>
      <c r="E7" s="298"/>
      <c r="F7" s="299"/>
    </row>
    <row r="8" spans="1:11" x14ac:dyDescent="0.25">
      <c r="A8" s="300" t="s">
        <v>127</v>
      </c>
      <c r="B8" s="301">
        <v>2.5494101843456134</v>
      </c>
      <c r="C8" s="301">
        <v>2.0424665451835566</v>
      </c>
      <c r="D8" s="301">
        <v>2.0411426801944188</v>
      </c>
      <c r="E8" s="301">
        <f>AVERAGE(B8:D8)</f>
        <v>2.2110064699078631</v>
      </c>
      <c r="F8" s="302">
        <f>STDEVA(B8:D8)</f>
        <v>0.29306696097236234</v>
      </c>
    </row>
    <row r="9" spans="1:11" x14ac:dyDescent="0.25">
      <c r="A9" s="303" t="s">
        <v>123</v>
      </c>
      <c r="B9" s="289">
        <v>60.037757045223415</v>
      </c>
      <c r="C9" s="290">
        <v>57.796841315707141</v>
      </c>
      <c r="D9" s="178">
        <v>58.690190055177617</v>
      </c>
      <c r="E9" s="178">
        <f>AVERAGE(B9:D9)</f>
        <v>58.841596138702727</v>
      </c>
      <c r="F9" s="89">
        <f>STDEVA(B9:D9)</f>
        <v>1.1281040192706844</v>
      </c>
    </row>
    <row r="10" spans="1:11" ht="15" customHeight="1" x14ac:dyDescent="0.25">
      <c r="A10" s="303" t="s">
        <v>131</v>
      </c>
      <c r="B10" s="178">
        <v>0.70645664003067554</v>
      </c>
      <c r="C10" s="178">
        <v>0.58088055252996618</v>
      </c>
      <c r="D10" s="178">
        <v>0.81242584323291034</v>
      </c>
      <c r="E10" s="178">
        <f>AVERAGE(B10:D10)</f>
        <v>0.69992101193118395</v>
      </c>
      <c r="F10" s="89">
        <f>STDEVA(B10:D10)</f>
        <v>0.11591091940653817</v>
      </c>
    </row>
    <row r="11" spans="1:11" ht="15" customHeight="1" x14ac:dyDescent="0.25">
      <c r="A11" s="303" t="s">
        <v>125</v>
      </c>
      <c r="B11" s="178">
        <v>12.08548563161105</v>
      </c>
      <c r="C11" s="178">
        <v>11.799280658529455</v>
      </c>
      <c r="D11" s="178">
        <v>11.812226263023126</v>
      </c>
      <c r="E11" s="178">
        <f>AVERAGE(B11:D11)</f>
        <v>11.898997517721211</v>
      </c>
      <c r="F11" s="89">
        <f>STDEVA(B11:D11)</f>
        <v>0.16163310191779731</v>
      </c>
    </row>
    <row r="12" spans="1:11" x14ac:dyDescent="0.25">
      <c r="A12" s="303" t="s">
        <v>130</v>
      </c>
      <c r="B12" s="178">
        <v>0.85873410077292789</v>
      </c>
      <c r="C12" s="178">
        <v>0.83235231483852701</v>
      </c>
      <c r="D12" s="178">
        <v>0.86551730194271004</v>
      </c>
      <c r="E12" s="178">
        <f>AVERAGE(B12:D12)</f>
        <v>0.85220123918472168</v>
      </c>
      <c r="F12" s="89">
        <f>STDEVA(B12:D12)</f>
        <v>1.7521067399081373E-2</v>
      </c>
    </row>
    <row r="13" spans="1:11" x14ac:dyDescent="0.25">
      <c r="A13" s="303" t="s">
        <v>129</v>
      </c>
      <c r="B13" s="178">
        <v>1.2977456018735676</v>
      </c>
      <c r="C13" s="178">
        <v>1.6131218986988336</v>
      </c>
      <c r="D13" s="178">
        <v>1.3372383118914846</v>
      </c>
      <c r="E13" s="178">
        <f>AVERAGE(B13:D13)</f>
        <v>1.4160352708212951</v>
      </c>
      <c r="F13" s="89">
        <f>STDEVA(B13:D13)</f>
        <v>0.1718204664824429</v>
      </c>
    </row>
    <row r="14" spans="1:11" x14ac:dyDescent="0.25">
      <c r="A14" s="303" t="s">
        <v>124</v>
      </c>
      <c r="B14" s="289">
        <v>18.495833565844979</v>
      </c>
      <c r="C14" s="178">
        <v>18.734756743003881</v>
      </c>
      <c r="D14" s="178">
        <v>20.945224454171928</v>
      </c>
      <c r="E14" s="178">
        <f>AVERAGE(B14:D14)</f>
        <v>19.391938254340264</v>
      </c>
      <c r="F14" s="89">
        <f>STDEVA(B14:D14)</f>
        <v>1.3504793908410999</v>
      </c>
    </row>
    <row r="15" spans="1:11" x14ac:dyDescent="0.25">
      <c r="A15" s="303" t="s">
        <v>126</v>
      </c>
      <c r="B15" s="178">
        <v>5.9404174485434469</v>
      </c>
      <c r="C15" s="289">
        <v>6.370042130823613</v>
      </c>
      <c r="D15" s="178">
        <v>6.2457656720519079</v>
      </c>
      <c r="E15" s="178">
        <f>AVERAGE(B15:D15)</f>
        <v>6.1854084171396551</v>
      </c>
      <c r="F15" s="89">
        <f>STDEVA(B15:D15)</f>
        <v>0.22108050699120976</v>
      </c>
    </row>
    <row r="16" spans="1:11" x14ac:dyDescent="0.25">
      <c r="A16" s="303" t="s">
        <v>128</v>
      </c>
      <c r="B16" s="178">
        <v>1.7088954975891488</v>
      </c>
      <c r="C16" s="178">
        <v>1.7108396718279577</v>
      </c>
      <c r="D16" s="178">
        <v>1.5541961187572528</v>
      </c>
      <c r="E16" s="178">
        <f>AVERAGE(B16:D16)</f>
        <v>1.6579770960581197</v>
      </c>
      <c r="F16" s="89">
        <f>STDEVA(B16:D16)</f>
        <v>8.9882219545970324E-2</v>
      </c>
    </row>
    <row r="17" spans="1:11" x14ac:dyDescent="0.25">
      <c r="A17" s="304" t="s">
        <v>132</v>
      </c>
      <c r="B17" s="305">
        <v>0.53363317841179536</v>
      </c>
      <c r="C17" s="180">
        <v>0.49946908792381273</v>
      </c>
      <c r="D17" s="180">
        <v>0.56590566339091919</v>
      </c>
      <c r="E17" s="180">
        <f>AVERAGE(B17:D17)</f>
        <v>0.53300264324217583</v>
      </c>
      <c r="F17" s="181">
        <f>STDEVA(B17:D17)</f>
        <v>3.3222775635085466E-2</v>
      </c>
    </row>
    <row r="20" spans="1:11" x14ac:dyDescent="0.25">
      <c r="A20" s="291" t="s">
        <v>1</v>
      </c>
      <c r="B20" s="291"/>
      <c r="C20" s="291"/>
      <c r="D20" s="291"/>
      <c r="E20" s="291"/>
      <c r="F20" s="291"/>
      <c r="G20" s="288"/>
      <c r="H20" s="288"/>
      <c r="I20" s="288"/>
      <c r="J20" s="288"/>
      <c r="K20" s="288"/>
    </row>
    <row r="21" spans="1:11" x14ac:dyDescent="0.25">
      <c r="A21" s="287"/>
      <c r="B21" s="287"/>
      <c r="C21" s="287"/>
      <c r="D21" s="287"/>
      <c r="E21" s="287"/>
      <c r="F21" s="287"/>
      <c r="G21" s="288"/>
      <c r="H21" s="288"/>
      <c r="I21" s="288"/>
      <c r="J21" s="288"/>
      <c r="K21" s="288"/>
    </row>
    <row r="22" spans="1:11" x14ac:dyDescent="0.25">
      <c r="A22" s="292" t="s">
        <v>121</v>
      </c>
      <c r="B22" s="293" t="s">
        <v>122</v>
      </c>
      <c r="C22" s="293"/>
      <c r="D22" s="293"/>
      <c r="E22" s="294" t="s">
        <v>74</v>
      </c>
      <c r="F22" s="295" t="s">
        <v>75</v>
      </c>
    </row>
    <row r="23" spans="1:11" x14ac:dyDescent="0.25">
      <c r="A23" s="296"/>
      <c r="B23" s="297">
        <v>1</v>
      </c>
      <c r="C23" s="297">
        <v>2</v>
      </c>
      <c r="D23" s="297">
        <v>3</v>
      </c>
      <c r="E23" s="298"/>
      <c r="F23" s="299"/>
    </row>
    <row r="24" spans="1:11" x14ac:dyDescent="0.25">
      <c r="A24" s="306" t="s">
        <v>123</v>
      </c>
      <c r="B24" s="301">
        <v>6.8979755122057593</v>
      </c>
      <c r="C24" s="301">
        <v>6.6769530123375223</v>
      </c>
      <c r="D24" s="301">
        <v>5.9261306274458265</v>
      </c>
      <c r="E24" s="301">
        <f>AVERAGE(B24:D24)</f>
        <v>6.500353050663036</v>
      </c>
      <c r="F24" s="302">
        <f>STDEVA(B24:D24)</f>
        <v>0.50942249641734927</v>
      </c>
    </row>
    <row r="25" spans="1:11" x14ac:dyDescent="0.25">
      <c r="A25" s="78" t="s">
        <v>133</v>
      </c>
      <c r="B25" s="178">
        <v>12.517956469972225</v>
      </c>
      <c r="C25" s="178">
        <v>11.794379463895922</v>
      </c>
      <c r="D25" s="178">
        <v>11.740015289010696</v>
      </c>
      <c r="E25" s="178">
        <f>AVERAGE(B25:D25)</f>
        <v>12.01745040762628</v>
      </c>
      <c r="F25" s="89">
        <f>STDEVA(B25:D25)</f>
        <v>0.43430243461385198</v>
      </c>
    </row>
    <row r="26" spans="1:11" x14ac:dyDescent="0.25">
      <c r="A26" s="78" t="s">
        <v>125</v>
      </c>
      <c r="B26" s="178">
        <v>7.3729794226117003</v>
      </c>
      <c r="C26" s="178">
        <v>7.335608063288336</v>
      </c>
      <c r="D26" s="178">
        <v>6.9420243194864018</v>
      </c>
      <c r="E26" s="178">
        <f>AVERAGE(B26:D26)</f>
        <v>7.2168706017954802</v>
      </c>
      <c r="F26" s="89">
        <f>STDEVA(B26:D26)</f>
        <v>0.23875618065038628</v>
      </c>
    </row>
    <row r="27" spans="1:11" x14ac:dyDescent="0.25">
      <c r="A27" s="78" t="s">
        <v>129</v>
      </c>
      <c r="B27" s="178">
        <v>13.382036930633026</v>
      </c>
      <c r="C27" s="178">
        <v>12.188387824664806</v>
      </c>
      <c r="D27" s="178">
        <v>13.686704808851083</v>
      </c>
      <c r="E27" s="178">
        <f>AVERAGE(B27:D27)</f>
        <v>13.085709854716304</v>
      </c>
      <c r="F27" s="89">
        <f>STDEVA(B27:D27)</f>
        <v>0.79189377331576505</v>
      </c>
    </row>
    <row r="28" spans="1:11" x14ac:dyDescent="0.25">
      <c r="A28" s="78" t="s">
        <v>124</v>
      </c>
      <c r="B28" s="178">
        <v>60.924496906072022</v>
      </c>
      <c r="C28" s="178">
        <v>60.841299273334528</v>
      </c>
      <c r="D28" s="178">
        <v>59.660893009456913</v>
      </c>
      <c r="E28" s="178">
        <f>AVERAGE(B28:D28)</f>
        <v>60.475563062954485</v>
      </c>
      <c r="F28" s="89">
        <f>STDEVA(B28:D28)</f>
        <v>0.706750262520352</v>
      </c>
    </row>
    <row r="29" spans="1:11" x14ac:dyDescent="0.25">
      <c r="A29" s="78" t="s">
        <v>126</v>
      </c>
      <c r="B29" s="178">
        <v>0.57579542345838153</v>
      </c>
      <c r="C29" s="178">
        <v>0.77378701614841583</v>
      </c>
      <c r="D29" s="178">
        <v>0.54766465379301577</v>
      </c>
      <c r="E29" s="178">
        <f>AVERAGE(B29:D29)</f>
        <v>0.63241569779993778</v>
      </c>
      <c r="F29" s="89">
        <f>STDEVA(B29:D29)</f>
        <v>0.12323644870403178</v>
      </c>
    </row>
    <row r="30" spans="1:11" x14ac:dyDescent="0.25">
      <c r="A30" s="78" t="s">
        <v>128</v>
      </c>
      <c r="B30" s="178">
        <v>0.2355043721022792</v>
      </c>
      <c r="C30" s="178">
        <v>0.19804740800716164</v>
      </c>
      <c r="D30" s="178">
        <v>0.17793114004757338</v>
      </c>
      <c r="E30" s="178">
        <f>AVERAGE(B30:D30)</f>
        <v>0.20382764005233808</v>
      </c>
      <c r="F30" s="89">
        <f>STDEVA(B30:D30)</f>
        <v>2.9218616910769657E-2</v>
      </c>
    </row>
    <row r="31" spans="1:11" x14ac:dyDescent="0.25">
      <c r="A31" s="179" t="s">
        <v>134</v>
      </c>
      <c r="B31" s="180">
        <v>1.1415002738448201</v>
      </c>
      <c r="C31" s="180">
        <v>1.1246448096484942</v>
      </c>
      <c r="D31" s="180">
        <v>1.1404077312221725</v>
      </c>
      <c r="E31" s="180">
        <f>AVERAGE(B31:D31)</f>
        <v>1.1355176049051623</v>
      </c>
      <c r="F31" s="181">
        <f>STDEVA(B31:D31)</f>
        <v>9.4319494202229001E-3</v>
      </c>
    </row>
    <row r="32" spans="1:11" x14ac:dyDescent="0.25">
      <c r="A32" s="178"/>
      <c r="B32" s="178"/>
      <c r="C32" s="178"/>
      <c r="D32" s="178"/>
      <c r="E32" s="178"/>
      <c r="F32" s="178"/>
    </row>
    <row r="34" spans="1:11" ht="15.75" x14ac:dyDescent="0.25">
      <c r="A34" s="199" t="s">
        <v>2</v>
      </c>
      <c r="B34" s="199"/>
      <c r="C34" s="199"/>
      <c r="D34" s="199"/>
      <c r="E34" s="199"/>
      <c r="F34" s="199"/>
      <c r="G34" s="197"/>
      <c r="H34" s="197"/>
      <c r="I34" s="197"/>
      <c r="J34" s="197"/>
      <c r="K34" s="197"/>
    </row>
    <row r="35" spans="1:11" ht="15.75" x14ac:dyDescent="0.25">
      <c r="A35" s="198"/>
      <c r="B35" s="198"/>
      <c r="C35" s="198"/>
      <c r="D35" s="198"/>
      <c r="E35" s="198"/>
      <c r="F35" s="198"/>
      <c r="G35" s="197"/>
      <c r="H35" s="197"/>
      <c r="I35" s="197"/>
      <c r="J35" s="197"/>
      <c r="K35" s="197"/>
    </row>
    <row r="36" spans="1:11" x14ac:dyDescent="0.25">
      <c r="A36" s="292" t="s">
        <v>121</v>
      </c>
      <c r="B36" s="293" t="s">
        <v>122</v>
      </c>
      <c r="C36" s="293"/>
      <c r="D36" s="293"/>
      <c r="E36" s="294" t="s">
        <v>74</v>
      </c>
      <c r="F36" s="295" t="s">
        <v>75</v>
      </c>
    </row>
    <row r="37" spans="1:11" x14ac:dyDescent="0.25">
      <c r="A37" s="296"/>
      <c r="B37" s="297">
        <v>1</v>
      </c>
      <c r="C37" s="297">
        <v>2</v>
      </c>
      <c r="D37" s="297">
        <v>3</v>
      </c>
      <c r="E37" s="298"/>
      <c r="F37" s="299"/>
    </row>
    <row r="38" spans="1:11" x14ac:dyDescent="0.25">
      <c r="A38" s="306" t="s">
        <v>127</v>
      </c>
      <c r="B38" s="301">
        <v>8.2668773931826676E-3</v>
      </c>
      <c r="C38" s="301">
        <v>1.6361504749699524E-2</v>
      </c>
      <c r="D38" s="301">
        <v>1.8233527221223206E-2</v>
      </c>
      <c r="E38" s="301">
        <f>AVERAGE(B38:D38)</f>
        <v>1.4287303121368465E-2</v>
      </c>
      <c r="F38" s="302">
        <f>STDEVA(B38:D38)</f>
        <v>5.2971937377184475E-3</v>
      </c>
    </row>
    <row r="39" spans="1:11" x14ac:dyDescent="0.25">
      <c r="A39" s="78" t="s">
        <v>123</v>
      </c>
      <c r="B39" s="178">
        <v>5.4542939473129666</v>
      </c>
      <c r="C39" s="178">
        <v>4.4380204297462722</v>
      </c>
      <c r="D39" s="178">
        <v>5.3231924465151215</v>
      </c>
      <c r="E39" s="178">
        <f>AVERAGE(B39:D39)</f>
        <v>5.0718356078581204</v>
      </c>
      <c r="F39" s="89">
        <f>STDEVA(B39:D39)</f>
        <v>0.55280029023289856</v>
      </c>
    </row>
    <row r="40" spans="1:11" x14ac:dyDescent="0.25">
      <c r="A40" s="78" t="s">
        <v>133</v>
      </c>
      <c r="B40" s="178">
        <v>2.0758347109393029</v>
      </c>
      <c r="C40" s="178">
        <v>2.2121982714341915</v>
      </c>
      <c r="D40" s="178">
        <v>2.1288571060871675</v>
      </c>
      <c r="E40" s="178">
        <f>AVERAGE(B40:D40)</f>
        <v>2.1389633628202205</v>
      </c>
      <c r="F40" s="89">
        <f>STDEVA(B40:D40)</f>
        <v>6.8741235634636119E-2</v>
      </c>
    </row>
    <row r="41" spans="1:11" x14ac:dyDescent="0.25">
      <c r="A41" s="78" t="s">
        <v>125</v>
      </c>
      <c r="B41" s="178">
        <v>1.7369628348787549</v>
      </c>
      <c r="C41" s="178">
        <v>1.6754721932262759</v>
      </c>
      <c r="D41" s="178">
        <v>2.2581274559444355</v>
      </c>
      <c r="E41" s="178">
        <f>AVERAGE(B41:D41)</f>
        <v>1.8901874946831552</v>
      </c>
      <c r="F41" s="89">
        <f>STDEVA(B41:D41)</f>
        <v>0.32012518812555868</v>
      </c>
    </row>
    <row r="42" spans="1:11" x14ac:dyDescent="0.25">
      <c r="A42" s="78" t="s">
        <v>129</v>
      </c>
      <c r="B42" s="178">
        <v>3.1565016604582179</v>
      </c>
      <c r="C42" s="178">
        <v>2.687808248909259</v>
      </c>
      <c r="D42" s="178">
        <v>2.3222359039228975</v>
      </c>
      <c r="E42" s="178">
        <f>AVERAGE(B42:D42)</f>
        <v>2.7221819377634575</v>
      </c>
      <c r="F42" s="89">
        <f>STDEVA(B42:D42)</f>
        <v>0.41819373619884476</v>
      </c>
    </row>
    <row r="43" spans="1:11" x14ac:dyDescent="0.25">
      <c r="A43" s="78" t="s">
        <v>124</v>
      </c>
      <c r="B43" s="178">
        <v>47.986996087705577</v>
      </c>
      <c r="C43" s="178">
        <v>47.080163005432183</v>
      </c>
      <c r="D43" s="178">
        <v>48.107287408564503</v>
      </c>
      <c r="E43" s="178">
        <f>AVERAGE(B43:D43)</f>
        <v>47.724815500567423</v>
      </c>
      <c r="F43" s="89">
        <f>STDEVA(B43:D43)</f>
        <v>0.561515921485368</v>
      </c>
    </row>
    <row r="44" spans="1:11" x14ac:dyDescent="0.25">
      <c r="A44" s="78" t="s">
        <v>126</v>
      </c>
      <c r="B44" s="178">
        <v>39.463062424898304</v>
      </c>
      <c r="C44" s="178">
        <v>40.30978989960731</v>
      </c>
      <c r="D44" s="178">
        <v>38.225459296386035</v>
      </c>
      <c r="E44" s="178">
        <f>AVERAGE(B44:D44)</f>
        <v>39.332770540297211</v>
      </c>
      <c r="F44" s="89">
        <f>STDEVA(B44:D44)</f>
        <v>1.0482559311904076</v>
      </c>
    </row>
    <row r="45" spans="1:11" x14ac:dyDescent="0.25">
      <c r="A45" s="179" t="s">
        <v>134</v>
      </c>
      <c r="B45" s="180">
        <v>1.6133229583078976</v>
      </c>
      <c r="C45" s="180">
        <v>1.4090958931599218</v>
      </c>
      <c r="D45" s="180">
        <v>1.6999050745655064</v>
      </c>
      <c r="E45" s="180">
        <f>AVERAGE(B45:D45)</f>
        <v>1.574107975344442</v>
      </c>
      <c r="F45" s="181">
        <f>STDEVA(B45:D45)</f>
        <v>0.14931796999713279</v>
      </c>
    </row>
    <row r="48" spans="1:11" ht="15.75" x14ac:dyDescent="0.25">
      <c r="A48" s="200" t="s">
        <v>3</v>
      </c>
      <c r="B48" s="200"/>
      <c r="C48" s="200"/>
      <c r="D48" s="200"/>
      <c r="E48" s="200"/>
      <c r="F48" s="200"/>
      <c r="G48" s="196"/>
      <c r="H48" s="196"/>
      <c r="I48" s="196"/>
      <c r="J48" s="196"/>
      <c r="K48" s="196"/>
    </row>
    <row r="49" spans="1:11" ht="15.75" x14ac:dyDescent="0.25">
      <c r="A49" s="195"/>
      <c r="B49" s="195"/>
      <c r="C49" s="195"/>
      <c r="D49" s="195"/>
      <c r="E49" s="195"/>
      <c r="F49" s="195"/>
      <c r="G49" s="196"/>
      <c r="H49" s="196"/>
      <c r="I49" s="196"/>
      <c r="J49" s="196"/>
      <c r="K49" s="196"/>
    </row>
    <row r="50" spans="1:11" x14ac:dyDescent="0.25">
      <c r="A50" s="292" t="s">
        <v>121</v>
      </c>
      <c r="B50" s="293" t="s">
        <v>122</v>
      </c>
      <c r="C50" s="293"/>
      <c r="D50" s="293"/>
      <c r="E50" s="294" t="s">
        <v>74</v>
      </c>
      <c r="F50" s="295" t="s">
        <v>75</v>
      </c>
    </row>
    <row r="51" spans="1:11" x14ac:dyDescent="0.25">
      <c r="A51" s="296"/>
      <c r="B51" s="297">
        <v>1</v>
      </c>
      <c r="C51" s="297">
        <v>2</v>
      </c>
      <c r="D51" s="297">
        <v>3</v>
      </c>
      <c r="E51" s="298"/>
      <c r="F51" s="299"/>
    </row>
    <row r="52" spans="1:11" ht="15" customHeight="1" x14ac:dyDescent="0.25">
      <c r="A52" s="306" t="s">
        <v>127</v>
      </c>
      <c r="B52" s="301">
        <v>0.10781856652563326</v>
      </c>
      <c r="C52" s="301">
        <v>1.621852462725782E-2</v>
      </c>
      <c r="D52" s="314">
        <v>1.2536591461869387E-11</v>
      </c>
      <c r="E52" s="301">
        <f>AVERAGE(B52:D52)</f>
        <v>4.1345697055142558E-2</v>
      </c>
      <c r="F52" s="302">
        <f>STDEVA(B52:D52)</f>
        <v>5.8135547790489177E-2</v>
      </c>
    </row>
    <row r="53" spans="1:11" ht="15" customHeight="1" x14ac:dyDescent="0.25">
      <c r="A53" s="78" t="s">
        <v>123</v>
      </c>
      <c r="B53" s="178">
        <v>5.4305000966335459</v>
      </c>
      <c r="C53" s="178">
        <v>4.3487024665495655</v>
      </c>
      <c r="D53" s="178">
        <v>4.9293680148897288</v>
      </c>
      <c r="E53" s="178">
        <f>AVERAGE(B53:D53)</f>
        <v>4.9028568593576134</v>
      </c>
      <c r="F53" s="89">
        <f>STDEVA(B53:D53)</f>
        <v>0.54138586898769825</v>
      </c>
    </row>
    <row r="54" spans="1:11" x14ac:dyDescent="0.25">
      <c r="A54" s="78" t="s">
        <v>133</v>
      </c>
      <c r="B54" s="178">
        <v>4.34926151610152</v>
      </c>
      <c r="C54" s="178">
        <v>4.1977400706948904</v>
      </c>
      <c r="D54" s="178">
        <v>3.7999338518820114</v>
      </c>
      <c r="E54" s="178">
        <f>AVERAGE(B54:D54)</f>
        <v>4.1156451462261403</v>
      </c>
      <c r="F54" s="89">
        <f>STDEVA(B54:D54)</f>
        <v>0.28371623699898213</v>
      </c>
    </row>
    <row r="55" spans="1:11" x14ac:dyDescent="0.25">
      <c r="A55" s="78" t="s">
        <v>125</v>
      </c>
      <c r="B55" s="178">
        <v>2.3498403423375138</v>
      </c>
      <c r="C55" s="178">
        <v>1.9041002581703623</v>
      </c>
      <c r="D55" s="178">
        <v>2.0250386385819983</v>
      </c>
      <c r="E55" s="178">
        <f>AVERAGE(B55:D55)</f>
        <v>2.0929930796966247</v>
      </c>
      <c r="F55" s="89">
        <f>STDEVA(B55:D55)</f>
        <v>0.23050902413731172</v>
      </c>
    </row>
    <row r="56" spans="1:11" x14ac:dyDescent="0.25">
      <c r="A56" s="78" t="s">
        <v>129</v>
      </c>
      <c r="B56" s="178">
        <v>3.8298525706904556</v>
      </c>
      <c r="C56" s="178">
        <v>3.7947306681489374</v>
      </c>
      <c r="D56" s="178">
        <v>3.597192034104578</v>
      </c>
      <c r="E56" s="178">
        <f>AVERAGE(B56:D56)</f>
        <v>3.7405917576479903</v>
      </c>
      <c r="F56" s="89">
        <f>STDEVA(B56:D56)</f>
        <v>0.12542327353318161</v>
      </c>
    </row>
    <row r="57" spans="1:11" x14ac:dyDescent="0.25">
      <c r="A57" s="78" t="s">
        <v>124</v>
      </c>
      <c r="B57" s="178">
        <v>52.807903603511704</v>
      </c>
      <c r="C57" s="178">
        <v>55.552874214901657</v>
      </c>
      <c r="D57" s="178">
        <v>58.803185193315457</v>
      </c>
      <c r="E57" s="178">
        <f>AVERAGE(B57:D57)</f>
        <v>55.721321003909601</v>
      </c>
      <c r="F57" s="89">
        <f>STDEVA(B57:D57)</f>
        <v>3.0011882773003875</v>
      </c>
    </row>
    <row r="58" spans="1:11" x14ac:dyDescent="0.25">
      <c r="A58" s="78" t="s">
        <v>126</v>
      </c>
      <c r="B58" s="178">
        <v>31.526737447774131</v>
      </c>
      <c r="C58" s="178">
        <v>27.685835939379949</v>
      </c>
      <c r="D58" s="178">
        <v>27.367850081209173</v>
      </c>
      <c r="E58" s="178">
        <f>AVERAGE(B58:D58)</f>
        <v>28.860141156121085</v>
      </c>
      <c r="F58" s="89">
        <f>STDEVA(B58:D58)</f>
        <v>2.3148068145079597</v>
      </c>
    </row>
    <row r="59" spans="1:11" x14ac:dyDescent="0.25">
      <c r="A59" s="179" t="s">
        <v>134</v>
      </c>
      <c r="B59" s="180">
        <v>1.7423441544423213</v>
      </c>
      <c r="C59" s="180">
        <v>1.7083606017758177</v>
      </c>
      <c r="D59" s="180">
        <v>1.7973222796110042</v>
      </c>
      <c r="E59" s="180">
        <f>AVERAGE(B59:D59)</f>
        <v>1.749342345276381</v>
      </c>
      <c r="F59" s="181">
        <f>STDEVA(B59:D59)</f>
        <v>4.48918259488887E-2</v>
      </c>
    </row>
    <row r="62" spans="1:11" ht="15.75" x14ac:dyDescent="0.25">
      <c r="A62" s="200" t="s">
        <v>4</v>
      </c>
      <c r="B62" s="200"/>
      <c r="C62" s="200"/>
      <c r="D62" s="200"/>
      <c r="E62" s="200"/>
      <c r="F62" s="200"/>
      <c r="G62" s="196"/>
      <c r="H62" s="196"/>
      <c r="I62" s="196"/>
      <c r="J62" s="196"/>
      <c r="K62" s="196"/>
    </row>
    <row r="64" spans="1:11" x14ac:dyDescent="0.25">
      <c r="A64" s="292" t="s">
        <v>121</v>
      </c>
      <c r="B64" s="293" t="s">
        <v>122</v>
      </c>
      <c r="C64" s="293"/>
      <c r="D64" s="293"/>
      <c r="E64" s="294" t="s">
        <v>74</v>
      </c>
      <c r="F64" s="295" t="s">
        <v>75</v>
      </c>
    </row>
    <row r="65" spans="1:6" x14ac:dyDescent="0.25">
      <c r="A65" s="296"/>
      <c r="B65" s="297">
        <v>1</v>
      </c>
      <c r="C65" s="297">
        <v>2</v>
      </c>
      <c r="D65" s="297">
        <v>3</v>
      </c>
      <c r="E65" s="298"/>
      <c r="F65" s="299"/>
    </row>
    <row r="66" spans="1:6" x14ac:dyDescent="0.25">
      <c r="A66" s="307" t="s">
        <v>127</v>
      </c>
      <c r="B66" s="308">
        <v>1.7292270777689886E-3</v>
      </c>
      <c r="C66" s="308">
        <v>1.7244520674275308E-12</v>
      </c>
      <c r="D66" s="308">
        <v>1.1665585346160627E-2</v>
      </c>
      <c r="E66" s="308">
        <f>AVERAGE(B66:D66)</f>
        <v>4.4649374752180225E-3</v>
      </c>
      <c r="F66" s="309">
        <f>_xlfn.STDEV.S(B66:D66)</f>
        <v>6.295597977246806E-3</v>
      </c>
    </row>
    <row r="67" spans="1:6" x14ac:dyDescent="0.25">
      <c r="A67" s="310" t="s">
        <v>133</v>
      </c>
      <c r="B67" s="191">
        <v>8.2198209974401166</v>
      </c>
      <c r="C67" s="191">
        <v>8.3442641731468257</v>
      </c>
      <c r="D67" s="191">
        <v>9.1310261237497024</v>
      </c>
      <c r="E67" s="191">
        <f>AVERAGE(B67:D67)</f>
        <v>8.5650370981122155</v>
      </c>
      <c r="F67" s="311">
        <f>_xlfn.STDEV.S(B67:D67)</f>
        <v>0.49409433193626806</v>
      </c>
    </row>
    <row r="68" spans="1:6" x14ac:dyDescent="0.25">
      <c r="A68" s="310" t="s">
        <v>125</v>
      </c>
      <c r="B68" s="191">
        <v>1.846004902545348</v>
      </c>
      <c r="C68" s="191">
        <v>1.8076806039178308</v>
      </c>
      <c r="D68" s="191">
        <v>2.0101992364897954</v>
      </c>
      <c r="E68" s="191">
        <f>AVERAGE(B68:D68)</f>
        <v>1.8879615809843246</v>
      </c>
      <c r="F68" s="311">
        <f>_xlfn.STDEV.S(B68:D68)</f>
        <v>0.10758123109505843</v>
      </c>
    </row>
    <row r="69" spans="1:6" x14ac:dyDescent="0.25">
      <c r="A69" s="310" t="s">
        <v>129</v>
      </c>
      <c r="B69" s="191">
        <v>3.0464591470715274</v>
      </c>
      <c r="C69" s="191">
        <v>3.3422231137175165</v>
      </c>
      <c r="D69" s="191">
        <v>3.2573859579957025</v>
      </c>
      <c r="E69" s="191">
        <f>AVERAGE(B69:D69)</f>
        <v>3.2153560729282487</v>
      </c>
      <c r="F69" s="311">
        <f>_xlfn.STDEV.S(B69:D69)</f>
        <v>0.15229564806858387</v>
      </c>
    </row>
    <row r="70" spans="1:6" x14ac:dyDescent="0.25">
      <c r="A70" s="310" t="s">
        <v>124</v>
      </c>
      <c r="B70" s="191">
        <v>76.468245964455946</v>
      </c>
      <c r="C70" s="191">
        <v>72.993549334724094</v>
      </c>
      <c r="D70" s="191">
        <v>73.766112171781984</v>
      </c>
      <c r="E70" s="191">
        <f>AVERAGE(B70:D70)</f>
        <v>74.40930249032067</v>
      </c>
      <c r="F70" s="311">
        <f>_xlfn.STDEV.S(B70:D70)</f>
        <v>1.8244586886427161</v>
      </c>
    </row>
    <row r="71" spans="1:6" x14ac:dyDescent="0.25">
      <c r="A71" s="310" t="s">
        <v>126</v>
      </c>
      <c r="B71" s="191">
        <v>11.7919007352452</v>
      </c>
      <c r="C71" s="191">
        <v>11.142243427631364</v>
      </c>
      <c r="D71" s="191">
        <v>9.2031158390708185</v>
      </c>
      <c r="E71" s="191">
        <f>AVERAGE(B71:D71)</f>
        <v>10.712420000649127</v>
      </c>
      <c r="F71" s="311">
        <f>_xlfn.STDEV.S(B71:D71)</f>
        <v>1.3468529776676594</v>
      </c>
    </row>
    <row r="72" spans="1:6" x14ac:dyDescent="0.25">
      <c r="A72" s="312" t="s">
        <v>134</v>
      </c>
      <c r="B72" s="192">
        <v>2.4546653874290838</v>
      </c>
      <c r="C72" s="192">
        <v>2.4548765025824735</v>
      </c>
      <c r="D72" s="192">
        <v>2.2843221129411511</v>
      </c>
      <c r="E72" s="192">
        <f>AVERAGE(B72:D72)</f>
        <v>2.3979546676509025</v>
      </c>
      <c r="F72" s="313">
        <f>_xlfn.STDEV.S(B72:D72)</f>
        <v>9.8408735688456719E-2</v>
      </c>
    </row>
    <row r="91" ht="15" customHeight="1" x14ac:dyDescent="0.25"/>
    <row r="92" ht="15" customHeight="1" x14ac:dyDescent="0.25"/>
    <row r="117" ht="15" customHeight="1" x14ac:dyDescent="0.25"/>
  </sheetData>
  <sortState xmlns:xlrd2="http://schemas.microsoft.com/office/spreadsheetml/2017/richdata2" ref="A66:F72">
    <sortCondition ref="A66:A72"/>
  </sortState>
  <mergeCells count="26">
    <mergeCell ref="A64:A65"/>
    <mergeCell ref="B64:D64"/>
    <mergeCell ref="E64:E65"/>
    <mergeCell ref="F64:F65"/>
    <mergeCell ref="A1:F2"/>
    <mergeCell ref="A22:A23"/>
    <mergeCell ref="B22:D22"/>
    <mergeCell ref="E22:E23"/>
    <mergeCell ref="F22:F23"/>
    <mergeCell ref="A48:F48"/>
    <mergeCell ref="A34:F34"/>
    <mergeCell ref="A20:F20"/>
    <mergeCell ref="A4:F4"/>
    <mergeCell ref="B6:D6"/>
    <mergeCell ref="A6:A7"/>
    <mergeCell ref="E6:E7"/>
    <mergeCell ref="F6:F7"/>
    <mergeCell ref="A62:F62"/>
    <mergeCell ref="A36:A37"/>
    <mergeCell ref="B36:D36"/>
    <mergeCell ref="E36:E37"/>
    <mergeCell ref="F36:F37"/>
    <mergeCell ref="A50:A51"/>
    <mergeCell ref="B50:D50"/>
    <mergeCell ref="E50:E51"/>
    <mergeCell ref="F50:F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5CF52-8372-4530-95F9-EBC09649CC38}">
  <dimension ref="A1:AC62"/>
  <sheetViews>
    <sheetView zoomScaleNormal="100" workbookViewId="0">
      <selection sqref="A1:K1"/>
    </sheetView>
  </sheetViews>
  <sheetFormatPr baseColWidth="10" defaultRowHeight="15" x14ac:dyDescent="0.25"/>
  <cols>
    <col min="3" max="3" width="14.85546875" bestFit="1" customWidth="1"/>
    <col min="4" max="4" width="16.28515625" customWidth="1"/>
    <col min="5" max="5" width="15.140625" customWidth="1"/>
    <col min="6" max="6" width="20.42578125" customWidth="1"/>
    <col min="7" max="7" width="15.85546875" customWidth="1"/>
    <col min="8" max="8" width="15" customWidth="1"/>
    <col min="9" max="9" width="20.85546875" customWidth="1"/>
    <col min="10" max="10" width="16" customWidth="1"/>
    <col min="11" max="11" width="15.28515625" customWidth="1"/>
    <col min="12" max="12" width="20.5703125" customWidth="1"/>
    <col min="13" max="13" width="16" customWidth="1"/>
    <col min="14" max="14" width="14.85546875" customWidth="1"/>
    <col min="15" max="15" width="20" customWidth="1"/>
    <col min="16" max="16" width="16.42578125" customWidth="1"/>
    <col min="17" max="17" width="15.140625" customWidth="1"/>
    <col min="18" max="18" width="21" customWidth="1"/>
    <col min="19" max="19" width="16.140625" customWidth="1"/>
    <col min="20" max="20" width="14.85546875" customWidth="1"/>
    <col min="21" max="21" width="20.28515625" customWidth="1"/>
    <col min="22" max="22" width="16.28515625" customWidth="1"/>
    <col min="23" max="23" width="14.7109375" customWidth="1"/>
    <col min="24" max="24" width="22" customWidth="1"/>
    <col min="25" max="25" width="14.28515625" customWidth="1"/>
  </cols>
  <sheetData>
    <row r="1" spans="1:29" ht="18.75" x14ac:dyDescent="0.25">
      <c r="A1" s="113" t="s">
        <v>137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29" ht="18.75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25" t="s">
        <v>19</v>
      </c>
      <c r="P2" s="125"/>
      <c r="Q2" s="125"/>
      <c r="R2" s="14"/>
      <c r="S2" s="114" t="s">
        <v>21</v>
      </c>
      <c r="T2" s="114"/>
      <c r="U2" s="114"/>
      <c r="V2" s="14"/>
      <c r="W2" s="116" t="s">
        <v>15</v>
      </c>
      <c r="X2" s="116"/>
      <c r="Y2" s="14"/>
      <c r="Z2" s="14"/>
      <c r="AA2" s="14"/>
      <c r="AB2" s="14"/>
      <c r="AC2" s="14"/>
    </row>
    <row r="3" spans="1:29" ht="15" customHeight="1" x14ac:dyDescent="0.25">
      <c r="A3" s="124" t="s">
        <v>30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4"/>
      <c r="M3" s="14"/>
      <c r="N3" s="14"/>
      <c r="R3" s="14"/>
      <c r="S3" s="95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ht="16.5" customHeight="1" x14ac:dyDescent="0.25">
      <c r="A4" s="130" t="s">
        <v>6</v>
      </c>
      <c r="B4" s="127" t="s">
        <v>68</v>
      </c>
      <c r="C4" s="128" t="s">
        <v>69</v>
      </c>
      <c r="D4" s="126" t="s">
        <v>17</v>
      </c>
      <c r="E4" s="127"/>
      <c r="F4" s="128"/>
      <c r="G4" s="126" t="s">
        <v>18</v>
      </c>
      <c r="H4" s="127"/>
      <c r="I4" s="128"/>
      <c r="J4" s="120" t="s">
        <v>73</v>
      </c>
      <c r="K4" s="122" t="s">
        <v>15</v>
      </c>
      <c r="L4" s="14"/>
      <c r="M4" s="14"/>
      <c r="N4" s="14"/>
      <c r="O4" s="115" t="s">
        <v>50</v>
      </c>
      <c r="P4" s="115"/>
      <c r="Q4" s="115"/>
      <c r="R4" s="14"/>
      <c r="S4" s="115" t="s">
        <v>55</v>
      </c>
      <c r="T4" s="115"/>
      <c r="U4" s="115"/>
      <c r="V4" s="14"/>
      <c r="W4" s="117" t="s">
        <v>58</v>
      </c>
      <c r="X4" s="117"/>
      <c r="Y4" s="14"/>
      <c r="Z4" s="14"/>
      <c r="AA4" s="14"/>
      <c r="AB4" s="14"/>
      <c r="AC4" s="14"/>
    </row>
    <row r="5" spans="1:29" x14ac:dyDescent="0.25">
      <c r="A5" s="131"/>
      <c r="B5" s="132"/>
      <c r="C5" s="133"/>
      <c r="D5" s="92" t="s">
        <v>70</v>
      </c>
      <c r="E5" s="93" t="s">
        <v>71</v>
      </c>
      <c r="F5" s="94" t="s">
        <v>72</v>
      </c>
      <c r="G5" s="92" t="s">
        <v>70</v>
      </c>
      <c r="H5" s="93" t="s">
        <v>71</v>
      </c>
      <c r="I5" s="94" t="s">
        <v>72</v>
      </c>
      <c r="J5" s="121"/>
      <c r="K5" s="123"/>
      <c r="L5" s="14"/>
      <c r="M5" s="14"/>
      <c r="N5" s="242"/>
      <c r="O5" s="115"/>
      <c r="P5" s="115"/>
      <c r="Q5" s="115"/>
      <c r="R5" s="14"/>
      <c r="S5" s="115"/>
      <c r="T5" s="115"/>
      <c r="U5" s="115"/>
      <c r="V5" s="14"/>
      <c r="W5" s="117"/>
      <c r="X5" s="117"/>
      <c r="Y5" s="14"/>
      <c r="Z5" s="14"/>
      <c r="AA5" s="14"/>
      <c r="AB5" s="14"/>
      <c r="AC5" s="14"/>
    </row>
    <row r="6" spans="1:29" x14ac:dyDescent="0.25">
      <c r="A6" s="56">
        <v>1</v>
      </c>
      <c r="B6" s="22">
        <v>6.0041000000000002</v>
      </c>
      <c r="C6" s="46">
        <f>+B6*(1-('% Humidity for extracrtives'!$F$11/100))</f>
        <v>5.6649823052783042</v>
      </c>
      <c r="D6" s="45">
        <v>110.7466</v>
      </c>
      <c r="E6" s="23">
        <v>111.1943</v>
      </c>
      <c r="F6" s="52">
        <f>+E6-D6</f>
        <v>0.44769999999999754</v>
      </c>
      <c r="G6" s="45">
        <v>95.847999999999999</v>
      </c>
      <c r="H6" s="22">
        <v>96.084500000000006</v>
      </c>
      <c r="I6" s="46">
        <f>+H6-G6</f>
        <v>0.23650000000000659</v>
      </c>
      <c r="J6" s="71">
        <f>+F6+I6</f>
        <v>0.68420000000000414</v>
      </c>
      <c r="K6" s="72">
        <f>+(J6/C6)*100</f>
        <v>12.077707627833293</v>
      </c>
      <c r="L6" s="14"/>
      <c r="N6" s="243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x14ac:dyDescent="0.25">
      <c r="A7" s="56">
        <v>2</v>
      </c>
      <c r="B7" s="22">
        <v>6.0571000000000002</v>
      </c>
      <c r="C7" s="46">
        <f>+B7*(1-('% Humidity for extracrtives'!$F$11/100))</f>
        <v>5.7149888111958855</v>
      </c>
      <c r="D7" s="54">
        <v>99.002700000000004</v>
      </c>
      <c r="E7" s="22">
        <v>99.491500000000002</v>
      </c>
      <c r="F7" s="46">
        <f>+E7-D7</f>
        <v>0.48879999999999768</v>
      </c>
      <c r="G7" s="45">
        <v>106.6765</v>
      </c>
      <c r="H7" s="23">
        <v>106.9277</v>
      </c>
      <c r="I7" s="46">
        <f>+H7-G7</f>
        <v>0.2511999999999972</v>
      </c>
      <c r="J7" s="71">
        <f t="shared" ref="J7:J8" si="0">+F7+I7</f>
        <v>0.73999999999999488</v>
      </c>
      <c r="K7" s="72">
        <f t="shared" ref="K7:K8" si="1">+(J7/C7)*100</f>
        <v>12.948406802657358</v>
      </c>
      <c r="L7" s="14"/>
      <c r="M7" s="14"/>
      <c r="N7" s="242"/>
      <c r="O7" s="14" t="s">
        <v>51</v>
      </c>
      <c r="P7" s="14"/>
      <c r="Q7" s="14"/>
      <c r="R7" s="14"/>
      <c r="S7" s="14" t="s">
        <v>51</v>
      </c>
      <c r="T7" s="14"/>
      <c r="U7" s="14"/>
      <c r="V7" s="14"/>
      <c r="W7" s="14" t="s">
        <v>51</v>
      </c>
      <c r="X7" s="14"/>
      <c r="Y7" s="14"/>
      <c r="Z7" s="14"/>
      <c r="AA7" s="14"/>
      <c r="AB7" s="14"/>
      <c r="AC7" s="14"/>
    </row>
    <row r="8" spans="1:29" ht="15.75" thickBot="1" x14ac:dyDescent="0.3">
      <c r="A8" s="57">
        <v>3</v>
      </c>
      <c r="B8" s="51">
        <v>6.0212000000000003</v>
      </c>
      <c r="C8" s="49">
        <f>+B8*(1-('% Humidity for extracrtives'!$F$11/100))</f>
        <v>5.681116479829071</v>
      </c>
      <c r="D8" s="47">
        <v>97.735900000000001</v>
      </c>
      <c r="E8" s="51">
        <v>98.221000000000004</v>
      </c>
      <c r="F8" s="49">
        <f>+E8-D8</f>
        <v>0.48510000000000275</v>
      </c>
      <c r="G8" s="47">
        <v>99.745000000000005</v>
      </c>
      <c r="H8" s="51">
        <v>99.974999999999994</v>
      </c>
      <c r="I8" s="49">
        <f>+H8-G8</f>
        <v>0.22999999999998977</v>
      </c>
      <c r="J8" s="71">
        <f t="shared" si="0"/>
        <v>0.71509999999999252</v>
      </c>
      <c r="K8" s="72">
        <f t="shared" si="1"/>
        <v>12.587314527680796</v>
      </c>
      <c r="L8" s="14"/>
      <c r="M8" s="14"/>
      <c r="N8" s="242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x14ac:dyDescent="0.25">
      <c r="A9" s="21"/>
      <c r="B9" s="22"/>
      <c r="C9" s="22"/>
      <c r="D9" s="22"/>
      <c r="E9" s="22"/>
      <c r="F9" s="22"/>
      <c r="G9" s="22"/>
      <c r="H9" s="22"/>
      <c r="I9" s="22"/>
      <c r="J9" s="37" t="s">
        <v>74</v>
      </c>
      <c r="K9" s="34">
        <f>AVERAGE(K6:K8)</f>
        <v>12.537809652723816</v>
      </c>
      <c r="L9" s="14"/>
      <c r="M9" s="14"/>
      <c r="N9" s="242"/>
      <c r="O9" s="14" t="s">
        <v>52</v>
      </c>
      <c r="P9" s="14"/>
      <c r="Q9" s="14"/>
      <c r="R9" s="14"/>
      <c r="S9" s="14" t="s">
        <v>56</v>
      </c>
      <c r="T9" s="14"/>
      <c r="U9" s="14"/>
      <c r="V9" s="14"/>
      <c r="W9" s="14" t="s">
        <v>56</v>
      </c>
      <c r="X9" s="14"/>
      <c r="Y9" s="14"/>
      <c r="Z9" s="14"/>
      <c r="AA9" s="14"/>
      <c r="AB9" s="14"/>
      <c r="AC9" s="14"/>
    </row>
    <row r="10" spans="1:29" ht="15.75" thickBot="1" x14ac:dyDescent="0.3">
      <c r="A10" s="21"/>
      <c r="B10" s="22"/>
      <c r="C10" s="22"/>
      <c r="D10" s="22"/>
      <c r="E10" s="22"/>
      <c r="F10" s="22"/>
      <c r="G10" s="22"/>
      <c r="H10" s="22"/>
      <c r="I10" s="22"/>
      <c r="J10" s="39" t="s">
        <v>75</v>
      </c>
      <c r="K10" s="35">
        <f>_xlfn.STDEV.S(K6:K8)</f>
        <v>0.43745549801460548</v>
      </c>
      <c r="L10" s="14"/>
      <c r="M10" s="14"/>
      <c r="N10" s="242"/>
      <c r="O10" s="14" t="s">
        <v>53</v>
      </c>
      <c r="P10" s="14"/>
      <c r="Q10" s="14"/>
      <c r="R10" s="14"/>
      <c r="S10" s="14" t="s">
        <v>57</v>
      </c>
      <c r="T10" s="14"/>
      <c r="U10" s="14"/>
      <c r="V10" s="14"/>
      <c r="W10" s="14" t="s">
        <v>52</v>
      </c>
      <c r="X10" s="14"/>
      <c r="Y10" s="14"/>
      <c r="Z10" s="14"/>
      <c r="AA10" s="14"/>
      <c r="AB10" s="14"/>
      <c r="AC10" s="14"/>
    </row>
    <row r="11" spans="1:29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14"/>
      <c r="K11" s="14"/>
      <c r="L11" s="14"/>
      <c r="M11" s="14"/>
      <c r="N11" s="242"/>
      <c r="O11" s="14" t="s">
        <v>54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14"/>
      <c r="K12" s="14"/>
      <c r="L12" s="14"/>
      <c r="M12" s="14"/>
      <c r="N12" s="242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15" customHeight="1" x14ac:dyDescent="0.25">
      <c r="A13" s="124" t="s">
        <v>1</v>
      </c>
      <c r="B13" s="124"/>
      <c r="C13" s="124"/>
      <c r="D13" s="124"/>
      <c r="E13" s="124"/>
      <c r="F13" s="124"/>
      <c r="G13" s="124"/>
      <c r="H13" s="124"/>
      <c r="I13" s="15"/>
      <c r="J13" s="14"/>
      <c r="K13" s="14"/>
      <c r="L13" s="14"/>
      <c r="M13" s="14"/>
      <c r="N13" s="242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ht="18.75" customHeight="1" x14ac:dyDescent="0.25">
      <c r="A14" s="130" t="s">
        <v>6</v>
      </c>
      <c r="B14" s="127" t="s">
        <v>68</v>
      </c>
      <c r="C14" s="128" t="s">
        <v>69</v>
      </c>
      <c r="D14" s="135" t="s">
        <v>20</v>
      </c>
      <c r="E14" s="136"/>
      <c r="F14" s="137"/>
      <c r="G14" s="120" t="s">
        <v>73</v>
      </c>
      <c r="H14" s="122" t="s">
        <v>15</v>
      </c>
      <c r="I14" s="15"/>
      <c r="J14" s="14"/>
      <c r="K14" s="14"/>
      <c r="L14" s="14"/>
      <c r="M14" s="14"/>
      <c r="N14" s="242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x14ac:dyDescent="0.25">
      <c r="A15" s="131"/>
      <c r="B15" s="132"/>
      <c r="C15" s="133"/>
      <c r="D15" s="92" t="s">
        <v>70</v>
      </c>
      <c r="E15" s="93" t="s">
        <v>71</v>
      </c>
      <c r="F15" s="94" t="s">
        <v>72</v>
      </c>
      <c r="G15" s="121"/>
      <c r="H15" s="123"/>
      <c r="I15" s="15"/>
      <c r="J15" s="14"/>
      <c r="K15" s="14"/>
      <c r="L15" s="14"/>
      <c r="M15" s="14"/>
      <c r="N15" s="242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x14ac:dyDescent="0.25">
      <c r="A16" s="56">
        <v>1</v>
      </c>
      <c r="B16" s="22">
        <v>6.0068000000000001</v>
      </c>
      <c r="C16" s="73">
        <f>+B16*(1-('% Humidity for extracrtives'!$F$19/100))</f>
        <v>5.6968989689682505</v>
      </c>
      <c r="D16" s="65">
        <v>95.149100000000004</v>
      </c>
      <c r="E16" s="25">
        <v>95.314700000000002</v>
      </c>
      <c r="F16" s="66">
        <f>+E16-D16</f>
        <v>0.16559999999999775</v>
      </c>
      <c r="G16" s="101">
        <f>+F16</f>
        <v>0.16559999999999775</v>
      </c>
      <c r="H16" s="79">
        <f>+(G16/C16)*100</f>
        <v>2.906844599176543</v>
      </c>
      <c r="I16" s="15"/>
      <c r="J16" s="14"/>
      <c r="K16" s="14"/>
      <c r="L16" s="14"/>
      <c r="M16" s="14"/>
      <c r="N16" s="242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x14ac:dyDescent="0.25">
      <c r="A17" s="56">
        <v>2</v>
      </c>
      <c r="B17" s="22">
        <v>6.0071000000000003</v>
      </c>
      <c r="C17" s="73">
        <f>+B17*(1-('% Humidity for extracrtives'!$F$19/100))</f>
        <v>5.6971834914578769</v>
      </c>
      <c r="D17" s="65">
        <v>96.692300000000003</v>
      </c>
      <c r="E17" s="25">
        <v>96.868300000000005</v>
      </c>
      <c r="F17" s="75">
        <f>+E17-D17</f>
        <v>0.17600000000000193</v>
      </c>
      <c r="G17" s="101">
        <f t="shared" ref="G17:G18" si="2">+F17</f>
        <v>0.17600000000000193</v>
      </c>
      <c r="H17" s="79">
        <f t="shared" ref="H17:H18" si="3">+(G17/C17)*100</f>
        <v>3.0892457696665225</v>
      </c>
      <c r="I17" s="15"/>
      <c r="J17" s="14"/>
      <c r="K17" s="14"/>
      <c r="L17" s="14"/>
      <c r="M17" s="14"/>
      <c r="N17" s="242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ht="15.75" thickBot="1" x14ac:dyDescent="0.3">
      <c r="A18" s="57">
        <v>3</v>
      </c>
      <c r="B18" s="51">
        <v>6.0308000000000002</v>
      </c>
      <c r="C18" s="74">
        <f>+B18*(1-('% Humidity for extracrtives'!$F$19/100))</f>
        <v>5.7196607681383975</v>
      </c>
      <c r="D18" s="76">
        <v>93.065200000000004</v>
      </c>
      <c r="E18" s="77">
        <v>93.215900000000005</v>
      </c>
      <c r="F18" s="70">
        <f>+E18-D18</f>
        <v>0.1507000000000005</v>
      </c>
      <c r="G18" s="101">
        <f t="shared" si="2"/>
        <v>0.1507000000000005</v>
      </c>
      <c r="H18" s="79">
        <f t="shared" si="3"/>
        <v>2.6347716430925585</v>
      </c>
      <c r="I18" s="102"/>
      <c r="J18" s="10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x14ac:dyDescent="0.25">
      <c r="A19" s="21"/>
      <c r="B19" s="22"/>
      <c r="C19" s="24"/>
      <c r="D19" s="25"/>
      <c r="E19" s="25"/>
      <c r="F19" s="102"/>
      <c r="G19" s="37" t="s">
        <v>74</v>
      </c>
      <c r="H19" s="34">
        <f>AVERAGE(H16:H18)</f>
        <v>2.8769540039785411</v>
      </c>
      <c r="I19" s="16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ht="15.75" thickBot="1" x14ac:dyDescent="0.3">
      <c r="A20" s="21"/>
      <c r="B20" s="22"/>
      <c r="C20" s="24"/>
      <c r="D20" s="25"/>
      <c r="E20" s="25"/>
      <c r="F20" s="102"/>
      <c r="G20" s="39" t="s">
        <v>75</v>
      </c>
      <c r="H20" s="35">
        <f>STDEVA(H16:H18)</f>
        <v>0.22870673075416903</v>
      </c>
      <c r="I20" s="16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x14ac:dyDescent="0.25">
      <c r="A21" s="21"/>
      <c r="B21" s="22"/>
      <c r="C21" s="24"/>
      <c r="D21" s="25"/>
      <c r="E21" s="25"/>
      <c r="F21" s="25"/>
      <c r="G21" s="25"/>
      <c r="H21" s="15"/>
      <c r="I21" s="16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x14ac:dyDescent="0.25">
      <c r="A22" s="21"/>
      <c r="B22" s="22"/>
      <c r="C22" s="22"/>
      <c r="D22" s="25"/>
      <c r="E22" s="25"/>
      <c r="F22" s="25"/>
      <c r="G22" s="25"/>
      <c r="H22" s="15"/>
      <c r="I22" s="15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x14ac:dyDescent="0.25">
      <c r="A23" s="118" t="s">
        <v>32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4"/>
      <c r="AB23" s="14"/>
      <c r="AC23" s="14"/>
    </row>
    <row r="24" spans="1:29" ht="18.75" customHeight="1" x14ac:dyDescent="0.25">
      <c r="A24" s="130" t="s">
        <v>6</v>
      </c>
      <c r="B24" s="127" t="s">
        <v>68</v>
      </c>
      <c r="C24" s="128" t="s">
        <v>69</v>
      </c>
      <c r="D24" s="126" t="s">
        <v>17</v>
      </c>
      <c r="E24" s="127"/>
      <c r="F24" s="128"/>
      <c r="G24" s="126" t="s">
        <v>18</v>
      </c>
      <c r="H24" s="127"/>
      <c r="I24" s="128"/>
      <c r="J24" s="126" t="s">
        <v>22</v>
      </c>
      <c r="K24" s="127"/>
      <c r="L24" s="128"/>
      <c r="M24" s="126" t="s">
        <v>23</v>
      </c>
      <c r="N24" s="127"/>
      <c r="O24" s="128"/>
      <c r="P24" s="126" t="s">
        <v>24</v>
      </c>
      <c r="Q24" s="127"/>
      <c r="R24" s="128"/>
      <c r="S24" s="126" t="s">
        <v>25</v>
      </c>
      <c r="T24" s="127"/>
      <c r="U24" s="128"/>
      <c r="V24" s="126" t="s">
        <v>26</v>
      </c>
      <c r="W24" s="127"/>
      <c r="X24" s="128"/>
      <c r="Y24" s="120" t="s">
        <v>73</v>
      </c>
      <c r="Z24" s="128" t="s">
        <v>15</v>
      </c>
      <c r="AA24" s="14"/>
      <c r="AB24" s="14"/>
      <c r="AC24" s="14"/>
    </row>
    <row r="25" spans="1:29" ht="15.75" customHeight="1" x14ac:dyDescent="0.25">
      <c r="A25" s="131"/>
      <c r="B25" s="132"/>
      <c r="C25" s="133"/>
      <c r="D25" s="92" t="s">
        <v>70</v>
      </c>
      <c r="E25" s="93" t="s">
        <v>71</v>
      </c>
      <c r="F25" s="94" t="s">
        <v>72</v>
      </c>
      <c r="G25" s="92" t="s">
        <v>70</v>
      </c>
      <c r="H25" s="93" t="s">
        <v>71</v>
      </c>
      <c r="I25" s="94" t="s">
        <v>72</v>
      </c>
      <c r="J25" s="92" t="s">
        <v>70</v>
      </c>
      <c r="K25" s="93" t="s">
        <v>71</v>
      </c>
      <c r="L25" s="94" t="s">
        <v>72</v>
      </c>
      <c r="M25" s="92" t="s">
        <v>70</v>
      </c>
      <c r="N25" s="93" t="s">
        <v>71</v>
      </c>
      <c r="O25" s="94" t="s">
        <v>72</v>
      </c>
      <c r="P25" s="92" t="s">
        <v>70</v>
      </c>
      <c r="Q25" s="93" t="s">
        <v>71</v>
      </c>
      <c r="R25" s="94" t="s">
        <v>72</v>
      </c>
      <c r="S25" s="92" t="s">
        <v>70</v>
      </c>
      <c r="T25" s="93" t="s">
        <v>71</v>
      </c>
      <c r="U25" s="94" t="s">
        <v>72</v>
      </c>
      <c r="V25" s="92" t="s">
        <v>70</v>
      </c>
      <c r="W25" s="93" t="s">
        <v>71</v>
      </c>
      <c r="X25" s="94" t="s">
        <v>72</v>
      </c>
      <c r="Y25" s="121"/>
      <c r="Z25" s="133"/>
      <c r="AA25" s="14"/>
      <c r="AB25" s="14"/>
      <c r="AC25" s="14"/>
    </row>
    <row r="26" spans="1:29" x14ac:dyDescent="0.25">
      <c r="A26" s="56">
        <v>1</v>
      </c>
      <c r="B26" s="22">
        <v>6.0019</v>
      </c>
      <c r="C26" s="46">
        <f>+B26*(1-('% Humidity for extracrtives'!$F$26/100))</f>
        <v>5.6263406838242478</v>
      </c>
      <c r="D26" s="45">
        <v>110.7272</v>
      </c>
      <c r="E26" s="23">
        <v>111.1835</v>
      </c>
      <c r="F26" s="46">
        <f>+E26-D26</f>
        <v>0.45629999999999882</v>
      </c>
      <c r="G26" s="45">
        <v>95.842500000000001</v>
      </c>
      <c r="H26" s="22">
        <v>96.104200000000006</v>
      </c>
      <c r="I26" s="46">
        <f>+H26-G26</f>
        <v>0.26170000000000471</v>
      </c>
      <c r="J26" s="45">
        <v>110.73</v>
      </c>
      <c r="K26" s="23">
        <v>111.0218</v>
      </c>
      <c r="L26" s="46">
        <f>+K26-J26</f>
        <v>0.29179999999999495</v>
      </c>
      <c r="M26" s="54">
        <v>95.847499999999997</v>
      </c>
      <c r="N26" s="23">
        <v>96.146600000000007</v>
      </c>
      <c r="O26" s="46">
        <f>+N26-M26</f>
        <v>0.29910000000000991</v>
      </c>
      <c r="P26" s="54">
        <v>110.7218</v>
      </c>
      <c r="Q26" s="22">
        <v>110.9662</v>
      </c>
      <c r="R26" s="46">
        <f>+Q26-P26</f>
        <v>0.24439999999999884</v>
      </c>
      <c r="S26" s="45">
        <v>95.847200000000001</v>
      </c>
      <c r="T26" s="22">
        <v>96.2119</v>
      </c>
      <c r="U26" s="46">
        <f>+T26-S26</f>
        <v>0.36469999999999914</v>
      </c>
      <c r="V26" s="54">
        <v>95.846800000000002</v>
      </c>
      <c r="W26" s="23">
        <v>96.139399999999995</v>
      </c>
      <c r="X26" s="46">
        <f>+W26-V26</f>
        <v>0.29259999999999309</v>
      </c>
      <c r="Y26" s="45">
        <f>+F26+I26+L26+O26+R26+U26+X26</f>
        <v>2.2105999999999995</v>
      </c>
      <c r="Z26" s="46">
        <f>+(Y26/C26)*100</f>
        <v>39.290190982488554</v>
      </c>
      <c r="AA26" s="14"/>
      <c r="AB26" s="14"/>
      <c r="AC26" s="14"/>
    </row>
    <row r="27" spans="1:29" x14ac:dyDescent="0.25">
      <c r="A27" s="56">
        <v>2</v>
      </c>
      <c r="B27" s="22">
        <v>6.0015999999999998</v>
      </c>
      <c r="C27" s="46">
        <f>+B27*(1-('% Humidity for extracrtives'!$F$26/100))</f>
        <v>5.6260594558455832</v>
      </c>
      <c r="D27" s="54">
        <v>98.9876</v>
      </c>
      <c r="E27" s="22">
        <v>99.407300000000006</v>
      </c>
      <c r="F27" s="46">
        <f>+E27-D27</f>
        <v>0.41970000000000596</v>
      </c>
      <c r="G27" s="45">
        <v>106.666</v>
      </c>
      <c r="H27" s="23">
        <v>106.869</v>
      </c>
      <c r="I27" s="46">
        <f>+H27-G27</f>
        <v>0.20300000000000296</v>
      </c>
      <c r="J27" s="45">
        <v>98.986099999999993</v>
      </c>
      <c r="K27" s="22">
        <v>99.241799999999998</v>
      </c>
      <c r="L27" s="46">
        <f>+K27-J27</f>
        <v>0.25570000000000448</v>
      </c>
      <c r="M27" s="45">
        <v>106.6708</v>
      </c>
      <c r="N27" s="23">
        <v>106.9873</v>
      </c>
      <c r="O27" s="46">
        <f>+N27-M27</f>
        <v>0.31650000000000489</v>
      </c>
      <c r="P27" s="45">
        <v>98.9816</v>
      </c>
      <c r="Q27" s="23">
        <v>99.336600000000004</v>
      </c>
      <c r="R27" s="46">
        <f>+Q27-P27</f>
        <v>0.35500000000000398</v>
      </c>
      <c r="S27" s="45">
        <v>106.6735</v>
      </c>
      <c r="T27" s="23">
        <v>107.098</v>
      </c>
      <c r="U27" s="46">
        <f>+T27-S27</f>
        <v>0.42449999999999477</v>
      </c>
      <c r="V27" s="45">
        <v>106.67230000000001</v>
      </c>
      <c r="W27" s="23">
        <v>106.872</v>
      </c>
      <c r="X27" s="46">
        <f>+W27-V27</f>
        <v>0.19969999999999288</v>
      </c>
      <c r="Y27" s="45">
        <f t="shared" ref="Y27:Y28" si="4">+F27+I27+L27+O27+R27+U27+X27</f>
        <v>2.1741000000000099</v>
      </c>
      <c r="Z27" s="46">
        <f t="shared" ref="Z27:Z28" si="5">+(Y27/C27)*100</f>
        <v>38.643388273138115</v>
      </c>
      <c r="AA27" s="14"/>
      <c r="AB27" s="14"/>
      <c r="AC27" s="14"/>
    </row>
    <row r="28" spans="1:29" ht="15.75" thickBot="1" x14ac:dyDescent="0.3">
      <c r="A28" s="57">
        <v>3</v>
      </c>
      <c r="B28" s="51">
        <v>6.0011999999999999</v>
      </c>
      <c r="C28" s="49">
        <f>+B28*(1-('% Humidity for extracrtives'!$F$26/100))</f>
        <v>5.6256844852073637</v>
      </c>
      <c r="D28" s="47">
        <v>96.622399999999999</v>
      </c>
      <c r="E28" s="51">
        <v>97.1036</v>
      </c>
      <c r="F28" s="49">
        <f>+E28-D28</f>
        <v>0.48120000000000118</v>
      </c>
      <c r="G28" s="47">
        <v>99.733199999999997</v>
      </c>
      <c r="H28" s="51">
        <v>99.986500000000007</v>
      </c>
      <c r="I28" s="49">
        <f>+H28-G28</f>
        <v>0.25330000000001007</v>
      </c>
      <c r="J28" s="47">
        <v>96.685500000000005</v>
      </c>
      <c r="K28" s="48">
        <v>96.948099999999997</v>
      </c>
      <c r="L28" s="49">
        <f>+K28-J28</f>
        <v>0.26259999999999195</v>
      </c>
      <c r="M28" s="47">
        <v>99.739599999999996</v>
      </c>
      <c r="N28" s="48">
        <v>100.05329999999999</v>
      </c>
      <c r="O28" s="49">
        <f>+N28-M28</f>
        <v>0.3136999999999972</v>
      </c>
      <c r="P28" s="47">
        <v>96.678899999999999</v>
      </c>
      <c r="Q28" s="51">
        <v>97.005600000000001</v>
      </c>
      <c r="R28" s="49">
        <f>+Q28-P28</f>
        <v>0.32670000000000243</v>
      </c>
      <c r="S28" s="47">
        <v>99.731999999999999</v>
      </c>
      <c r="T28" s="51">
        <v>100.066</v>
      </c>
      <c r="U28" s="49">
        <f>+T28-S28</f>
        <v>0.33400000000000318</v>
      </c>
      <c r="V28" s="47">
        <v>99.736900000000006</v>
      </c>
      <c r="W28" s="48">
        <v>99.898099999999999</v>
      </c>
      <c r="X28" s="53">
        <f>+W28-V28</f>
        <v>0.16119999999999379</v>
      </c>
      <c r="Y28" s="45">
        <f t="shared" si="4"/>
        <v>2.1326999999999998</v>
      </c>
      <c r="Z28" s="46">
        <f t="shared" si="5"/>
        <v>37.910053534070322</v>
      </c>
      <c r="AA28" s="14"/>
    </row>
    <row r="29" spans="1:29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22"/>
      <c r="M29" s="22"/>
      <c r="N29" s="23"/>
      <c r="O29" s="22"/>
      <c r="P29" s="22"/>
      <c r="Q29" s="22"/>
      <c r="R29" s="22"/>
      <c r="S29" s="22"/>
      <c r="T29" s="22"/>
      <c r="U29" s="22"/>
      <c r="V29" s="22"/>
      <c r="W29" s="23"/>
      <c r="X29" s="23"/>
      <c r="Y29" s="37" t="s">
        <v>74</v>
      </c>
      <c r="Z29" s="34">
        <f>AVERAGE(Z26:Z28)</f>
        <v>38.614544263232325</v>
      </c>
      <c r="AB29" s="14"/>
      <c r="AC29" s="14"/>
    </row>
    <row r="30" spans="1:29" ht="15.75" thickBot="1" x14ac:dyDescent="0.3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22"/>
      <c r="M30" s="22"/>
      <c r="N30" s="23"/>
      <c r="O30" s="22"/>
      <c r="P30" s="22"/>
      <c r="Q30" s="22"/>
      <c r="R30" s="22"/>
      <c r="S30" s="22"/>
      <c r="T30" s="22"/>
      <c r="U30" s="22"/>
      <c r="V30" s="22"/>
      <c r="W30" s="23"/>
      <c r="X30" s="23"/>
      <c r="Y30" s="39" t="s">
        <v>75</v>
      </c>
      <c r="Z30" s="35">
        <f>_xlfn.STDEV.S(Z26:Z28)</f>
        <v>0.69052069253005055</v>
      </c>
      <c r="AA30" s="14"/>
      <c r="AB30" s="14"/>
      <c r="AC30" s="14"/>
    </row>
    <row r="31" spans="1:2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4"/>
      <c r="AB31" s="14"/>
      <c r="AC31" s="14"/>
    </row>
    <row r="32" spans="1:2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4"/>
      <c r="AB32" s="14"/>
      <c r="AC32" s="14"/>
    </row>
    <row r="33" spans="1:29" x14ac:dyDescent="0.25">
      <c r="A33" s="119" t="s">
        <v>35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4"/>
      <c r="AB33" s="14"/>
      <c r="AC33" s="14"/>
    </row>
    <row r="34" spans="1:29" ht="18.75" customHeight="1" x14ac:dyDescent="0.25">
      <c r="A34" s="130" t="s">
        <v>6</v>
      </c>
      <c r="B34" s="127" t="s">
        <v>68</v>
      </c>
      <c r="C34" s="128" t="s">
        <v>69</v>
      </c>
      <c r="D34" s="126" t="s">
        <v>17</v>
      </c>
      <c r="E34" s="127"/>
      <c r="F34" s="128"/>
      <c r="G34" s="126" t="s">
        <v>18</v>
      </c>
      <c r="H34" s="127"/>
      <c r="I34" s="128"/>
      <c r="J34" s="126" t="s">
        <v>22</v>
      </c>
      <c r="K34" s="127"/>
      <c r="L34" s="128"/>
      <c r="M34" s="120" t="s">
        <v>73</v>
      </c>
      <c r="N34" s="122" t="s">
        <v>15</v>
      </c>
      <c r="O34" s="27"/>
      <c r="P34" s="132"/>
      <c r="Q34" s="132"/>
      <c r="R34" s="132"/>
      <c r="S34" s="132"/>
      <c r="T34" s="132"/>
      <c r="U34" s="132"/>
      <c r="V34" s="129"/>
      <c r="W34" s="15"/>
      <c r="X34" s="15"/>
      <c r="Y34" s="17"/>
      <c r="Z34" s="17"/>
      <c r="AA34" s="14"/>
      <c r="AB34" s="14"/>
      <c r="AC34" s="14"/>
    </row>
    <row r="35" spans="1:29" x14ac:dyDescent="0.25">
      <c r="A35" s="131"/>
      <c r="B35" s="132"/>
      <c r="C35" s="133"/>
      <c r="D35" s="92" t="s">
        <v>70</v>
      </c>
      <c r="E35" s="93" t="s">
        <v>71</v>
      </c>
      <c r="F35" s="94" t="s">
        <v>72</v>
      </c>
      <c r="G35" s="92" t="s">
        <v>70</v>
      </c>
      <c r="H35" s="93" t="s">
        <v>71</v>
      </c>
      <c r="I35" s="94" t="s">
        <v>72</v>
      </c>
      <c r="J35" s="92" t="s">
        <v>70</v>
      </c>
      <c r="K35" s="93" t="s">
        <v>71</v>
      </c>
      <c r="L35" s="94" t="s">
        <v>72</v>
      </c>
      <c r="M35" s="121"/>
      <c r="N35" s="123"/>
      <c r="O35" s="20"/>
      <c r="P35" s="20"/>
      <c r="Q35" s="20"/>
      <c r="R35" s="20"/>
      <c r="S35" s="20"/>
      <c r="T35" s="20"/>
      <c r="U35" s="20"/>
      <c r="V35" s="129"/>
      <c r="W35" s="15"/>
      <c r="X35" s="15"/>
      <c r="Y35" s="17"/>
      <c r="Z35" s="17"/>
      <c r="AA35" s="14"/>
      <c r="AB35" s="14"/>
      <c r="AC35" s="14"/>
    </row>
    <row r="36" spans="1:29" x14ac:dyDescent="0.25">
      <c r="A36" s="80">
        <v>1</v>
      </c>
      <c r="B36" s="29">
        <v>6.0069999999999997</v>
      </c>
      <c r="C36" s="81">
        <f>+B36*(1-('% Humidity for extracrtives'!$F$33/100))</f>
        <v>5.455984263684174</v>
      </c>
      <c r="D36" s="45">
        <v>94.001000000000005</v>
      </c>
      <c r="E36" s="23">
        <v>94.421300000000002</v>
      </c>
      <c r="F36" s="46">
        <f>+E36-D36</f>
        <v>0.42029999999999745</v>
      </c>
      <c r="G36" s="45">
        <v>107.9648</v>
      </c>
      <c r="H36" s="22">
        <v>108.3532</v>
      </c>
      <c r="I36" s="46">
        <f>+H36-G36</f>
        <v>0.3884000000000043</v>
      </c>
      <c r="J36" s="45">
        <v>94.004900000000006</v>
      </c>
      <c r="K36" s="23">
        <v>94.515000000000001</v>
      </c>
      <c r="L36" s="46">
        <f>+K36-J36</f>
        <v>0.51009999999999422</v>
      </c>
      <c r="M36" s="54">
        <f>+F36+I36+L36</f>
        <v>1.318799999999996</v>
      </c>
      <c r="N36" s="85">
        <f>+(M36/C36)*100</f>
        <v>24.171623968531598</v>
      </c>
      <c r="O36" s="22"/>
      <c r="P36" s="22"/>
      <c r="Q36" s="22"/>
      <c r="R36" s="22"/>
      <c r="S36" s="23"/>
      <c r="T36" s="23"/>
      <c r="U36" s="23"/>
      <c r="V36" s="15"/>
      <c r="W36" s="15"/>
      <c r="X36" s="15"/>
      <c r="Y36" s="17"/>
      <c r="Z36" s="17"/>
      <c r="AA36" s="14"/>
      <c r="AB36" s="14"/>
      <c r="AC36" s="14"/>
    </row>
    <row r="37" spans="1:29" x14ac:dyDescent="0.25">
      <c r="A37" s="80">
        <v>2</v>
      </c>
      <c r="B37" s="29">
        <v>6.0101000000000004</v>
      </c>
      <c r="C37" s="81">
        <f>+B37*(1-('% Humidity for extracrtives'!$F$33/100))</f>
        <v>5.4587999039734072</v>
      </c>
      <c r="D37" s="54">
        <v>96.6845</v>
      </c>
      <c r="E37" s="22">
        <v>97.101699999999994</v>
      </c>
      <c r="F37" s="46">
        <f>+E37-D37</f>
        <v>0.41719999999999402</v>
      </c>
      <c r="G37" s="45">
        <v>104.0812</v>
      </c>
      <c r="H37" s="23">
        <v>104.4688</v>
      </c>
      <c r="I37" s="46">
        <f>+H37-G37</f>
        <v>0.38760000000000616</v>
      </c>
      <c r="J37" s="45">
        <v>96.686700000000002</v>
      </c>
      <c r="K37" s="22">
        <v>97.181899999999999</v>
      </c>
      <c r="L37" s="46">
        <f>+K37-J37</f>
        <v>0.49519999999999698</v>
      </c>
      <c r="M37" s="54">
        <f t="shared" ref="M37:M38" si="6">+F37+I37+L37</f>
        <v>1.2999999999999972</v>
      </c>
      <c r="N37" s="85">
        <f t="shared" ref="N37:N38" si="7">+(M37/C37)*100</f>
        <v>23.814758241161027</v>
      </c>
      <c r="O37" s="22"/>
      <c r="P37" s="102"/>
      <c r="Q37" s="102"/>
      <c r="R37" s="22"/>
      <c r="S37" s="22"/>
      <c r="T37" s="22"/>
      <c r="U37" s="23"/>
      <c r="V37" s="15"/>
      <c r="W37" s="15"/>
      <c r="X37" s="15"/>
      <c r="Y37" s="17"/>
      <c r="Z37" s="17"/>
      <c r="AA37" s="14"/>
      <c r="AB37" s="14"/>
      <c r="AC37" s="14"/>
    </row>
    <row r="38" spans="1:29" ht="15.75" thickBot="1" x14ac:dyDescent="0.3">
      <c r="A38" s="82">
        <v>3</v>
      </c>
      <c r="B38" s="83">
        <v>6.0119999999999996</v>
      </c>
      <c r="C38" s="84">
        <f>+B38*(1-('% Humidity for extracrtives'!$F$33/100))</f>
        <v>5.4605256189893883</v>
      </c>
      <c r="D38" s="47">
        <v>171.1292</v>
      </c>
      <c r="E38" s="51">
        <v>171.54750000000001</v>
      </c>
      <c r="F38" s="49">
        <f>+E38-D38</f>
        <v>0.41830000000001633</v>
      </c>
      <c r="G38" s="47">
        <v>182.58080000000001</v>
      </c>
      <c r="H38" s="51">
        <v>182.9709</v>
      </c>
      <c r="I38" s="49">
        <f>+H38-G38</f>
        <v>0.39009999999998968</v>
      </c>
      <c r="J38" s="47">
        <v>171.1292</v>
      </c>
      <c r="K38" s="48">
        <v>171.62180000000001</v>
      </c>
      <c r="L38" s="49">
        <f>+K38-J38</f>
        <v>0.49260000000001014</v>
      </c>
      <c r="M38" s="54">
        <f t="shared" si="6"/>
        <v>1.3010000000000161</v>
      </c>
      <c r="N38" s="85">
        <f t="shared" si="7"/>
        <v>23.825545208975687</v>
      </c>
      <c r="O38" s="22"/>
      <c r="P38" s="22"/>
      <c r="Q38" s="22"/>
      <c r="R38" s="22"/>
      <c r="S38" s="22"/>
      <c r="T38" s="22"/>
      <c r="U38" s="23"/>
      <c r="V38" s="15"/>
      <c r="W38" s="15"/>
      <c r="X38" s="15"/>
      <c r="Y38" s="17"/>
      <c r="Z38" s="17"/>
      <c r="AA38" s="14"/>
      <c r="AB38" s="14"/>
      <c r="AC38" s="14"/>
    </row>
    <row r="39" spans="1:29" x14ac:dyDescent="0.25">
      <c r="A39" s="28"/>
      <c r="B39" s="29"/>
      <c r="C39" s="29"/>
      <c r="D39" s="22"/>
      <c r="E39" s="22"/>
      <c r="F39" s="22"/>
      <c r="G39" s="22"/>
      <c r="H39" s="22"/>
      <c r="I39" s="22"/>
      <c r="J39" s="22"/>
      <c r="K39" s="23"/>
      <c r="L39" s="22"/>
      <c r="M39" s="37" t="s">
        <v>74</v>
      </c>
      <c r="N39" s="34">
        <f>AVERAGE(N36:N38)</f>
        <v>23.937309139556103</v>
      </c>
      <c r="O39" s="102"/>
      <c r="P39" s="22"/>
      <c r="Q39" s="22"/>
      <c r="R39" s="22"/>
      <c r="S39" s="22"/>
      <c r="T39" s="22"/>
      <c r="U39" s="23"/>
      <c r="V39" s="15"/>
      <c r="W39" s="15"/>
      <c r="X39" s="15"/>
      <c r="Y39" s="17"/>
      <c r="Z39" s="17"/>
      <c r="AA39" s="14"/>
      <c r="AB39" s="14"/>
      <c r="AC39" s="14"/>
    </row>
    <row r="40" spans="1:29" ht="15.75" thickBot="1" x14ac:dyDescent="0.3">
      <c r="A40" s="28"/>
      <c r="B40" s="29"/>
      <c r="C40" s="29"/>
      <c r="D40" s="22"/>
      <c r="E40" s="22"/>
      <c r="F40" s="22"/>
      <c r="G40" s="22"/>
      <c r="H40" s="22"/>
      <c r="I40" s="22"/>
      <c r="J40" s="22"/>
      <c r="K40" s="23"/>
      <c r="L40" s="22"/>
      <c r="M40" s="39" t="s">
        <v>75</v>
      </c>
      <c r="N40" s="35">
        <f>_xlfn.STDEV.S(N36:N38)</f>
        <v>0.20299425848289421</v>
      </c>
      <c r="O40" s="22"/>
      <c r="P40" s="22"/>
      <c r="Q40" s="22"/>
      <c r="R40" s="22"/>
      <c r="S40" s="22"/>
      <c r="T40" s="22"/>
      <c r="U40" s="23"/>
      <c r="V40" s="15"/>
      <c r="W40" s="15"/>
      <c r="X40" s="15"/>
      <c r="Y40" s="17"/>
      <c r="Z40" s="17"/>
      <c r="AA40" s="14"/>
      <c r="AB40" s="14"/>
      <c r="AC40" s="14"/>
    </row>
    <row r="41" spans="1:29" x14ac:dyDescent="0.25">
      <c r="A41" s="28"/>
      <c r="B41" s="29"/>
      <c r="C41" s="29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15"/>
      <c r="W41" s="15"/>
      <c r="X41" s="15"/>
      <c r="Y41" s="17"/>
      <c r="Z41" s="17"/>
      <c r="AA41" s="14"/>
      <c r="AB41" s="14"/>
      <c r="AC41" s="14"/>
    </row>
    <row r="42" spans="1:29" x14ac:dyDescent="0.25">
      <c r="A42" s="134" t="s">
        <v>36</v>
      </c>
      <c r="B42" s="134"/>
      <c r="C42" s="134"/>
      <c r="D42" s="134"/>
      <c r="E42" s="134"/>
      <c r="F42" s="134"/>
      <c r="G42" s="134"/>
      <c r="H42" s="134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4"/>
      <c r="AB42" s="14"/>
      <c r="AC42" s="14"/>
    </row>
    <row r="43" spans="1:29" ht="15" customHeight="1" x14ac:dyDescent="0.25">
      <c r="A43" s="130" t="s">
        <v>6</v>
      </c>
      <c r="B43" s="127" t="s">
        <v>68</v>
      </c>
      <c r="C43" s="128" t="s">
        <v>69</v>
      </c>
      <c r="D43" s="126" t="s">
        <v>17</v>
      </c>
      <c r="E43" s="127"/>
      <c r="F43" s="128"/>
      <c r="G43" s="120" t="s">
        <v>73</v>
      </c>
      <c r="H43" s="122" t="s">
        <v>15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4"/>
      <c r="AB43" s="14"/>
      <c r="AC43" s="14"/>
    </row>
    <row r="44" spans="1:29" x14ac:dyDescent="0.25">
      <c r="A44" s="131"/>
      <c r="B44" s="132"/>
      <c r="C44" s="133"/>
      <c r="D44" s="92" t="s">
        <v>70</v>
      </c>
      <c r="E44" s="93" t="s">
        <v>71</v>
      </c>
      <c r="F44" s="94" t="s">
        <v>72</v>
      </c>
      <c r="G44" s="121"/>
      <c r="H44" s="123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4"/>
      <c r="AB44" s="14"/>
      <c r="AC44" s="14"/>
    </row>
    <row r="45" spans="1:29" x14ac:dyDescent="0.25">
      <c r="A45" s="80">
        <v>1</v>
      </c>
      <c r="B45" s="29">
        <v>6.0007999999999999</v>
      </c>
      <c r="C45" s="81">
        <f>+B45*(1-('% Humidity for extracrtives'!$F$40/100))</f>
        <v>4.8854326148181171</v>
      </c>
      <c r="D45" s="45">
        <v>95.147099999999995</v>
      </c>
      <c r="E45" s="23">
        <v>95.603899999999996</v>
      </c>
      <c r="F45" s="46">
        <f>+E45-D45</f>
        <v>0.45680000000000121</v>
      </c>
      <c r="G45" s="101">
        <f>+F45</f>
        <v>0.45680000000000121</v>
      </c>
      <c r="H45" s="86">
        <f>+(G45/C45)*100</f>
        <v>9.3502466621783036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4"/>
      <c r="AB45" s="14"/>
      <c r="AC45" s="14"/>
    </row>
    <row r="46" spans="1:29" x14ac:dyDescent="0.25">
      <c r="A46" s="80">
        <v>2</v>
      </c>
      <c r="B46" s="29">
        <v>6.0109000000000004</v>
      </c>
      <c r="C46" s="81">
        <f>+B46*(1-('% Humidity for extracrtives'!$F$40/100))</f>
        <v>4.8936553300243668</v>
      </c>
      <c r="D46" s="54">
        <v>104.0767</v>
      </c>
      <c r="E46" s="22">
        <v>104.5274</v>
      </c>
      <c r="F46" s="46">
        <f>+E46-D46</f>
        <v>0.45069999999999766</v>
      </c>
      <c r="G46" s="101">
        <f t="shared" ref="G46:G47" si="8">+F46</f>
        <v>0.45069999999999766</v>
      </c>
      <c r="H46" s="86">
        <f t="shared" ref="H46:H47" si="9">+(G46/C46)*100</f>
        <v>9.2098844239149447</v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4"/>
      <c r="AB46" s="14"/>
      <c r="AC46" s="14"/>
    </row>
    <row r="47" spans="1:29" ht="15.75" thickBot="1" x14ac:dyDescent="0.3">
      <c r="A47" s="82">
        <v>3</v>
      </c>
      <c r="B47" s="83">
        <v>6.0129999999999999</v>
      </c>
      <c r="C47" s="84">
        <f>+B47*(1-('% Humidity for extracrtives'!$F$40/100))</f>
        <v>4.895365003483092</v>
      </c>
      <c r="D47" s="47">
        <v>182.68180000000001</v>
      </c>
      <c r="E47" s="51">
        <v>183.19649999999999</v>
      </c>
      <c r="F47" s="49">
        <f>+E47-D47</f>
        <v>0.5146999999999764</v>
      </c>
      <c r="G47" s="101">
        <f t="shared" si="8"/>
        <v>0.5146999999999764</v>
      </c>
      <c r="H47" s="86">
        <f t="shared" si="9"/>
        <v>10.514027036467418</v>
      </c>
      <c r="I47" s="102"/>
      <c r="J47" s="102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4"/>
      <c r="AB47" s="14"/>
      <c r="AC47" s="14"/>
    </row>
    <row r="48" spans="1:29" x14ac:dyDescent="0.25">
      <c r="A48" s="14"/>
      <c r="B48" s="14"/>
      <c r="C48" s="14"/>
      <c r="D48" s="14"/>
      <c r="E48" s="14"/>
      <c r="F48" s="102"/>
      <c r="G48" s="37" t="s">
        <v>74</v>
      </c>
      <c r="H48" s="34">
        <f>AVERAGE(H45:H47)</f>
        <v>9.6913860408535566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5.75" thickBot="1" x14ac:dyDescent="0.3">
      <c r="A49" s="14"/>
      <c r="B49" s="14"/>
      <c r="C49" s="14"/>
      <c r="D49" s="14"/>
      <c r="E49" s="14"/>
      <c r="F49" s="102"/>
      <c r="G49" s="39" t="s">
        <v>75</v>
      </c>
      <c r="H49" s="35">
        <f>_xlfn.STDEV.S(H45:H47)</f>
        <v>0.71587641756870324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</sheetData>
  <mergeCells count="54">
    <mergeCell ref="A1:K1"/>
    <mergeCell ref="Y24:Y25"/>
    <mergeCell ref="Z24:Z25"/>
    <mergeCell ref="A4:A5"/>
    <mergeCell ref="B4:B5"/>
    <mergeCell ref="C4:C5"/>
    <mergeCell ref="D4:F4"/>
    <mergeCell ref="G4:I4"/>
    <mergeCell ref="A14:A15"/>
    <mergeCell ref="B14:B15"/>
    <mergeCell ref="C14:C15"/>
    <mergeCell ref="D14:F14"/>
    <mergeCell ref="A24:A25"/>
    <mergeCell ref="B24:B25"/>
    <mergeCell ref="C24:C25"/>
    <mergeCell ref="S24:U24"/>
    <mergeCell ref="D24:F24"/>
    <mergeCell ref="A34:A35"/>
    <mergeCell ref="B34:B35"/>
    <mergeCell ref="C34:C35"/>
    <mergeCell ref="D34:F34"/>
    <mergeCell ref="V24:X24"/>
    <mergeCell ref="V34:V35"/>
    <mergeCell ref="A43:A44"/>
    <mergeCell ref="B43:B44"/>
    <mergeCell ref="C43:C44"/>
    <mergeCell ref="D43:F43"/>
    <mergeCell ref="H43:H44"/>
    <mergeCell ref="G43:G44"/>
    <mergeCell ref="A42:H42"/>
    <mergeCell ref="G34:I34"/>
    <mergeCell ref="J34:L34"/>
    <mergeCell ref="P34:R34"/>
    <mergeCell ref="S34:U34"/>
    <mergeCell ref="G24:I24"/>
    <mergeCell ref="J24:L24"/>
    <mergeCell ref="M24:O24"/>
    <mergeCell ref="A33:N33"/>
    <mergeCell ref="M34:M35"/>
    <mergeCell ref="N34:N35"/>
    <mergeCell ref="A3:K3"/>
    <mergeCell ref="O4:Q5"/>
    <mergeCell ref="H14:H15"/>
    <mergeCell ref="K4:K5"/>
    <mergeCell ref="G14:G15"/>
    <mergeCell ref="A13:H13"/>
    <mergeCell ref="P24:R24"/>
    <mergeCell ref="J4:J5"/>
    <mergeCell ref="S2:U2"/>
    <mergeCell ref="S4:U5"/>
    <mergeCell ref="W2:X2"/>
    <mergeCell ref="W4:X5"/>
    <mergeCell ref="A23:Z23"/>
    <mergeCell ref="O2:Q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E7048-4095-411B-B4DB-E6E66F120359}">
  <dimension ref="A1:X53"/>
  <sheetViews>
    <sheetView zoomScaleNormal="100" workbookViewId="0">
      <selection sqref="A1:K1"/>
    </sheetView>
  </sheetViews>
  <sheetFormatPr baseColWidth="10" defaultRowHeight="15" x14ac:dyDescent="0.25"/>
  <cols>
    <col min="4" max="4" width="15.5703125" customWidth="1"/>
    <col min="5" max="5" width="15.140625" customWidth="1"/>
    <col min="6" max="6" width="20.42578125" customWidth="1"/>
    <col min="7" max="7" width="16" customWidth="1"/>
    <col min="8" max="8" width="14.85546875" customWidth="1"/>
    <col min="9" max="9" width="20" customWidth="1"/>
    <col min="10" max="10" width="14.28515625" customWidth="1"/>
    <col min="11" max="11" width="13.5703125" customWidth="1"/>
  </cols>
  <sheetData>
    <row r="1" spans="1:24" ht="18.75" x14ac:dyDescent="0.25">
      <c r="A1" s="113" t="s">
        <v>138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24" ht="18.75" x14ac:dyDescent="0.3">
      <c r="N2" s="125" t="s">
        <v>19</v>
      </c>
      <c r="O2" s="125"/>
      <c r="P2" s="125"/>
      <c r="Q2" s="14"/>
      <c r="R2" s="114" t="s">
        <v>21</v>
      </c>
      <c r="S2" s="114"/>
      <c r="T2" s="114"/>
      <c r="U2" s="14"/>
      <c r="V2" s="116" t="s">
        <v>15</v>
      </c>
      <c r="W2" s="116"/>
    </row>
    <row r="3" spans="1:24" ht="18.75" customHeight="1" x14ac:dyDescent="0.25">
      <c r="A3" s="124" t="s">
        <v>30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3"/>
      <c r="Q3" s="14"/>
      <c r="R3" s="95"/>
      <c r="S3" s="14"/>
      <c r="T3" s="14"/>
      <c r="U3" s="14"/>
      <c r="V3" s="14"/>
      <c r="W3" s="14"/>
    </row>
    <row r="4" spans="1:24" ht="15.75" customHeight="1" x14ac:dyDescent="0.25">
      <c r="A4" s="130" t="s">
        <v>6</v>
      </c>
      <c r="B4" s="127" t="s">
        <v>68</v>
      </c>
      <c r="C4" s="128" t="s">
        <v>69</v>
      </c>
      <c r="D4" s="126" t="s">
        <v>27</v>
      </c>
      <c r="E4" s="127"/>
      <c r="F4" s="128"/>
      <c r="G4" s="126" t="s">
        <v>28</v>
      </c>
      <c r="H4" s="127"/>
      <c r="I4" s="128"/>
      <c r="J4" s="120" t="s">
        <v>73</v>
      </c>
      <c r="K4" s="122" t="s">
        <v>15</v>
      </c>
      <c r="L4" s="13"/>
      <c r="N4" s="115" t="s">
        <v>50</v>
      </c>
      <c r="O4" s="115"/>
      <c r="P4" s="115"/>
      <c r="Q4" s="14"/>
      <c r="R4" s="115" t="s">
        <v>55</v>
      </c>
      <c r="S4" s="115"/>
      <c r="T4" s="115"/>
      <c r="U4" s="14"/>
      <c r="V4" s="117" t="s">
        <v>58</v>
      </c>
      <c r="W4" s="117"/>
      <c r="X4" s="117"/>
    </row>
    <row r="5" spans="1:24" ht="15.75" customHeight="1" x14ac:dyDescent="0.25">
      <c r="A5" s="131"/>
      <c r="B5" s="132"/>
      <c r="C5" s="133"/>
      <c r="D5" s="92" t="s">
        <v>70</v>
      </c>
      <c r="E5" s="93" t="s">
        <v>71</v>
      </c>
      <c r="F5" s="94" t="s">
        <v>72</v>
      </c>
      <c r="G5" s="92" t="s">
        <v>70</v>
      </c>
      <c r="H5" s="93" t="s">
        <v>71</v>
      </c>
      <c r="I5" s="94" t="s">
        <v>72</v>
      </c>
      <c r="J5" s="121"/>
      <c r="K5" s="123"/>
      <c r="L5" s="13"/>
      <c r="N5" s="115"/>
      <c r="O5" s="115"/>
      <c r="P5" s="115"/>
      <c r="Q5" s="14"/>
      <c r="R5" s="115"/>
      <c r="S5" s="115"/>
      <c r="T5" s="115"/>
      <c r="U5" s="14"/>
      <c r="V5" s="117"/>
      <c r="W5" s="117"/>
      <c r="X5" s="117"/>
    </row>
    <row r="6" spans="1:24" ht="15.75" x14ac:dyDescent="0.25">
      <c r="A6" s="56">
        <v>1</v>
      </c>
      <c r="B6" s="22">
        <v>6.0041000000000002</v>
      </c>
      <c r="C6" s="46">
        <f>+B6*(1-('% Humidity for extracrtives'!$F$11/100))</f>
        <v>5.6649823052783042</v>
      </c>
      <c r="D6" s="45">
        <v>110.7482</v>
      </c>
      <c r="E6" s="23">
        <v>110.9833</v>
      </c>
      <c r="F6" s="46">
        <f>+E6-D6</f>
        <v>0.23510000000000275</v>
      </c>
      <c r="G6" s="54">
        <v>95.846599999999995</v>
      </c>
      <c r="H6" s="22">
        <v>95.9255</v>
      </c>
      <c r="I6" s="46">
        <f>+H6-G6</f>
        <v>7.8900000000004411E-2</v>
      </c>
      <c r="J6" s="36">
        <f>+F6+I6</f>
        <v>0.31400000000000716</v>
      </c>
      <c r="K6" s="33">
        <f>+(J6/C6)*100</f>
        <v>5.5428240209583715</v>
      </c>
      <c r="L6" s="13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4" ht="15.75" x14ac:dyDescent="0.25">
      <c r="A7" s="56">
        <v>2</v>
      </c>
      <c r="B7" s="22">
        <v>6.0571000000000002</v>
      </c>
      <c r="C7" s="46">
        <f>+B7*(1-('% Humidity for extracrtives'!$F$11/100))</f>
        <v>5.7149888111958855</v>
      </c>
      <c r="D7" s="45">
        <v>99.003</v>
      </c>
      <c r="E7" s="22">
        <v>99.187399999999997</v>
      </c>
      <c r="F7" s="46">
        <f>+E7-D7</f>
        <v>0.18439999999999657</v>
      </c>
      <c r="G7" s="45">
        <v>106.6756</v>
      </c>
      <c r="H7" s="23">
        <v>106.7518</v>
      </c>
      <c r="I7" s="46">
        <f>+H7-G7</f>
        <v>7.6200000000000045E-2</v>
      </c>
      <c r="J7" s="36">
        <f t="shared" ref="J7:J8" si="0">+F7+I7</f>
        <v>0.26059999999999661</v>
      </c>
      <c r="K7" s="33">
        <f t="shared" ref="K7:K8" si="1">+(J7/C7)*100</f>
        <v>4.5599389361790363</v>
      </c>
      <c r="L7" s="13"/>
      <c r="N7" s="14" t="s">
        <v>51</v>
      </c>
      <c r="O7" s="14"/>
      <c r="P7" s="14"/>
      <c r="Q7" s="14"/>
      <c r="R7" s="14" t="s">
        <v>51</v>
      </c>
      <c r="S7" s="14"/>
      <c r="T7" s="14"/>
      <c r="U7" s="14"/>
      <c r="V7" s="14" t="s">
        <v>51</v>
      </c>
      <c r="W7" s="14"/>
    </row>
    <row r="8" spans="1:24" ht="16.5" thickBot="1" x14ac:dyDescent="0.3">
      <c r="A8" s="57">
        <v>3</v>
      </c>
      <c r="B8" s="51">
        <v>6.0212000000000003</v>
      </c>
      <c r="C8" s="49">
        <f>+B8*(1-('% Humidity for extracrtives'!$F$11/100))</f>
        <v>5.681116479829071</v>
      </c>
      <c r="D8" s="47">
        <v>97.734800000000007</v>
      </c>
      <c r="E8" s="51">
        <v>97.9619</v>
      </c>
      <c r="F8" s="49">
        <f>+E8-D8</f>
        <v>0.22709999999999297</v>
      </c>
      <c r="G8" s="47">
        <v>99.740399999999994</v>
      </c>
      <c r="H8" s="51">
        <v>99.808300000000003</v>
      </c>
      <c r="I8" s="49">
        <f>+H8-G8</f>
        <v>6.7900000000008731E-2</v>
      </c>
      <c r="J8" s="36">
        <f t="shared" si="0"/>
        <v>0.29500000000000171</v>
      </c>
      <c r="K8" s="33">
        <f t="shared" si="1"/>
        <v>5.1926412888629496</v>
      </c>
      <c r="L8" s="13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 ht="15.75" x14ac:dyDescent="0.25">
      <c r="A9" s="21"/>
      <c r="B9" s="22"/>
      <c r="C9" s="22"/>
      <c r="D9" s="22"/>
      <c r="E9" s="22"/>
      <c r="F9" s="22"/>
      <c r="G9" s="22"/>
      <c r="H9" s="22"/>
      <c r="I9" s="22"/>
      <c r="J9" s="37" t="s">
        <v>74</v>
      </c>
      <c r="K9" s="38">
        <f>AVERAGE(K6:K8)</f>
        <v>5.0984680820001191</v>
      </c>
      <c r="L9" s="13"/>
      <c r="N9" s="14" t="s">
        <v>52</v>
      </c>
      <c r="O9" s="14"/>
      <c r="P9" s="14"/>
      <c r="Q9" s="14"/>
      <c r="R9" s="14" t="s">
        <v>56</v>
      </c>
      <c r="S9" s="14"/>
      <c r="T9" s="14"/>
      <c r="U9" s="14"/>
      <c r="V9" s="14" t="s">
        <v>56</v>
      </c>
      <c r="W9" s="14"/>
    </row>
    <row r="10" spans="1:24" ht="16.5" thickBot="1" x14ac:dyDescent="0.3">
      <c r="A10" s="21"/>
      <c r="B10" s="22"/>
      <c r="C10" s="22"/>
      <c r="D10" s="22"/>
      <c r="E10" s="22"/>
      <c r="F10" s="22"/>
      <c r="G10" s="22"/>
      <c r="H10" s="22"/>
      <c r="I10" s="22"/>
      <c r="J10" s="39" t="s">
        <v>75</v>
      </c>
      <c r="K10" s="40">
        <f>_xlfn.STDEV.S(K6:K8)</f>
        <v>0.49816384567584016</v>
      </c>
      <c r="L10" s="13"/>
      <c r="N10" s="14" t="s">
        <v>53</v>
      </c>
      <c r="O10" s="14"/>
      <c r="P10" s="14"/>
      <c r="Q10" s="14"/>
      <c r="R10" s="14" t="s">
        <v>57</v>
      </c>
      <c r="S10" s="14"/>
      <c r="T10" s="14"/>
      <c r="U10" s="14"/>
      <c r="V10" s="14" t="s">
        <v>52</v>
      </c>
      <c r="W10" s="14"/>
    </row>
    <row r="11" spans="1:24" ht="15.75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15"/>
      <c r="K11" s="15"/>
      <c r="L11" s="13"/>
      <c r="N11" s="14" t="s">
        <v>54</v>
      </c>
      <c r="O11" s="14"/>
      <c r="P11" s="14"/>
      <c r="Q11" s="14"/>
      <c r="R11" s="14"/>
      <c r="S11" s="14"/>
      <c r="T11" s="14"/>
      <c r="U11" s="14"/>
      <c r="V11" s="14"/>
      <c r="W11" s="14"/>
    </row>
    <row r="12" spans="1:24" ht="15.7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3"/>
    </row>
    <row r="13" spans="1:24" ht="15.75" x14ac:dyDescent="0.25">
      <c r="A13" s="124" t="s">
        <v>31</v>
      </c>
      <c r="B13" s="124"/>
      <c r="C13" s="124"/>
      <c r="D13" s="124"/>
      <c r="E13" s="124"/>
      <c r="F13" s="124"/>
      <c r="G13" s="124"/>
      <c r="H13" s="124"/>
      <c r="I13" s="15"/>
      <c r="J13" s="15"/>
      <c r="K13" s="15"/>
      <c r="L13" s="13"/>
    </row>
    <row r="14" spans="1:24" ht="15.75" customHeight="1" x14ac:dyDescent="0.25">
      <c r="A14" s="130" t="s">
        <v>6</v>
      </c>
      <c r="B14" s="127" t="s">
        <v>68</v>
      </c>
      <c r="C14" s="128" t="s">
        <v>69</v>
      </c>
      <c r="D14" s="138" t="s">
        <v>29</v>
      </c>
      <c r="E14" s="139"/>
      <c r="F14" s="140"/>
      <c r="G14" s="120" t="s">
        <v>73</v>
      </c>
      <c r="H14" s="122" t="s">
        <v>15</v>
      </c>
      <c r="I14" s="15"/>
      <c r="J14" s="15"/>
      <c r="K14" s="15"/>
      <c r="L14" s="13"/>
    </row>
    <row r="15" spans="1:24" ht="15.75" x14ac:dyDescent="0.25">
      <c r="A15" s="131"/>
      <c r="B15" s="132"/>
      <c r="C15" s="133"/>
      <c r="D15" s="92" t="s">
        <v>70</v>
      </c>
      <c r="E15" s="93" t="s">
        <v>71</v>
      </c>
      <c r="F15" s="94" t="s">
        <v>72</v>
      </c>
      <c r="G15" s="121"/>
      <c r="H15" s="123"/>
      <c r="I15" s="15"/>
      <c r="J15" s="15"/>
      <c r="K15" s="15"/>
      <c r="L15" s="13"/>
    </row>
    <row r="16" spans="1:24" ht="15.75" x14ac:dyDescent="0.25">
      <c r="A16" s="56">
        <v>1</v>
      </c>
      <c r="B16" s="22">
        <v>6.0068000000000001</v>
      </c>
      <c r="C16" s="46">
        <f>+B16*(1-('% Humidity for extracrtives'!$F$19/100))</f>
        <v>5.6968989689682505</v>
      </c>
      <c r="D16" s="58">
        <v>110.72620000000001</v>
      </c>
      <c r="E16" s="31">
        <v>110.85129999999999</v>
      </c>
      <c r="F16" s="61">
        <f>+E16-D16</f>
        <v>0.12509999999998911</v>
      </c>
      <c r="G16" s="101">
        <f>+F16</f>
        <v>0.12509999999998911</v>
      </c>
      <c r="H16" s="61">
        <f>+(F16/C16)*100</f>
        <v>2.1959315178560317</v>
      </c>
      <c r="I16" s="15"/>
      <c r="J16" s="15"/>
      <c r="K16" s="15"/>
      <c r="L16" s="13"/>
    </row>
    <row r="17" spans="1:12" ht="15.75" x14ac:dyDescent="0.25">
      <c r="A17" s="56">
        <v>2</v>
      </c>
      <c r="B17" s="22">
        <v>6.0071000000000003</v>
      </c>
      <c r="C17" s="46">
        <f>+B17*(1-('% Humidity for extracrtives'!$F$19/100))</f>
        <v>5.6971834914578769</v>
      </c>
      <c r="D17" s="58">
        <v>95.853800000000007</v>
      </c>
      <c r="E17" s="30">
        <v>95.941400000000002</v>
      </c>
      <c r="F17" s="61">
        <f>+E17-D17</f>
        <v>8.7599999999994793E-2</v>
      </c>
      <c r="G17" s="101">
        <f>+F17</f>
        <v>8.7599999999994793E-2</v>
      </c>
      <c r="H17" s="61">
        <f>+(F17/C17)*100</f>
        <v>1.5376018717202744</v>
      </c>
      <c r="I17" s="15"/>
      <c r="J17" s="15"/>
      <c r="K17" s="244"/>
      <c r="L17" s="13"/>
    </row>
    <row r="18" spans="1:12" ht="16.5" thickBot="1" x14ac:dyDescent="0.3">
      <c r="A18" s="57">
        <v>3</v>
      </c>
      <c r="B18" s="51">
        <v>6.0308000000000002</v>
      </c>
      <c r="C18" s="49">
        <f>+B18*(1-('% Humidity for extracrtives'!$F$19/100))</f>
        <v>5.7196607681383975</v>
      </c>
      <c r="D18" s="59">
        <v>99.736699999999999</v>
      </c>
      <c r="E18" s="87">
        <v>99.872699999999995</v>
      </c>
      <c r="F18" s="88">
        <f>+E18-D18</f>
        <v>0.13599999999999568</v>
      </c>
      <c r="G18" s="101">
        <f>+F18</f>
        <v>0.13599999999999568</v>
      </c>
      <c r="H18" s="61">
        <f>+(F18/C18)*100</f>
        <v>2.3777633938989737</v>
      </c>
      <c r="I18" s="15"/>
      <c r="J18" s="15"/>
      <c r="K18" s="244"/>
      <c r="L18" s="13"/>
    </row>
    <row r="19" spans="1:12" ht="15.75" x14ac:dyDescent="0.25">
      <c r="A19" s="21"/>
      <c r="B19" s="22"/>
      <c r="C19" s="22"/>
      <c r="D19" s="30"/>
      <c r="E19" s="30"/>
      <c r="F19" s="102"/>
      <c r="G19" s="37" t="s">
        <v>74</v>
      </c>
      <c r="H19" s="38">
        <f>AVERAGE(H16:H18)</f>
        <v>2.0370989278250931</v>
      </c>
      <c r="I19" s="15"/>
      <c r="J19" s="15"/>
      <c r="K19" s="244"/>
      <c r="L19" s="13"/>
    </row>
    <row r="20" spans="1:12" ht="16.5" thickBot="1" x14ac:dyDescent="0.3">
      <c r="A20" s="21"/>
      <c r="B20" s="22"/>
      <c r="C20" s="22"/>
      <c r="D20" s="30"/>
      <c r="E20" s="30"/>
      <c r="F20" s="102"/>
      <c r="G20" s="39" t="s">
        <v>75</v>
      </c>
      <c r="H20" s="40">
        <f>_xlfn.STDEV.S(H16:H18)</f>
        <v>0.44202792850606193</v>
      </c>
      <c r="I20" s="15"/>
      <c r="J20" s="15"/>
      <c r="K20" s="244"/>
      <c r="L20" s="13"/>
    </row>
    <row r="21" spans="1:12" ht="15.75" x14ac:dyDescent="0.25">
      <c r="A21" s="21"/>
      <c r="B21" s="22"/>
      <c r="C21" s="22"/>
      <c r="D21" s="30"/>
      <c r="E21" s="30"/>
      <c r="F21" s="30"/>
      <c r="G21" s="30"/>
      <c r="H21" s="15"/>
      <c r="I21" s="15"/>
      <c r="J21" s="15"/>
      <c r="K21" s="244"/>
      <c r="L21" s="13"/>
    </row>
    <row r="22" spans="1:12" ht="15.75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244"/>
      <c r="L22" s="13"/>
    </row>
    <row r="23" spans="1:12" ht="15.75" x14ac:dyDescent="0.25">
      <c r="A23" s="124" t="s">
        <v>32</v>
      </c>
      <c r="B23" s="124"/>
      <c r="C23" s="124"/>
      <c r="D23" s="124"/>
      <c r="E23" s="124"/>
      <c r="F23" s="124"/>
      <c r="G23" s="124"/>
      <c r="H23" s="124"/>
      <c r="I23" s="15"/>
      <c r="J23" s="15"/>
      <c r="K23" s="244"/>
      <c r="L23" s="13"/>
    </row>
    <row r="24" spans="1:12" ht="15.75" customHeight="1" x14ac:dyDescent="0.25">
      <c r="A24" s="130" t="s">
        <v>6</v>
      </c>
      <c r="B24" s="127" t="s">
        <v>68</v>
      </c>
      <c r="C24" s="128" t="s">
        <v>69</v>
      </c>
      <c r="D24" s="126" t="s">
        <v>29</v>
      </c>
      <c r="E24" s="127"/>
      <c r="F24" s="128"/>
      <c r="G24" s="120" t="s">
        <v>73</v>
      </c>
      <c r="H24" s="122" t="s">
        <v>15</v>
      </c>
      <c r="I24" s="27"/>
      <c r="J24" s="15"/>
      <c r="K24" s="244"/>
      <c r="L24" s="13"/>
    </row>
    <row r="25" spans="1:12" ht="15.75" x14ac:dyDescent="0.25">
      <c r="A25" s="131"/>
      <c r="B25" s="132"/>
      <c r="C25" s="133"/>
      <c r="D25" s="92" t="s">
        <v>70</v>
      </c>
      <c r="E25" s="93" t="s">
        <v>71</v>
      </c>
      <c r="F25" s="94" t="s">
        <v>72</v>
      </c>
      <c r="G25" s="121"/>
      <c r="H25" s="123"/>
      <c r="I25" s="20"/>
      <c r="J25" s="15"/>
      <c r="K25" s="244"/>
      <c r="L25" s="13"/>
    </row>
    <row r="26" spans="1:12" ht="15.75" x14ac:dyDescent="0.25">
      <c r="A26" s="56">
        <v>1</v>
      </c>
      <c r="B26" s="22">
        <v>6.0019</v>
      </c>
      <c r="C26" s="46">
        <f>+B26*(1-('% Humidity for extracrtives'!$F$26/100))</f>
        <v>5.6263406838242478</v>
      </c>
      <c r="D26" s="45">
        <v>95.846999999999994</v>
      </c>
      <c r="E26" s="23">
        <v>96.04</v>
      </c>
      <c r="F26" s="46">
        <f>+E26-D26</f>
        <v>0.19300000000001205</v>
      </c>
      <c r="G26" s="101">
        <f>+F26</f>
        <v>0.19300000000001205</v>
      </c>
      <c r="H26" s="52">
        <f>+(G26/C26)*100</f>
        <v>3.4302935219491388</v>
      </c>
      <c r="I26" s="22"/>
      <c r="J26" s="15"/>
      <c r="K26" s="244"/>
      <c r="L26" s="13"/>
    </row>
    <row r="27" spans="1:12" ht="15.75" x14ac:dyDescent="0.25">
      <c r="A27" s="56">
        <v>2</v>
      </c>
      <c r="B27" s="22">
        <v>6.0015999999999998</v>
      </c>
      <c r="C27" s="46">
        <f>+B27*(1-('% Humidity for extracrtives'!$F$26/100))</f>
        <v>5.6260594558455832</v>
      </c>
      <c r="D27" s="54">
        <v>106.6718</v>
      </c>
      <c r="E27" s="22">
        <v>106.86060000000001</v>
      </c>
      <c r="F27" s="46">
        <f>+E27-D27</f>
        <v>0.18880000000000052</v>
      </c>
      <c r="G27" s="101">
        <f>+F27</f>
        <v>0.18880000000000052</v>
      </c>
      <c r="H27" s="52">
        <f t="shared" ref="H27:H28" si="2">+(G27/C27)*100</f>
        <v>3.3558123848803931</v>
      </c>
      <c r="I27" s="22"/>
      <c r="J27" s="15"/>
      <c r="K27" s="244"/>
      <c r="L27" s="13"/>
    </row>
    <row r="28" spans="1:12" ht="16.5" thickBot="1" x14ac:dyDescent="0.3">
      <c r="A28" s="57">
        <v>3</v>
      </c>
      <c r="B28" s="51">
        <v>6.0011999999999999</v>
      </c>
      <c r="C28" s="49">
        <f>+B28*(1-('% Humidity for extracrtives'!$F$26/100))</f>
        <v>5.6256844852073637</v>
      </c>
      <c r="D28" s="50">
        <v>99.734099999999998</v>
      </c>
      <c r="E28" s="48">
        <v>99.930099999999996</v>
      </c>
      <c r="F28" s="49">
        <f>+E28-D28</f>
        <v>0.19599999999999795</v>
      </c>
      <c r="G28" s="101">
        <f>+F28</f>
        <v>0.19599999999999795</v>
      </c>
      <c r="H28" s="52">
        <f t="shared" si="2"/>
        <v>3.4840204870247602</v>
      </c>
      <c r="I28" s="22"/>
      <c r="J28" s="15"/>
      <c r="K28" s="244"/>
      <c r="L28" s="13"/>
    </row>
    <row r="29" spans="1:12" ht="15.75" x14ac:dyDescent="0.25">
      <c r="A29" s="21"/>
      <c r="B29" s="22"/>
      <c r="C29" s="22"/>
      <c r="D29" s="23"/>
      <c r="E29" s="23"/>
      <c r="F29" s="102"/>
      <c r="G29" s="37" t="s">
        <v>74</v>
      </c>
      <c r="H29" s="38">
        <f>AVERAGE(H26:H28)</f>
        <v>3.4233754646180969</v>
      </c>
      <c r="I29" s="22"/>
      <c r="J29" s="15"/>
      <c r="K29" s="244"/>
      <c r="L29" s="13"/>
    </row>
    <row r="30" spans="1:12" ht="16.5" thickBot="1" x14ac:dyDescent="0.3">
      <c r="A30" s="21"/>
      <c r="B30" s="22"/>
      <c r="C30" s="22"/>
      <c r="D30" s="23"/>
      <c r="E30" s="23"/>
      <c r="F30" s="102"/>
      <c r="G30" s="39" t="s">
        <v>75</v>
      </c>
      <c r="H30" s="40">
        <f>_xlfn.STDEV.S(H26:H28)</f>
        <v>6.438341402715296E-2</v>
      </c>
      <c r="I30" s="22"/>
      <c r="J30" s="15"/>
      <c r="K30" s="15"/>
      <c r="L30" s="13"/>
    </row>
    <row r="31" spans="1:12" ht="15.75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3"/>
    </row>
    <row r="32" spans="1:12" ht="15.75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3"/>
    </row>
    <row r="33" spans="1:12" ht="15.75" x14ac:dyDescent="0.25">
      <c r="A33" s="141" t="s">
        <v>33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3"/>
    </row>
    <row r="34" spans="1:12" ht="15.75" customHeight="1" x14ac:dyDescent="0.25">
      <c r="A34" s="130" t="s">
        <v>6</v>
      </c>
      <c r="B34" s="127" t="s">
        <v>68</v>
      </c>
      <c r="C34" s="128" t="s">
        <v>69</v>
      </c>
      <c r="D34" s="126" t="s">
        <v>27</v>
      </c>
      <c r="E34" s="127"/>
      <c r="F34" s="128"/>
      <c r="G34" s="126" t="s">
        <v>28</v>
      </c>
      <c r="H34" s="127"/>
      <c r="I34" s="128"/>
      <c r="J34" s="120" t="s">
        <v>73</v>
      </c>
      <c r="K34" s="122" t="s">
        <v>15</v>
      </c>
      <c r="L34" s="18"/>
    </row>
    <row r="35" spans="1:12" ht="15.75" x14ac:dyDescent="0.25">
      <c r="A35" s="131"/>
      <c r="B35" s="132"/>
      <c r="C35" s="133"/>
      <c r="D35" s="92" t="s">
        <v>70</v>
      </c>
      <c r="E35" s="93" t="s">
        <v>71</v>
      </c>
      <c r="F35" s="94" t="s">
        <v>72</v>
      </c>
      <c r="G35" s="92" t="s">
        <v>70</v>
      </c>
      <c r="H35" s="93" t="s">
        <v>71</v>
      </c>
      <c r="I35" s="94" t="s">
        <v>72</v>
      </c>
      <c r="J35" s="121"/>
      <c r="K35" s="123"/>
      <c r="L35" s="11"/>
    </row>
    <row r="36" spans="1:12" ht="15.75" x14ac:dyDescent="0.25">
      <c r="A36" s="56">
        <v>1</v>
      </c>
      <c r="B36" s="22">
        <v>6.0069999999999997</v>
      </c>
      <c r="C36" s="46">
        <f>+B36*(1-('% Humidity for extracrtives'!$F$33/100))</f>
        <v>5.455984263684174</v>
      </c>
      <c r="D36" s="45">
        <v>94.0017</v>
      </c>
      <c r="E36" s="23">
        <v>94.122299999999996</v>
      </c>
      <c r="F36" s="46">
        <f>+E36-D36</f>
        <v>0.12059999999999604</v>
      </c>
      <c r="G36" s="45">
        <v>107.9637</v>
      </c>
      <c r="H36" s="23">
        <v>108.0519</v>
      </c>
      <c r="I36" s="46">
        <f>+H36-G36</f>
        <v>8.82000000000005E-2</v>
      </c>
      <c r="J36" s="45">
        <f>+F36+I36</f>
        <v>0.20879999999999654</v>
      </c>
      <c r="K36" s="52">
        <f>+(J36/C36)*100</f>
        <v>3.8269905100313384</v>
      </c>
      <c r="L36" s="12"/>
    </row>
    <row r="37" spans="1:12" ht="15.75" x14ac:dyDescent="0.25">
      <c r="A37" s="56">
        <v>2</v>
      </c>
      <c r="B37" s="22">
        <v>6.0101000000000004</v>
      </c>
      <c r="C37" s="46">
        <f>+B37*(1-('% Humidity for extracrtives'!$F$33/100))</f>
        <v>5.4587999039734072</v>
      </c>
      <c r="D37" s="54">
        <v>96.690600000000003</v>
      </c>
      <c r="E37" s="22">
        <v>96.810400000000001</v>
      </c>
      <c r="F37" s="46">
        <f>+E37-D37</f>
        <v>0.11979999999999791</v>
      </c>
      <c r="G37" s="45">
        <v>104.0766</v>
      </c>
      <c r="H37" s="23">
        <v>104.1544</v>
      </c>
      <c r="I37" s="46">
        <f>+H37-G37</f>
        <v>7.7799999999996317E-2</v>
      </c>
      <c r="J37" s="45">
        <f t="shared" ref="J37:J38" si="3">+F37+I37</f>
        <v>0.19759999999999422</v>
      </c>
      <c r="K37" s="52">
        <f t="shared" ref="K37:K38" si="4">+(J37/C37)*100</f>
        <v>3.619843252656378</v>
      </c>
      <c r="L37" s="12"/>
    </row>
    <row r="38" spans="1:12" ht="16.5" thickBot="1" x14ac:dyDescent="0.3">
      <c r="A38" s="57">
        <v>3</v>
      </c>
      <c r="B38" s="51">
        <v>6.0119999999999996</v>
      </c>
      <c r="C38" s="49">
        <f>+B38*(1-('% Humidity for extracrtives'!$F$33/100))</f>
        <v>5.4605256189893883</v>
      </c>
      <c r="D38" s="50">
        <v>171.1241</v>
      </c>
      <c r="E38" s="48">
        <v>171.31720000000001</v>
      </c>
      <c r="F38" s="49">
        <f>+E38-D38</f>
        <v>0.19310000000001537</v>
      </c>
      <c r="G38" s="50">
        <v>182.57599999999999</v>
      </c>
      <c r="H38" s="48">
        <v>182.6054</v>
      </c>
      <c r="I38" s="49">
        <f>+H38-G38</f>
        <v>2.9400000000009641E-2</v>
      </c>
      <c r="J38" s="45">
        <f t="shared" si="3"/>
        <v>0.22250000000002501</v>
      </c>
      <c r="K38" s="52">
        <f t="shared" si="4"/>
        <v>4.0746993151403688</v>
      </c>
      <c r="L38" s="12"/>
    </row>
    <row r="39" spans="1:12" ht="15.75" x14ac:dyDescent="0.25">
      <c r="A39" s="21"/>
      <c r="B39" s="22"/>
      <c r="C39" s="22"/>
      <c r="D39" s="23"/>
      <c r="E39" s="23"/>
      <c r="F39" s="22"/>
      <c r="G39" s="23"/>
      <c r="H39" s="23"/>
      <c r="I39" s="22"/>
      <c r="J39" s="37" t="s">
        <v>74</v>
      </c>
      <c r="K39" s="38">
        <f>AVERAGE(K36:K38)</f>
        <v>3.8405110259426949</v>
      </c>
      <c r="L39" s="12"/>
    </row>
    <row r="40" spans="1:12" ht="16.5" thickBot="1" x14ac:dyDescent="0.3">
      <c r="A40" s="21"/>
      <c r="B40" s="22"/>
      <c r="C40" s="22"/>
      <c r="D40" s="23"/>
      <c r="E40" s="23"/>
      <c r="F40" s="22"/>
      <c r="G40" s="23"/>
      <c r="H40" s="23"/>
      <c r="I40" s="22"/>
      <c r="J40" s="39" t="s">
        <v>75</v>
      </c>
      <c r="K40" s="40">
        <f>_xlfn.STDEV.S(K36:K38)</f>
        <v>0.22772925296828242</v>
      </c>
      <c r="L40" s="12"/>
    </row>
    <row r="41" spans="1:12" ht="15.75" x14ac:dyDescent="0.25">
      <c r="A41" s="21"/>
      <c r="B41" s="22"/>
      <c r="C41" s="22"/>
      <c r="D41" s="15"/>
      <c r="E41" s="15"/>
      <c r="F41" s="15"/>
      <c r="G41" s="15"/>
      <c r="H41" s="15"/>
      <c r="I41" s="15"/>
      <c r="J41" s="15"/>
      <c r="K41" s="15"/>
      <c r="L41" s="13"/>
    </row>
    <row r="42" spans="1:12" ht="15.75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3"/>
    </row>
    <row r="43" spans="1:12" ht="15.75" x14ac:dyDescent="0.25">
      <c r="A43" s="141" t="s">
        <v>34</v>
      </c>
      <c r="B43" s="141"/>
      <c r="C43" s="141"/>
      <c r="D43" s="141"/>
      <c r="E43" s="141"/>
      <c r="F43" s="141"/>
      <c r="G43" s="141"/>
      <c r="H43" s="141"/>
      <c r="I43" s="15"/>
      <c r="J43" s="15"/>
      <c r="K43" s="15"/>
      <c r="L43" s="13"/>
    </row>
    <row r="44" spans="1:12" ht="15.75" customHeight="1" x14ac:dyDescent="0.25">
      <c r="A44" s="130" t="s">
        <v>6</v>
      </c>
      <c r="B44" s="127" t="s">
        <v>68</v>
      </c>
      <c r="C44" s="128" t="s">
        <v>69</v>
      </c>
      <c r="D44" s="126" t="s">
        <v>29</v>
      </c>
      <c r="E44" s="127"/>
      <c r="F44" s="128"/>
      <c r="G44" s="120" t="s">
        <v>73</v>
      </c>
      <c r="H44" s="122" t="s">
        <v>15</v>
      </c>
      <c r="I44" s="15"/>
      <c r="J44" s="15"/>
      <c r="K44" s="15"/>
      <c r="L44" s="13"/>
    </row>
    <row r="45" spans="1:12" ht="15.75" x14ac:dyDescent="0.25">
      <c r="A45" s="131"/>
      <c r="B45" s="132"/>
      <c r="C45" s="133"/>
      <c r="D45" s="92" t="s">
        <v>70</v>
      </c>
      <c r="E45" s="93" t="s">
        <v>71</v>
      </c>
      <c r="F45" s="94" t="s">
        <v>72</v>
      </c>
      <c r="G45" s="121"/>
      <c r="H45" s="123"/>
      <c r="I45" s="15"/>
      <c r="J45" s="15"/>
      <c r="K45" s="15"/>
      <c r="L45" s="13"/>
    </row>
    <row r="46" spans="1:12" ht="15.75" x14ac:dyDescent="0.25">
      <c r="A46" s="56">
        <v>1</v>
      </c>
      <c r="B46" s="22">
        <v>6.0007999999999999</v>
      </c>
      <c r="C46" s="46">
        <f>+B46*(1-('% Humidity for extracrtives'!$F$40/100))</f>
        <v>4.8854326148181171</v>
      </c>
      <c r="D46" s="45">
        <v>93.991799999999998</v>
      </c>
      <c r="E46" s="23">
        <v>94.336699999999993</v>
      </c>
      <c r="F46" s="46">
        <f>+E46-D46</f>
        <v>0.34489999999999554</v>
      </c>
      <c r="G46" s="101">
        <f>+F46</f>
        <v>0.34489999999999554</v>
      </c>
      <c r="H46" s="33">
        <f>+(G46/C46)*100</f>
        <v>7.0597637342058821</v>
      </c>
      <c r="I46" s="15"/>
      <c r="J46" s="15"/>
      <c r="K46" s="15"/>
      <c r="L46" s="13"/>
    </row>
    <row r="47" spans="1:12" ht="15.75" x14ac:dyDescent="0.25">
      <c r="A47" s="56">
        <v>2</v>
      </c>
      <c r="B47" s="22">
        <v>6.0109000000000004</v>
      </c>
      <c r="C47" s="46">
        <f>+B47*(1-('% Humidity for extracrtives'!$F$40/100))</f>
        <v>4.8936553300243668</v>
      </c>
      <c r="D47" s="54">
        <v>101.929</v>
      </c>
      <c r="E47" s="22">
        <v>102.3433</v>
      </c>
      <c r="F47" s="46">
        <f>+E47-D47</f>
        <v>0.41429999999999723</v>
      </c>
      <c r="G47" s="101">
        <f>+F47</f>
        <v>0.41429999999999723</v>
      </c>
      <c r="H47" s="33">
        <f t="shared" ref="H47:H48" si="5">+(G47/C47)*100</f>
        <v>8.4660641598135253</v>
      </c>
      <c r="I47" s="15"/>
      <c r="J47" s="15"/>
      <c r="K47" s="15"/>
      <c r="L47" s="13"/>
    </row>
    <row r="48" spans="1:12" ht="16.5" thickBot="1" x14ac:dyDescent="0.3">
      <c r="A48" s="57">
        <v>3</v>
      </c>
      <c r="B48" s="51">
        <v>6.0129999999999999</v>
      </c>
      <c r="C48" s="49">
        <f>+B48*(1-('% Humidity for extracrtives'!$F$40/100))</f>
        <v>4.895365003483092</v>
      </c>
      <c r="D48" s="50">
        <v>171.11170000000001</v>
      </c>
      <c r="E48" s="48">
        <v>171.51939999999999</v>
      </c>
      <c r="F48" s="49">
        <f>+E48-D48</f>
        <v>0.40769999999997708</v>
      </c>
      <c r="G48" s="101">
        <f>+F48</f>
        <v>0.40769999999997708</v>
      </c>
      <c r="H48" s="33">
        <f t="shared" si="5"/>
        <v>8.328286036074843</v>
      </c>
      <c r="I48" s="15"/>
      <c r="J48" s="15"/>
      <c r="K48" s="15"/>
      <c r="L48" s="13"/>
    </row>
    <row r="49" spans="1:12" x14ac:dyDescent="0.25">
      <c r="A49" s="19"/>
      <c r="B49" s="19"/>
      <c r="C49" s="19"/>
      <c r="D49" s="19"/>
      <c r="E49" s="19"/>
      <c r="F49" s="102"/>
      <c r="G49" s="37" t="s">
        <v>74</v>
      </c>
      <c r="H49" s="38">
        <f>AVERAGE(H46:H48)</f>
        <v>7.9513713100314165</v>
      </c>
      <c r="I49" s="19"/>
      <c r="J49" s="19"/>
      <c r="K49" s="19"/>
      <c r="L49" s="10"/>
    </row>
    <row r="50" spans="1:12" ht="15.75" thickBot="1" x14ac:dyDescent="0.3">
      <c r="A50" s="32"/>
      <c r="B50" s="32"/>
      <c r="C50" s="32"/>
      <c r="D50" s="32"/>
      <c r="E50" s="32"/>
      <c r="F50" s="102"/>
      <c r="G50" s="39" t="s">
        <v>75</v>
      </c>
      <c r="H50" s="40">
        <f>_xlfn.STDEV.S(H46:H48)</f>
        <v>0.77522174556532708</v>
      </c>
      <c r="I50" s="32"/>
      <c r="J50" s="32"/>
      <c r="K50" s="32"/>
      <c r="L50" s="10"/>
    </row>
    <row r="51" spans="1:12" x14ac:dyDescent="0.25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1:12" x14ac:dyDescent="0.25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1:12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</sheetData>
  <mergeCells count="44">
    <mergeCell ref="A1:K1"/>
    <mergeCell ref="J34:J35"/>
    <mergeCell ref="K34:K35"/>
    <mergeCell ref="H24:H25"/>
    <mergeCell ref="D4:F4"/>
    <mergeCell ref="G4:I4"/>
    <mergeCell ref="D34:F34"/>
    <mergeCell ref="G34:I34"/>
    <mergeCell ref="A33:K33"/>
    <mergeCell ref="G24:G25"/>
    <mergeCell ref="A4:A5"/>
    <mergeCell ref="B4:B5"/>
    <mergeCell ref="C4:C5"/>
    <mergeCell ref="A14:A15"/>
    <mergeCell ref="B14:B15"/>
    <mergeCell ref="C14:C15"/>
    <mergeCell ref="A23:H23"/>
    <mergeCell ref="D24:F24"/>
    <mergeCell ref="D14:F14"/>
    <mergeCell ref="A44:A45"/>
    <mergeCell ref="B44:B45"/>
    <mergeCell ref="C44:C45"/>
    <mergeCell ref="A24:A25"/>
    <mergeCell ref="B24:B25"/>
    <mergeCell ref="C24:C25"/>
    <mergeCell ref="A34:A35"/>
    <mergeCell ref="B34:B35"/>
    <mergeCell ref="C34:C35"/>
    <mergeCell ref="D44:F44"/>
    <mergeCell ref="H44:H45"/>
    <mergeCell ref="G44:G45"/>
    <mergeCell ref="A43:H43"/>
    <mergeCell ref="J4:J5"/>
    <mergeCell ref="K4:K5"/>
    <mergeCell ref="H14:H15"/>
    <mergeCell ref="A3:K3"/>
    <mergeCell ref="G14:G15"/>
    <mergeCell ref="A13:H13"/>
    <mergeCell ref="N2:P2"/>
    <mergeCell ref="R2:T2"/>
    <mergeCell ref="V2:W2"/>
    <mergeCell ref="N4:P5"/>
    <mergeCell ref="R4:T5"/>
    <mergeCell ref="V4:X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9F922-1720-4012-AAF8-B144D883913B}">
  <dimension ref="A1:AA52"/>
  <sheetViews>
    <sheetView zoomScaleNormal="100" workbookViewId="0">
      <selection sqref="A1:N1"/>
    </sheetView>
  </sheetViews>
  <sheetFormatPr baseColWidth="10" defaultRowHeight="15" x14ac:dyDescent="0.25"/>
  <cols>
    <col min="4" max="4" width="16.140625" customWidth="1"/>
    <col min="5" max="5" width="15.28515625" customWidth="1"/>
    <col min="6" max="6" width="20" customWidth="1"/>
    <col min="7" max="7" width="16.42578125" customWidth="1"/>
    <col min="8" max="8" width="15.28515625" customWidth="1"/>
    <col min="9" max="9" width="20.42578125" customWidth="1"/>
    <col min="10" max="10" width="16.28515625" customWidth="1"/>
    <col min="11" max="11" width="15.7109375" customWidth="1"/>
    <col min="12" max="12" width="20.42578125" customWidth="1"/>
    <col min="13" max="13" width="15.85546875" customWidth="1"/>
    <col min="14" max="14" width="15.42578125" customWidth="1"/>
    <col min="15" max="15" width="20.28515625" customWidth="1"/>
    <col min="16" max="16" width="16.140625" customWidth="1"/>
    <col min="17" max="17" width="15.42578125" customWidth="1"/>
    <col min="18" max="18" width="20.140625" customWidth="1"/>
    <col min="19" max="19" width="15.42578125" customWidth="1"/>
    <col min="20" max="20" width="15.140625" customWidth="1"/>
    <col min="21" max="21" width="21" customWidth="1"/>
    <col min="22" max="22" width="14.28515625" customWidth="1"/>
    <col min="23" max="23" width="13.28515625" customWidth="1"/>
  </cols>
  <sheetData>
    <row r="1" spans="1:27" ht="18.75" x14ac:dyDescent="0.25">
      <c r="A1" s="113" t="s">
        <v>139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27" ht="18.75" x14ac:dyDescent="0.3">
      <c r="Q2" s="125" t="s">
        <v>19</v>
      </c>
      <c r="R2" s="125"/>
      <c r="S2" s="125"/>
      <c r="T2" s="14"/>
      <c r="U2" s="114" t="s">
        <v>21</v>
      </c>
      <c r="V2" s="114"/>
      <c r="W2" s="114"/>
      <c r="X2" s="14"/>
      <c r="Y2" s="116" t="s">
        <v>15</v>
      </c>
      <c r="Z2" s="116"/>
    </row>
    <row r="3" spans="1:27" x14ac:dyDescent="0.25">
      <c r="A3" s="142" t="s">
        <v>38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5"/>
      <c r="P3" s="15"/>
      <c r="T3" s="14"/>
      <c r="U3" s="95"/>
      <c r="V3" s="14"/>
      <c r="W3" s="14"/>
      <c r="X3" s="14"/>
      <c r="Y3" s="14"/>
      <c r="Z3" s="14"/>
    </row>
    <row r="4" spans="1:27" ht="15" customHeight="1" x14ac:dyDescent="0.25">
      <c r="A4" s="130" t="s">
        <v>6</v>
      </c>
      <c r="B4" s="127" t="s">
        <v>68</v>
      </c>
      <c r="C4" s="128" t="s">
        <v>69</v>
      </c>
      <c r="D4" s="126" t="s">
        <v>39</v>
      </c>
      <c r="E4" s="127"/>
      <c r="F4" s="128"/>
      <c r="G4" s="126" t="s">
        <v>41</v>
      </c>
      <c r="H4" s="127"/>
      <c r="I4" s="128"/>
      <c r="J4" s="126" t="s">
        <v>40</v>
      </c>
      <c r="K4" s="127"/>
      <c r="L4" s="128"/>
      <c r="M4" s="120" t="s">
        <v>73</v>
      </c>
      <c r="N4" s="122" t="s">
        <v>15</v>
      </c>
      <c r="O4" s="15"/>
      <c r="P4" s="244"/>
      <c r="Q4" s="115" t="s">
        <v>50</v>
      </c>
      <c r="R4" s="115"/>
      <c r="S4" s="115"/>
      <c r="T4" s="14"/>
      <c r="U4" s="115" t="s">
        <v>55</v>
      </c>
      <c r="V4" s="115"/>
      <c r="W4" s="115"/>
      <c r="X4" s="14"/>
      <c r="Y4" s="117" t="s">
        <v>58</v>
      </c>
      <c r="Z4" s="117"/>
      <c r="AA4" s="117"/>
    </row>
    <row r="5" spans="1:27" x14ac:dyDescent="0.25">
      <c r="A5" s="131"/>
      <c r="B5" s="132"/>
      <c r="C5" s="133"/>
      <c r="D5" s="92" t="s">
        <v>70</v>
      </c>
      <c r="E5" s="93" t="s">
        <v>71</v>
      </c>
      <c r="F5" s="94" t="s">
        <v>72</v>
      </c>
      <c r="G5" s="92" t="s">
        <v>70</v>
      </c>
      <c r="H5" s="93" t="s">
        <v>71</v>
      </c>
      <c r="I5" s="94" t="s">
        <v>72</v>
      </c>
      <c r="J5" s="92" t="s">
        <v>70</v>
      </c>
      <c r="K5" s="93" t="s">
        <v>71</v>
      </c>
      <c r="L5" s="94" t="s">
        <v>72</v>
      </c>
      <c r="M5" s="121"/>
      <c r="N5" s="123"/>
      <c r="O5" s="15"/>
      <c r="P5" s="244"/>
      <c r="Q5" s="115"/>
      <c r="R5" s="115"/>
      <c r="S5" s="115"/>
      <c r="T5" s="14"/>
      <c r="U5" s="115"/>
      <c r="V5" s="115"/>
      <c r="W5" s="115"/>
      <c r="X5" s="14"/>
      <c r="Y5" s="117"/>
      <c r="Z5" s="117"/>
      <c r="AA5" s="117"/>
    </row>
    <row r="6" spans="1:27" x14ac:dyDescent="0.25">
      <c r="A6" s="56">
        <v>1</v>
      </c>
      <c r="B6" s="22">
        <v>6.0041000000000002</v>
      </c>
      <c r="C6" s="46">
        <f>+B6*(1-('% Humidity for extracrtives'!$F$11/100))</f>
        <v>5.6649823052783042</v>
      </c>
      <c r="D6" s="54">
        <v>110.747</v>
      </c>
      <c r="E6" s="22">
        <v>111.3334</v>
      </c>
      <c r="F6" s="46">
        <f>+E6-D6</f>
        <v>0.58639999999999759</v>
      </c>
      <c r="G6" s="45">
        <v>95.847800000000007</v>
      </c>
      <c r="H6" s="23">
        <v>95.901200000000003</v>
      </c>
      <c r="I6" s="46">
        <f>+H6-G6</f>
        <v>5.3399999999996339E-2</v>
      </c>
      <c r="J6" s="45">
        <v>110.7475</v>
      </c>
      <c r="K6" s="23">
        <v>110.7814</v>
      </c>
      <c r="L6" s="46">
        <f>+K6-J6</f>
        <v>3.3900000000002706E-2</v>
      </c>
      <c r="M6" s="36">
        <f>+L6+I6+F6</f>
        <v>0.67369999999999663</v>
      </c>
      <c r="N6" s="33">
        <f>+(M6/C6)*100</f>
        <v>11.892358416941246</v>
      </c>
      <c r="O6" s="15"/>
      <c r="P6" s="24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7" x14ac:dyDescent="0.25">
      <c r="A7" s="56">
        <v>2</v>
      </c>
      <c r="B7" s="22">
        <v>6.0571000000000002</v>
      </c>
      <c r="C7" s="46">
        <f>+B7*(1-('% Humidity for extracrtives'!$F$11/100))</f>
        <v>5.7149888111958855</v>
      </c>
      <c r="D7" s="45">
        <v>99.000699999999995</v>
      </c>
      <c r="E7" s="23">
        <v>99.575500000000005</v>
      </c>
      <c r="F7" s="46">
        <f>+E7-D7</f>
        <v>0.57480000000001041</v>
      </c>
      <c r="G7" s="54">
        <v>106.6768</v>
      </c>
      <c r="H7" s="22">
        <v>106.73099999999999</v>
      </c>
      <c r="I7" s="46">
        <f>+H7-G7</f>
        <v>5.4199999999994475E-2</v>
      </c>
      <c r="J7" s="54">
        <v>99.000699999999995</v>
      </c>
      <c r="K7" s="22">
        <v>99.041200000000003</v>
      </c>
      <c r="L7" s="46">
        <f>+K7-J7</f>
        <v>4.050000000000864E-2</v>
      </c>
      <c r="M7" s="36">
        <f t="shared" ref="M7:M8" si="0">+L7+I7+F7</f>
        <v>0.66950000000001353</v>
      </c>
      <c r="N7" s="33">
        <f t="shared" ref="N7:N8" si="1">+(M7/C7)*100</f>
        <v>11.714808586999101</v>
      </c>
      <c r="O7" s="15"/>
      <c r="P7" s="244"/>
      <c r="Q7" s="14" t="s">
        <v>51</v>
      </c>
      <c r="R7" s="14"/>
      <c r="S7" s="14"/>
      <c r="T7" s="14"/>
      <c r="U7" s="14" t="s">
        <v>51</v>
      </c>
      <c r="V7" s="14"/>
      <c r="W7" s="14"/>
      <c r="X7" s="14"/>
      <c r="Y7" s="14" t="s">
        <v>51</v>
      </c>
      <c r="Z7" s="14"/>
    </row>
    <row r="8" spans="1:27" ht="15.75" thickBot="1" x14ac:dyDescent="0.3">
      <c r="A8" s="57">
        <v>3</v>
      </c>
      <c r="B8" s="51">
        <v>6.0212000000000003</v>
      </c>
      <c r="C8" s="49">
        <f>+B8*(1-('% Humidity for extracrtives'!$F$11/100))</f>
        <v>5.681116479829071</v>
      </c>
      <c r="D8" s="47">
        <v>97.736000000000004</v>
      </c>
      <c r="E8" s="51">
        <v>98.288600000000002</v>
      </c>
      <c r="F8" s="49">
        <f>+E8-D8</f>
        <v>0.5525999999999982</v>
      </c>
      <c r="G8" s="47">
        <v>99.742800000000003</v>
      </c>
      <c r="H8" s="51">
        <v>99.801299999999998</v>
      </c>
      <c r="I8" s="49">
        <f>+H8-G8</f>
        <v>5.8499999999995111E-2</v>
      </c>
      <c r="J8" s="47">
        <v>97.736599999999996</v>
      </c>
      <c r="K8" s="51">
        <v>97.782300000000006</v>
      </c>
      <c r="L8" s="49">
        <f>+K8-J8</f>
        <v>4.5700000000010732E-2</v>
      </c>
      <c r="M8" s="36">
        <f t="shared" si="0"/>
        <v>0.65680000000000405</v>
      </c>
      <c r="N8" s="33">
        <f t="shared" si="1"/>
        <v>11.561107791610802</v>
      </c>
      <c r="O8" s="15"/>
      <c r="P8" s="24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7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37" t="s">
        <v>74</v>
      </c>
      <c r="N9" s="103">
        <f>AVERAGE(N6:N8)</f>
        <v>11.722758265183716</v>
      </c>
      <c r="O9" s="15"/>
      <c r="P9" s="244"/>
      <c r="Q9" s="14" t="s">
        <v>52</v>
      </c>
      <c r="R9" s="14"/>
      <c r="S9" s="14"/>
      <c r="T9" s="14"/>
      <c r="U9" s="14" t="s">
        <v>56</v>
      </c>
      <c r="V9" s="14"/>
      <c r="W9" s="14"/>
      <c r="X9" s="14"/>
      <c r="Y9" s="14" t="s">
        <v>56</v>
      </c>
      <c r="Z9" s="14"/>
    </row>
    <row r="10" spans="1:27" ht="15.75" thickBot="1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39" t="s">
        <v>75</v>
      </c>
      <c r="N10" s="104">
        <f>_xlfn.STDEV.S(N6:N8)</f>
        <v>0.16576833905448221</v>
      </c>
      <c r="O10" s="15"/>
      <c r="P10" s="244"/>
      <c r="Q10" s="14" t="s">
        <v>53</v>
      </c>
      <c r="R10" s="14"/>
      <c r="S10" s="14"/>
      <c r="T10" s="14"/>
      <c r="U10" s="14" t="s">
        <v>57</v>
      </c>
      <c r="V10" s="14"/>
      <c r="W10" s="14"/>
      <c r="X10" s="14"/>
      <c r="Y10" s="14" t="s">
        <v>52</v>
      </c>
      <c r="Z10" s="14"/>
    </row>
    <row r="11" spans="1:27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244"/>
      <c r="Q11" s="14" t="s">
        <v>54</v>
      </c>
      <c r="R11" s="14"/>
      <c r="S11" s="14"/>
      <c r="T11" s="14"/>
      <c r="U11" s="14"/>
      <c r="V11" s="14"/>
      <c r="W11" s="14"/>
      <c r="X11" s="14"/>
      <c r="Y11" s="14"/>
      <c r="Z11" s="14"/>
    </row>
    <row r="12" spans="1:27" x14ac:dyDescent="0.25">
      <c r="A12" s="143" t="s">
        <v>31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5"/>
      <c r="M12" s="15"/>
      <c r="N12" s="15"/>
      <c r="O12" s="15"/>
      <c r="P12" s="244"/>
      <c r="Q12" s="15"/>
      <c r="R12" s="15"/>
      <c r="S12" s="15"/>
      <c r="T12" s="15"/>
      <c r="U12" s="15"/>
      <c r="V12" s="15"/>
      <c r="W12" s="15"/>
      <c r="X12" s="15"/>
      <c r="Y12" s="15"/>
    </row>
    <row r="13" spans="1:27" ht="15" customHeight="1" x14ac:dyDescent="0.25">
      <c r="A13" s="130" t="s">
        <v>6</v>
      </c>
      <c r="B13" s="127" t="s">
        <v>68</v>
      </c>
      <c r="C13" s="128" t="s">
        <v>69</v>
      </c>
      <c r="D13" s="126" t="s">
        <v>39</v>
      </c>
      <c r="E13" s="127"/>
      <c r="F13" s="128"/>
      <c r="G13" s="126" t="s">
        <v>41</v>
      </c>
      <c r="H13" s="127"/>
      <c r="I13" s="128"/>
      <c r="J13" s="120" t="s">
        <v>73</v>
      </c>
      <c r="K13" s="122" t="s">
        <v>15</v>
      </c>
      <c r="L13" s="15"/>
      <c r="M13" s="15"/>
      <c r="N13" s="15"/>
      <c r="O13" s="15"/>
      <c r="P13" s="244"/>
      <c r="Q13" s="15"/>
      <c r="R13" s="15"/>
      <c r="S13" s="15"/>
      <c r="T13" s="15"/>
      <c r="U13" s="15"/>
      <c r="V13" s="15"/>
      <c r="W13" s="15"/>
      <c r="X13" s="15"/>
      <c r="Y13" s="15"/>
    </row>
    <row r="14" spans="1:27" ht="15" customHeight="1" x14ac:dyDescent="0.25">
      <c r="A14" s="131"/>
      <c r="B14" s="132"/>
      <c r="C14" s="133"/>
      <c r="D14" s="92" t="s">
        <v>70</v>
      </c>
      <c r="E14" s="93" t="s">
        <v>71</v>
      </c>
      <c r="F14" s="94" t="s">
        <v>72</v>
      </c>
      <c r="G14" s="92" t="s">
        <v>70</v>
      </c>
      <c r="H14" s="93" t="s">
        <v>71</v>
      </c>
      <c r="I14" s="94" t="s">
        <v>72</v>
      </c>
      <c r="J14" s="121"/>
      <c r="K14" s="123"/>
      <c r="L14" s="15"/>
      <c r="M14" s="15"/>
      <c r="N14" s="15"/>
      <c r="O14" s="15"/>
      <c r="P14" s="244"/>
      <c r="Q14" s="15"/>
      <c r="R14" s="15"/>
      <c r="S14" s="15"/>
      <c r="T14" s="15"/>
      <c r="U14" s="15"/>
      <c r="V14" s="15"/>
      <c r="W14" s="15"/>
      <c r="X14" s="15"/>
      <c r="Y14" s="15"/>
    </row>
    <row r="15" spans="1:27" x14ac:dyDescent="0.25">
      <c r="A15" s="56">
        <v>1</v>
      </c>
      <c r="B15" s="22">
        <v>6.0068000000000001</v>
      </c>
      <c r="C15" s="46">
        <f>+B15*(1-('% Humidity for extracrtives'!$F$19/100))</f>
        <v>5.6968989689682505</v>
      </c>
      <c r="D15" s="65">
        <v>97.729699999999994</v>
      </c>
      <c r="E15" s="25">
        <v>98.079400000000007</v>
      </c>
      <c r="F15" s="66">
        <f>+E15-D15</f>
        <v>0.34970000000001278</v>
      </c>
      <c r="G15" s="60">
        <v>104.66670000000001</v>
      </c>
      <c r="H15" s="31">
        <v>104.70480000000001</v>
      </c>
      <c r="I15" s="61">
        <v>6.4499999999995297E-2</v>
      </c>
      <c r="J15" s="58">
        <f>+F15+I15</f>
        <v>0.41420000000000806</v>
      </c>
      <c r="K15" s="33">
        <f>+(J15/C15)*100</f>
        <v>7.2706221798246613</v>
      </c>
      <c r="L15" s="15"/>
      <c r="M15" s="15"/>
      <c r="N15" s="15"/>
      <c r="O15" s="15"/>
      <c r="P15" s="244"/>
      <c r="Q15" s="15"/>
      <c r="R15" s="15"/>
      <c r="S15" s="15"/>
      <c r="T15" s="15"/>
      <c r="U15" s="15"/>
      <c r="V15" s="15"/>
      <c r="W15" s="15"/>
      <c r="X15" s="15"/>
      <c r="Y15" s="15"/>
    </row>
    <row r="16" spans="1:27" x14ac:dyDescent="0.25">
      <c r="A16" s="56">
        <v>2</v>
      </c>
      <c r="B16" s="22">
        <v>6.0071000000000003</v>
      </c>
      <c r="C16" s="46">
        <f>+B16*(1-('% Humidity for extracrtives'!$F$19/100))</f>
        <v>5.6971834914578769</v>
      </c>
      <c r="D16" s="67">
        <v>104.0758</v>
      </c>
      <c r="E16" s="26">
        <v>104.5193</v>
      </c>
      <c r="F16" s="66">
        <f>+E16-D16</f>
        <v>0.44350000000000023</v>
      </c>
      <c r="G16" s="60">
        <v>101.953</v>
      </c>
      <c r="H16" s="31">
        <v>102.1228</v>
      </c>
      <c r="I16" s="61">
        <v>6.8399999999996908E-2</v>
      </c>
      <c r="J16" s="58">
        <f t="shared" ref="J16:J17" si="2">+F16+I16</f>
        <v>0.51189999999999714</v>
      </c>
      <c r="K16" s="33">
        <f t="shared" ref="K16" si="3">+(J16/C16)*100</f>
        <v>8.9851415312060592</v>
      </c>
      <c r="L16" s="15"/>
      <c r="M16" s="15"/>
      <c r="N16" s="15"/>
      <c r="O16" s="15"/>
      <c r="P16" s="244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5.75" thickBot="1" x14ac:dyDescent="0.3">
      <c r="A17" s="57">
        <v>3</v>
      </c>
      <c r="B17" s="51">
        <v>6.0308000000000002</v>
      </c>
      <c r="C17" s="49">
        <f>+B17*(1-('% Humidity for extracrtives'!$F$19/100))</f>
        <v>5.7196607681383975</v>
      </c>
      <c r="D17" s="68">
        <v>106.6738</v>
      </c>
      <c r="E17" s="69">
        <v>107.0754</v>
      </c>
      <c r="F17" s="70">
        <f>+E17-D17</f>
        <v>0.40160000000000196</v>
      </c>
      <c r="G17" s="62">
        <v>107.97</v>
      </c>
      <c r="H17" s="63">
        <v>108.145</v>
      </c>
      <c r="I17" s="64">
        <v>6.6999999999993065E-2</v>
      </c>
      <c r="J17" s="58">
        <f t="shared" si="2"/>
        <v>0.46859999999999502</v>
      </c>
      <c r="K17" s="33">
        <f>+(J17/C17)*100</f>
        <v>8.192793576331491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x14ac:dyDescent="0.25">
      <c r="A18" s="21"/>
      <c r="B18" s="22"/>
      <c r="C18" s="22"/>
      <c r="D18" s="25"/>
      <c r="E18" s="25"/>
      <c r="F18" s="25"/>
      <c r="G18" s="30"/>
      <c r="H18" s="30"/>
      <c r="I18" s="30"/>
      <c r="J18" s="37" t="s">
        <v>74</v>
      </c>
      <c r="K18" s="103">
        <f>AVERAGE(K15:K17)</f>
        <v>8.1495190957874044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5.75" thickBot="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39" t="s">
        <v>75</v>
      </c>
      <c r="K19" s="104">
        <f>_xlfn.STDEV.S(K15:K17)</f>
        <v>0.85807847080852273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x14ac:dyDescent="0.25">
      <c r="A22" s="144" t="s">
        <v>32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5"/>
      <c r="V22" s="15"/>
      <c r="W22" s="15"/>
      <c r="X22" s="15"/>
      <c r="Y22" s="15"/>
    </row>
    <row r="23" spans="1:25" ht="18.75" customHeight="1" x14ac:dyDescent="0.25">
      <c r="A23" s="130" t="s">
        <v>6</v>
      </c>
      <c r="B23" s="127" t="s">
        <v>68</v>
      </c>
      <c r="C23" s="128" t="s">
        <v>69</v>
      </c>
      <c r="D23" s="126" t="s">
        <v>39</v>
      </c>
      <c r="E23" s="127"/>
      <c r="F23" s="128"/>
      <c r="G23" s="126" t="s">
        <v>41</v>
      </c>
      <c r="H23" s="127"/>
      <c r="I23" s="128"/>
      <c r="J23" s="126" t="s">
        <v>40</v>
      </c>
      <c r="K23" s="127"/>
      <c r="L23" s="128"/>
      <c r="M23" s="126" t="s">
        <v>44</v>
      </c>
      <c r="N23" s="127"/>
      <c r="O23" s="128"/>
      <c r="P23" s="126" t="s">
        <v>42</v>
      </c>
      <c r="Q23" s="127"/>
      <c r="R23" s="128"/>
      <c r="S23" s="120" t="s">
        <v>73</v>
      </c>
      <c r="T23" s="122" t="s">
        <v>15</v>
      </c>
      <c r="U23" s="15"/>
      <c r="V23" s="15"/>
      <c r="W23" s="15"/>
      <c r="X23" s="15"/>
      <c r="Y23" s="15"/>
    </row>
    <row r="24" spans="1:25" x14ac:dyDescent="0.25">
      <c r="A24" s="131"/>
      <c r="B24" s="132"/>
      <c r="C24" s="133"/>
      <c r="D24" s="92" t="s">
        <v>70</v>
      </c>
      <c r="E24" s="93" t="s">
        <v>71</v>
      </c>
      <c r="F24" s="94" t="s">
        <v>72</v>
      </c>
      <c r="G24" s="92" t="s">
        <v>70</v>
      </c>
      <c r="H24" s="93" t="s">
        <v>71</v>
      </c>
      <c r="I24" s="94" t="s">
        <v>72</v>
      </c>
      <c r="J24" s="92" t="s">
        <v>70</v>
      </c>
      <c r="K24" s="93" t="s">
        <v>71</v>
      </c>
      <c r="L24" s="94" t="s">
        <v>72</v>
      </c>
      <c r="M24" s="92" t="s">
        <v>70</v>
      </c>
      <c r="N24" s="93" t="s">
        <v>71</v>
      </c>
      <c r="O24" s="94" t="s">
        <v>72</v>
      </c>
      <c r="P24" s="92" t="s">
        <v>70</v>
      </c>
      <c r="Q24" s="93" t="s">
        <v>71</v>
      </c>
      <c r="R24" s="94" t="s">
        <v>72</v>
      </c>
      <c r="S24" s="121"/>
      <c r="T24" s="123"/>
      <c r="U24" s="15"/>
      <c r="V24" s="15"/>
      <c r="W24" s="15"/>
      <c r="X24" s="15"/>
      <c r="Y24" s="15"/>
    </row>
    <row r="25" spans="1:25" x14ac:dyDescent="0.25">
      <c r="A25" s="56">
        <v>1</v>
      </c>
      <c r="B25" s="22">
        <v>6.0019</v>
      </c>
      <c r="C25" s="46">
        <f>+B25*(1-('% Humidity for extracrtives'!$F$26/100))</f>
        <v>5.6263406838242478</v>
      </c>
      <c r="D25" s="45">
        <v>95.847499999999997</v>
      </c>
      <c r="E25" s="23">
        <v>96.489800000000002</v>
      </c>
      <c r="F25" s="46">
        <f>+E25-D25</f>
        <v>0.64230000000000587</v>
      </c>
      <c r="G25" s="45">
        <v>110.7294</v>
      </c>
      <c r="H25" s="22">
        <v>110.83320000000001</v>
      </c>
      <c r="I25" s="46">
        <f>+H25-G25</f>
        <v>0.10380000000000678</v>
      </c>
      <c r="J25" s="45">
        <v>95.852199999999996</v>
      </c>
      <c r="K25" s="23">
        <v>95.933099999999996</v>
      </c>
      <c r="L25" s="46">
        <f>+K25-J25</f>
        <v>8.089999999999975E-2</v>
      </c>
      <c r="M25" s="45">
        <v>95.847099999999998</v>
      </c>
      <c r="N25" s="22">
        <v>95.899500000000003</v>
      </c>
      <c r="O25" s="46">
        <f>+N25-M25</f>
        <v>5.2400000000005775E-2</v>
      </c>
      <c r="P25" s="54">
        <v>95.852000000000004</v>
      </c>
      <c r="Q25" s="23">
        <v>95.902799999999999</v>
      </c>
      <c r="R25" s="46">
        <f>+Q25-P25</f>
        <v>5.0799999999995293E-2</v>
      </c>
      <c r="S25" s="36">
        <f>+F25+I25+L25+O25+R25</f>
        <v>0.93020000000001346</v>
      </c>
      <c r="T25" s="33">
        <f>+(S25/C25)*100</f>
        <v>16.532948363300186</v>
      </c>
      <c r="U25" s="15"/>
      <c r="V25" s="15"/>
      <c r="W25" s="15"/>
      <c r="X25" s="15"/>
      <c r="Y25" s="15"/>
    </row>
    <row r="26" spans="1:25" x14ac:dyDescent="0.25">
      <c r="A26" s="56">
        <v>2</v>
      </c>
      <c r="B26" s="22">
        <v>6.0015999999999998</v>
      </c>
      <c r="C26" s="46">
        <f>+B26*(1-('% Humidity for extracrtives'!$F$26/100))</f>
        <v>5.6260594558455832</v>
      </c>
      <c r="D26" s="45">
        <v>106.6717</v>
      </c>
      <c r="E26" s="23">
        <v>107.3125</v>
      </c>
      <c r="F26" s="46">
        <f>+E26-D26</f>
        <v>0.6407999999999987</v>
      </c>
      <c r="G26" s="45">
        <v>98.987399999999994</v>
      </c>
      <c r="H26" s="23">
        <v>99.093699999999998</v>
      </c>
      <c r="I26" s="46">
        <f>+H26-G26</f>
        <v>0.1063000000000045</v>
      </c>
      <c r="J26" s="45">
        <v>106.673</v>
      </c>
      <c r="K26" s="23">
        <v>106.771</v>
      </c>
      <c r="L26" s="46">
        <f>+K26-J26</f>
        <v>9.7999999999998977E-2</v>
      </c>
      <c r="M26" s="45">
        <v>106.6711</v>
      </c>
      <c r="N26" s="23">
        <v>106.7304</v>
      </c>
      <c r="O26" s="46">
        <f>+N26-M26</f>
        <v>5.9300000000007458E-2</v>
      </c>
      <c r="P26" s="45">
        <v>106.6768</v>
      </c>
      <c r="Q26" s="23">
        <v>106.7238</v>
      </c>
      <c r="R26" s="46">
        <f>+Q26-P26</f>
        <v>4.6999999999997044E-2</v>
      </c>
      <c r="S26" s="36">
        <f t="shared" ref="S26:S27" si="4">+F26+I26+L26+O26+R26</f>
        <v>0.95140000000000668</v>
      </c>
      <c r="T26" s="33">
        <f t="shared" ref="T26:T27" si="5">+(S26/C26)*100</f>
        <v>16.910592706436546</v>
      </c>
      <c r="U26" s="15"/>
      <c r="V26" s="15"/>
      <c r="W26" s="15"/>
      <c r="X26" s="15"/>
      <c r="Y26" s="15"/>
    </row>
    <row r="27" spans="1:25" ht="15.75" thickBot="1" x14ac:dyDescent="0.3">
      <c r="A27" s="57">
        <v>3</v>
      </c>
      <c r="B27" s="51">
        <v>6.0011999999999999</v>
      </c>
      <c r="C27" s="49">
        <f>+B27*(1-('% Humidity for extracrtives'!$F$26/100))</f>
        <v>5.6256844852073637</v>
      </c>
      <c r="D27" s="47">
        <v>99.734999999999999</v>
      </c>
      <c r="E27" s="48">
        <v>100.3567</v>
      </c>
      <c r="F27" s="49">
        <f>+E27-D27</f>
        <v>0.62170000000000414</v>
      </c>
      <c r="G27" s="50">
        <v>97.732299999999995</v>
      </c>
      <c r="H27" s="51">
        <v>97.845100000000002</v>
      </c>
      <c r="I27" s="49">
        <f>+H27-G27</f>
        <v>0.11280000000000712</v>
      </c>
      <c r="J27" s="47">
        <v>99.739199999999997</v>
      </c>
      <c r="K27" s="48">
        <v>99.832999999999998</v>
      </c>
      <c r="L27" s="49">
        <f>+K27-J27</f>
        <v>9.380000000000166E-2</v>
      </c>
      <c r="M27" s="50">
        <v>99.734099999999998</v>
      </c>
      <c r="N27" s="48">
        <v>99.791200000000003</v>
      </c>
      <c r="O27" s="49">
        <f>+N27-M27</f>
        <v>5.710000000000548E-2</v>
      </c>
      <c r="P27" s="47">
        <v>99.737399999999994</v>
      </c>
      <c r="Q27" s="48">
        <v>99.783699999999996</v>
      </c>
      <c r="R27" s="49">
        <f>+Q27-P27</f>
        <v>4.6300000000002228E-2</v>
      </c>
      <c r="S27" s="36">
        <f t="shared" si="4"/>
        <v>0.93170000000002062</v>
      </c>
      <c r="T27" s="33">
        <f t="shared" si="5"/>
        <v>16.561540243678952</v>
      </c>
      <c r="U27" s="15"/>
      <c r="V27" s="15"/>
      <c r="W27" s="15"/>
      <c r="X27" s="15"/>
      <c r="Y27" s="15"/>
    </row>
    <row r="28" spans="1:25" x14ac:dyDescent="0.25">
      <c r="A28" s="21"/>
      <c r="B28" s="22"/>
      <c r="C28" s="22"/>
      <c r="D28" s="22"/>
      <c r="E28" s="23"/>
      <c r="F28" s="22"/>
      <c r="G28" s="23"/>
      <c r="H28" s="22"/>
      <c r="I28" s="22"/>
      <c r="J28" s="22"/>
      <c r="K28" s="23"/>
      <c r="L28" s="22"/>
      <c r="M28" s="23"/>
      <c r="N28" s="23"/>
      <c r="O28" s="22"/>
      <c r="P28" s="22"/>
      <c r="Q28" s="23"/>
      <c r="R28" s="22"/>
      <c r="S28" s="37" t="s">
        <v>74</v>
      </c>
      <c r="T28" s="103">
        <f>AVERAGE(T25:T27)</f>
        <v>16.66836043780523</v>
      </c>
      <c r="U28" s="15"/>
      <c r="V28" s="15"/>
      <c r="W28" s="15"/>
      <c r="X28" s="15"/>
      <c r="Y28" s="15"/>
    </row>
    <row r="29" spans="1:25" ht="15.75" thickBot="1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39" t="s">
        <v>75</v>
      </c>
      <c r="T29" s="104">
        <f>_xlfn.STDEV.S(T25:T27)</f>
        <v>0.21026585048600915</v>
      </c>
      <c r="U29" s="15"/>
      <c r="V29" s="15"/>
      <c r="W29" s="15"/>
      <c r="X29" s="15"/>
      <c r="Y29" s="15"/>
    </row>
    <row r="30" spans="1:25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x14ac:dyDescent="0.25">
      <c r="A31" s="145" t="s">
        <v>33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5"/>
      <c r="V31" s="15"/>
      <c r="W31" s="15"/>
      <c r="X31" s="15"/>
      <c r="Y31" s="15"/>
    </row>
    <row r="32" spans="1:25" ht="15" customHeight="1" x14ac:dyDescent="0.25">
      <c r="A32" s="130" t="s">
        <v>6</v>
      </c>
      <c r="B32" s="127" t="s">
        <v>68</v>
      </c>
      <c r="C32" s="128" t="s">
        <v>69</v>
      </c>
      <c r="D32" s="126" t="s">
        <v>39</v>
      </c>
      <c r="E32" s="127"/>
      <c r="F32" s="128"/>
      <c r="G32" s="126" t="s">
        <v>41</v>
      </c>
      <c r="H32" s="127"/>
      <c r="I32" s="128"/>
      <c r="J32" s="126" t="s">
        <v>40</v>
      </c>
      <c r="K32" s="127"/>
      <c r="L32" s="128"/>
      <c r="M32" s="126" t="s">
        <v>44</v>
      </c>
      <c r="N32" s="127"/>
      <c r="O32" s="128"/>
      <c r="P32" s="127" t="s">
        <v>42</v>
      </c>
      <c r="Q32" s="127"/>
      <c r="R32" s="128"/>
      <c r="S32" s="120" t="s">
        <v>73</v>
      </c>
      <c r="T32" s="122" t="s">
        <v>15</v>
      </c>
      <c r="U32" s="15"/>
      <c r="V32" s="15"/>
      <c r="W32" s="15"/>
      <c r="X32" s="15"/>
      <c r="Y32" s="15"/>
    </row>
    <row r="33" spans="1:25" x14ac:dyDescent="0.25">
      <c r="A33" s="131"/>
      <c r="B33" s="132"/>
      <c r="C33" s="133"/>
      <c r="D33" s="92" t="s">
        <v>70</v>
      </c>
      <c r="E33" s="93" t="s">
        <v>71</v>
      </c>
      <c r="F33" s="94" t="s">
        <v>72</v>
      </c>
      <c r="G33" s="92" t="s">
        <v>70</v>
      </c>
      <c r="H33" s="93" t="s">
        <v>71</v>
      </c>
      <c r="I33" s="94" t="s">
        <v>72</v>
      </c>
      <c r="J33" s="92" t="s">
        <v>70</v>
      </c>
      <c r="K33" s="93" t="s">
        <v>71</v>
      </c>
      <c r="L33" s="94" t="s">
        <v>72</v>
      </c>
      <c r="M33" s="92" t="s">
        <v>70</v>
      </c>
      <c r="N33" s="93" t="s">
        <v>71</v>
      </c>
      <c r="O33" s="94" t="s">
        <v>72</v>
      </c>
      <c r="P33" s="92" t="s">
        <v>70</v>
      </c>
      <c r="Q33" s="93" t="s">
        <v>71</v>
      </c>
      <c r="R33" s="94" t="s">
        <v>72</v>
      </c>
      <c r="S33" s="121"/>
      <c r="T33" s="123"/>
      <c r="U33" s="15"/>
      <c r="V33" s="15"/>
      <c r="W33" s="15"/>
      <c r="X33" s="15"/>
      <c r="Y33" s="15"/>
    </row>
    <row r="34" spans="1:25" x14ac:dyDescent="0.25">
      <c r="A34" s="56">
        <v>1</v>
      </c>
      <c r="B34" s="22">
        <v>6.0069999999999997</v>
      </c>
      <c r="C34" s="46">
        <f>+B34*(1-('% Humidity for extracrtives'!$F$33/100))</f>
        <v>5.455984263684174</v>
      </c>
      <c r="D34" s="45">
        <v>107.96380000000001</v>
      </c>
      <c r="E34" s="23">
        <v>108.6324</v>
      </c>
      <c r="F34" s="46">
        <f>+E34-D34</f>
        <v>0.66859999999999786</v>
      </c>
      <c r="G34" s="45">
        <v>94.005499999999998</v>
      </c>
      <c r="H34" s="22">
        <v>94.350499999999997</v>
      </c>
      <c r="I34" s="46">
        <f>+H34-G34</f>
        <v>0.34499999999999886</v>
      </c>
      <c r="J34" s="45">
        <v>107.9637</v>
      </c>
      <c r="K34" s="23">
        <v>108.185</v>
      </c>
      <c r="L34" s="46">
        <f>+K34-J34</f>
        <v>0.22129999999999939</v>
      </c>
      <c r="M34" s="54">
        <v>93.997500000000002</v>
      </c>
      <c r="N34" s="23">
        <v>94.122799999999998</v>
      </c>
      <c r="O34" s="52">
        <f>+N34-M34</f>
        <v>0.12529999999999575</v>
      </c>
      <c r="P34" s="23">
        <v>94.002700000000004</v>
      </c>
      <c r="Q34" s="23">
        <v>94.040899999999993</v>
      </c>
      <c r="R34" s="46">
        <f>+Q34-P34</f>
        <v>3.8199999999989132E-2</v>
      </c>
      <c r="S34" s="55">
        <f>+F34+I34+L34+O34+R34</f>
        <v>1.398399999999981</v>
      </c>
      <c r="T34" s="33">
        <f>+(S34/C34)*100</f>
        <v>25.630572457987739</v>
      </c>
      <c r="U34" s="15"/>
      <c r="V34" s="15"/>
      <c r="W34" s="15"/>
      <c r="X34" s="15"/>
      <c r="Y34" s="15"/>
    </row>
    <row r="35" spans="1:25" x14ac:dyDescent="0.25">
      <c r="A35" s="56">
        <v>2</v>
      </c>
      <c r="B35" s="22">
        <v>6.0101000000000004</v>
      </c>
      <c r="C35" s="46">
        <f>+B35*(1-('% Humidity for extracrtives'!$F$33/100))</f>
        <v>5.4587999039734072</v>
      </c>
      <c r="D35" s="45">
        <v>104.0758</v>
      </c>
      <c r="E35" s="23">
        <v>104.74760000000001</v>
      </c>
      <c r="F35" s="46">
        <f>+E35-D35</f>
        <v>0.67180000000000462</v>
      </c>
      <c r="G35" s="45">
        <v>96.697299999999998</v>
      </c>
      <c r="H35" s="23">
        <v>97.003799999999998</v>
      </c>
      <c r="I35" s="46">
        <f>+H35-G35</f>
        <v>0.30649999999999977</v>
      </c>
      <c r="J35" s="45">
        <v>104.0767</v>
      </c>
      <c r="K35" s="23">
        <v>104.1515</v>
      </c>
      <c r="L35" s="46">
        <f>+K35-J35</f>
        <v>7.4799999999996203E-2</v>
      </c>
      <c r="M35" s="45">
        <v>96.6952</v>
      </c>
      <c r="N35" s="23">
        <v>96.9345</v>
      </c>
      <c r="O35" s="52">
        <f>+N35-M35</f>
        <v>0.23930000000000007</v>
      </c>
      <c r="P35" s="22">
        <v>96.694500000000005</v>
      </c>
      <c r="Q35" s="22">
        <v>96.750200000000007</v>
      </c>
      <c r="R35" s="46">
        <f>+Q35-P35</f>
        <v>5.5700000000001637E-2</v>
      </c>
      <c r="S35" s="55">
        <f t="shared" ref="S35:S36" si="6">+F35+I35+L35+O35+R35</f>
        <v>1.3481000000000023</v>
      </c>
      <c r="T35" s="33">
        <f t="shared" ref="T35:T36" si="7">+(S35/C35)*100</f>
        <v>24.695904296084077</v>
      </c>
      <c r="U35" s="15"/>
      <c r="V35" s="15"/>
      <c r="W35" s="15"/>
      <c r="X35" s="15"/>
      <c r="Y35" s="15"/>
    </row>
    <row r="36" spans="1:25" ht="15.75" thickBot="1" x14ac:dyDescent="0.3">
      <c r="A36" s="57">
        <v>3</v>
      </c>
      <c r="B36" s="51">
        <v>6.0119999999999996</v>
      </c>
      <c r="C36" s="49">
        <f>+B36*(1-('% Humidity for extracrtives'!$F$33/100))</f>
        <v>5.4605256189893883</v>
      </c>
      <c r="D36" s="47">
        <v>182.57390000000001</v>
      </c>
      <c r="E36" s="48">
        <v>183.22730000000001</v>
      </c>
      <c r="F36" s="49">
        <f>+E36-D36</f>
        <v>0.65340000000000487</v>
      </c>
      <c r="G36" s="50">
        <v>171.12039999999999</v>
      </c>
      <c r="H36" s="51">
        <v>171.42420000000001</v>
      </c>
      <c r="I36" s="49">
        <f>+H36-G36</f>
        <v>0.30380000000002383</v>
      </c>
      <c r="J36" s="47">
        <v>182.53309999999999</v>
      </c>
      <c r="K36" s="48">
        <v>182.6773</v>
      </c>
      <c r="L36" s="49">
        <f>+K36-J36</f>
        <v>0.1442000000000121</v>
      </c>
      <c r="M36" s="47">
        <v>171.1182</v>
      </c>
      <c r="N36" s="48">
        <v>171.387</v>
      </c>
      <c r="O36" s="53">
        <f>+N36-M36</f>
        <v>0.26879999999999882</v>
      </c>
      <c r="P36" s="48">
        <v>171.1224</v>
      </c>
      <c r="Q36" s="48">
        <v>171.1765</v>
      </c>
      <c r="R36" s="49">
        <f>+Q36-P36</f>
        <v>5.4100000000005366E-2</v>
      </c>
      <c r="S36" s="55">
        <f t="shared" si="6"/>
        <v>1.424300000000045</v>
      </c>
      <c r="T36" s="33">
        <f t="shared" si="7"/>
        <v>26.08356959350094</v>
      </c>
      <c r="U36" s="15"/>
      <c r="V36" s="15"/>
      <c r="W36" s="15"/>
      <c r="X36" s="15"/>
      <c r="Y36" s="15"/>
    </row>
    <row r="37" spans="1:25" x14ac:dyDescent="0.25">
      <c r="A37" s="21"/>
      <c r="B37" s="22"/>
      <c r="C37" s="22"/>
      <c r="D37" s="22"/>
      <c r="E37" s="23"/>
      <c r="F37" s="22"/>
      <c r="G37" s="23"/>
      <c r="H37" s="22"/>
      <c r="I37" s="22"/>
      <c r="J37" s="22"/>
      <c r="K37" s="23"/>
      <c r="L37" s="22"/>
      <c r="M37" s="22"/>
      <c r="N37" s="23"/>
      <c r="O37" s="23"/>
      <c r="P37" s="23"/>
      <c r="Q37" s="23"/>
      <c r="R37" s="22"/>
      <c r="S37" s="37" t="s">
        <v>74</v>
      </c>
      <c r="T37" s="103">
        <f>AVERAGE(T34:T36)</f>
        <v>25.470015449190921</v>
      </c>
      <c r="U37" s="15"/>
      <c r="V37" s="15"/>
      <c r="W37" s="15"/>
      <c r="X37" s="15"/>
      <c r="Y37" s="15"/>
    </row>
    <row r="38" spans="1:25" ht="15.75" thickBot="1" x14ac:dyDescent="0.3">
      <c r="A38" s="21"/>
      <c r="B38" s="22"/>
      <c r="C38" s="22"/>
      <c r="D38" s="22"/>
      <c r="E38" s="23"/>
      <c r="F38" s="22"/>
      <c r="G38" s="23"/>
      <c r="H38" s="22"/>
      <c r="I38" s="22"/>
      <c r="J38" s="22"/>
      <c r="K38" s="23"/>
      <c r="L38" s="22"/>
      <c r="M38" s="22"/>
      <c r="N38" s="23"/>
      <c r="O38" s="23"/>
      <c r="P38" s="23"/>
      <c r="Q38" s="23"/>
      <c r="R38" s="22"/>
      <c r="S38" s="39" t="s">
        <v>75</v>
      </c>
      <c r="T38" s="104">
        <f>_xlfn.STDEV.S(T34:T36)</f>
        <v>0.70762819278141698</v>
      </c>
      <c r="U38" s="15"/>
      <c r="V38" s="15"/>
      <c r="W38" s="15"/>
      <c r="X38" s="15"/>
      <c r="Y38" s="15"/>
    </row>
    <row r="39" spans="1:25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5">
      <c r="A40" s="145" t="s">
        <v>34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5"/>
      <c r="Y40" s="15"/>
    </row>
    <row r="41" spans="1:25" ht="15" customHeight="1" x14ac:dyDescent="0.25">
      <c r="A41" s="130" t="s">
        <v>6</v>
      </c>
      <c r="B41" s="127" t="s">
        <v>68</v>
      </c>
      <c r="C41" s="128" t="s">
        <v>69</v>
      </c>
      <c r="D41" s="126" t="s">
        <v>39</v>
      </c>
      <c r="E41" s="127"/>
      <c r="F41" s="128"/>
      <c r="G41" s="126" t="s">
        <v>41</v>
      </c>
      <c r="H41" s="127"/>
      <c r="I41" s="128"/>
      <c r="J41" s="126" t="s">
        <v>40</v>
      </c>
      <c r="K41" s="127"/>
      <c r="L41" s="128"/>
      <c r="M41" s="126" t="s">
        <v>44</v>
      </c>
      <c r="N41" s="127"/>
      <c r="O41" s="128"/>
      <c r="P41" s="126" t="s">
        <v>42</v>
      </c>
      <c r="Q41" s="127"/>
      <c r="R41" s="128"/>
      <c r="S41" s="126" t="s">
        <v>43</v>
      </c>
      <c r="T41" s="127"/>
      <c r="U41" s="128"/>
      <c r="V41" s="120" t="s">
        <v>73</v>
      </c>
      <c r="W41" s="122" t="s">
        <v>15</v>
      </c>
      <c r="X41" s="15"/>
      <c r="Y41" s="15"/>
    </row>
    <row r="42" spans="1:25" x14ac:dyDescent="0.25">
      <c r="A42" s="131"/>
      <c r="B42" s="132"/>
      <c r="C42" s="133"/>
      <c r="D42" s="92" t="s">
        <v>70</v>
      </c>
      <c r="E42" s="93" t="s">
        <v>71</v>
      </c>
      <c r="F42" s="94" t="s">
        <v>72</v>
      </c>
      <c r="G42" s="92" t="s">
        <v>70</v>
      </c>
      <c r="H42" s="93" t="s">
        <v>71</v>
      </c>
      <c r="I42" s="94" t="s">
        <v>72</v>
      </c>
      <c r="J42" s="92" t="s">
        <v>70</v>
      </c>
      <c r="K42" s="93" t="s">
        <v>71</v>
      </c>
      <c r="L42" s="94" t="s">
        <v>72</v>
      </c>
      <c r="M42" s="92" t="s">
        <v>70</v>
      </c>
      <c r="N42" s="93" t="s">
        <v>71</v>
      </c>
      <c r="O42" s="94" t="s">
        <v>72</v>
      </c>
      <c r="P42" s="92" t="s">
        <v>70</v>
      </c>
      <c r="Q42" s="93" t="s">
        <v>71</v>
      </c>
      <c r="R42" s="94" t="s">
        <v>72</v>
      </c>
      <c r="S42" s="92" t="s">
        <v>70</v>
      </c>
      <c r="T42" s="93" t="s">
        <v>71</v>
      </c>
      <c r="U42" s="94" t="s">
        <v>72</v>
      </c>
      <c r="V42" s="121"/>
      <c r="W42" s="123"/>
      <c r="X42" s="15"/>
      <c r="Y42" s="15"/>
    </row>
    <row r="43" spans="1:25" x14ac:dyDescent="0.25">
      <c r="A43" s="56">
        <v>1</v>
      </c>
      <c r="B43" s="22">
        <v>6.0007999999999999</v>
      </c>
      <c r="C43" s="46">
        <f>+B43*(1-('% Humidity for extracrtives'!$F$40/100))</f>
        <v>4.8854326148181171</v>
      </c>
      <c r="D43" s="45">
        <v>95.15</v>
      </c>
      <c r="E43" s="23">
        <v>95.888999999999996</v>
      </c>
      <c r="F43" s="46">
        <f>+E43-D43</f>
        <v>0.73899999999999011</v>
      </c>
      <c r="G43" s="45">
        <v>94.000299999999996</v>
      </c>
      <c r="H43" s="22">
        <v>94.280799999999999</v>
      </c>
      <c r="I43" s="46">
        <f>+H43-G43</f>
        <v>0.28050000000000352</v>
      </c>
      <c r="J43" s="45">
        <v>95.138499999999993</v>
      </c>
      <c r="K43" s="23">
        <v>95.228899999999996</v>
      </c>
      <c r="L43" s="46">
        <f>+K43-J43</f>
        <v>9.0400000000002478E-2</v>
      </c>
      <c r="M43" s="45">
        <v>93.993099999999998</v>
      </c>
      <c r="N43" s="23">
        <v>94.175399999999996</v>
      </c>
      <c r="O43" s="46">
        <f>+N43-M43</f>
        <v>0.18229999999999791</v>
      </c>
      <c r="P43" s="45">
        <v>95.143900000000002</v>
      </c>
      <c r="Q43" s="22">
        <v>95.264499999999998</v>
      </c>
      <c r="R43" s="46">
        <f>+Q43-P43</f>
        <v>0.12059999999999604</v>
      </c>
      <c r="S43" s="45">
        <v>94.998199999999997</v>
      </c>
      <c r="T43" s="23">
        <v>95.007000000000005</v>
      </c>
      <c r="U43" s="52">
        <f>+T43-S43</f>
        <v>8.8000000000079126E-3</v>
      </c>
      <c r="V43" s="55">
        <f>+U43+R43+O43+L43+I43+F43</f>
        <v>1.421599999999998</v>
      </c>
      <c r="W43" s="33">
        <f>+(V43/C43)*100</f>
        <v>29.098753622926054</v>
      </c>
      <c r="X43" s="15"/>
      <c r="Y43" s="15"/>
    </row>
    <row r="44" spans="1:25" x14ac:dyDescent="0.25">
      <c r="A44" s="56">
        <v>2</v>
      </c>
      <c r="B44" s="22">
        <v>6.0109000000000004</v>
      </c>
      <c r="C44" s="46">
        <f>+B44*(1-('% Humidity for extracrtives'!$F$40/100))</f>
        <v>4.8936553300243668</v>
      </c>
      <c r="D44" s="45">
        <v>104.0808</v>
      </c>
      <c r="E44" s="23">
        <v>104.7505</v>
      </c>
      <c r="F44" s="46">
        <f>+E44-D44</f>
        <v>0.66970000000000596</v>
      </c>
      <c r="G44" s="45">
        <v>101.9267</v>
      </c>
      <c r="H44" s="23">
        <v>102.1631</v>
      </c>
      <c r="I44" s="46">
        <f>+H44-G44</f>
        <v>0.23640000000000327</v>
      </c>
      <c r="J44" s="45">
        <v>104.0745</v>
      </c>
      <c r="K44" s="23">
        <v>104.1887</v>
      </c>
      <c r="L44" s="46">
        <f>+K44-J44</f>
        <v>0.11419999999999675</v>
      </c>
      <c r="M44" s="45">
        <v>101.92529999999999</v>
      </c>
      <c r="N44" s="23">
        <v>102.0849</v>
      </c>
      <c r="O44" s="46">
        <f>+N44-M44</f>
        <v>0.15960000000001173</v>
      </c>
      <c r="P44" s="45">
        <v>104.0705</v>
      </c>
      <c r="Q44" s="23">
        <v>104.2187</v>
      </c>
      <c r="R44" s="46">
        <f>+Q44-P44</f>
        <v>0.14820000000000277</v>
      </c>
      <c r="S44" s="45">
        <v>101.9272</v>
      </c>
      <c r="T44" s="23">
        <v>101.9346</v>
      </c>
      <c r="U44" s="52">
        <f>+T44-S44</f>
        <v>7.40000000000407E-3</v>
      </c>
      <c r="V44" s="55">
        <f t="shared" ref="V44:V45" si="8">+U44+R44+O44+L44+I44+F44</f>
        <v>1.3355000000000246</v>
      </c>
      <c r="W44" s="33">
        <f t="shared" ref="W44:W45" si="9">+(V44/C44)*100</f>
        <v>27.290438535919016</v>
      </c>
      <c r="X44" s="15"/>
      <c r="Y44" s="15"/>
    </row>
    <row r="45" spans="1:25" ht="15.75" thickBot="1" x14ac:dyDescent="0.3">
      <c r="A45" s="57">
        <v>3</v>
      </c>
      <c r="B45" s="51">
        <v>6.0129999999999999</v>
      </c>
      <c r="C45" s="49">
        <f>+B45*(1-('% Humidity for extracrtives'!$F$40/100))</f>
        <v>4.895365003483092</v>
      </c>
      <c r="D45" s="47">
        <v>182.56899999999999</v>
      </c>
      <c r="E45" s="48">
        <v>183.24080000000001</v>
      </c>
      <c r="F45" s="49">
        <f>+E45-D45</f>
        <v>0.67180000000001883</v>
      </c>
      <c r="G45" s="50">
        <v>171.1336</v>
      </c>
      <c r="H45" s="51">
        <v>171.3349</v>
      </c>
      <c r="I45" s="49">
        <f>+H45-G45</f>
        <v>0.20130000000000337</v>
      </c>
      <c r="J45" s="47">
        <v>182.5608</v>
      </c>
      <c r="K45" s="48">
        <v>182.66829999999999</v>
      </c>
      <c r="L45" s="49">
        <f>+K45-J45</f>
        <v>0.10749999999998749</v>
      </c>
      <c r="M45" s="47">
        <v>171.11080000000001</v>
      </c>
      <c r="N45" s="48">
        <v>171.27080000000001</v>
      </c>
      <c r="O45" s="49">
        <f>+N45-M45</f>
        <v>0.15999999999999659</v>
      </c>
      <c r="P45" s="50">
        <v>182.57069999999999</v>
      </c>
      <c r="Q45" s="48">
        <v>182.75970000000001</v>
      </c>
      <c r="R45" s="49">
        <f>+Q45-P45</f>
        <v>0.18900000000002137</v>
      </c>
      <c r="S45" s="50">
        <v>171.12</v>
      </c>
      <c r="T45" s="48">
        <v>171.1464</v>
      </c>
      <c r="U45" s="53">
        <f>+T45-S45</f>
        <v>2.6399999999995316E-2</v>
      </c>
      <c r="V45" s="55">
        <f t="shared" si="8"/>
        <v>1.356000000000023</v>
      </c>
      <c r="W45" s="33">
        <f t="shared" si="9"/>
        <v>27.699670995629905</v>
      </c>
      <c r="X45" s="15"/>
      <c r="Y45" s="15"/>
    </row>
    <row r="46" spans="1:25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37" t="s">
        <v>74</v>
      </c>
      <c r="W46" s="103">
        <f>AVERAGE(W43:W45)</f>
        <v>28.02962105149166</v>
      </c>
      <c r="X46" s="15"/>
      <c r="Y46" s="15"/>
    </row>
    <row r="47" spans="1:25" ht="15.75" thickBot="1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39" t="s">
        <v>75</v>
      </c>
      <c r="W47" s="104">
        <f>_xlfn.STDEV.S(W43:W45)</f>
        <v>0.94823580558672149</v>
      </c>
      <c r="X47" s="15"/>
      <c r="Y47" s="15"/>
    </row>
    <row r="48" spans="1:25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</sheetData>
  <mergeCells count="58">
    <mergeCell ref="A1:N1"/>
    <mergeCell ref="J32:L32"/>
    <mergeCell ref="D23:F23"/>
    <mergeCell ref="G23:I23"/>
    <mergeCell ref="A22:T22"/>
    <mergeCell ref="A31:T31"/>
    <mergeCell ref="J23:L23"/>
    <mergeCell ref="M23:O23"/>
    <mergeCell ref="P23:R23"/>
    <mergeCell ref="M32:O32"/>
    <mergeCell ref="P32:R32"/>
    <mergeCell ref="A32:A33"/>
    <mergeCell ref="B32:B33"/>
    <mergeCell ref="C32:C33"/>
    <mergeCell ref="A41:A42"/>
    <mergeCell ref="B41:B42"/>
    <mergeCell ref="C41:C42"/>
    <mergeCell ref="D13:F13"/>
    <mergeCell ref="G13:I13"/>
    <mergeCell ref="A23:A24"/>
    <mergeCell ref="B23:B24"/>
    <mergeCell ref="C23:C24"/>
    <mergeCell ref="D32:F32"/>
    <mergeCell ref="G32:I32"/>
    <mergeCell ref="A40:W40"/>
    <mergeCell ref="S41:U41"/>
    <mergeCell ref="D41:F41"/>
    <mergeCell ref="G41:I41"/>
    <mergeCell ref="J41:L41"/>
    <mergeCell ref="M41:O41"/>
    <mergeCell ref="M4:M5"/>
    <mergeCell ref="N4:N5"/>
    <mergeCell ref="A3:N3"/>
    <mergeCell ref="J13:J14"/>
    <mergeCell ref="K13:K14"/>
    <mergeCell ref="A12:K12"/>
    <mergeCell ref="J4:L4"/>
    <mergeCell ref="D4:F4"/>
    <mergeCell ref="G4:I4"/>
    <mergeCell ref="A4:A5"/>
    <mergeCell ref="B4:B5"/>
    <mergeCell ref="C4:C5"/>
    <mergeCell ref="A13:A14"/>
    <mergeCell ref="B13:B14"/>
    <mergeCell ref="C13:C14"/>
    <mergeCell ref="W41:W42"/>
    <mergeCell ref="Q2:S2"/>
    <mergeCell ref="U2:W2"/>
    <mergeCell ref="Y2:Z2"/>
    <mergeCell ref="Q4:S5"/>
    <mergeCell ref="U4:W5"/>
    <mergeCell ref="Y4:AA5"/>
    <mergeCell ref="S23:S24"/>
    <mergeCell ref="T23:T24"/>
    <mergeCell ref="S32:S33"/>
    <mergeCell ref="T32:T33"/>
    <mergeCell ref="V41:V42"/>
    <mergeCell ref="P41:R4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56076-0864-42EE-80F2-14F28F3AA65C}">
  <dimension ref="A1:AD54"/>
  <sheetViews>
    <sheetView zoomScaleNormal="100" workbookViewId="0">
      <selection activeCell="I63" sqref="I63"/>
    </sheetView>
  </sheetViews>
  <sheetFormatPr baseColWidth="10" defaultRowHeight="15" x14ac:dyDescent="0.25"/>
  <cols>
    <col min="4" max="4" width="15.7109375" customWidth="1"/>
    <col min="5" max="5" width="15" customWidth="1"/>
    <col min="6" max="6" width="20.42578125" customWidth="1"/>
    <col min="7" max="7" width="16" customWidth="1"/>
    <col min="8" max="8" width="15.28515625" customWidth="1"/>
    <col min="9" max="9" width="20.7109375" customWidth="1"/>
    <col min="10" max="10" width="16" customWidth="1"/>
    <col min="11" max="11" width="15.42578125" customWidth="1"/>
    <col min="12" max="12" width="20.7109375" customWidth="1"/>
    <col min="13" max="13" width="16.42578125" customWidth="1"/>
    <col min="14" max="14" width="15.7109375" customWidth="1"/>
    <col min="15" max="15" width="20.7109375" customWidth="1"/>
    <col min="16" max="16" width="14.85546875" customWidth="1"/>
    <col min="17" max="17" width="13.5703125" customWidth="1"/>
  </cols>
  <sheetData>
    <row r="1" spans="1:30" ht="18.75" x14ac:dyDescent="0.25">
      <c r="A1" s="113" t="s">
        <v>140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30" ht="18.75" x14ac:dyDescent="0.3">
      <c r="T2" s="125" t="s">
        <v>19</v>
      </c>
      <c r="U2" s="125"/>
      <c r="V2" s="125"/>
      <c r="W2" s="14"/>
      <c r="X2" s="114" t="s">
        <v>21</v>
      </c>
      <c r="Y2" s="114"/>
      <c r="Z2" s="114"/>
      <c r="AA2" s="14"/>
      <c r="AB2" s="116" t="s">
        <v>15</v>
      </c>
      <c r="AC2" s="116"/>
    </row>
    <row r="3" spans="1:30" ht="15" customHeight="1" x14ac:dyDescent="0.25">
      <c r="A3" s="146" t="s">
        <v>38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W3" s="14"/>
      <c r="X3" s="95"/>
      <c r="Y3" s="14"/>
      <c r="Z3" s="14"/>
      <c r="AA3" s="14"/>
      <c r="AB3" s="14"/>
      <c r="AC3" s="14"/>
    </row>
    <row r="4" spans="1:30" ht="15" customHeight="1" x14ac:dyDescent="0.25">
      <c r="A4" s="130" t="s">
        <v>6</v>
      </c>
      <c r="B4" s="127" t="s">
        <v>68</v>
      </c>
      <c r="C4" s="128" t="s">
        <v>69</v>
      </c>
      <c r="D4" s="126" t="s">
        <v>45</v>
      </c>
      <c r="E4" s="127"/>
      <c r="F4" s="128"/>
      <c r="G4" s="126" t="s">
        <v>46</v>
      </c>
      <c r="H4" s="127"/>
      <c r="I4" s="128"/>
      <c r="J4" s="126" t="s">
        <v>47</v>
      </c>
      <c r="K4" s="127"/>
      <c r="L4" s="128"/>
      <c r="M4" s="126" t="s">
        <v>48</v>
      </c>
      <c r="N4" s="127"/>
      <c r="O4" s="128"/>
      <c r="P4" s="120" t="s">
        <v>73</v>
      </c>
      <c r="Q4" s="122" t="s">
        <v>15</v>
      </c>
      <c r="T4" s="115" t="s">
        <v>50</v>
      </c>
      <c r="U4" s="115"/>
      <c r="V4" s="115"/>
      <c r="W4" s="14"/>
      <c r="X4" s="115" t="s">
        <v>55</v>
      </c>
      <c r="Y4" s="115"/>
      <c r="Z4" s="115"/>
      <c r="AA4" s="14"/>
      <c r="AB4" s="117" t="s">
        <v>58</v>
      </c>
      <c r="AC4" s="117"/>
      <c r="AD4" s="117"/>
    </row>
    <row r="5" spans="1:30" x14ac:dyDescent="0.25">
      <c r="A5" s="131"/>
      <c r="B5" s="132"/>
      <c r="C5" s="133"/>
      <c r="D5" s="92" t="s">
        <v>70</v>
      </c>
      <c r="E5" s="93" t="s">
        <v>71</v>
      </c>
      <c r="F5" s="94" t="s">
        <v>72</v>
      </c>
      <c r="G5" s="92" t="s">
        <v>70</v>
      </c>
      <c r="H5" s="93" t="s">
        <v>71</v>
      </c>
      <c r="I5" s="94" t="s">
        <v>72</v>
      </c>
      <c r="J5" s="92" t="s">
        <v>70</v>
      </c>
      <c r="K5" s="93" t="s">
        <v>71</v>
      </c>
      <c r="L5" s="94" t="s">
        <v>72</v>
      </c>
      <c r="M5" s="92" t="s">
        <v>70</v>
      </c>
      <c r="N5" s="93" t="s">
        <v>71</v>
      </c>
      <c r="O5" s="94" t="s">
        <v>72</v>
      </c>
      <c r="P5" s="121"/>
      <c r="Q5" s="123"/>
      <c r="T5" s="115"/>
      <c r="U5" s="115"/>
      <c r="V5" s="115"/>
      <c r="W5" s="14"/>
      <c r="X5" s="115"/>
      <c r="Y5" s="115"/>
      <c r="Z5" s="115"/>
      <c r="AA5" s="14"/>
      <c r="AB5" s="117"/>
      <c r="AC5" s="117"/>
      <c r="AD5" s="117"/>
    </row>
    <row r="6" spans="1:30" x14ac:dyDescent="0.25">
      <c r="A6" s="56">
        <v>1</v>
      </c>
      <c r="B6" s="22">
        <v>6.0041000000000002</v>
      </c>
      <c r="C6" s="46">
        <f>+B6*(1-('% Humidity for extracrtives'!$F$11/100))</f>
        <v>5.6649823052783042</v>
      </c>
      <c r="D6" s="45">
        <f>110.7326+44.3423</f>
        <v>155.07490000000001</v>
      </c>
      <c r="E6" s="23">
        <f>110.7823+44.3808</f>
        <v>155.16310000000001</v>
      </c>
      <c r="F6" s="46">
        <f>+E6-D6</f>
        <v>8.82000000000005E-2</v>
      </c>
      <c r="G6" s="54">
        <f>95.8469+36.85</f>
        <v>132.6969</v>
      </c>
      <c r="H6" s="22">
        <v>132.73339999999999</v>
      </c>
      <c r="I6" s="46">
        <f>+H6-G6</f>
        <v>3.6499999999989541E-2</v>
      </c>
      <c r="J6" s="45">
        <f>110.7335+36.8432</f>
        <v>147.57670000000002</v>
      </c>
      <c r="K6" s="23">
        <f>110.7485+36.856</f>
        <v>147.6045</v>
      </c>
      <c r="L6" s="46">
        <f>+K6-J6</f>
        <v>2.7799999999984948E-2</v>
      </c>
      <c r="M6" s="45">
        <f>107.9628+44.376</f>
        <v>152.33879999999999</v>
      </c>
      <c r="N6" s="23">
        <f>107.9648+44.3951</f>
        <v>152.35989999999998</v>
      </c>
      <c r="O6" s="46">
        <f>+N6-M6</f>
        <v>2.1099999999989905E-2</v>
      </c>
      <c r="P6" s="78">
        <f>+O6+L6+I6+F6</f>
        <v>0.17359999999996489</v>
      </c>
      <c r="Q6" s="89">
        <f>+(P6/C6)*100</f>
        <v>3.0644402867457221</v>
      </c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30" x14ac:dyDescent="0.25">
      <c r="A7" s="56">
        <v>2</v>
      </c>
      <c r="B7" s="22">
        <v>6.0571000000000002</v>
      </c>
      <c r="C7" s="46">
        <f>+B7*(1-('% Humidity for extracrtives'!$F$11/100))</f>
        <v>5.7149888111958855</v>
      </c>
      <c r="D7" s="45">
        <v>138.54650000000001</v>
      </c>
      <c r="E7" s="22">
        <v>138.64429999999999</v>
      </c>
      <c r="F7" s="46">
        <f>+E7-D7</f>
        <v>9.7799999999978127E-2</v>
      </c>
      <c r="G7" s="45">
        <f>106.6731+45.7222</f>
        <v>152.39530000000002</v>
      </c>
      <c r="H7" s="23">
        <v>152.43379999999999</v>
      </c>
      <c r="I7" s="46">
        <f>+H7-G7</f>
        <v>3.8499999999970669E-2</v>
      </c>
      <c r="J7" s="54">
        <f>97.7382+44.5458</f>
        <v>142.28399999999999</v>
      </c>
      <c r="K7" s="22">
        <f>97.7323+44.5637</f>
        <v>142.29599999999999</v>
      </c>
      <c r="L7" s="46">
        <f>+K7-J7</f>
        <v>1.2000000000000455E-2</v>
      </c>
      <c r="M7" s="45">
        <f>104.6655+39.542</f>
        <v>144.20749999999998</v>
      </c>
      <c r="N7" s="23">
        <f>104.6678+39.559</f>
        <v>144.2268</v>
      </c>
      <c r="O7" s="46">
        <f>+N7-M7</f>
        <v>1.9300000000015416E-2</v>
      </c>
      <c r="P7" s="78">
        <f t="shared" ref="P7:P8" si="0">+O7+L7+I7+F7</f>
        <v>0.16759999999996467</v>
      </c>
      <c r="Q7" s="89">
        <f t="shared" ref="Q7:Q8" si="1">+(P7/C7)*100</f>
        <v>2.9326391623309873</v>
      </c>
      <c r="T7" s="14" t="s">
        <v>51</v>
      </c>
      <c r="U7" s="14"/>
      <c r="V7" s="14"/>
      <c r="W7" s="14"/>
      <c r="X7" s="14" t="s">
        <v>51</v>
      </c>
      <c r="Y7" s="14"/>
      <c r="Z7" s="14"/>
      <c r="AA7" s="14"/>
      <c r="AB7" s="14" t="s">
        <v>51</v>
      </c>
      <c r="AC7" s="14"/>
    </row>
    <row r="8" spans="1:30" ht="15.75" thickBot="1" x14ac:dyDescent="0.3">
      <c r="A8" s="57">
        <v>3</v>
      </c>
      <c r="B8" s="51">
        <v>6.0212000000000003</v>
      </c>
      <c r="C8" s="49">
        <f>+B8*(1-('% Humidity for extracrtives'!$F$11/100))</f>
        <v>5.681116479829071</v>
      </c>
      <c r="D8" s="47">
        <f>97.7318+38.5134</f>
        <v>136.24520000000001</v>
      </c>
      <c r="E8" s="51">
        <f>97.733+38.5725</f>
        <v>136.30549999999999</v>
      </c>
      <c r="F8" s="49">
        <f>+E8-D8</f>
        <v>6.0299999999983811E-2</v>
      </c>
      <c r="G8" s="47">
        <f>99.7372+36.2747</f>
        <v>136.0119</v>
      </c>
      <c r="H8" s="51">
        <v>136.0538</v>
      </c>
      <c r="I8" s="49">
        <f>+H8-G8</f>
        <v>4.1899999999998272E-2</v>
      </c>
      <c r="J8" s="47">
        <f>104.0792+36.2726</f>
        <v>140.3518</v>
      </c>
      <c r="K8" s="51">
        <f>104.1246+36.281</f>
        <v>140.40559999999999</v>
      </c>
      <c r="L8" s="49">
        <f>+K8-J8</f>
        <v>5.3799999999995407E-2</v>
      </c>
      <c r="M8" s="50">
        <f>101.9237+47.0316</f>
        <v>148.95529999999999</v>
      </c>
      <c r="N8" s="48">
        <f>101.9285+47.0552</f>
        <v>148.9837</v>
      </c>
      <c r="O8" s="49">
        <f>+N8-M8</f>
        <v>2.8400000000004866E-2</v>
      </c>
      <c r="P8" s="78">
        <f t="shared" si="0"/>
        <v>0.18439999999998236</v>
      </c>
      <c r="Q8" s="89">
        <f t="shared" si="1"/>
        <v>3.245840859885528</v>
      </c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30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  <c r="N9" s="23"/>
      <c r="O9" s="22"/>
      <c r="P9" s="37" t="s">
        <v>74</v>
      </c>
      <c r="Q9" s="90">
        <f>AVERAGE(Q6:Q8)</f>
        <v>3.0809734363207455</v>
      </c>
      <c r="T9" s="14" t="s">
        <v>52</v>
      </c>
      <c r="U9" s="14"/>
      <c r="V9" s="14"/>
      <c r="W9" s="14"/>
      <c r="X9" s="14" t="s">
        <v>56</v>
      </c>
      <c r="Y9" s="14"/>
      <c r="Z9" s="14"/>
      <c r="AA9" s="14"/>
      <c r="AB9" s="14" t="s">
        <v>56</v>
      </c>
      <c r="AC9" s="14"/>
    </row>
    <row r="10" spans="1:30" ht="15.75" thickBot="1" x14ac:dyDescent="0.3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23"/>
      <c r="O10" s="22"/>
      <c r="P10" s="39" t="s">
        <v>75</v>
      </c>
      <c r="Q10" s="91">
        <f>_xlfn.STDEV.S(Q6:Q8)</f>
        <v>0.15725404482528921</v>
      </c>
      <c r="T10" s="14" t="s">
        <v>53</v>
      </c>
      <c r="U10" s="14"/>
      <c r="V10" s="14"/>
      <c r="W10" s="14"/>
      <c r="X10" s="14" t="s">
        <v>57</v>
      </c>
      <c r="Y10" s="14"/>
      <c r="Z10" s="14"/>
      <c r="AA10" s="14"/>
      <c r="AB10" s="14" t="s">
        <v>52</v>
      </c>
      <c r="AC10" s="14"/>
    </row>
    <row r="11" spans="1:30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23"/>
      <c r="O11" s="22"/>
      <c r="T11" s="14" t="s">
        <v>54</v>
      </c>
      <c r="U11" s="14"/>
      <c r="V11" s="14"/>
      <c r="W11" s="14"/>
      <c r="X11" s="14"/>
      <c r="Y11" s="14"/>
      <c r="Z11" s="14"/>
      <c r="AA11" s="14"/>
      <c r="AB11" s="14"/>
      <c r="AC11" s="14"/>
    </row>
    <row r="12" spans="1:30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30" x14ac:dyDescent="0.25">
      <c r="A13" s="124" t="s">
        <v>31</v>
      </c>
      <c r="B13" s="124"/>
      <c r="C13" s="124"/>
      <c r="D13" s="124"/>
      <c r="E13" s="124"/>
      <c r="F13" s="124"/>
      <c r="G13" s="124"/>
      <c r="H13" s="124"/>
      <c r="I13" s="15"/>
      <c r="J13" s="15"/>
      <c r="K13" s="15"/>
      <c r="L13" s="15"/>
      <c r="M13" s="15"/>
      <c r="N13" s="15"/>
      <c r="O13" s="15"/>
    </row>
    <row r="14" spans="1:30" ht="15" customHeight="1" x14ac:dyDescent="0.25">
      <c r="A14" s="130" t="s">
        <v>6</v>
      </c>
      <c r="B14" s="127" t="s">
        <v>68</v>
      </c>
      <c r="C14" s="128" t="s">
        <v>69</v>
      </c>
      <c r="D14" s="138" t="s">
        <v>49</v>
      </c>
      <c r="E14" s="139"/>
      <c r="F14" s="140"/>
      <c r="G14" s="120" t="s">
        <v>73</v>
      </c>
      <c r="H14" s="122" t="s">
        <v>15</v>
      </c>
      <c r="I14" s="15"/>
      <c r="J14" s="15"/>
      <c r="K14" s="15"/>
      <c r="L14" s="15"/>
      <c r="M14" s="15"/>
      <c r="N14" s="15"/>
      <c r="O14" s="15"/>
    </row>
    <row r="15" spans="1:30" x14ac:dyDescent="0.25">
      <c r="A15" s="131"/>
      <c r="B15" s="132"/>
      <c r="C15" s="133"/>
      <c r="D15" s="92" t="s">
        <v>70</v>
      </c>
      <c r="E15" s="93" t="s">
        <v>71</v>
      </c>
      <c r="F15" s="94" t="s">
        <v>72</v>
      </c>
      <c r="G15" s="121"/>
      <c r="H15" s="123"/>
      <c r="I15" s="15"/>
      <c r="J15" s="15"/>
      <c r="K15" s="15"/>
      <c r="L15" s="15"/>
      <c r="M15" s="15"/>
      <c r="N15" s="15"/>
      <c r="O15" s="244"/>
    </row>
    <row r="16" spans="1:30" x14ac:dyDescent="0.25">
      <c r="A16" s="56">
        <v>1</v>
      </c>
      <c r="B16" s="22">
        <v>6.0068000000000001</v>
      </c>
      <c r="C16" s="46">
        <f>+B16*(1-('% Humidity for extracrtives'!$F$19/100))</f>
        <v>5.6968989689682505</v>
      </c>
      <c r="D16" s="60">
        <v>146.12439999999998</v>
      </c>
      <c r="E16" s="31">
        <v>146.41460000000001</v>
      </c>
      <c r="F16" s="61">
        <f>+E16-D16</f>
        <v>0.2902000000000271</v>
      </c>
      <c r="G16" s="78">
        <f>+F16</f>
        <v>0.2902000000000271</v>
      </c>
      <c r="H16" s="61">
        <f>+(G16/C16)*100</f>
        <v>5.0939994123256218</v>
      </c>
      <c r="I16" s="15"/>
      <c r="J16" s="15"/>
      <c r="K16" s="15"/>
      <c r="L16" s="15"/>
      <c r="M16" s="15"/>
      <c r="N16" s="15"/>
      <c r="O16" s="244"/>
    </row>
    <row r="17" spans="1:15" x14ac:dyDescent="0.25">
      <c r="A17" s="56">
        <v>2</v>
      </c>
      <c r="B17" s="22">
        <v>6.0071000000000003</v>
      </c>
      <c r="C17" s="46">
        <f>+B17*(1-('% Humidity for extracrtives'!$F$19/100))</f>
        <v>5.6971834914578769</v>
      </c>
      <c r="D17" s="60">
        <v>150.70400000000001</v>
      </c>
      <c r="E17" s="31">
        <v>151.01859999999999</v>
      </c>
      <c r="F17" s="61">
        <f t="shared" ref="F17:F18" si="2">+E17-D17</f>
        <v>0.31459999999998445</v>
      </c>
      <c r="G17" s="78">
        <f>+F17</f>
        <v>0.31459999999998445</v>
      </c>
      <c r="H17" s="61">
        <f t="shared" ref="H17:H18" si="3">+(G17/C17)*100</f>
        <v>5.5220268132785755</v>
      </c>
      <c r="I17" s="15"/>
      <c r="J17" s="15"/>
      <c r="K17" s="15"/>
      <c r="L17" s="15"/>
      <c r="M17" s="15"/>
      <c r="N17" s="15"/>
      <c r="O17" s="244"/>
    </row>
    <row r="18" spans="1:15" ht="15.75" thickBot="1" x14ac:dyDescent="0.3">
      <c r="A18" s="57">
        <v>3</v>
      </c>
      <c r="B18" s="51">
        <v>6.0308000000000002</v>
      </c>
      <c r="C18" s="49">
        <f>+B18*(1-('% Humidity for extracrtives'!$F$19/100))</f>
        <v>5.7196607681383975</v>
      </c>
      <c r="D18" s="62">
        <v>153.90269999999998</v>
      </c>
      <c r="E18" s="63">
        <v>154.2029</v>
      </c>
      <c r="F18" s="88">
        <f t="shared" si="2"/>
        <v>0.30020000000001801</v>
      </c>
      <c r="G18" s="78">
        <f>+F18</f>
        <v>0.30020000000001801</v>
      </c>
      <c r="H18" s="61">
        <f t="shared" si="3"/>
        <v>5.2485630209451282</v>
      </c>
      <c r="I18" s="15"/>
      <c r="J18" s="15"/>
      <c r="K18" s="15"/>
      <c r="L18" s="15"/>
      <c r="M18" s="15"/>
      <c r="N18" s="15"/>
      <c r="O18" s="244"/>
    </row>
    <row r="19" spans="1:15" x14ac:dyDescent="0.25">
      <c r="A19" s="15"/>
      <c r="B19" s="15"/>
      <c r="C19" s="15"/>
      <c r="D19" s="15"/>
      <c r="E19" s="15"/>
      <c r="F19" s="15"/>
      <c r="G19" s="37" t="s">
        <v>74</v>
      </c>
      <c r="H19" s="38">
        <f>AVERAGE(H16:H18)</f>
        <v>5.2881964155164418</v>
      </c>
      <c r="I19" s="15"/>
      <c r="J19" s="15"/>
      <c r="K19" s="15"/>
      <c r="L19" s="15"/>
      <c r="M19" s="15"/>
      <c r="N19" s="15"/>
      <c r="O19" s="244"/>
    </row>
    <row r="20" spans="1:15" ht="15.75" thickBot="1" x14ac:dyDescent="0.3">
      <c r="A20" s="15"/>
      <c r="B20" s="15"/>
      <c r="C20" s="15"/>
      <c r="D20" s="15"/>
      <c r="E20" s="15"/>
      <c r="F20" s="15"/>
      <c r="G20" s="39" t="s">
        <v>75</v>
      </c>
      <c r="H20" s="40">
        <f>_xlfn.STDEV.S(H16:H18)</f>
        <v>0.21674862967402864</v>
      </c>
      <c r="I20" s="15"/>
      <c r="J20" s="15"/>
      <c r="K20" s="15"/>
      <c r="L20" s="15"/>
      <c r="M20" s="15"/>
      <c r="N20" s="15"/>
      <c r="O20" s="15"/>
    </row>
    <row r="21" spans="1:15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5">
      <c r="A23" s="118" t="s">
        <v>32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5"/>
      <c r="M23" s="15"/>
      <c r="N23" s="15"/>
      <c r="O23" s="15"/>
    </row>
    <row r="24" spans="1:15" ht="15" customHeight="1" x14ac:dyDescent="0.25">
      <c r="A24" s="130" t="s">
        <v>6</v>
      </c>
      <c r="B24" s="127" t="s">
        <v>68</v>
      </c>
      <c r="C24" s="128" t="s">
        <v>69</v>
      </c>
      <c r="D24" s="126" t="s">
        <v>45</v>
      </c>
      <c r="E24" s="127"/>
      <c r="F24" s="128"/>
      <c r="G24" s="126" t="s">
        <v>46</v>
      </c>
      <c r="H24" s="127"/>
      <c r="I24" s="128"/>
      <c r="J24" s="120" t="s">
        <v>73</v>
      </c>
      <c r="K24" s="122" t="s">
        <v>15</v>
      </c>
      <c r="L24" s="15"/>
      <c r="M24" s="15"/>
      <c r="N24" s="15"/>
      <c r="O24" s="15"/>
    </row>
    <row r="25" spans="1:15" x14ac:dyDescent="0.25">
      <c r="A25" s="131"/>
      <c r="B25" s="132"/>
      <c r="C25" s="133"/>
      <c r="D25" s="92" t="s">
        <v>70</v>
      </c>
      <c r="E25" s="93" t="s">
        <v>71</v>
      </c>
      <c r="F25" s="94" t="s">
        <v>72</v>
      </c>
      <c r="G25" s="92" t="s">
        <v>70</v>
      </c>
      <c r="H25" s="93" t="s">
        <v>71</v>
      </c>
      <c r="I25" s="94" t="s">
        <v>72</v>
      </c>
      <c r="J25" s="121"/>
      <c r="K25" s="123"/>
      <c r="L25" s="15"/>
      <c r="M25" s="15"/>
      <c r="N25" s="15"/>
      <c r="O25" s="15"/>
    </row>
    <row r="26" spans="1:15" x14ac:dyDescent="0.25">
      <c r="A26" s="56">
        <v>1</v>
      </c>
      <c r="B26" s="22">
        <v>6.0019</v>
      </c>
      <c r="C26" s="46">
        <f>+B26*(1-('% Humidity for extracrtives'!$F$26/100))</f>
        <v>5.6263406838242478</v>
      </c>
      <c r="D26" s="45">
        <v>95.846599999999995</v>
      </c>
      <c r="E26" s="23">
        <v>95.987700000000004</v>
      </c>
      <c r="F26" s="46">
        <f>+E26-D26</f>
        <v>0.14110000000000866</v>
      </c>
      <c r="G26" s="54">
        <v>110.7294</v>
      </c>
      <c r="H26" s="23">
        <v>110.9188</v>
      </c>
      <c r="I26" s="46">
        <f>+H26-G26</f>
        <v>0.18940000000000623</v>
      </c>
      <c r="J26" s="36">
        <f>+I26+F26</f>
        <v>0.33050000000001489</v>
      </c>
      <c r="K26" s="33">
        <f>+(J26/C26)*100</f>
        <v>5.8741554870682418</v>
      </c>
      <c r="L26" s="15"/>
      <c r="M26" s="15"/>
      <c r="N26" s="15"/>
      <c r="O26" s="15"/>
    </row>
    <row r="27" spans="1:15" x14ac:dyDescent="0.25">
      <c r="A27" s="56">
        <v>2</v>
      </c>
      <c r="B27" s="22">
        <v>6.0015999999999998</v>
      </c>
      <c r="C27" s="46">
        <f>+B27*(1-('% Humidity for extracrtives'!$F$26/100))</f>
        <v>5.6260594558455832</v>
      </c>
      <c r="D27" s="45">
        <v>106.6725</v>
      </c>
      <c r="E27" s="23">
        <v>106.8184</v>
      </c>
      <c r="F27" s="46">
        <f>+E27-D27</f>
        <v>0.14589999999999748</v>
      </c>
      <c r="G27" s="45">
        <v>98.988600000000005</v>
      </c>
      <c r="H27" s="23">
        <v>99.105999999999995</v>
      </c>
      <c r="I27" s="46">
        <f>+H27-G27</f>
        <v>0.11739999999998929</v>
      </c>
      <c r="J27" s="36">
        <f t="shared" ref="J27:J28" si="4">+I27+F27</f>
        <v>0.26329999999998677</v>
      </c>
      <c r="K27" s="33">
        <f t="shared" ref="K27:K28" si="5">+(J27/C27)*100</f>
        <v>4.6800074202275459</v>
      </c>
      <c r="L27" s="15"/>
      <c r="M27" s="15"/>
      <c r="N27" s="15"/>
      <c r="O27" s="15"/>
    </row>
    <row r="28" spans="1:15" ht="15.75" thickBot="1" x14ac:dyDescent="0.3">
      <c r="A28" s="57">
        <v>3</v>
      </c>
      <c r="B28" s="51">
        <v>6.0011999999999999</v>
      </c>
      <c r="C28" s="49">
        <f>+B28*(1-('% Humidity for extracrtives'!$F$26/100))</f>
        <v>5.6256844852073637</v>
      </c>
      <c r="D28" s="47">
        <v>99.733800000000002</v>
      </c>
      <c r="E28" s="48">
        <v>99.960400000000007</v>
      </c>
      <c r="F28" s="49">
        <f>+E28-D28</f>
        <v>0.2266000000000048</v>
      </c>
      <c r="G28" s="47">
        <v>97.733699999999999</v>
      </c>
      <c r="H28" s="51">
        <v>97.834599999999995</v>
      </c>
      <c r="I28" s="49">
        <f>+H28-G28</f>
        <v>0.10089999999999577</v>
      </c>
      <c r="J28" s="36">
        <f t="shared" si="4"/>
        <v>0.32750000000000057</v>
      </c>
      <c r="K28" s="33">
        <f t="shared" si="5"/>
        <v>5.8215138239827695</v>
      </c>
      <c r="L28" s="15"/>
      <c r="M28" s="15"/>
      <c r="N28" s="15"/>
      <c r="O28" s="15"/>
    </row>
    <row r="29" spans="1:15" x14ac:dyDescent="0.25">
      <c r="A29" s="21"/>
      <c r="B29" s="22"/>
      <c r="C29" s="22"/>
      <c r="D29" s="22"/>
      <c r="E29" s="23"/>
      <c r="F29" s="22"/>
      <c r="G29" s="22"/>
      <c r="H29" s="22"/>
      <c r="I29" s="22"/>
      <c r="J29" s="37" t="s">
        <v>74</v>
      </c>
      <c r="K29" s="38">
        <f>AVERAGE(K26:K28)</f>
        <v>5.4585589104261851</v>
      </c>
      <c r="L29" s="15"/>
      <c r="M29" s="15"/>
      <c r="N29" s="15"/>
      <c r="O29" s="15"/>
    </row>
    <row r="30" spans="1:15" ht="15.75" thickBot="1" x14ac:dyDescent="0.3">
      <c r="A30" s="21"/>
      <c r="B30" s="22"/>
      <c r="C30" s="22"/>
      <c r="D30" s="22"/>
      <c r="E30" s="23"/>
      <c r="F30" s="22"/>
      <c r="G30" s="22"/>
      <c r="H30" s="22"/>
      <c r="I30" s="22"/>
      <c r="J30" s="39" t="s">
        <v>75</v>
      </c>
      <c r="K30" s="40">
        <f>_xlfn.STDEV.S(K26:K28)</f>
        <v>0.67475892238710256</v>
      </c>
      <c r="L30" s="15"/>
      <c r="M30" s="15"/>
      <c r="N30" s="15"/>
      <c r="O30" s="15"/>
    </row>
    <row r="31" spans="1:15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5">
      <c r="A33" s="141" t="s">
        <v>33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5"/>
      <c r="M33" s="15"/>
      <c r="N33" s="15"/>
      <c r="O33" s="15"/>
    </row>
    <row r="34" spans="1:15" ht="15" customHeight="1" x14ac:dyDescent="0.25">
      <c r="A34" s="130" t="s">
        <v>6</v>
      </c>
      <c r="B34" s="127" t="s">
        <v>68</v>
      </c>
      <c r="C34" s="128" t="s">
        <v>69</v>
      </c>
      <c r="D34" s="126" t="s">
        <v>45</v>
      </c>
      <c r="E34" s="127"/>
      <c r="F34" s="128"/>
      <c r="G34" s="126" t="s">
        <v>46</v>
      </c>
      <c r="H34" s="127"/>
      <c r="I34" s="128"/>
      <c r="J34" s="120" t="s">
        <v>73</v>
      </c>
      <c r="K34" s="122" t="s">
        <v>15</v>
      </c>
      <c r="L34" s="15"/>
      <c r="M34" s="15"/>
      <c r="N34" s="15"/>
      <c r="O34" s="15"/>
    </row>
    <row r="35" spans="1:15" x14ac:dyDescent="0.25">
      <c r="A35" s="131"/>
      <c r="B35" s="132"/>
      <c r="C35" s="133"/>
      <c r="D35" s="92" t="s">
        <v>70</v>
      </c>
      <c r="E35" s="93" t="s">
        <v>71</v>
      </c>
      <c r="F35" s="94" t="s">
        <v>72</v>
      </c>
      <c r="G35" s="92" t="s">
        <v>70</v>
      </c>
      <c r="H35" s="93" t="s">
        <v>71</v>
      </c>
      <c r="I35" s="94" t="s">
        <v>72</v>
      </c>
      <c r="J35" s="121"/>
      <c r="K35" s="123"/>
      <c r="L35" s="15"/>
      <c r="M35" s="15"/>
      <c r="N35" s="15"/>
      <c r="O35" s="15"/>
    </row>
    <row r="36" spans="1:15" x14ac:dyDescent="0.25">
      <c r="A36" s="56">
        <v>1</v>
      </c>
      <c r="B36" s="22">
        <v>6.0069999999999997</v>
      </c>
      <c r="C36" s="46">
        <f>+B36*(1-('% Humidity for extracrtives'!$F$33/100))</f>
        <v>5.455984263684174</v>
      </c>
      <c r="D36" s="45">
        <v>107.96299999999999</v>
      </c>
      <c r="E36" s="23">
        <v>108.3142</v>
      </c>
      <c r="F36" s="46">
        <f>+E36-D36</f>
        <v>0.35120000000000573</v>
      </c>
      <c r="G36" s="54">
        <v>94.006200000000007</v>
      </c>
      <c r="H36" s="22">
        <v>94.050899999999999</v>
      </c>
      <c r="I36" s="46">
        <f>+H36-G36</f>
        <v>4.4699999999991746E-2</v>
      </c>
      <c r="J36" s="36">
        <f>+I36+F36</f>
        <v>0.39589999999999748</v>
      </c>
      <c r="K36" s="33">
        <f>+(J36/C36)*100</f>
        <v>7.2562526001983834</v>
      </c>
      <c r="L36" s="15"/>
      <c r="M36" s="15"/>
      <c r="N36" s="15"/>
      <c r="O36" s="15"/>
    </row>
    <row r="37" spans="1:15" x14ac:dyDescent="0.25">
      <c r="A37" s="56">
        <v>2</v>
      </c>
      <c r="B37" s="22">
        <v>6.0101000000000004</v>
      </c>
      <c r="C37" s="46">
        <f>+B37*(1-('% Humidity for extracrtives'!$F$33/100))</f>
        <v>5.4587999039734072</v>
      </c>
      <c r="D37" s="45">
        <v>104.075</v>
      </c>
      <c r="E37" s="22">
        <v>104.438</v>
      </c>
      <c r="F37" s="46">
        <f>+E37-D37</f>
        <v>0.36299999999999955</v>
      </c>
      <c r="G37" s="45">
        <v>96.690600000000003</v>
      </c>
      <c r="H37" s="23">
        <v>96.765799999999999</v>
      </c>
      <c r="I37" s="46">
        <f>+H37-G37</f>
        <v>7.5199999999995271E-2</v>
      </c>
      <c r="J37" s="36">
        <f t="shared" ref="J37:J38" si="6">+I37+F37</f>
        <v>0.43819999999999482</v>
      </c>
      <c r="K37" s="33">
        <f t="shared" ref="K37" si="7">+(J37/C37)*100</f>
        <v>8.0274054317512782</v>
      </c>
      <c r="L37" s="15"/>
      <c r="M37" s="15"/>
      <c r="N37" s="15"/>
      <c r="O37" s="15"/>
    </row>
    <row r="38" spans="1:15" ht="15.75" thickBot="1" x14ac:dyDescent="0.3">
      <c r="A38" s="57">
        <v>3</v>
      </c>
      <c r="B38" s="51">
        <v>6.0119999999999996</v>
      </c>
      <c r="C38" s="49">
        <f>+B38*(1-('% Humidity for extracrtives'!$F$33/100))</f>
        <v>5.4605256189893883</v>
      </c>
      <c r="D38" s="47">
        <v>182.5727</v>
      </c>
      <c r="E38" s="51">
        <v>182.87450000000001</v>
      </c>
      <c r="F38" s="49">
        <f>+E38-D38</f>
        <v>0.30180000000001428</v>
      </c>
      <c r="G38" s="47">
        <v>171.1206</v>
      </c>
      <c r="H38" s="51">
        <v>171.20779999999999</v>
      </c>
      <c r="I38" s="49">
        <f>+H38-G38</f>
        <v>8.7199999999995725E-2</v>
      </c>
      <c r="J38" s="36">
        <f t="shared" si="6"/>
        <v>0.38900000000001</v>
      </c>
      <c r="K38" s="33">
        <f>+(J38/C38)*100</f>
        <v>7.1238563307391738</v>
      </c>
      <c r="L38" s="15"/>
      <c r="M38" s="15"/>
      <c r="N38" s="15"/>
      <c r="O38" s="15"/>
    </row>
    <row r="39" spans="1:15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37" t="s">
        <v>74</v>
      </c>
      <c r="K39" s="38">
        <f>AVERAGE(K36:K38)</f>
        <v>7.4691714542296124</v>
      </c>
      <c r="L39" s="15"/>
      <c r="M39" s="15"/>
      <c r="N39" s="15"/>
      <c r="O39" s="15"/>
    </row>
    <row r="40" spans="1:15" ht="15.75" thickBot="1" x14ac:dyDescent="0.3">
      <c r="A40" s="21"/>
      <c r="B40" s="22"/>
      <c r="C40" s="22"/>
      <c r="D40" s="22"/>
      <c r="E40" s="22"/>
      <c r="F40" s="22"/>
      <c r="G40" s="22"/>
      <c r="H40" s="22"/>
      <c r="I40" s="22"/>
      <c r="J40" s="39" t="s">
        <v>75</v>
      </c>
      <c r="K40" s="40">
        <f>_xlfn.STDEV.S(K36:K38)</f>
        <v>0.48795601572931158</v>
      </c>
      <c r="L40" s="15"/>
      <c r="M40" s="15"/>
      <c r="N40" s="15"/>
      <c r="O40" s="15"/>
    </row>
    <row r="41" spans="1:15" x14ac:dyDescent="0.25">
      <c r="A41" s="21"/>
      <c r="B41" s="22"/>
      <c r="C41" s="22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5">
      <c r="A43" s="141" t="s">
        <v>34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5"/>
      <c r="M43" s="15"/>
      <c r="N43" s="15"/>
      <c r="O43" s="15"/>
    </row>
    <row r="44" spans="1:15" ht="15" customHeight="1" x14ac:dyDescent="0.25">
      <c r="A44" s="130" t="s">
        <v>6</v>
      </c>
      <c r="B44" s="127" t="s">
        <v>68</v>
      </c>
      <c r="C44" s="128" t="s">
        <v>69</v>
      </c>
      <c r="D44" s="126" t="s">
        <v>45</v>
      </c>
      <c r="E44" s="127"/>
      <c r="F44" s="128"/>
      <c r="G44" s="126" t="s">
        <v>46</v>
      </c>
      <c r="H44" s="127"/>
      <c r="I44" s="128"/>
      <c r="J44" s="120" t="s">
        <v>73</v>
      </c>
      <c r="K44" s="122" t="s">
        <v>15</v>
      </c>
      <c r="L44" s="15"/>
      <c r="M44" s="15"/>
      <c r="N44" s="15"/>
      <c r="O44" s="15"/>
    </row>
    <row r="45" spans="1:15" ht="18.75" customHeight="1" x14ac:dyDescent="0.25">
      <c r="A45" s="131"/>
      <c r="B45" s="132"/>
      <c r="C45" s="133"/>
      <c r="D45" s="92" t="s">
        <v>70</v>
      </c>
      <c r="E45" s="93" t="s">
        <v>71</v>
      </c>
      <c r="F45" s="94" t="s">
        <v>72</v>
      </c>
      <c r="G45" s="92" t="s">
        <v>70</v>
      </c>
      <c r="H45" s="93" t="s">
        <v>71</v>
      </c>
      <c r="I45" s="94" t="s">
        <v>72</v>
      </c>
      <c r="J45" s="121"/>
      <c r="K45" s="123"/>
      <c r="L45" s="15"/>
      <c r="M45" s="15"/>
      <c r="N45" s="15"/>
      <c r="O45" s="15"/>
    </row>
    <row r="46" spans="1:15" x14ac:dyDescent="0.25">
      <c r="A46" s="56">
        <v>1</v>
      </c>
      <c r="B46" s="22">
        <v>6.0007999999999999</v>
      </c>
      <c r="C46" s="46">
        <f>+B46*(1-('% Humidity for extracrtives'!$F$40/100))</f>
        <v>4.8854326148181171</v>
      </c>
      <c r="D46" s="45">
        <v>93.996399999999994</v>
      </c>
      <c r="E46" s="23">
        <v>94.390699999999995</v>
      </c>
      <c r="F46" s="46">
        <f>+E46-D46</f>
        <v>0.39430000000000121</v>
      </c>
      <c r="G46" s="54">
        <v>95.146100000000004</v>
      </c>
      <c r="H46" s="23">
        <v>95.184299999999993</v>
      </c>
      <c r="I46" s="46">
        <f>+H46-G46</f>
        <v>3.8199999999989132E-2</v>
      </c>
      <c r="J46" s="36">
        <f>+I46+F46</f>
        <v>0.43249999999999034</v>
      </c>
      <c r="K46" s="33">
        <f>+(J46/C46)*100</f>
        <v>8.8528495652189481</v>
      </c>
      <c r="L46" s="15"/>
      <c r="M46" s="15"/>
      <c r="N46" s="15"/>
      <c r="O46" s="15"/>
    </row>
    <row r="47" spans="1:15" x14ac:dyDescent="0.25">
      <c r="A47" s="56">
        <v>2</v>
      </c>
      <c r="B47" s="22">
        <v>6.0109000000000004</v>
      </c>
      <c r="C47" s="46">
        <f>+B47*(1-('% Humidity for extracrtives'!$F$40/100))</f>
        <v>4.8936553300243668</v>
      </c>
      <c r="D47" s="45">
        <v>101.9284</v>
      </c>
      <c r="E47" s="23">
        <v>102.4153</v>
      </c>
      <c r="F47" s="46">
        <f>+E47-D47</f>
        <v>0.48690000000000566</v>
      </c>
      <c r="G47" s="45">
        <v>104.0775</v>
      </c>
      <c r="H47" s="23">
        <v>104.1121</v>
      </c>
      <c r="I47" s="46">
        <f>+H47-G47</f>
        <v>3.4599999999997522E-2</v>
      </c>
      <c r="J47" s="36">
        <f t="shared" ref="J47:J48" si="8">+I47+F47</f>
        <v>0.52150000000000318</v>
      </c>
      <c r="K47" s="33">
        <f t="shared" ref="K47" si="9">+(J47/C47)*100</f>
        <v>10.656655706837581</v>
      </c>
      <c r="L47" s="15"/>
      <c r="M47" s="15"/>
      <c r="N47" s="15"/>
      <c r="O47" s="15"/>
    </row>
    <row r="48" spans="1:15" ht="15.75" thickBot="1" x14ac:dyDescent="0.3">
      <c r="A48" s="57">
        <v>3</v>
      </c>
      <c r="B48" s="51">
        <v>6.0129999999999999</v>
      </c>
      <c r="C48" s="49">
        <f>+B48*(1-('% Humidity for extracrtives'!$F$40/100))</f>
        <v>4.895365003483092</v>
      </c>
      <c r="D48" s="47">
        <v>171.12139999999999</v>
      </c>
      <c r="E48" s="48">
        <v>171.5838</v>
      </c>
      <c r="F48" s="49">
        <f>+E48-D48</f>
        <v>0.46240000000000236</v>
      </c>
      <c r="G48" s="47">
        <v>182.57409999999999</v>
      </c>
      <c r="H48" s="51">
        <v>182.6045</v>
      </c>
      <c r="I48" s="49">
        <f>+H48-G48</f>
        <v>3.0400000000014415E-2</v>
      </c>
      <c r="J48" s="36">
        <f t="shared" si="8"/>
        <v>0.49280000000001678</v>
      </c>
      <c r="K48" s="33">
        <f>+(J48/C48)*100</f>
        <v>10.066665093397235</v>
      </c>
      <c r="L48" s="15"/>
      <c r="M48" s="15"/>
      <c r="N48" s="15"/>
      <c r="O48" s="15"/>
    </row>
    <row r="49" spans="1:15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37" t="s">
        <v>74</v>
      </c>
      <c r="K49" s="38">
        <f>AVERAGE(K46:K48)</f>
        <v>9.8587234551512548</v>
      </c>
      <c r="L49" s="15"/>
      <c r="M49" s="15"/>
      <c r="N49" s="15"/>
      <c r="O49" s="15"/>
    </row>
    <row r="50" spans="1:15" ht="15.75" thickBot="1" x14ac:dyDescent="0.3">
      <c r="A50" s="15"/>
      <c r="B50" s="15"/>
      <c r="C50" s="15"/>
      <c r="D50" s="15"/>
      <c r="E50" s="15"/>
      <c r="F50" s="15"/>
      <c r="G50" s="15"/>
      <c r="H50" s="15"/>
      <c r="I50" s="15"/>
      <c r="J50" s="39" t="s">
        <v>75</v>
      </c>
      <c r="K50" s="40">
        <f>_xlfn.STDEV.S(K46:K48)</f>
        <v>0.9197059001781992</v>
      </c>
      <c r="L50" s="15"/>
      <c r="M50" s="15"/>
      <c r="N50" s="15"/>
      <c r="O50" s="15"/>
    </row>
    <row r="51" spans="1:15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</sheetData>
  <mergeCells count="48">
    <mergeCell ref="G24:I24"/>
    <mergeCell ref="D4:F4"/>
    <mergeCell ref="G4:I4"/>
    <mergeCell ref="A1:Q1"/>
    <mergeCell ref="A23:K23"/>
    <mergeCell ref="J34:J35"/>
    <mergeCell ref="K34:K35"/>
    <mergeCell ref="J4:L4"/>
    <mergeCell ref="M4:O4"/>
    <mergeCell ref="A4:A5"/>
    <mergeCell ref="B4:B5"/>
    <mergeCell ref="C4:C5"/>
    <mergeCell ref="A14:A15"/>
    <mergeCell ref="B14:B15"/>
    <mergeCell ref="C14:C15"/>
    <mergeCell ref="D14:F14"/>
    <mergeCell ref="A24:A25"/>
    <mergeCell ref="B24:B25"/>
    <mergeCell ref="D34:F34"/>
    <mergeCell ref="G34:I34"/>
    <mergeCell ref="A3:Q3"/>
    <mergeCell ref="P4:P5"/>
    <mergeCell ref="Q4:Q5"/>
    <mergeCell ref="G14:G15"/>
    <mergeCell ref="H14:H15"/>
    <mergeCell ref="A13:H13"/>
    <mergeCell ref="J44:J45"/>
    <mergeCell ref="K44:K45"/>
    <mergeCell ref="A33:K33"/>
    <mergeCell ref="A43:K43"/>
    <mergeCell ref="C24:C25"/>
    <mergeCell ref="A34:A35"/>
    <mergeCell ref="B34:B35"/>
    <mergeCell ref="C34:C35"/>
    <mergeCell ref="J24:J25"/>
    <mergeCell ref="K24:K25"/>
    <mergeCell ref="D44:F44"/>
    <mergeCell ref="G44:I44"/>
    <mergeCell ref="A44:A45"/>
    <mergeCell ref="B44:B45"/>
    <mergeCell ref="C44:C45"/>
    <mergeCell ref="D24:F24"/>
    <mergeCell ref="T2:V2"/>
    <mergeCell ref="X2:Z2"/>
    <mergeCell ref="AB2:AC2"/>
    <mergeCell ref="T4:V5"/>
    <mergeCell ref="X4:Z5"/>
    <mergeCell ref="AB4:A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12AC8-7704-4988-A87D-EDE54CD05C6A}">
  <dimension ref="A1:K29"/>
  <sheetViews>
    <sheetView zoomScaleNormal="100" workbookViewId="0">
      <selection activeCell="H43" sqref="H43"/>
    </sheetView>
  </sheetViews>
  <sheetFormatPr baseColWidth="10" defaultRowHeight="15" x14ac:dyDescent="0.25"/>
  <cols>
    <col min="1" max="1" width="15.140625" customWidth="1"/>
    <col min="2" max="2" width="13.85546875" customWidth="1"/>
    <col min="3" max="3" width="13.28515625" customWidth="1"/>
    <col min="4" max="4" width="16" customWidth="1"/>
    <col min="5" max="5" width="15.140625" customWidth="1"/>
    <col min="6" max="6" width="15.5703125" bestFit="1" customWidth="1"/>
  </cols>
  <sheetData>
    <row r="1" spans="1:11" ht="18.75" x14ac:dyDescent="0.25">
      <c r="A1" s="113" t="s">
        <v>141</v>
      </c>
      <c r="B1" s="113"/>
      <c r="C1" s="113"/>
      <c r="D1" s="113"/>
      <c r="E1" s="113"/>
      <c r="F1" s="113"/>
      <c r="G1" s="315"/>
      <c r="H1" s="315"/>
      <c r="I1" s="315"/>
      <c r="J1" s="315"/>
      <c r="K1" s="315"/>
    </row>
    <row r="2" spans="1:11" ht="15.75" thickBot="1" x14ac:dyDescent="0.3"/>
    <row r="3" spans="1:11" x14ac:dyDescent="0.25">
      <c r="A3" s="261" t="s">
        <v>16</v>
      </c>
      <c r="B3" s="262" t="s">
        <v>118</v>
      </c>
      <c r="C3" s="262" t="s">
        <v>119</v>
      </c>
      <c r="D3" s="263" t="s">
        <v>117</v>
      </c>
      <c r="E3" s="263" t="s">
        <v>116</v>
      </c>
      <c r="F3" s="264" t="s">
        <v>120</v>
      </c>
    </row>
    <row r="4" spans="1:11" ht="15" customHeight="1" thickBot="1" x14ac:dyDescent="0.3">
      <c r="A4" s="265"/>
      <c r="B4" s="266"/>
      <c r="C4" s="266"/>
      <c r="D4" s="267"/>
      <c r="E4" s="267"/>
      <c r="F4" s="268"/>
    </row>
    <row r="5" spans="1:11" ht="15" customHeight="1" x14ac:dyDescent="0.25">
      <c r="A5" s="248" t="s">
        <v>20</v>
      </c>
      <c r="B5" s="245">
        <v>12.077707627833293</v>
      </c>
      <c r="C5" s="246">
        <v>2.906844599176543</v>
      </c>
      <c r="D5" s="246">
        <v>24.171623968531598</v>
      </c>
      <c r="E5" s="246">
        <v>39.290190982488554</v>
      </c>
      <c r="F5" s="252">
        <v>9.3502466621783036</v>
      </c>
    </row>
    <row r="6" spans="1:11" ht="15" customHeight="1" x14ac:dyDescent="0.25">
      <c r="A6" s="248"/>
      <c r="B6" s="245">
        <v>12.948406802657358</v>
      </c>
      <c r="C6" s="246">
        <v>3.0892457696665225</v>
      </c>
      <c r="D6" s="246">
        <v>23.814758241161027</v>
      </c>
      <c r="E6" s="246">
        <v>38.643388273138115</v>
      </c>
      <c r="F6" s="252">
        <v>9.2098844239149447</v>
      </c>
    </row>
    <row r="7" spans="1:11" x14ac:dyDescent="0.25">
      <c r="A7" s="248"/>
      <c r="B7" s="245">
        <v>12.587314527680796</v>
      </c>
      <c r="C7" s="246">
        <v>2.6347716430925585</v>
      </c>
      <c r="D7" s="246">
        <v>23.825545208975687</v>
      </c>
      <c r="E7" s="246">
        <v>37.910053534070322</v>
      </c>
      <c r="F7" s="252">
        <v>10.514027036467418</v>
      </c>
    </row>
    <row r="8" spans="1:11" x14ac:dyDescent="0.25">
      <c r="A8" s="253" t="s">
        <v>74</v>
      </c>
      <c r="B8" s="254">
        <v>12.537809652723816</v>
      </c>
      <c r="C8" s="255">
        <v>2.8769540039785411</v>
      </c>
      <c r="D8" s="255">
        <v>23.937309139556103</v>
      </c>
      <c r="E8" s="255">
        <v>38.614544263232325</v>
      </c>
      <c r="F8" s="256">
        <v>9.6913860408535566</v>
      </c>
    </row>
    <row r="9" spans="1:11" x14ac:dyDescent="0.25">
      <c r="A9" s="257" t="s">
        <v>115</v>
      </c>
      <c r="B9" s="258">
        <v>0.43745549801460548</v>
      </c>
      <c r="C9" s="259">
        <v>0.22870673075416903</v>
      </c>
      <c r="D9" s="259">
        <v>0.20299425848289421</v>
      </c>
      <c r="E9" s="259">
        <v>0.69052069253005055</v>
      </c>
      <c r="F9" s="260">
        <v>0.71587641756870324</v>
      </c>
    </row>
    <row r="10" spans="1:11" x14ac:dyDescent="0.25">
      <c r="A10" s="247" t="s">
        <v>29</v>
      </c>
      <c r="B10" s="249">
        <v>5.5428240209583715</v>
      </c>
      <c r="C10" s="250">
        <v>2.1959315178560317</v>
      </c>
      <c r="D10" s="250">
        <v>3.8269905100313384</v>
      </c>
      <c r="E10" s="250">
        <v>3.4302935219491388</v>
      </c>
      <c r="F10" s="251">
        <v>7.0597637342058821</v>
      </c>
    </row>
    <row r="11" spans="1:11" x14ac:dyDescent="0.25">
      <c r="A11" s="248"/>
      <c r="B11" s="246">
        <v>4.5599389361790363</v>
      </c>
      <c r="C11" s="246">
        <v>1.5376018717202744</v>
      </c>
      <c r="D11" s="246">
        <v>3.619843252656378</v>
      </c>
      <c r="E11" s="246">
        <v>3.3558123848803931</v>
      </c>
      <c r="F11" s="252">
        <v>8.4660641598135253</v>
      </c>
    </row>
    <row r="12" spans="1:11" x14ac:dyDescent="0.25">
      <c r="A12" s="248"/>
      <c r="B12" s="245">
        <v>5.1926412888629496</v>
      </c>
      <c r="C12" s="246">
        <v>2.3777633938989737</v>
      </c>
      <c r="D12" s="246">
        <v>4.0746993151403688</v>
      </c>
      <c r="E12" s="246">
        <v>3.4840204870247602</v>
      </c>
      <c r="F12" s="252">
        <v>8.328286036074843</v>
      </c>
    </row>
    <row r="13" spans="1:11" x14ac:dyDescent="0.25">
      <c r="A13" s="253" t="s">
        <v>74</v>
      </c>
      <c r="B13" s="254">
        <v>5.0984680820001191</v>
      </c>
      <c r="C13" s="255">
        <v>2.0370989278250931</v>
      </c>
      <c r="D13" s="255">
        <v>3.8405110259426949</v>
      </c>
      <c r="E13" s="255">
        <v>3.4233754646180969</v>
      </c>
      <c r="F13" s="256">
        <v>7.9513713100314165</v>
      </c>
    </row>
    <row r="14" spans="1:11" x14ac:dyDescent="0.25">
      <c r="A14" s="257" t="s">
        <v>115</v>
      </c>
      <c r="B14" s="258">
        <v>0.49816384567584016</v>
      </c>
      <c r="C14" s="259">
        <v>0.44202792850606193</v>
      </c>
      <c r="D14" s="259">
        <v>0.22772925296828242</v>
      </c>
      <c r="E14" s="259">
        <v>6.438341402715296E-2</v>
      </c>
      <c r="F14" s="260">
        <v>0.77522174556532708</v>
      </c>
    </row>
    <row r="15" spans="1:11" x14ac:dyDescent="0.25">
      <c r="A15" s="247" t="s">
        <v>113</v>
      </c>
      <c r="B15" s="250">
        <v>11.892358416941246</v>
      </c>
      <c r="C15" s="250">
        <v>7.2706221798246613</v>
      </c>
      <c r="D15" s="250">
        <v>25.630572457987739</v>
      </c>
      <c r="E15" s="250">
        <v>16.532948363300186</v>
      </c>
      <c r="F15" s="251">
        <v>29.098753622926054</v>
      </c>
    </row>
    <row r="16" spans="1:11" x14ac:dyDescent="0.25">
      <c r="A16" s="248"/>
      <c r="B16" s="246">
        <v>11.714808586999101</v>
      </c>
      <c r="C16" s="246">
        <v>8.9851415312060592</v>
      </c>
      <c r="D16" s="246">
        <v>24.695904296084077</v>
      </c>
      <c r="E16" s="246">
        <v>16.910592706436546</v>
      </c>
      <c r="F16" s="252">
        <v>27.290438535919016</v>
      </c>
    </row>
    <row r="17" spans="1:6" x14ac:dyDescent="0.25">
      <c r="A17" s="248"/>
      <c r="B17" s="245">
        <v>11.561107791610802</v>
      </c>
      <c r="C17" s="246">
        <v>8.192793576331491</v>
      </c>
      <c r="D17" s="246">
        <v>26.08356959350094</v>
      </c>
      <c r="E17" s="246">
        <v>16.561540243678952</v>
      </c>
      <c r="F17" s="252">
        <v>27.699670995629905</v>
      </c>
    </row>
    <row r="18" spans="1:6" x14ac:dyDescent="0.25">
      <c r="A18" s="253" t="s">
        <v>74</v>
      </c>
      <c r="B18" s="254">
        <v>11.722758265183716</v>
      </c>
      <c r="C18" s="255">
        <v>8.1495190957874044</v>
      </c>
      <c r="D18" s="255">
        <v>25.470015449190921</v>
      </c>
      <c r="E18" s="255">
        <v>16.66836043780523</v>
      </c>
      <c r="F18" s="256">
        <v>28.02962105149166</v>
      </c>
    </row>
    <row r="19" spans="1:6" x14ac:dyDescent="0.25">
      <c r="A19" s="257" t="s">
        <v>115</v>
      </c>
      <c r="B19" s="258">
        <v>0.16576833905448221</v>
      </c>
      <c r="C19" s="259">
        <v>0.85807847080852273</v>
      </c>
      <c r="D19" s="259">
        <v>0.70762819278141698</v>
      </c>
      <c r="E19" s="259">
        <v>0.21026585048600915</v>
      </c>
      <c r="F19" s="260">
        <v>0.94823580558672149</v>
      </c>
    </row>
    <row r="20" spans="1:6" x14ac:dyDescent="0.25">
      <c r="A20" s="247" t="s">
        <v>49</v>
      </c>
      <c r="B20" s="250">
        <v>3.0644402867457221</v>
      </c>
      <c r="C20" s="250">
        <v>5.0939994123256218</v>
      </c>
      <c r="D20" s="250">
        <v>7.2562526001983834</v>
      </c>
      <c r="E20" s="250">
        <v>5.8741554870682418</v>
      </c>
      <c r="F20" s="251">
        <v>8.8528495652189481</v>
      </c>
    </row>
    <row r="21" spans="1:6" x14ac:dyDescent="0.25">
      <c r="A21" s="248"/>
      <c r="B21" s="246">
        <v>2.9326391623309873</v>
      </c>
      <c r="C21" s="246">
        <v>5.5220268132785755</v>
      </c>
      <c r="D21" s="246">
        <v>8.0274054317512782</v>
      </c>
      <c r="E21" s="246">
        <v>4.6800074202275459</v>
      </c>
      <c r="F21" s="252">
        <v>10.656655706837581</v>
      </c>
    </row>
    <row r="22" spans="1:6" x14ac:dyDescent="0.25">
      <c r="A22" s="248"/>
      <c r="B22" s="245">
        <v>3.245840859885528</v>
      </c>
      <c r="C22" s="246">
        <v>5.2485630209451282</v>
      </c>
      <c r="D22" s="246">
        <v>7.1238563307391738</v>
      </c>
      <c r="E22" s="246">
        <v>5.8215138239827695</v>
      </c>
      <c r="F22" s="252">
        <v>10.066665093397235</v>
      </c>
    </row>
    <row r="23" spans="1:6" x14ac:dyDescent="0.25">
      <c r="A23" s="253" t="s">
        <v>74</v>
      </c>
      <c r="B23" s="254">
        <v>3.0809734363207455</v>
      </c>
      <c r="C23" s="255">
        <v>5.2881964155164418</v>
      </c>
      <c r="D23" s="255">
        <v>7.4691714542296124</v>
      </c>
      <c r="E23" s="255">
        <v>5.4585589104261851</v>
      </c>
      <c r="F23" s="256">
        <v>9.8587234551512548</v>
      </c>
    </row>
    <row r="24" spans="1:6" x14ac:dyDescent="0.25">
      <c r="A24" s="257" t="s">
        <v>115</v>
      </c>
      <c r="B24" s="258">
        <v>0.15725404482528921</v>
      </c>
      <c r="C24" s="259">
        <v>0.21674862967402864</v>
      </c>
      <c r="D24" s="259">
        <v>0.48795601572931158</v>
      </c>
      <c r="E24" s="259">
        <v>0.67475892238710256</v>
      </c>
      <c r="F24" s="260">
        <v>0.9197059001781992</v>
      </c>
    </row>
    <row r="25" spans="1:6" x14ac:dyDescent="0.25">
      <c r="A25" s="269" t="s">
        <v>114</v>
      </c>
      <c r="B25" s="270">
        <f>+B20+B15+B10+B5</f>
        <v>32.577330352478633</v>
      </c>
      <c r="C25" s="270">
        <f t="shared" ref="C25:F25" si="0">+C20+C15+C10+C5</f>
        <v>17.467397709182858</v>
      </c>
      <c r="D25" s="270">
        <f t="shared" si="0"/>
        <v>60.885439536749054</v>
      </c>
      <c r="E25" s="270">
        <f>+E20+E15+E10+E5</f>
        <v>65.127588354806122</v>
      </c>
      <c r="F25" s="271">
        <f t="shared" si="0"/>
        <v>54.361613584529181</v>
      </c>
    </row>
    <row r="26" spans="1:6" x14ac:dyDescent="0.25">
      <c r="A26" s="272"/>
      <c r="B26" s="273">
        <f t="shared" ref="B26:F26" si="1">+B21+B16+B11+B6</f>
        <v>32.155793488166481</v>
      </c>
      <c r="C26" s="273">
        <f t="shared" si="1"/>
        <v>19.134015985871432</v>
      </c>
      <c r="D26" s="273">
        <f>+D21+D16+D11+D6</f>
        <v>60.157911221652768</v>
      </c>
      <c r="E26" s="273">
        <f t="shared" si="1"/>
        <v>63.589800784682602</v>
      </c>
      <c r="F26" s="274">
        <f t="shared" si="1"/>
        <v>55.623042826485069</v>
      </c>
    </row>
    <row r="27" spans="1:6" x14ac:dyDescent="0.25">
      <c r="A27" s="272"/>
      <c r="B27" s="273">
        <f>+B22+B17+B12+B7</f>
        <v>32.586904468040075</v>
      </c>
      <c r="C27" s="273">
        <f t="shared" ref="B27:F27" si="2">+C22+C17+C12+C7</f>
        <v>18.453891634268153</v>
      </c>
      <c r="D27" s="273">
        <f t="shared" si="2"/>
        <v>61.107670448356174</v>
      </c>
      <c r="E27" s="273">
        <f t="shared" si="2"/>
        <v>63.777128088756804</v>
      </c>
      <c r="F27" s="274">
        <f t="shared" si="2"/>
        <v>56.608649161569403</v>
      </c>
    </row>
    <row r="28" spans="1:6" x14ac:dyDescent="0.25">
      <c r="A28" s="275" t="s">
        <v>74</v>
      </c>
      <c r="B28" s="276">
        <f>AVERAGE(B25:B27)</f>
        <v>32.440009436228394</v>
      </c>
      <c r="C28" s="276">
        <f t="shared" ref="C28:F28" si="3">AVERAGE(C25:C27)</f>
        <v>18.351768443107481</v>
      </c>
      <c r="D28" s="276">
        <f t="shared" si="3"/>
        <v>60.717007068919337</v>
      </c>
      <c r="E28" s="276">
        <f t="shared" si="3"/>
        <v>64.164839076081833</v>
      </c>
      <c r="F28" s="277">
        <f t="shared" si="3"/>
        <v>55.531101857527879</v>
      </c>
    </row>
    <row r="29" spans="1:6" x14ac:dyDescent="0.25">
      <c r="A29" s="278" t="s">
        <v>115</v>
      </c>
      <c r="B29" s="279">
        <f>_xlfn.STDEV.S(B25:B27)</f>
        <v>0.24618477770111219</v>
      </c>
      <c r="C29" s="279">
        <f t="shared" ref="C29:F29" si="4">_xlfn.STDEV.S(C25:C27)</f>
        <v>0.8379892479487594</v>
      </c>
      <c r="D29" s="279">
        <f t="shared" si="4"/>
        <v>0.49677738408815569</v>
      </c>
      <c r="E29" s="279">
        <f>_xlfn.STDEV.S(E25:E27)</f>
        <v>0.83900983902217552</v>
      </c>
      <c r="F29" s="280">
        <f t="shared" si="4"/>
        <v>1.126335685952776</v>
      </c>
    </row>
  </sheetData>
  <mergeCells count="12">
    <mergeCell ref="A1:F1"/>
    <mergeCell ref="D3:D4"/>
    <mergeCell ref="E3:E4"/>
    <mergeCell ref="F3:F4"/>
    <mergeCell ref="A5:A7"/>
    <mergeCell ref="A10:A12"/>
    <mergeCell ref="A15:A17"/>
    <mergeCell ref="A3:A4"/>
    <mergeCell ref="B3:B4"/>
    <mergeCell ref="C3:C4"/>
    <mergeCell ref="A20:A22"/>
    <mergeCell ref="A25:A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8731C-20AF-4188-9DDB-D6CE76EE1760}">
  <dimension ref="A2:G21"/>
  <sheetViews>
    <sheetView zoomScaleNormal="100" workbookViewId="0">
      <selection activeCell="E23" sqref="E23"/>
    </sheetView>
  </sheetViews>
  <sheetFormatPr baseColWidth="10" defaultRowHeight="15" x14ac:dyDescent="0.25"/>
  <cols>
    <col min="3" max="7" width="15.7109375" customWidth="1"/>
  </cols>
  <sheetData>
    <row r="2" spans="1:7" ht="18.75" x14ac:dyDescent="0.3">
      <c r="A2" s="148" t="s">
        <v>11</v>
      </c>
      <c r="B2" s="148"/>
      <c r="C2" s="148"/>
      <c r="D2" s="148"/>
      <c r="E2" s="148"/>
      <c r="F2" s="148"/>
      <c r="G2" s="148"/>
    </row>
    <row r="4" spans="1:7" ht="45" customHeight="1" x14ac:dyDescent="0.25">
      <c r="A4" s="2"/>
      <c r="B4" s="3" t="s">
        <v>6</v>
      </c>
      <c r="C4" s="4" t="s">
        <v>0</v>
      </c>
      <c r="D4" s="4" t="s">
        <v>1</v>
      </c>
      <c r="E4" s="5" t="s">
        <v>3</v>
      </c>
      <c r="F4" s="6" t="s">
        <v>2</v>
      </c>
      <c r="G4" s="5" t="s">
        <v>4</v>
      </c>
    </row>
    <row r="5" spans="1:7" x14ac:dyDescent="0.25">
      <c r="A5" s="147" t="s">
        <v>10</v>
      </c>
      <c r="B5" s="7">
        <v>1</v>
      </c>
      <c r="C5" s="1">
        <v>6.57</v>
      </c>
      <c r="D5" s="1">
        <v>5.46</v>
      </c>
      <c r="E5" s="1">
        <v>6.87</v>
      </c>
      <c r="F5" s="1">
        <v>6.87</v>
      </c>
      <c r="G5" s="1">
        <v>6.87</v>
      </c>
    </row>
    <row r="6" spans="1:7" x14ac:dyDescent="0.25">
      <c r="A6" s="147"/>
      <c r="B6" s="7">
        <v>2</v>
      </c>
      <c r="C6" s="1">
        <v>6.63</v>
      </c>
      <c r="D6" s="1">
        <v>5.22</v>
      </c>
      <c r="E6" s="1">
        <v>6.69</v>
      </c>
      <c r="F6" s="1">
        <v>6.69</v>
      </c>
      <c r="G6" s="1">
        <v>6.69</v>
      </c>
    </row>
    <row r="7" spans="1:7" x14ac:dyDescent="0.25">
      <c r="A7" s="147"/>
      <c r="B7" s="7">
        <v>3</v>
      </c>
      <c r="C7" s="1">
        <v>6.64</v>
      </c>
      <c r="D7" s="1">
        <v>5.22</v>
      </c>
      <c r="E7" s="1">
        <v>6.8</v>
      </c>
      <c r="F7" s="1">
        <v>6.8</v>
      </c>
      <c r="G7" s="1">
        <v>6.8</v>
      </c>
    </row>
    <row r="8" spans="1:7" x14ac:dyDescent="0.25">
      <c r="A8" s="147" t="s">
        <v>7</v>
      </c>
      <c r="B8" s="7">
        <v>1</v>
      </c>
      <c r="C8" s="1">
        <v>6.51</v>
      </c>
      <c r="D8" s="1">
        <v>5.24</v>
      </c>
      <c r="E8" s="1">
        <v>6.87</v>
      </c>
      <c r="F8" s="1">
        <v>6.87</v>
      </c>
      <c r="G8" s="1">
        <v>6.87</v>
      </c>
    </row>
    <row r="9" spans="1:7" x14ac:dyDescent="0.25">
      <c r="A9" s="147"/>
      <c r="B9" s="7">
        <v>2</v>
      </c>
      <c r="C9" s="1">
        <v>6.54</v>
      </c>
      <c r="D9" s="1">
        <v>5.18</v>
      </c>
      <c r="E9" s="1">
        <v>6.74</v>
      </c>
      <c r="F9" s="1">
        <v>6.74</v>
      </c>
      <c r="G9" s="1">
        <v>6.74</v>
      </c>
    </row>
    <row r="10" spans="1:7" x14ac:dyDescent="0.25">
      <c r="A10" s="147"/>
      <c r="B10" s="7">
        <v>3</v>
      </c>
      <c r="C10" s="1">
        <v>6.59</v>
      </c>
      <c r="D10" s="1">
        <v>5.15</v>
      </c>
      <c r="E10" s="1">
        <v>6.68</v>
      </c>
      <c r="F10" s="1">
        <v>6.68</v>
      </c>
      <c r="G10" s="1">
        <v>6.68</v>
      </c>
    </row>
    <row r="11" spans="1:7" x14ac:dyDescent="0.25">
      <c r="A11" s="147" t="s">
        <v>12</v>
      </c>
      <c r="B11" s="7">
        <v>1</v>
      </c>
      <c r="C11" s="1">
        <v>6.23</v>
      </c>
      <c r="D11" s="1">
        <v>5.29</v>
      </c>
      <c r="E11" s="1">
        <v>6.7</v>
      </c>
      <c r="F11" s="1">
        <v>6.7</v>
      </c>
      <c r="G11" s="1">
        <v>6.7</v>
      </c>
    </row>
    <row r="12" spans="1:7" x14ac:dyDescent="0.25">
      <c r="A12" s="147"/>
      <c r="B12" s="7">
        <v>2</v>
      </c>
      <c r="C12" s="1">
        <v>6.1</v>
      </c>
      <c r="D12" s="1">
        <v>5.09</v>
      </c>
      <c r="E12" s="1">
        <v>6.52</v>
      </c>
      <c r="F12" s="1">
        <v>6.52</v>
      </c>
      <c r="G12" s="1">
        <v>6.52</v>
      </c>
    </row>
    <row r="13" spans="1:7" x14ac:dyDescent="0.25">
      <c r="A13" s="147"/>
      <c r="B13" s="7">
        <v>3</v>
      </c>
      <c r="C13" s="1">
        <v>5.91</v>
      </c>
      <c r="D13" s="1">
        <v>5.05</v>
      </c>
      <c r="E13" s="1">
        <v>6.43</v>
      </c>
      <c r="F13" s="1">
        <v>6.43</v>
      </c>
      <c r="G13" s="1">
        <v>6.43</v>
      </c>
    </row>
    <row r="14" spans="1:7" x14ac:dyDescent="0.25">
      <c r="A14" s="147" t="s">
        <v>8</v>
      </c>
      <c r="B14" s="7">
        <v>1</v>
      </c>
      <c r="C14" s="1">
        <v>5.89</v>
      </c>
      <c r="D14" s="1">
        <v>4.88</v>
      </c>
      <c r="E14" s="1">
        <v>5.92</v>
      </c>
      <c r="F14" s="1">
        <v>5.92</v>
      </c>
      <c r="G14" s="1">
        <v>5.92</v>
      </c>
    </row>
    <row r="15" spans="1:7" x14ac:dyDescent="0.25">
      <c r="A15" s="147"/>
      <c r="B15" s="7">
        <v>2</v>
      </c>
      <c r="C15" s="1">
        <v>5.45</v>
      </c>
      <c r="D15" s="1">
        <v>4.76</v>
      </c>
      <c r="E15" s="1">
        <v>5.84</v>
      </c>
      <c r="F15" s="1">
        <v>5.84</v>
      </c>
      <c r="G15" s="1">
        <v>5.84</v>
      </c>
    </row>
    <row r="16" spans="1:7" x14ac:dyDescent="0.25">
      <c r="A16" s="147"/>
      <c r="B16" s="7">
        <v>3</v>
      </c>
      <c r="C16" s="1">
        <v>5.87</v>
      </c>
      <c r="D16" s="1">
        <v>4.8099999999999996</v>
      </c>
      <c r="E16" s="1">
        <v>5.92</v>
      </c>
      <c r="F16" s="1">
        <v>5.92</v>
      </c>
      <c r="G16" s="1">
        <v>5.92</v>
      </c>
    </row>
    <row r="17" spans="1:7" x14ac:dyDescent="0.25">
      <c r="A17" s="147" t="s">
        <v>9</v>
      </c>
      <c r="B17" s="7">
        <v>1</v>
      </c>
      <c r="C17" s="1">
        <v>5.93</v>
      </c>
      <c r="D17" s="1">
        <v>4.68</v>
      </c>
      <c r="E17" s="1">
        <v>5.75</v>
      </c>
      <c r="F17" s="1">
        <v>5.89</v>
      </c>
      <c r="G17" s="1">
        <v>6.18</v>
      </c>
    </row>
    <row r="18" spans="1:7" x14ac:dyDescent="0.25">
      <c r="A18" s="147"/>
      <c r="B18" s="7">
        <v>2</v>
      </c>
      <c r="C18" s="1">
        <v>5.77</v>
      </c>
      <c r="D18" s="1">
        <v>4.55</v>
      </c>
      <c r="E18" s="1">
        <v>5.87</v>
      </c>
      <c r="F18" s="1">
        <v>5.54</v>
      </c>
      <c r="G18" s="1">
        <v>6.14</v>
      </c>
    </row>
    <row r="19" spans="1:7" x14ac:dyDescent="0.25">
      <c r="A19" s="147"/>
      <c r="B19" s="7">
        <v>3</v>
      </c>
      <c r="C19" s="1">
        <v>5.83</v>
      </c>
      <c r="D19" s="1">
        <v>4.71</v>
      </c>
      <c r="E19" s="1">
        <v>5.9</v>
      </c>
      <c r="F19" s="1">
        <v>5.68</v>
      </c>
      <c r="G19" s="1">
        <v>6.22</v>
      </c>
    </row>
    <row r="20" spans="1:7" x14ac:dyDescent="0.25">
      <c r="B20" s="166" t="s">
        <v>74</v>
      </c>
      <c r="C20">
        <f>AVERAGE(C17:C19)</f>
        <v>5.8433333333333337</v>
      </c>
      <c r="D20">
        <f t="shared" ref="D20:G20" si="0">AVERAGE(D17:D19)</f>
        <v>4.6466666666666674</v>
      </c>
      <c r="E20">
        <f t="shared" si="0"/>
        <v>5.8400000000000007</v>
      </c>
      <c r="F20">
        <f t="shared" si="0"/>
        <v>5.7033333333333331</v>
      </c>
      <c r="G20">
        <f>AVERAGE(G17:G19)</f>
        <v>6.18</v>
      </c>
    </row>
    <row r="21" spans="1:7" x14ac:dyDescent="0.25">
      <c r="B21" s="166" t="s">
        <v>75</v>
      </c>
      <c r="C21">
        <f>_xlfn.STDEV.S(C17:C19)</f>
        <v>8.0829037686547645E-2</v>
      </c>
      <c r="D21">
        <f t="shared" ref="D21:G21" si="1">_xlfn.STDEV.S(D17:D19)</f>
        <v>8.504900548115385E-2</v>
      </c>
      <c r="E21">
        <f t="shared" si="1"/>
        <v>7.9372539331937872E-2</v>
      </c>
      <c r="F21">
        <f t="shared" si="1"/>
        <v>0.17616280348965066</v>
      </c>
      <c r="G21">
        <f t="shared" si="1"/>
        <v>4.0000000000000036E-2</v>
      </c>
    </row>
  </sheetData>
  <mergeCells count="6">
    <mergeCell ref="A17:A19"/>
    <mergeCell ref="A2:G2"/>
    <mergeCell ref="A5:A7"/>
    <mergeCell ref="A8:A10"/>
    <mergeCell ref="A11:A13"/>
    <mergeCell ref="A14:A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DC1BC-353B-479A-BD4D-954DDC859341}">
  <dimension ref="A1:R93"/>
  <sheetViews>
    <sheetView zoomScaleNormal="100" workbookViewId="0">
      <selection sqref="A1:F2"/>
    </sheetView>
  </sheetViews>
  <sheetFormatPr baseColWidth="10" defaultRowHeight="15" x14ac:dyDescent="0.25"/>
  <cols>
    <col min="2" max="2" width="20.28515625" customWidth="1"/>
    <col min="3" max="3" width="30" customWidth="1"/>
    <col min="4" max="4" width="21.7109375" customWidth="1"/>
    <col min="5" max="5" width="13.85546875" customWidth="1"/>
  </cols>
  <sheetData>
    <row r="1" spans="1:18" ht="18.75" customHeight="1" x14ac:dyDescent="0.25">
      <c r="A1" s="152" t="s">
        <v>92</v>
      </c>
      <c r="B1" s="152"/>
      <c r="C1" s="152"/>
      <c r="D1" s="152"/>
      <c r="E1" s="152"/>
      <c r="F1" s="152"/>
      <c r="G1" s="188"/>
      <c r="H1" s="188"/>
      <c r="I1" s="188"/>
      <c r="J1" s="188"/>
      <c r="K1" s="188"/>
    </row>
    <row r="2" spans="1:18" ht="15" customHeight="1" x14ac:dyDescent="0.25">
      <c r="A2" s="152"/>
      <c r="B2" s="152"/>
      <c r="C2" s="152"/>
      <c r="D2" s="152"/>
      <c r="E2" s="152"/>
      <c r="F2" s="152"/>
      <c r="G2" s="188"/>
      <c r="H2" s="188"/>
      <c r="I2" s="188"/>
      <c r="J2" s="188"/>
      <c r="K2" s="188"/>
    </row>
    <row r="4" spans="1:18" ht="18.75" x14ac:dyDescent="0.3">
      <c r="A4" s="151" t="s">
        <v>0</v>
      </c>
      <c r="B4" s="151"/>
      <c r="C4" s="151"/>
      <c r="D4" s="151"/>
      <c r="E4" s="151"/>
      <c r="F4" s="151"/>
      <c r="G4" s="165"/>
      <c r="H4" s="153" t="s">
        <v>82</v>
      </c>
      <c r="I4" s="153"/>
      <c r="J4" s="153"/>
      <c r="L4" s="125" t="s">
        <v>19</v>
      </c>
      <c r="M4" s="125"/>
      <c r="N4" s="125"/>
      <c r="P4" s="153" t="s">
        <v>97</v>
      </c>
      <c r="Q4" s="153"/>
      <c r="R4" s="153"/>
    </row>
    <row r="6" spans="1:18" ht="15.75" x14ac:dyDescent="0.25">
      <c r="A6" s="190" t="s">
        <v>99</v>
      </c>
      <c r="B6" s="190"/>
      <c r="C6" s="190"/>
      <c r="D6" s="190"/>
      <c r="E6" s="190"/>
      <c r="F6" s="190"/>
    </row>
    <row r="7" spans="1:18" ht="15" customHeight="1" x14ac:dyDescent="0.25">
      <c r="A7" s="175" t="s">
        <v>62</v>
      </c>
      <c r="B7" s="176" t="s">
        <v>63</v>
      </c>
      <c r="C7" s="176" t="s">
        <v>64</v>
      </c>
      <c r="D7" s="176" t="s">
        <v>65</v>
      </c>
      <c r="E7" s="176" t="s">
        <v>66</v>
      </c>
      <c r="F7" s="177" t="s">
        <v>5</v>
      </c>
      <c r="H7" s="160" t="s">
        <v>60</v>
      </c>
      <c r="I7" s="160"/>
      <c r="J7" s="160"/>
      <c r="L7" s="160" t="s">
        <v>104</v>
      </c>
      <c r="M7" s="160"/>
      <c r="N7" s="160"/>
      <c r="P7" s="154" t="s">
        <v>102</v>
      </c>
      <c r="Q7" s="154"/>
      <c r="R7" s="154"/>
    </row>
    <row r="8" spans="1:18" ht="15" customHeight="1" x14ac:dyDescent="0.25">
      <c r="A8" s="78">
        <v>44.375900000000001</v>
      </c>
      <c r="B8" s="178">
        <v>38.5456</v>
      </c>
      <c r="C8" s="178">
        <v>1.0225</v>
      </c>
      <c r="D8" s="178">
        <v>83.883600000000001</v>
      </c>
      <c r="E8" s="178">
        <f>+D8-A8-B8</f>
        <v>0.96209999999999951</v>
      </c>
      <c r="F8" s="89">
        <f>+((C8-E8)/C8)*100</f>
        <v>5.9070904645477222</v>
      </c>
      <c r="H8" s="160"/>
      <c r="I8" s="160"/>
      <c r="J8" s="160"/>
      <c r="L8" s="160"/>
      <c r="M8" s="160"/>
      <c r="N8" s="160"/>
      <c r="P8" s="154"/>
      <c r="Q8" s="154"/>
      <c r="R8" s="154"/>
    </row>
    <row r="9" spans="1:18" x14ac:dyDescent="0.25">
      <c r="A9" s="78">
        <v>44.342199999999998</v>
      </c>
      <c r="B9" s="178">
        <v>47.294400000000003</v>
      </c>
      <c r="C9" s="178">
        <v>1.0244</v>
      </c>
      <c r="D9" s="178">
        <v>92.604200000000006</v>
      </c>
      <c r="E9" s="178">
        <f t="shared" ref="E9:E11" si="0">+D9-A9-B9</f>
        <v>0.96760000000000446</v>
      </c>
      <c r="F9" s="89">
        <f t="shared" ref="F9:F11" si="1">+((C9-E9)/C9)*100</f>
        <v>5.5447090980081537</v>
      </c>
      <c r="I9" s="14"/>
      <c r="J9" s="14"/>
      <c r="L9" s="14"/>
      <c r="M9" s="14"/>
      <c r="N9" s="14"/>
      <c r="P9" s="14"/>
      <c r="Q9" s="14"/>
    </row>
    <row r="10" spans="1:18" x14ac:dyDescent="0.25">
      <c r="A10" s="78">
        <v>36.277000000000001</v>
      </c>
      <c r="B10" s="178">
        <v>36.438400000000001</v>
      </c>
      <c r="C10" s="178">
        <v>1.0069999999999999</v>
      </c>
      <c r="D10" s="178">
        <v>73.663399999999996</v>
      </c>
      <c r="E10" s="178">
        <f t="shared" si="0"/>
        <v>0.94799999999999329</v>
      </c>
      <c r="F10" s="89">
        <f>+((C10-E10)/C10)*100</f>
        <v>5.8589870903680836</v>
      </c>
      <c r="H10" s="14" t="s">
        <v>51</v>
      </c>
      <c r="I10" s="14"/>
      <c r="J10" s="14"/>
      <c r="L10" s="14" t="s">
        <v>51</v>
      </c>
      <c r="M10" s="14"/>
      <c r="N10" s="14"/>
      <c r="P10" s="14" t="s">
        <v>51</v>
      </c>
      <c r="Q10" s="14"/>
    </row>
    <row r="11" spans="1:18" x14ac:dyDescent="0.25">
      <c r="A11" s="179">
        <v>38.489600000000003</v>
      </c>
      <c r="B11" s="180">
        <v>38.157200000000003</v>
      </c>
      <c r="C11" s="180">
        <v>1.0262</v>
      </c>
      <c r="D11" s="180">
        <v>77.618799999999993</v>
      </c>
      <c r="E11" s="180">
        <f t="shared" si="0"/>
        <v>0.9719999999999871</v>
      </c>
      <c r="F11" s="181">
        <f t="shared" si="1"/>
        <v>5.2816215162748881</v>
      </c>
      <c r="H11" s="14"/>
      <c r="I11" s="14"/>
      <c r="J11" s="14"/>
      <c r="L11" s="14"/>
      <c r="M11" s="14"/>
      <c r="N11" s="14"/>
      <c r="P11" s="14"/>
      <c r="Q11" s="14"/>
    </row>
    <row r="12" spans="1:18" x14ac:dyDescent="0.25">
      <c r="E12" s="173" t="s">
        <v>74</v>
      </c>
      <c r="F12" s="174">
        <f>AVERAGE(F8:F11)</f>
        <v>5.6481020422997119</v>
      </c>
      <c r="H12" s="14" t="s">
        <v>61</v>
      </c>
      <c r="I12" s="14"/>
      <c r="J12" s="14"/>
      <c r="L12" s="14" t="s">
        <v>101</v>
      </c>
      <c r="M12" s="14"/>
      <c r="N12" s="14"/>
      <c r="P12" s="14" t="s">
        <v>98</v>
      </c>
      <c r="Q12" s="14"/>
    </row>
    <row r="13" spans="1:18" x14ac:dyDescent="0.25">
      <c r="H13" s="14" t="s">
        <v>53</v>
      </c>
      <c r="I13" s="14"/>
      <c r="J13" s="14"/>
      <c r="L13" s="14" t="s">
        <v>103</v>
      </c>
      <c r="M13" s="14"/>
      <c r="N13" s="14"/>
      <c r="P13" s="14" t="s">
        <v>101</v>
      </c>
      <c r="Q13" s="14"/>
    </row>
    <row r="14" spans="1:18" ht="15.75" x14ac:dyDescent="0.25">
      <c r="A14" s="190" t="s">
        <v>97</v>
      </c>
      <c r="B14" s="190"/>
      <c r="C14" s="190"/>
      <c r="D14" s="190"/>
      <c r="E14" s="190"/>
      <c r="F14" s="190"/>
      <c r="H14" s="14" t="s">
        <v>52</v>
      </c>
      <c r="L14" s="14" t="s">
        <v>54</v>
      </c>
      <c r="M14" s="14"/>
      <c r="N14" s="14"/>
    </row>
    <row r="15" spans="1:18" x14ac:dyDescent="0.25">
      <c r="A15" s="184" t="s">
        <v>96</v>
      </c>
      <c r="B15" s="185" t="s">
        <v>105</v>
      </c>
      <c r="C15" s="185" t="s">
        <v>106</v>
      </c>
      <c r="D15" s="185" t="s">
        <v>100</v>
      </c>
      <c r="E15" s="185" t="s">
        <v>95</v>
      </c>
      <c r="F15" s="186" t="s">
        <v>97</v>
      </c>
    </row>
    <row r="16" spans="1:18" x14ac:dyDescent="0.25">
      <c r="A16" s="78">
        <v>19.535299999999999</v>
      </c>
      <c r="B16" s="178">
        <v>1.0075000000000001</v>
      </c>
      <c r="C16" s="178">
        <v>19.648700000000002</v>
      </c>
      <c r="D16" s="178">
        <f>+B16*(1-($F$12/100))</f>
        <v>0.95059537192383048</v>
      </c>
      <c r="E16" s="178">
        <f>+C16-A16</f>
        <v>0.11340000000000217</v>
      </c>
      <c r="F16" s="89">
        <f>+(E16/D16)*100</f>
        <v>11.929365884719321</v>
      </c>
    </row>
    <row r="17" spans="1:9" x14ac:dyDescent="0.25">
      <c r="A17" s="78">
        <v>17.159199999999998</v>
      </c>
      <c r="B17" s="178">
        <v>1.006</v>
      </c>
      <c r="C17" s="178">
        <v>17.2804</v>
      </c>
      <c r="D17" s="178">
        <f t="shared" ref="D17:D18" si="2">+B17*(1-($F$12/100))</f>
        <v>0.94918009345446497</v>
      </c>
      <c r="E17" s="178">
        <f>+C17-A17</f>
        <v>0.12120000000000175</v>
      </c>
      <c r="F17" s="89">
        <f>+(E17/D17)*100</f>
        <v>12.768915070574652</v>
      </c>
    </row>
    <row r="18" spans="1:9" x14ac:dyDescent="0.25">
      <c r="A18" s="179">
        <v>18.2348</v>
      </c>
      <c r="B18" s="180">
        <v>1.0056</v>
      </c>
      <c r="C18" s="180">
        <v>18.360600000000002</v>
      </c>
      <c r="D18" s="180">
        <f t="shared" si="2"/>
        <v>0.94880268586263417</v>
      </c>
      <c r="E18" s="180">
        <f>+C18-A18</f>
        <v>0.12580000000000169</v>
      </c>
      <c r="F18" s="181">
        <f>+(E18/D18)*100</f>
        <v>13.25881575531446</v>
      </c>
    </row>
    <row r="19" spans="1:9" x14ac:dyDescent="0.25">
      <c r="E19" s="182" t="s">
        <v>74</v>
      </c>
      <c r="F19" s="183">
        <f>AVERAGE(F16:F18)</f>
        <v>12.652365570202811</v>
      </c>
    </row>
    <row r="20" spans="1:9" ht="15.75" thickBot="1" x14ac:dyDescent="0.3">
      <c r="E20" s="167" t="s">
        <v>75</v>
      </c>
      <c r="F20" s="172">
        <f>_xlfn.STDEV.S(F16:F18)</f>
        <v>0.67234446464149056</v>
      </c>
    </row>
    <row r="22" spans="1:9" x14ac:dyDescent="0.25">
      <c r="A22" s="169" t="s">
        <v>1</v>
      </c>
      <c r="B22" s="169"/>
      <c r="C22" s="169"/>
      <c r="D22" s="169"/>
      <c r="E22" s="169"/>
      <c r="F22" s="169"/>
      <c r="G22" s="165"/>
      <c r="H22" s="165"/>
      <c r="I22" s="165"/>
    </row>
    <row r="24" spans="1:9" ht="15.75" x14ac:dyDescent="0.25">
      <c r="A24" s="190" t="s">
        <v>99</v>
      </c>
      <c r="B24" s="190"/>
      <c r="C24" s="190"/>
      <c r="D24" s="190"/>
      <c r="E24" s="190"/>
      <c r="F24" s="190"/>
    </row>
    <row r="25" spans="1:9" x14ac:dyDescent="0.25">
      <c r="A25" s="175" t="s">
        <v>62</v>
      </c>
      <c r="B25" s="176" t="s">
        <v>63</v>
      </c>
      <c r="C25" s="176" t="s">
        <v>64</v>
      </c>
      <c r="D25" s="176" t="s">
        <v>65</v>
      </c>
      <c r="E25" s="176" t="s">
        <v>66</v>
      </c>
      <c r="F25" s="177" t="s">
        <v>5</v>
      </c>
    </row>
    <row r="26" spans="1:9" x14ac:dyDescent="0.25">
      <c r="A26" s="78">
        <v>44.647599999999997</v>
      </c>
      <c r="B26" s="178">
        <v>36.115499999999997</v>
      </c>
      <c r="C26" s="178">
        <v>1.0026999999999999</v>
      </c>
      <c r="D26" s="178">
        <v>81.715000000000003</v>
      </c>
      <c r="E26" s="178">
        <f>+D26-B26-A26</f>
        <v>0.95190000000000907</v>
      </c>
      <c r="F26" s="89">
        <f>+((C26-E26)/C26)*100</f>
        <v>5.0663209334786936</v>
      </c>
    </row>
    <row r="27" spans="1:9" x14ac:dyDescent="0.25">
      <c r="A27" s="78">
        <v>44.375999999999998</v>
      </c>
      <c r="B27" s="178">
        <v>47.031799999999997</v>
      </c>
      <c r="C27" s="178">
        <v>1.0019</v>
      </c>
      <c r="D27" s="178">
        <v>92.365700000000004</v>
      </c>
      <c r="E27" s="178">
        <f>+D27-B27-A27</f>
        <v>0.9579000000000093</v>
      </c>
      <c r="F27" s="89">
        <f>+((C27-E27)/C27)*100</f>
        <v>4.3916558538767054</v>
      </c>
    </row>
    <row r="28" spans="1:9" x14ac:dyDescent="0.25">
      <c r="A28" s="179">
        <v>39.545000000000002</v>
      </c>
      <c r="B28" s="180">
        <v>36.770000000000003</v>
      </c>
      <c r="C28" s="180">
        <v>1.0034000000000001</v>
      </c>
      <c r="D28" s="180">
        <v>77.257999999999996</v>
      </c>
      <c r="E28" s="180">
        <f>+D28-B28-A28</f>
        <v>0.94299999999999073</v>
      </c>
      <c r="F28" s="181">
        <f>+((C28-E28)/C28)*100</f>
        <v>6.0195335858091816</v>
      </c>
    </row>
    <row r="29" spans="1:9" x14ac:dyDescent="0.25">
      <c r="E29" s="173" t="s">
        <v>74</v>
      </c>
      <c r="F29" s="174">
        <f>AVERAGE(F26:F28)</f>
        <v>5.1591701243881936</v>
      </c>
    </row>
    <row r="30" spans="1:9" x14ac:dyDescent="0.25">
      <c r="G30" s="178"/>
      <c r="H30" s="178"/>
    </row>
    <row r="31" spans="1:9" x14ac:dyDescent="0.25">
      <c r="G31" s="178"/>
      <c r="H31" s="178"/>
    </row>
    <row r="32" spans="1:9" ht="15.75" x14ac:dyDescent="0.25">
      <c r="A32" s="190" t="s">
        <v>97</v>
      </c>
      <c r="B32" s="190"/>
      <c r="C32" s="190"/>
      <c r="D32" s="190"/>
      <c r="E32" s="190"/>
      <c r="F32" s="190"/>
      <c r="G32" s="178"/>
      <c r="H32" s="178"/>
    </row>
    <row r="33" spans="1:9" x14ac:dyDescent="0.25">
      <c r="A33" s="184" t="s">
        <v>96</v>
      </c>
      <c r="B33" s="185" t="s">
        <v>105</v>
      </c>
      <c r="C33" s="185" t="s">
        <v>106</v>
      </c>
      <c r="D33" s="185" t="s">
        <v>100</v>
      </c>
      <c r="E33" s="185" t="s">
        <v>95</v>
      </c>
      <c r="F33" s="186" t="s">
        <v>97</v>
      </c>
      <c r="G33" s="178"/>
      <c r="H33" s="178"/>
    </row>
    <row r="34" spans="1:9" x14ac:dyDescent="0.25">
      <c r="A34" s="78">
        <v>17.1736</v>
      </c>
      <c r="B34" s="178">
        <v>1.0021</v>
      </c>
      <c r="C34" s="178">
        <v>17.2254</v>
      </c>
      <c r="D34" s="178">
        <f>+B34*(1-($F$29/100))</f>
        <v>0.95039995618350592</v>
      </c>
      <c r="E34" s="178">
        <f>+C34-A34</f>
        <v>5.1800000000000068E-2</v>
      </c>
      <c r="F34" s="89">
        <f>+(E34/D34)*100</f>
        <v>5.4503369516147551</v>
      </c>
      <c r="G34" s="178"/>
      <c r="H34" s="178"/>
    </row>
    <row r="35" spans="1:9" x14ac:dyDescent="0.25">
      <c r="A35" s="78">
        <v>18.261099999999999</v>
      </c>
      <c r="B35" s="178">
        <v>1.0051000000000001</v>
      </c>
      <c r="C35" s="178">
        <v>18.311800000000002</v>
      </c>
      <c r="D35" s="178">
        <f t="shared" ref="D35:D36" si="3">+B35*(1-($F$29/100))</f>
        <v>0.95324518107977441</v>
      </c>
      <c r="E35" s="178">
        <f t="shared" ref="E35:E36" si="4">+C35-A35</f>
        <v>5.0700000000002632E-2</v>
      </c>
      <c r="F35" s="89">
        <f t="shared" ref="F35:F36" si="5">+(E35/D35)*100</f>
        <v>5.3186736220971982</v>
      </c>
      <c r="G35" s="178"/>
      <c r="H35" s="178"/>
    </row>
    <row r="36" spans="1:9" x14ac:dyDescent="0.25">
      <c r="A36" s="179">
        <v>19.825099999999999</v>
      </c>
      <c r="B36" s="180">
        <v>1.0065</v>
      </c>
      <c r="C36" s="180">
        <v>19.873999999999999</v>
      </c>
      <c r="D36" s="180">
        <f>+B36*(1-($F$29/100))</f>
        <v>0.95457295269803277</v>
      </c>
      <c r="E36" s="180">
        <f t="shared" si="4"/>
        <v>4.8899999999999721E-2</v>
      </c>
      <c r="F36" s="181">
        <f t="shared" si="5"/>
        <v>5.1227095699482517</v>
      </c>
      <c r="G36" s="178"/>
      <c r="H36" s="178"/>
    </row>
    <row r="37" spans="1:9" x14ac:dyDescent="0.25">
      <c r="A37" s="9"/>
      <c r="E37" s="182" t="s">
        <v>74</v>
      </c>
      <c r="F37" s="194">
        <f>AVERAGE(F34:F36)</f>
        <v>5.297240047886735</v>
      </c>
      <c r="G37" s="178"/>
      <c r="H37" s="178"/>
    </row>
    <row r="38" spans="1:9" ht="15.75" thickBot="1" x14ac:dyDescent="0.3">
      <c r="E38" s="167" t="s">
        <v>75</v>
      </c>
      <c r="F38" s="91">
        <f>_xlfn.STDEV.S(F34:F36)</f>
        <v>0.16486198434444718</v>
      </c>
      <c r="G38" s="178"/>
      <c r="H38" s="178"/>
    </row>
    <row r="39" spans="1:9" x14ac:dyDescent="0.25">
      <c r="G39" s="178"/>
      <c r="H39" s="178"/>
    </row>
    <row r="41" spans="1:9" ht="15.75" x14ac:dyDescent="0.25">
      <c r="A41" s="199" t="s">
        <v>2</v>
      </c>
      <c r="B41" s="199"/>
      <c r="C41" s="199"/>
      <c r="D41" s="199"/>
      <c r="E41" s="199"/>
      <c r="F41" s="199"/>
      <c r="G41" s="197"/>
      <c r="H41" s="197"/>
      <c r="I41" s="197"/>
    </row>
    <row r="43" spans="1:9" ht="15.75" x14ac:dyDescent="0.25">
      <c r="A43" s="190" t="s">
        <v>99</v>
      </c>
      <c r="B43" s="190"/>
      <c r="C43" s="190"/>
      <c r="D43" s="190"/>
      <c r="E43" s="190"/>
      <c r="F43" s="190"/>
    </row>
    <row r="44" spans="1:9" ht="15" customHeight="1" x14ac:dyDescent="0.25">
      <c r="A44" s="175" t="s">
        <v>62</v>
      </c>
      <c r="B44" s="176" t="s">
        <v>63</v>
      </c>
      <c r="C44" s="176" t="s">
        <v>64</v>
      </c>
      <c r="D44" s="176" t="s">
        <v>65</v>
      </c>
      <c r="E44" s="176" t="s">
        <v>66</v>
      </c>
      <c r="F44" s="177" t="s">
        <v>5</v>
      </c>
    </row>
    <row r="45" spans="1:9" ht="15" customHeight="1" x14ac:dyDescent="0.25">
      <c r="A45" s="78">
        <v>36.844700000000003</v>
      </c>
      <c r="B45" s="178"/>
      <c r="C45" s="178">
        <v>1.0091000000000001</v>
      </c>
      <c r="D45" s="178">
        <v>37.794499999999999</v>
      </c>
      <c r="E45" s="178">
        <f>+D45-A45</f>
        <v>0.9497999999999962</v>
      </c>
      <c r="F45" s="89">
        <f>+((C45-E45)/C45)*100</f>
        <v>5.8765236349225942</v>
      </c>
    </row>
    <row r="46" spans="1:9" x14ac:dyDescent="0.25">
      <c r="A46" s="179">
        <v>47.030900000000003</v>
      </c>
      <c r="B46" s="180"/>
      <c r="C46" s="180">
        <v>1.0288999999999999</v>
      </c>
      <c r="D46" s="180">
        <v>47.991500000000002</v>
      </c>
      <c r="E46" s="180">
        <f>+D46-A46</f>
        <v>0.96059999999999945</v>
      </c>
      <c r="F46" s="181">
        <f>+((C46-E46)/C46)*100</f>
        <v>6.6381572553212624</v>
      </c>
    </row>
    <row r="47" spans="1:9" x14ac:dyDescent="0.25">
      <c r="E47" s="170" t="s">
        <v>74</v>
      </c>
      <c r="F47" s="171">
        <f>AVERAGE(F45:F46)</f>
        <v>6.2573404451219279</v>
      </c>
    </row>
    <row r="50" spans="1:9" ht="15.75" x14ac:dyDescent="0.25">
      <c r="A50" s="190" t="s">
        <v>97</v>
      </c>
      <c r="B50" s="190"/>
      <c r="C50" s="190"/>
      <c r="D50" s="190"/>
      <c r="E50" s="190"/>
      <c r="F50" s="190"/>
    </row>
    <row r="51" spans="1:9" x14ac:dyDescent="0.25">
      <c r="A51" s="184" t="s">
        <v>96</v>
      </c>
      <c r="B51" s="185" t="s">
        <v>105</v>
      </c>
      <c r="C51" s="185" t="s">
        <v>106</v>
      </c>
      <c r="D51" s="185" t="s">
        <v>100</v>
      </c>
      <c r="E51" s="185" t="s">
        <v>95</v>
      </c>
      <c r="F51" s="186" t="s">
        <v>97</v>
      </c>
    </row>
    <row r="52" spans="1:9" x14ac:dyDescent="0.25">
      <c r="A52" s="78">
        <v>17.9114</v>
      </c>
      <c r="B52" s="178">
        <v>0.50029999999999997</v>
      </c>
      <c r="C52" s="178">
        <v>17.975999999999999</v>
      </c>
      <c r="D52" s="178">
        <f>+B52*(1-($F$47/100))</f>
        <v>0.46899452575305495</v>
      </c>
      <c r="E52" s="178">
        <f t="shared" ref="E52:E54" si="6">+C52-A52</f>
        <v>6.4599999999998658E-2</v>
      </c>
      <c r="F52" s="89">
        <f t="shared" ref="F52:F54" si="7">+(E52/D52)*100</f>
        <v>13.774147980996529</v>
      </c>
    </row>
    <row r="53" spans="1:9" x14ac:dyDescent="0.25">
      <c r="A53" s="78">
        <v>19.684699999999999</v>
      </c>
      <c r="B53" s="178">
        <v>0.50080000000000002</v>
      </c>
      <c r="C53" s="178">
        <v>19.748799999999999</v>
      </c>
      <c r="D53" s="178">
        <f t="shared" ref="D53" si="8">+B53*(1-($F$47/100))</f>
        <v>0.46946323905082943</v>
      </c>
      <c r="E53" s="178">
        <f t="shared" si="6"/>
        <v>6.4099999999999824E-2</v>
      </c>
      <c r="F53" s="89">
        <f>+(E53/D53)*100</f>
        <v>13.653891224709849</v>
      </c>
    </row>
    <row r="54" spans="1:9" ht="15.75" thickBot="1" x14ac:dyDescent="0.3">
      <c r="A54" s="179">
        <v>19.161300000000001</v>
      </c>
      <c r="B54" s="180">
        <v>0.50849999999999995</v>
      </c>
      <c r="C54" s="180">
        <v>19.224699999999999</v>
      </c>
      <c r="D54" s="180">
        <f>+B54*(1-($F$47/100))</f>
        <v>0.47668142383655493</v>
      </c>
      <c r="E54" s="178">
        <f t="shared" si="6"/>
        <v>6.3399999999997902E-2</v>
      </c>
      <c r="F54" s="89">
        <f t="shared" si="7"/>
        <v>13.300287535798031</v>
      </c>
      <c r="G54" s="8"/>
      <c r="H54" s="8"/>
    </row>
    <row r="55" spans="1:9" x14ac:dyDescent="0.25">
      <c r="E55" s="168" t="s">
        <v>74</v>
      </c>
      <c r="F55" s="90">
        <f>AVERAGE(F52:F54)</f>
        <v>13.576108913834801</v>
      </c>
    </row>
    <row r="56" spans="1:9" ht="15.75" thickBot="1" x14ac:dyDescent="0.3">
      <c r="E56" s="167" t="s">
        <v>75</v>
      </c>
      <c r="F56" s="91">
        <f>_xlfn.STDEV.S(F52:F54)</f>
        <v>0.2463199064118175</v>
      </c>
    </row>
    <row r="60" spans="1:9" ht="15.75" x14ac:dyDescent="0.25">
      <c r="A60" s="200" t="s">
        <v>3</v>
      </c>
      <c r="B60" s="200"/>
      <c r="C60" s="200"/>
      <c r="D60" s="200"/>
      <c r="E60" s="200"/>
      <c r="F60" s="200"/>
      <c r="G60" s="196"/>
      <c r="H60" s="196"/>
      <c r="I60" s="196"/>
    </row>
    <row r="62" spans="1:9" ht="15.75" x14ac:dyDescent="0.25">
      <c r="A62" s="190" t="s">
        <v>99</v>
      </c>
      <c r="B62" s="190"/>
      <c r="C62" s="190"/>
      <c r="D62" s="190"/>
      <c r="E62" s="190"/>
      <c r="F62" s="190"/>
    </row>
    <row r="63" spans="1:9" x14ac:dyDescent="0.25">
      <c r="A63" s="175" t="s">
        <v>62</v>
      </c>
      <c r="B63" s="176" t="s">
        <v>63</v>
      </c>
      <c r="C63" s="176" t="s">
        <v>64</v>
      </c>
      <c r="D63" s="176" t="s">
        <v>65</v>
      </c>
      <c r="E63" s="176" t="s">
        <v>66</v>
      </c>
      <c r="F63" s="177" t="s">
        <v>5</v>
      </c>
    </row>
    <row r="64" spans="1:9" x14ac:dyDescent="0.25">
      <c r="A64" s="78">
        <v>45.721499999999999</v>
      </c>
      <c r="B64" s="178"/>
      <c r="C64" s="178">
        <v>1.0164</v>
      </c>
      <c r="D64" s="178">
        <v>46.642400000000002</v>
      </c>
      <c r="E64" s="178">
        <f>+D64-A64</f>
        <v>0.92090000000000316</v>
      </c>
      <c r="F64" s="89">
        <f>+((C64-E64)/C64)*100</f>
        <v>9.395907123179537</v>
      </c>
    </row>
    <row r="65" spans="1:12" x14ac:dyDescent="0.25">
      <c r="A65" s="179">
        <v>36.840000000000003</v>
      </c>
      <c r="B65" s="180"/>
      <c r="C65" s="180">
        <v>1.0056</v>
      </c>
      <c r="D65" s="180">
        <v>37.755600000000001</v>
      </c>
      <c r="E65" s="180">
        <f>+D65-A65</f>
        <v>0.91559999999999775</v>
      </c>
      <c r="F65" s="181">
        <f>+((C65-E65)/C65)*100</f>
        <v>8.9498806682579861</v>
      </c>
    </row>
    <row r="66" spans="1:12" x14ac:dyDescent="0.25">
      <c r="E66" s="170" t="s">
        <v>74</v>
      </c>
      <c r="F66" s="171">
        <f>AVERAGE(F64:F65)</f>
        <v>9.1728938957187616</v>
      </c>
    </row>
    <row r="69" spans="1:12" ht="15.75" x14ac:dyDescent="0.25">
      <c r="A69" s="190" t="s">
        <v>97</v>
      </c>
      <c r="B69" s="190"/>
      <c r="C69" s="190"/>
      <c r="D69" s="190"/>
      <c r="E69" s="190"/>
      <c r="F69" s="190"/>
    </row>
    <row r="70" spans="1:12" x14ac:dyDescent="0.25">
      <c r="A70" s="184" t="s">
        <v>96</v>
      </c>
      <c r="B70" s="185" t="s">
        <v>105</v>
      </c>
      <c r="C70" s="185" t="s">
        <v>106</v>
      </c>
      <c r="D70" s="185" t="s">
        <v>100</v>
      </c>
      <c r="E70" s="185" t="s">
        <v>95</v>
      </c>
      <c r="F70" s="186" t="s">
        <v>97</v>
      </c>
      <c r="L70" s="10"/>
    </row>
    <row r="71" spans="1:12" x14ac:dyDescent="0.25">
      <c r="A71" s="78">
        <v>18.5534</v>
      </c>
      <c r="B71" s="178">
        <v>0.50090000000000001</v>
      </c>
      <c r="C71" s="178">
        <v>18.6128</v>
      </c>
      <c r="D71" s="191">
        <f>+B71*(1-($F$66/100))</f>
        <v>0.45495297447634475</v>
      </c>
      <c r="E71" s="191">
        <f>+C71-A71</f>
        <v>5.9400000000000119E-2</v>
      </c>
      <c r="F71" s="89">
        <f>+(E71/D71)*100</f>
        <v>13.056294459525205</v>
      </c>
    </row>
    <row r="72" spans="1:12" x14ac:dyDescent="0.25">
      <c r="A72" s="78">
        <v>16.730399999999999</v>
      </c>
      <c r="B72" s="178">
        <v>0.50049999999999994</v>
      </c>
      <c r="C72" s="178">
        <v>16.789100000000001</v>
      </c>
      <c r="D72" s="191">
        <f t="shared" ref="D72:D73" si="9">+B72*(1-($F$66/100))</f>
        <v>0.45458966605192758</v>
      </c>
      <c r="E72" s="191">
        <f t="shared" ref="E72:E73" si="10">+C72-A72</f>
        <v>5.8700000000001751E-2</v>
      </c>
      <c r="F72" s="89">
        <f t="shared" ref="F72:F73" si="11">+(E72/D72)*100</f>
        <v>12.91274403789383</v>
      </c>
    </row>
    <row r="73" spans="1:12" ht="15.75" thickBot="1" x14ac:dyDescent="0.3">
      <c r="A73" s="179">
        <v>19.543600000000001</v>
      </c>
      <c r="B73" s="180">
        <v>0.50129999999999997</v>
      </c>
      <c r="C73" s="180">
        <v>19.603300000000001</v>
      </c>
      <c r="D73" s="192">
        <f t="shared" si="9"/>
        <v>0.45531628290076182</v>
      </c>
      <c r="E73" s="191">
        <f t="shared" si="10"/>
        <v>5.969999999999942E-2</v>
      </c>
      <c r="F73" s="89">
        <f t="shared" si="11"/>
        <v>13.111764775829748</v>
      </c>
    </row>
    <row r="74" spans="1:12" x14ac:dyDescent="0.25">
      <c r="E74" s="168" t="s">
        <v>74</v>
      </c>
      <c r="F74" s="90">
        <f>AVERAGE(F71:F73)</f>
        <v>13.026934424416261</v>
      </c>
    </row>
    <row r="75" spans="1:12" ht="15.75" thickBot="1" x14ac:dyDescent="0.3">
      <c r="E75" s="167" t="s">
        <v>75</v>
      </c>
      <c r="F75" s="193">
        <f>_xlfn.STDEV.S(F71:F73)</f>
        <v>0.10270745970151397</v>
      </c>
      <c r="G75" s="10"/>
    </row>
    <row r="76" spans="1:12" x14ac:dyDescent="0.25">
      <c r="F76" s="187"/>
      <c r="G76" s="187"/>
    </row>
    <row r="78" spans="1:12" ht="15.75" x14ac:dyDescent="0.25">
      <c r="A78" s="200" t="s">
        <v>4</v>
      </c>
      <c r="B78" s="200"/>
      <c r="C78" s="200"/>
      <c r="D78" s="200"/>
      <c r="E78" s="200"/>
      <c r="F78" s="200"/>
      <c r="G78" s="196"/>
      <c r="H78" s="196"/>
      <c r="I78" s="196"/>
    </row>
    <row r="80" spans="1:12" ht="15.75" x14ac:dyDescent="0.25">
      <c r="A80" s="190" t="s">
        <v>99</v>
      </c>
      <c r="B80" s="190"/>
      <c r="C80" s="190"/>
      <c r="D80" s="190"/>
      <c r="E80" s="190"/>
      <c r="F80" s="190"/>
    </row>
    <row r="81" spans="1:6" x14ac:dyDescent="0.25">
      <c r="A81" s="175" t="s">
        <v>62</v>
      </c>
      <c r="B81" s="176" t="s">
        <v>63</v>
      </c>
      <c r="C81" s="176" t="s">
        <v>64</v>
      </c>
      <c r="D81" s="176" t="s">
        <v>65</v>
      </c>
      <c r="E81" s="176" t="s">
        <v>66</v>
      </c>
      <c r="F81" s="177" t="s">
        <v>5</v>
      </c>
    </row>
    <row r="82" spans="1:6" x14ac:dyDescent="0.25">
      <c r="A82" s="78">
        <v>36.844999999999999</v>
      </c>
      <c r="B82" s="178"/>
      <c r="C82" s="178">
        <v>1.0207999999999999</v>
      </c>
      <c r="D82" s="178">
        <v>37.667499999999997</v>
      </c>
      <c r="E82" s="178">
        <f>+D82-A82</f>
        <v>0.82249999999999801</v>
      </c>
      <c r="F82" s="89">
        <f>+((C82-E82)/C82)*100</f>
        <v>19.425940438871663</v>
      </c>
    </row>
    <row r="83" spans="1:6" x14ac:dyDescent="0.25">
      <c r="A83" s="179">
        <v>47.030700000000003</v>
      </c>
      <c r="B83" s="180"/>
      <c r="C83" s="180">
        <v>1.008</v>
      </c>
      <c r="D83" s="180">
        <v>47.8598</v>
      </c>
      <c r="E83" s="180">
        <f>+D83-A83</f>
        <v>0.82909999999999684</v>
      </c>
      <c r="F83" s="181">
        <f>+((C83-E83)/C83)*100</f>
        <v>17.748015873016186</v>
      </c>
    </row>
    <row r="84" spans="1:6" x14ac:dyDescent="0.25">
      <c r="E84" s="170" t="s">
        <v>74</v>
      </c>
      <c r="F84" s="171">
        <f>AVERAGE(F82:F83)</f>
        <v>18.586978155943925</v>
      </c>
    </row>
    <row r="87" spans="1:6" ht="15.75" x14ac:dyDescent="0.25">
      <c r="A87" s="190" t="s">
        <v>97</v>
      </c>
      <c r="B87" s="190"/>
      <c r="C87" s="190"/>
      <c r="D87" s="190"/>
      <c r="E87" s="190"/>
      <c r="F87" s="190"/>
    </row>
    <row r="88" spans="1:6" x14ac:dyDescent="0.25">
      <c r="A88" s="184" t="s">
        <v>96</v>
      </c>
      <c r="B88" s="185" t="s">
        <v>105</v>
      </c>
      <c r="C88" s="185" t="s">
        <v>106</v>
      </c>
      <c r="D88" s="185" t="s">
        <v>100</v>
      </c>
      <c r="E88" s="185" t="s">
        <v>95</v>
      </c>
      <c r="F88" s="186" t="s">
        <v>97</v>
      </c>
    </row>
    <row r="89" spans="1:6" x14ac:dyDescent="0.25">
      <c r="A89" s="78">
        <v>16.721399999999999</v>
      </c>
      <c r="B89" s="178">
        <v>1.0004999999999999</v>
      </c>
      <c r="C89" s="178">
        <v>16.8202</v>
      </c>
      <c r="D89" s="178">
        <f>+B89*(1-($F$84/100))</f>
        <v>0.81453728354978105</v>
      </c>
      <c r="E89" s="178">
        <f>+C89-A89</f>
        <v>9.8800000000000665E-2</v>
      </c>
      <c r="F89" s="89">
        <f>+(E89/D89)*100</f>
        <v>12.12958596191287</v>
      </c>
    </row>
    <row r="90" spans="1:6" x14ac:dyDescent="0.25">
      <c r="A90" s="78">
        <v>18.1556</v>
      </c>
      <c r="B90" s="178">
        <v>1.0004</v>
      </c>
      <c r="C90" s="178">
        <v>18.253900000000002</v>
      </c>
      <c r="D90" s="178">
        <f t="shared" ref="D90:D91" si="12">+B90*(1-($F$84/100))</f>
        <v>0.814455870527937</v>
      </c>
      <c r="E90" s="178">
        <f t="shared" ref="E90:E91" si="13">+C90-A90</f>
        <v>9.830000000000183E-2</v>
      </c>
      <c r="F90" s="89">
        <f t="shared" ref="F90:F91" si="14">+(E90/D90)*100</f>
        <v>12.069407755178062</v>
      </c>
    </row>
    <row r="91" spans="1:6" x14ac:dyDescent="0.25">
      <c r="A91" s="179">
        <v>18.209199999999999</v>
      </c>
      <c r="B91" s="180">
        <v>1.0007999999999999</v>
      </c>
      <c r="C91" s="180">
        <v>18.3081</v>
      </c>
      <c r="D91" s="180">
        <f t="shared" si="12"/>
        <v>0.81478152261531311</v>
      </c>
      <c r="E91" s="180">
        <f t="shared" si="13"/>
        <v>9.8900000000000432E-2</v>
      </c>
      <c r="F91" s="181">
        <f t="shared" si="14"/>
        <v>12.138223223637654</v>
      </c>
    </row>
    <row r="92" spans="1:6" x14ac:dyDescent="0.25">
      <c r="E92" s="182" t="s">
        <v>74</v>
      </c>
      <c r="F92" s="194">
        <f>AVERAGE(F89:F91)</f>
        <v>12.112405646909529</v>
      </c>
    </row>
    <row r="93" spans="1:6" ht="15.75" thickBot="1" x14ac:dyDescent="0.3">
      <c r="E93" s="167" t="s">
        <v>75</v>
      </c>
      <c r="F93" s="193">
        <f>_xlfn.STDEV.S(F89:F91)</f>
        <v>3.7486858931348066E-2</v>
      </c>
    </row>
  </sheetData>
  <mergeCells count="22">
    <mergeCell ref="A80:F80"/>
    <mergeCell ref="A50:F50"/>
    <mergeCell ref="A69:F69"/>
    <mergeCell ref="A87:F87"/>
    <mergeCell ref="A60:F60"/>
    <mergeCell ref="A78:F78"/>
    <mergeCell ref="A24:F24"/>
    <mergeCell ref="A32:F32"/>
    <mergeCell ref="A43:F43"/>
    <mergeCell ref="A62:F62"/>
    <mergeCell ref="A41:F41"/>
    <mergeCell ref="P4:R4"/>
    <mergeCell ref="P7:R8"/>
    <mergeCell ref="A22:F22"/>
    <mergeCell ref="A1:F2"/>
    <mergeCell ref="A6:F6"/>
    <mergeCell ref="A14:F14"/>
    <mergeCell ref="A4:F4"/>
    <mergeCell ref="H4:J4"/>
    <mergeCell ref="H7:J8"/>
    <mergeCell ref="L4:N4"/>
    <mergeCell ref="L7:N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0754-E602-4C89-82AA-83A1083D59A8}">
  <dimension ref="A1:T96"/>
  <sheetViews>
    <sheetView zoomScaleNormal="100" workbookViewId="0">
      <selection activeCell="I74" sqref="I74"/>
    </sheetView>
  </sheetViews>
  <sheetFormatPr baseColWidth="10" defaultRowHeight="15" x14ac:dyDescent="0.25"/>
  <cols>
    <col min="3" max="3" width="13.42578125" customWidth="1"/>
    <col min="4" max="4" width="19.85546875" customWidth="1"/>
    <col min="5" max="5" width="13.5703125" customWidth="1"/>
    <col min="9" max="9" width="15.140625" customWidth="1"/>
  </cols>
  <sheetData>
    <row r="1" spans="1:20" ht="18.75" customHeight="1" x14ac:dyDescent="0.25">
      <c r="A1" s="152" t="s">
        <v>90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20" ht="18.75" x14ac:dyDescent="0.3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05"/>
      <c r="M2" s="105"/>
      <c r="N2" s="153" t="s">
        <v>82</v>
      </c>
      <c r="O2" s="153"/>
      <c r="P2" s="153"/>
      <c r="Q2" s="109"/>
      <c r="R2" s="125" t="s">
        <v>19</v>
      </c>
      <c r="S2" s="125"/>
      <c r="T2" s="125"/>
    </row>
    <row r="3" spans="1:20" x14ac:dyDescent="0.25">
      <c r="Q3" s="14"/>
    </row>
    <row r="4" spans="1:20" ht="18.75" customHeight="1" x14ac:dyDescent="0.25">
      <c r="A4" s="155" t="s">
        <v>59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4"/>
      <c r="M4" s="14"/>
      <c r="N4" s="160" t="s">
        <v>108</v>
      </c>
      <c r="O4" s="160"/>
      <c r="P4" s="160"/>
      <c r="Q4" s="14"/>
      <c r="R4" s="160" t="s">
        <v>107</v>
      </c>
      <c r="S4" s="160"/>
      <c r="T4" s="160"/>
    </row>
    <row r="5" spans="1:20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60"/>
      <c r="O5" s="160"/>
      <c r="P5" s="160"/>
      <c r="Q5" s="14"/>
      <c r="R5" s="160"/>
      <c r="S5" s="160"/>
      <c r="T5" s="160"/>
    </row>
    <row r="6" spans="1:20" ht="18.75" x14ac:dyDescent="0.25">
      <c r="A6" s="226" t="s">
        <v>76</v>
      </c>
      <c r="B6" s="227"/>
      <c r="C6" s="227"/>
      <c r="D6" s="227"/>
      <c r="E6" s="227"/>
      <c r="F6" s="227"/>
      <c r="G6" s="227"/>
      <c r="H6" s="227"/>
      <c r="I6" s="227"/>
      <c r="J6" s="227"/>
      <c r="K6" s="228"/>
      <c r="L6" s="14"/>
      <c r="M6" s="14"/>
      <c r="N6" s="108"/>
      <c r="O6" s="108"/>
      <c r="P6" s="108"/>
      <c r="Q6" s="14"/>
      <c r="R6" s="108"/>
      <c r="S6" s="108"/>
      <c r="T6" s="108"/>
    </row>
    <row r="7" spans="1:20" x14ac:dyDescent="0.25">
      <c r="A7" s="131" t="s">
        <v>6</v>
      </c>
      <c r="B7" s="132" t="s">
        <v>105</v>
      </c>
      <c r="C7" s="161" t="s">
        <v>62</v>
      </c>
      <c r="D7" s="161" t="s">
        <v>77</v>
      </c>
      <c r="E7" s="162" t="s">
        <v>78</v>
      </c>
      <c r="F7" s="162"/>
      <c r="G7" s="162" t="s">
        <v>110</v>
      </c>
      <c r="H7" s="162"/>
      <c r="I7" s="162" t="s">
        <v>100</v>
      </c>
      <c r="J7" s="162" t="s">
        <v>79</v>
      </c>
      <c r="K7" s="202" t="s">
        <v>76</v>
      </c>
      <c r="L7" s="14"/>
      <c r="M7" s="14"/>
      <c r="O7" s="14"/>
      <c r="P7" s="14"/>
      <c r="Q7" s="14"/>
      <c r="R7" s="14"/>
      <c r="S7" s="14"/>
      <c r="T7" s="14"/>
    </row>
    <row r="8" spans="1:20" x14ac:dyDescent="0.25">
      <c r="A8" s="131"/>
      <c r="B8" s="132"/>
      <c r="C8" s="161"/>
      <c r="D8" s="161"/>
      <c r="E8" s="162"/>
      <c r="F8" s="162"/>
      <c r="G8" s="162"/>
      <c r="H8" s="162"/>
      <c r="I8" s="162"/>
      <c r="J8" s="162"/>
      <c r="K8" s="202"/>
      <c r="L8" s="14"/>
      <c r="M8" s="14"/>
      <c r="N8" s="14" t="s">
        <v>51</v>
      </c>
      <c r="O8" s="14"/>
      <c r="P8" s="14"/>
      <c r="Q8" s="14"/>
      <c r="R8" s="14" t="s">
        <v>51</v>
      </c>
      <c r="S8" s="14"/>
      <c r="T8" s="14"/>
    </row>
    <row r="9" spans="1:20" x14ac:dyDescent="0.25">
      <c r="A9" s="56">
        <v>1</v>
      </c>
      <c r="B9" s="15">
        <v>1.0025999999999999</v>
      </c>
      <c r="C9" s="15">
        <v>82.924000000000007</v>
      </c>
      <c r="D9" s="15">
        <v>1.8066</v>
      </c>
      <c r="E9" s="164">
        <f>+C9+D9</f>
        <v>84.73060000000001</v>
      </c>
      <c r="F9" s="164"/>
      <c r="G9" s="164">
        <v>84.859399999999994</v>
      </c>
      <c r="H9" s="164"/>
      <c r="I9" s="15">
        <f>+B9*(1-($F$20/100))</f>
        <v>0.95184234046491023</v>
      </c>
      <c r="J9" s="15">
        <f>+(G9-E9)</f>
        <v>0.12879999999998404</v>
      </c>
      <c r="K9" s="33">
        <f>+(J9/I9)*$I$20</f>
        <v>7.4299091336035161</v>
      </c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56">
        <v>2</v>
      </c>
      <c r="B10" s="15">
        <v>1.0076000000000001</v>
      </c>
      <c r="C10" s="15">
        <v>97.485600000000005</v>
      </c>
      <c r="D10" s="15">
        <v>1.8277000000000001</v>
      </c>
      <c r="E10" s="164">
        <f>+C10+D10</f>
        <v>99.313299999999998</v>
      </c>
      <c r="F10" s="164"/>
      <c r="G10" s="164">
        <v>99.452399999999997</v>
      </c>
      <c r="H10" s="164"/>
      <c r="I10" s="15">
        <f t="shared" ref="I10:I11" si="0">+B10*(1-($F$20/100))</f>
        <v>0.95658921030564903</v>
      </c>
      <c r="J10" s="15">
        <f>+(G10-E10)</f>
        <v>0.13909999999999911</v>
      </c>
      <c r="K10" s="33">
        <f>+(J10/I10)*$I$20</f>
        <v>7.984253380994117</v>
      </c>
      <c r="L10" s="14"/>
      <c r="M10" s="14"/>
      <c r="N10" s="14" t="s">
        <v>61</v>
      </c>
      <c r="O10" s="14"/>
      <c r="P10" s="14"/>
      <c r="Q10" s="14"/>
      <c r="R10" s="14" t="s">
        <v>101</v>
      </c>
      <c r="S10" s="14"/>
      <c r="T10" s="14"/>
    </row>
    <row r="11" spans="1:20" ht="15.75" thickBot="1" x14ac:dyDescent="0.3">
      <c r="A11" s="57">
        <v>3</v>
      </c>
      <c r="B11" s="229">
        <v>1.0042</v>
      </c>
      <c r="C11" s="229">
        <v>97.639399999999995</v>
      </c>
      <c r="D11" s="229">
        <v>1.4963</v>
      </c>
      <c r="E11" s="230">
        <f>+C11+D11</f>
        <v>99.1357</v>
      </c>
      <c r="F11" s="230"/>
      <c r="G11" s="230">
        <v>99.265100000000004</v>
      </c>
      <c r="H11" s="230"/>
      <c r="I11" s="229">
        <f>+B11*(1-($F$20/100))</f>
        <v>0.95336133881394669</v>
      </c>
      <c r="J11" s="15">
        <f>+(G11-E11)</f>
        <v>0.12940000000000396</v>
      </c>
      <c r="K11" s="33">
        <f>+(J11/I11)*$I$20</f>
        <v>7.4526272305181083</v>
      </c>
      <c r="L11" s="14"/>
      <c r="M11" s="14"/>
      <c r="N11" s="14" t="s">
        <v>53</v>
      </c>
      <c r="O11" s="14"/>
      <c r="P11" s="14"/>
      <c r="Q11" s="14"/>
      <c r="R11" s="14" t="s">
        <v>103</v>
      </c>
      <c r="S11" s="14"/>
      <c r="T11" s="14"/>
    </row>
    <row r="12" spans="1:20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235" t="s">
        <v>74</v>
      </c>
      <c r="K12" s="103">
        <f>AVERAGE(K9:K11)</f>
        <v>7.6222632483719144</v>
      </c>
      <c r="L12" s="14"/>
      <c r="M12" s="14"/>
      <c r="N12" s="14" t="s">
        <v>52</v>
      </c>
      <c r="Q12" s="14"/>
      <c r="R12" s="14" t="s">
        <v>54</v>
      </c>
      <c r="S12" s="14"/>
      <c r="T12" s="14"/>
    </row>
    <row r="13" spans="1:20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67" t="s">
        <v>75</v>
      </c>
      <c r="K13" s="104">
        <f>_xlfn.STDEV.S(K9:K11)</f>
        <v>0.31369837434825093</v>
      </c>
      <c r="L13" s="14"/>
      <c r="M13" s="14"/>
      <c r="P13" s="14"/>
    </row>
    <row r="14" spans="1:20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P14" s="14"/>
    </row>
    <row r="15" spans="1:20" ht="19.5" thickBot="1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3" t="s">
        <v>84</v>
      </c>
      <c r="O15" s="153"/>
      <c r="P15" s="153"/>
      <c r="R15" s="153" t="s">
        <v>76</v>
      </c>
      <c r="S15" s="153"/>
      <c r="T15" s="153"/>
    </row>
    <row r="16" spans="1:20" x14ac:dyDescent="0.25">
      <c r="A16" s="206" t="s">
        <v>80</v>
      </c>
      <c r="B16" s="207"/>
      <c r="C16" s="207"/>
      <c r="D16" s="207"/>
      <c r="E16" s="207"/>
      <c r="F16" s="208"/>
      <c r="G16" s="14"/>
      <c r="H16" s="157" t="s">
        <v>84</v>
      </c>
      <c r="I16" s="157"/>
      <c r="J16" s="14"/>
      <c r="K16" s="14"/>
      <c r="L16" s="14"/>
      <c r="M16" s="14"/>
      <c r="N16" s="14"/>
      <c r="O16" s="14"/>
      <c r="P16" s="14"/>
    </row>
    <row r="17" spans="1:20" x14ac:dyDescent="0.25">
      <c r="A17" s="209" t="s">
        <v>62</v>
      </c>
      <c r="B17" s="210" t="s">
        <v>63</v>
      </c>
      <c r="C17" s="210" t="s">
        <v>64</v>
      </c>
      <c r="D17" s="210" t="s">
        <v>65</v>
      </c>
      <c r="E17" s="210" t="s">
        <v>66</v>
      </c>
      <c r="F17" s="211" t="s">
        <v>5</v>
      </c>
      <c r="G17" s="14"/>
      <c r="H17" s="107" t="s">
        <v>16</v>
      </c>
      <c r="I17" s="107">
        <v>32.440009436228394</v>
      </c>
      <c r="J17" s="14"/>
      <c r="M17" s="14"/>
      <c r="N17" s="154" t="s">
        <v>89</v>
      </c>
      <c r="O17" s="154"/>
      <c r="P17" s="154"/>
      <c r="R17" s="154" t="s">
        <v>109</v>
      </c>
      <c r="S17" s="154"/>
      <c r="T17" s="154"/>
    </row>
    <row r="18" spans="1:20" x14ac:dyDescent="0.25">
      <c r="A18" s="212">
        <v>18.518799999999999</v>
      </c>
      <c r="B18" s="43">
        <v>18.920500000000001</v>
      </c>
      <c r="C18" s="43">
        <v>1.0109999999999999</v>
      </c>
      <c r="D18" s="43">
        <v>38.398600000000002</v>
      </c>
      <c r="E18" s="43">
        <f>+D18-B18-A18</f>
        <v>0.95930000000000248</v>
      </c>
      <c r="F18" s="72">
        <f>+((C18-E18)/C18)*100</f>
        <v>5.1137487636001406</v>
      </c>
      <c r="G18" s="14"/>
      <c r="H18" s="107" t="s">
        <v>81</v>
      </c>
      <c r="I18" s="107">
        <v>12.652365570202811</v>
      </c>
      <c r="J18" s="14"/>
      <c r="K18" s="14"/>
      <c r="L18" s="14"/>
      <c r="M18" s="14"/>
      <c r="N18" s="154"/>
      <c r="O18" s="154"/>
      <c r="P18" s="154"/>
      <c r="R18" s="154"/>
      <c r="S18" s="154"/>
      <c r="T18" s="154"/>
    </row>
    <row r="19" spans="1:20" x14ac:dyDescent="0.25">
      <c r="A19" s="213">
        <v>11.0892</v>
      </c>
      <c r="B19" s="214">
        <v>18.79</v>
      </c>
      <c r="C19" s="214">
        <v>1.0037</v>
      </c>
      <c r="D19" s="214">
        <v>30.832599999999999</v>
      </c>
      <c r="E19" s="214">
        <f>+D19-B19-A19</f>
        <v>0.95340000000000025</v>
      </c>
      <c r="F19" s="215">
        <f>+((C19-E19)/C19)*100</f>
        <v>5.0114576068546173</v>
      </c>
      <c r="G19" s="14"/>
      <c r="H19" s="107"/>
      <c r="I19" s="107"/>
      <c r="J19" s="14"/>
      <c r="K19" s="14"/>
      <c r="L19" s="14"/>
      <c r="M19" s="14"/>
      <c r="N19" s="14"/>
      <c r="O19" s="14"/>
      <c r="P19" s="14"/>
      <c r="R19" s="14"/>
      <c r="S19" s="14"/>
    </row>
    <row r="20" spans="1:20" x14ac:dyDescent="0.25">
      <c r="A20" s="14"/>
      <c r="B20" s="14"/>
      <c r="C20" s="14"/>
      <c r="D20" s="14"/>
      <c r="E20" s="41" t="s">
        <v>74</v>
      </c>
      <c r="F20" s="41">
        <f>AVERAGE(F18:F19)</f>
        <v>5.0626031852273794</v>
      </c>
      <c r="G20" s="14"/>
      <c r="H20" s="107" t="s">
        <v>85</v>
      </c>
      <c r="I20" s="107">
        <f>100-I17-I18</f>
        <v>54.907624993568795</v>
      </c>
      <c r="J20" s="14"/>
      <c r="K20" s="14"/>
      <c r="L20" s="14"/>
      <c r="M20" s="14"/>
      <c r="N20" s="14" t="s">
        <v>86</v>
      </c>
      <c r="O20" s="14"/>
      <c r="P20" s="14"/>
      <c r="R20" s="14" t="s">
        <v>51</v>
      </c>
      <c r="S20" s="14"/>
    </row>
    <row r="21" spans="1:2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 t="s">
        <v>87</v>
      </c>
      <c r="O21" s="14"/>
      <c r="P21" s="14"/>
      <c r="R21" s="14"/>
      <c r="S21" s="14"/>
    </row>
    <row r="22" spans="1:20" x14ac:dyDescent="0.25">
      <c r="A22" s="155" t="s">
        <v>1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4"/>
      <c r="M22" s="14"/>
      <c r="N22" s="14" t="s">
        <v>88</v>
      </c>
      <c r="O22" s="14"/>
      <c r="P22" s="14"/>
      <c r="R22" s="14" t="s">
        <v>83</v>
      </c>
      <c r="S22" s="14"/>
    </row>
    <row r="23" spans="1:20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R23" s="14" t="s">
        <v>101</v>
      </c>
      <c r="S23" s="14"/>
    </row>
    <row r="24" spans="1:20" ht="15.75" x14ac:dyDescent="0.25">
      <c r="A24" s="226" t="s">
        <v>76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8"/>
      <c r="L24" s="14"/>
      <c r="M24" s="14"/>
      <c r="N24" s="14"/>
      <c r="O24" s="14"/>
      <c r="P24" s="14"/>
      <c r="R24" s="14"/>
      <c r="S24" s="14"/>
    </row>
    <row r="25" spans="1:20" ht="15" customHeight="1" x14ac:dyDescent="0.25">
      <c r="A25" s="221" t="s">
        <v>6</v>
      </c>
      <c r="B25" s="132" t="s">
        <v>105</v>
      </c>
      <c r="C25" s="159" t="s">
        <v>62</v>
      </c>
      <c r="D25" s="159" t="s">
        <v>77</v>
      </c>
      <c r="E25" s="158" t="s">
        <v>78</v>
      </c>
      <c r="F25" s="158"/>
      <c r="G25" s="162" t="s">
        <v>110</v>
      </c>
      <c r="H25" s="162"/>
      <c r="I25" s="162" t="s">
        <v>100</v>
      </c>
      <c r="J25" s="158" t="s">
        <v>79</v>
      </c>
      <c r="K25" s="222" t="s">
        <v>76</v>
      </c>
      <c r="L25" s="14"/>
      <c r="O25" s="14"/>
      <c r="P25" s="14"/>
      <c r="R25" s="14" t="s">
        <v>86</v>
      </c>
    </row>
    <row r="26" spans="1:20" x14ac:dyDescent="0.25">
      <c r="A26" s="221"/>
      <c r="B26" s="132"/>
      <c r="C26" s="159"/>
      <c r="D26" s="159"/>
      <c r="E26" s="158"/>
      <c r="F26" s="158"/>
      <c r="G26" s="162"/>
      <c r="H26" s="162"/>
      <c r="I26" s="162"/>
      <c r="J26" s="158"/>
      <c r="K26" s="222"/>
      <c r="L26" s="14"/>
      <c r="O26" s="14"/>
      <c r="P26" s="14"/>
    </row>
    <row r="27" spans="1:20" x14ac:dyDescent="0.25">
      <c r="A27" s="223">
        <v>1</v>
      </c>
      <c r="B27" s="43">
        <v>1.0037</v>
      </c>
      <c r="C27" s="43">
        <v>100.9451</v>
      </c>
      <c r="D27" s="43">
        <v>1.8694999999999999</v>
      </c>
      <c r="E27" s="163">
        <f>+C27+D27</f>
        <v>102.8146</v>
      </c>
      <c r="F27" s="163"/>
      <c r="G27" s="163">
        <v>102.8788</v>
      </c>
      <c r="H27" s="163"/>
      <c r="I27" s="43">
        <f>+B27*(1-($F$38/100))</f>
        <v>0.96559557778770633</v>
      </c>
      <c r="J27" s="43">
        <f>+(G27-E27)</f>
        <v>6.4199999999999591E-2</v>
      </c>
      <c r="K27" s="72">
        <f>+(J27/I27)*$I$38</f>
        <v>5.0763837031115981</v>
      </c>
      <c r="L27" s="14"/>
      <c r="O27" s="14"/>
      <c r="P27" s="14"/>
    </row>
    <row r="28" spans="1:20" x14ac:dyDescent="0.25">
      <c r="A28" s="223">
        <v>2</v>
      </c>
      <c r="B28" s="43">
        <v>1.0034000000000001</v>
      </c>
      <c r="C28" s="43">
        <v>91.582599999999999</v>
      </c>
      <c r="D28" s="43">
        <v>1.8706</v>
      </c>
      <c r="E28" s="163">
        <f t="shared" ref="E28:E29" si="1">+C28+D28</f>
        <v>93.453199999999995</v>
      </c>
      <c r="F28" s="163"/>
      <c r="G28" s="163">
        <v>93.515000000000001</v>
      </c>
      <c r="H28" s="163"/>
      <c r="I28" s="43">
        <f>+B28*(1-($F$38/100))</f>
        <v>0.96530696697437934</v>
      </c>
      <c r="J28" s="43">
        <f>+(G28-E28)</f>
        <v>6.1800000000005184E-2</v>
      </c>
      <c r="K28" s="72">
        <f>+(J28/I28)*$I$38</f>
        <v>4.8880733659743578</v>
      </c>
      <c r="L28" s="14"/>
      <c r="O28" s="14"/>
      <c r="P28" s="14"/>
    </row>
    <row r="29" spans="1:20" x14ac:dyDescent="0.25">
      <c r="A29" s="224">
        <v>3</v>
      </c>
      <c r="B29" s="214">
        <v>1.0012000000000001</v>
      </c>
      <c r="C29" s="214">
        <v>82.972200000000001</v>
      </c>
      <c r="D29" s="214">
        <v>1.9743999999999999</v>
      </c>
      <c r="E29" s="225">
        <f t="shared" si="1"/>
        <v>84.946600000000004</v>
      </c>
      <c r="F29" s="225"/>
      <c r="G29" s="225">
        <v>85.005499999999998</v>
      </c>
      <c r="H29" s="225"/>
      <c r="I29" s="214">
        <f>+B29*(1-($F$38/100))</f>
        <v>0.96319048767664794</v>
      </c>
      <c r="J29" s="214">
        <f>+(G29-E29)</f>
        <v>5.8899999999994179E-2</v>
      </c>
      <c r="K29" s="215">
        <f>+(J29/I29)*$I$38</f>
        <v>4.6689346057887002</v>
      </c>
      <c r="L29" s="14"/>
      <c r="O29" s="14"/>
      <c r="P29" s="14"/>
    </row>
    <row r="30" spans="1:20" x14ac:dyDescent="0.25">
      <c r="A30" s="44"/>
      <c r="B30" s="43"/>
      <c r="C30" s="43"/>
      <c r="D30" s="43"/>
      <c r="E30" s="106"/>
      <c r="F30" s="106"/>
      <c r="G30" s="106"/>
      <c r="H30" s="106"/>
      <c r="I30" s="43"/>
      <c r="J30" s="234" t="s">
        <v>74</v>
      </c>
      <c r="K30" s="241">
        <f>AVERAGE(K27:K29)</f>
        <v>4.8777972249582184</v>
      </c>
      <c r="L30" s="14"/>
      <c r="M30" s="14"/>
      <c r="N30" s="14"/>
    </row>
    <row r="31" spans="1:20" ht="15.75" thickBot="1" x14ac:dyDescent="0.3">
      <c r="A31" s="44"/>
      <c r="B31" s="43"/>
      <c r="C31" s="43"/>
      <c r="D31" s="43"/>
      <c r="E31" s="106"/>
      <c r="F31" s="106"/>
      <c r="G31" s="106"/>
      <c r="H31" s="106"/>
      <c r="I31" s="43"/>
      <c r="J31" s="167" t="s">
        <v>75</v>
      </c>
      <c r="K31" s="104">
        <f>_xlfn.STDEV.S(K27:K29)</f>
        <v>0.20391883442426001</v>
      </c>
      <c r="L31" s="14"/>
      <c r="M31" s="14"/>
      <c r="N31" s="14"/>
    </row>
    <row r="32" spans="1:2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15.75" thickBot="1" x14ac:dyDescent="0.3">
      <c r="A33" s="43"/>
      <c r="B33" s="43"/>
      <c r="C33" s="43"/>
      <c r="D33" s="43"/>
      <c r="E33" s="43"/>
      <c r="F33" s="43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x14ac:dyDescent="0.25">
      <c r="A34" s="206" t="s">
        <v>80</v>
      </c>
      <c r="B34" s="207"/>
      <c r="C34" s="207"/>
      <c r="D34" s="207"/>
      <c r="E34" s="207"/>
      <c r="F34" s="208"/>
      <c r="G34" s="14"/>
      <c r="H34" s="157" t="s">
        <v>84</v>
      </c>
      <c r="I34" s="157"/>
      <c r="J34" s="14"/>
      <c r="K34" s="14"/>
      <c r="L34" s="14"/>
      <c r="M34" s="14"/>
      <c r="N34" s="14"/>
    </row>
    <row r="35" spans="1:16" x14ac:dyDescent="0.25">
      <c r="A35" s="209" t="s">
        <v>62</v>
      </c>
      <c r="B35" s="210" t="s">
        <v>63</v>
      </c>
      <c r="C35" s="210" t="s">
        <v>64</v>
      </c>
      <c r="D35" s="210" t="s">
        <v>65</v>
      </c>
      <c r="E35" s="210" t="s">
        <v>66</v>
      </c>
      <c r="F35" s="211" t="s">
        <v>5</v>
      </c>
      <c r="G35" s="14"/>
      <c r="H35" s="107" t="s">
        <v>16</v>
      </c>
      <c r="I35" s="107">
        <v>18.351768443107481</v>
      </c>
      <c r="J35" s="14"/>
      <c r="K35" s="14"/>
      <c r="L35" s="14"/>
      <c r="M35" s="14"/>
      <c r="N35" s="14"/>
    </row>
    <row r="36" spans="1:16" x14ac:dyDescent="0.25">
      <c r="A36" s="212">
        <v>19.007100000000001</v>
      </c>
      <c r="B36" s="43">
        <v>18.790800000000001</v>
      </c>
      <c r="C36" s="43">
        <v>1.0017</v>
      </c>
      <c r="D36" s="43">
        <v>38.761600000000001</v>
      </c>
      <c r="E36" s="43">
        <f>+D36-B36-A36</f>
        <v>0.96369999999999933</v>
      </c>
      <c r="F36" s="72">
        <f>+((C36-E36)/C36)*100</f>
        <v>3.7935509633623541</v>
      </c>
      <c r="G36" s="14"/>
      <c r="H36" s="107" t="s">
        <v>81</v>
      </c>
      <c r="I36" s="107">
        <v>5.297240047886735</v>
      </c>
      <c r="J36" s="14"/>
      <c r="K36" s="14"/>
      <c r="L36" s="14"/>
      <c r="M36" s="14"/>
      <c r="N36" s="14"/>
      <c r="O36" s="14"/>
      <c r="P36" s="14"/>
    </row>
    <row r="37" spans="1:16" x14ac:dyDescent="0.25">
      <c r="A37" s="213">
        <v>17.8901</v>
      </c>
      <c r="B37" s="214">
        <v>19.021000000000001</v>
      </c>
      <c r="C37" s="214">
        <v>1.0002</v>
      </c>
      <c r="D37" s="214">
        <v>37.8733</v>
      </c>
      <c r="E37" s="214">
        <f>+D37-B37-A37</f>
        <v>0.96219999999999928</v>
      </c>
      <c r="F37" s="215">
        <f>+((C37-E37)/C37)*100</f>
        <v>3.7992401519696761</v>
      </c>
      <c r="G37" s="14"/>
      <c r="H37" s="107"/>
      <c r="I37" s="107"/>
      <c r="J37" s="14"/>
      <c r="K37" s="14"/>
      <c r="L37" s="14"/>
      <c r="M37" s="14"/>
      <c r="N37" s="14"/>
      <c r="O37" s="14"/>
      <c r="P37" s="14"/>
    </row>
    <row r="38" spans="1:16" x14ac:dyDescent="0.25">
      <c r="A38" s="43"/>
      <c r="B38" s="43"/>
      <c r="C38" s="43"/>
      <c r="D38" s="43"/>
      <c r="E38" s="236" t="s">
        <v>74</v>
      </c>
      <c r="F38" s="236">
        <f>AVERAGE(F36:F37)</f>
        <v>3.7963955576660151</v>
      </c>
      <c r="G38" s="14"/>
      <c r="H38" s="107" t="s">
        <v>85</v>
      </c>
      <c r="I38" s="107">
        <f>100-I36-I35</f>
        <v>76.35099150900578</v>
      </c>
      <c r="J38" s="14"/>
      <c r="K38" s="14"/>
      <c r="L38" s="14"/>
      <c r="M38" s="14"/>
      <c r="N38" s="14"/>
      <c r="O38" s="14"/>
      <c r="P38" s="14"/>
    </row>
    <row r="39" spans="1:16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x14ac:dyDescent="0.25">
      <c r="A41" s="155" t="s">
        <v>37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4"/>
      <c r="M41" s="14"/>
      <c r="N41" s="14"/>
      <c r="O41" s="14"/>
      <c r="P41" s="14"/>
    </row>
    <row r="42" spans="1:1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15.75" x14ac:dyDescent="0.25">
      <c r="A43" s="231" t="s">
        <v>76</v>
      </c>
      <c r="B43" s="232"/>
      <c r="C43" s="232"/>
      <c r="D43" s="232"/>
      <c r="E43" s="232"/>
      <c r="F43" s="232"/>
      <c r="G43" s="232"/>
      <c r="H43" s="232"/>
      <c r="I43" s="232"/>
      <c r="J43" s="232"/>
      <c r="K43" s="233"/>
      <c r="L43" s="14"/>
      <c r="M43" s="14"/>
      <c r="N43" s="14"/>
      <c r="O43" s="14"/>
      <c r="P43" s="14"/>
    </row>
    <row r="44" spans="1:16" ht="15" customHeight="1" x14ac:dyDescent="0.25">
      <c r="A44" s="221" t="s">
        <v>6</v>
      </c>
      <c r="B44" s="132" t="s">
        <v>105</v>
      </c>
      <c r="C44" s="159" t="s">
        <v>62</v>
      </c>
      <c r="D44" s="159" t="s">
        <v>77</v>
      </c>
      <c r="E44" s="158" t="s">
        <v>78</v>
      </c>
      <c r="F44" s="158"/>
      <c r="G44" s="162" t="s">
        <v>110</v>
      </c>
      <c r="H44" s="162"/>
      <c r="I44" s="162" t="s">
        <v>100</v>
      </c>
      <c r="J44" s="158" t="s">
        <v>79</v>
      </c>
      <c r="K44" s="222" t="s">
        <v>76</v>
      </c>
      <c r="L44" s="14"/>
      <c r="M44" s="14"/>
      <c r="N44" s="14"/>
      <c r="O44" s="14"/>
      <c r="P44" s="14"/>
    </row>
    <row r="45" spans="1:16" x14ac:dyDescent="0.25">
      <c r="A45" s="221"/>
      <c r="B45" s="132"/>
      <c r="C45" s="159"/>
      <c r="D45" s="159"/>
      <c r="E45" s="158"/>
      <c r="F45" s="158"/>
      <c r="G45" s="162"/>
      <c r="H45" s="162"/>
      <c r="I45" s="162"/>
      <c r="J45" s="158"/>
      <c r="K45" s="222"/>
      <c r="L45" s="14"/>
      <c r="M45" s="14"/>
      <c r="N45" s="14"/>
      <c r="O45" s="14"/>
      <c r="P45" s="14"/>
    </row>
    <row r="46" spans="1:16" x14ac:dyDescent="0.25">
      <c r="A46" s="223">
        <v>1</v>
      </c>
      <c r="B46" s="43">
        <v>1.0011000000000001</v>
      </c>
      <c r="C46" s="43">
        <v>100.944</v>
      </c>
      <c r="D46" s="43">
        <v>1.3631</v>
      </c>
      <c r="E46" s="163">
        <f>+C46+D46</f>
        <v>102.30710000000001</v>
      </c>
      <c r="F46" s="163"/>
      <c r="G46" s="163">
        <v>102.4736</v>
      </c>
      <c r="H46" s="163"/>
      <c r="I46" s="43">
        <f>+B46*(1-($F$57/100))</f>
        <v>0.9447262852893018</v>
      </c>
      <c r="J46" s="43">
        <f>+(G46-E46)</f>
        <v>0.1664999999999992</v>
      </c>
      <c r="K46" s="72">
        <f>+(J46/I46)*$I$57</f>
        <v>3.9229695905202431</v>
      </c>
      <c r="L46" s="14"/>
      <c r="M46" s="14"/>
      <c r="N46" s="14"/>
      <c r="O46" s="14"/>
      <c r="P46" s="14"/>
    </row>
    <row r="47" spans="1:16" x14ac:dyDescent="0.25">
      <c r="A47" s="223">
        <v>2</v>
      </c>
      <c r="B47" s="43">
        <v>1.0004999999999999</v>
      </c>
      <c r="C47" s="43">
        <v>91.611699999999999</v>
      </c>
      <c r="D47" s="43">
        <v>1.7138</v>
      </c>
      <c r="E47" s="163">
        <f>+C47+D47</f>
        <v>93.325500000000005</v>
      </c>
      <c r="F47" s="163"/>
      <c r="G47" s="163">
        <v>93.493700000000004</v>
      </c>
      <c r="H47" s="163"/>
      <c r="I47" s="43">
        <f>+B47*(1-($F$57/100))</f>
        <v>0.94416007235235866</v>
      </c>
      <c r="J47" s="43">
        <f>+(G47-E47)</f>
        <v>0.16819999999999879</v>
      </c>
      <c r="K47" s="72">
        <f>+(J47/I47)*$I$57</f>
        <v>3.9654005607354965</v>
      </c>
      <c r="L47" s="14"/>
      <c r="M47" s="14"/>
      <c r="N47" s="14"/>
    </row>
    <row r="48" spans="1:16" ht="15.75" thickBot="1" x14ac:dyDescent="0.3">
      <c r="A48" s="224">
        <v>3</v>
      </c>
      <c r="B48" s="214">
        <v>1.0016</v>
      </c>
      <c r="C48" s="214">
        <v>77.552000000000007</v>
      </c>
      <c r="D48" s="214">
        <v>1.716</v>
      </c>
      <c r="E48" s="225">
        <f>+C48+D48</f>
        <v>79.268000000000001</v>
      </c>
      <c r="F48" s="225"/>
      <c r="G48" s="225">
        <v>79.435000000000002</v>
      </c>
      <c r="H48" s="225"/>
      <c r="I48" s="214">
        <f>+B48*(1-($F$57/100))</f>
        <v>0.94519812940342085</v>
      </c>
      <c r="J48" s="43">
        <f>+(G48-E48)</f>
        <v>0.16700000000000159</v>
      </c>
      <c r="K48" s="72">
        <f>+(J48/I48)*$I$57</f>
        <v>3.9327860476131198</v>
      </c>
      <c r="L48" s="14"/>
      <c r="M48" s="14"/>
      <c r="N48" s="14"/>
    </row>
    <row r="49" spans="1:16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235" t="s">
        <v>74</v>
      </c>
      <c r="K49" s="103">
        <f>AVERAGE(K46:K48)</f>
        <v>3.940385399622953</v>
      </c>
      <c r="L49" s="14"/>
      <c r="M49" s="14"/>
      <c r="N49" s="14"/>
    </row>
    <row r="50" spans="1:16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67" t="s">
        <v>75</v>
      </c>
      <c r="K50" s="104">
        <f>_xlfn.STDEV.S(K46:K48)</f>
        <v>2.2212821108066164E-2</v>
      </c>
      <c r="L50" s="14"/>
      <c r="M50" s="14"/>
      <c r="N50" s="14"/>
    </row>
    <row r="51" spans="1:16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43"/>
      <c r="K51" s="43"/>
      <c r="L51" s="14"/>
      <c r="M51" s="14"/>
      <c r="N51" s="14"/>
    </row>
    <row r="52" spans="1:16" ht="15.75" thickBot="1" x14ac:dyDescent="0.3">
      <c r="A52" s="14"/>
      <c r="B52" s="14"/>
      <c r="C52" s="14"/>
      <c r="D52" s="14"/>
      <c r="E52" s="14"/>
      <c r="F52" s="14"/>
      <c r="G52" s="14"/>
      <c r="H52" s="14"/>
      <c r="I52" s="14"/>
      <c r="J52" s="43"/>
      <c r="K52" s="43"/>
      <c r="L52" s="14"/>
      <c r="M52" s="14"/>
      <c r="N52" s="14"/>
    </row>
    <row r="53" spans="1:16" x14ac:dyDescent="0.25">
      <c r="A53" s="206" t="s">
        <v>80</v>
      </c>
      <c r="B53" s="207"/>
      <c r="C53" s="207"/>
      <c r="D53" s="207"/>
      <c r="E53" s="207"/>
      <c r="F53" s="208"/>
      <c r="G53" s="14"/>
      <c r="H53" s="157" t="s">
        <v>84</v>
      </c>
      <c r="I53" s="157"/>
      <c r="J53" s="14"/>
      <c r="K53" s="14"/>
      <c r="L53" s="14"/>
    </row>
    <row r="54" spans="1:16" x14ac:dyDescent="0.25">
      <c r="A54" s="209" t="s">
        <v>62</v>
      </c>
      <c r="B54" s="210" t="s">
        <v>63</v>
      </c>
      <c r="C54" s="210" t="s">
        <v>64</v>
      </c>
      <c r="D54" s="210" t="s">
        <v>65</v>
      </c>
      <c r="E54" s="210" t="s">
        <v>66</v>
      </c>
      <c r="F54" s="211" t="s">
        <v>5</v>
      </c>
      <c r="G54" s="14"/>
      <c r="H54" s="107" t="s">
        <v>16</v>
      </c>
      <c r="I54" s="107">
        <v>64.164837100849283</v>
      </c>
      <c r="J54" s="14"/>
      <c r="K54" s="14"/>
      <c r="L54" s="14"/>
      <c r="M54" s="14"/>
      <c r="N54" s="14"/>
    </row>
    <row r="55" spans="1:16" x14ac:dyDescent="0.25">
      <c r="A55" s="212">
        <v>44.546700000000001</v>
      </c>
      <c r="B55" s="43">
        <v>46.633600000000001</v>
      </c>
      <c r="C55" s="43">
        <v>1.0042</v>
      </c>
      <c r="D55" s="43">
        <v>92.127799999999993</v>
      </c>
      <c r="E55" s="43">
        <f>+D55-B55-A55</f>
        <v>0.94749999999999091</v>
      </c>
      <c r="F55" s="72">
        <f>+((C55-E55)/C55)*100</f>
        <v>5.6462856004788966</v>
      </c>
      <c r="G55" s="14"/>
      <c r="H55" s="107" t="s">
        <v>81</v>
      </c>
      <c r="I55" s="107">
        <v>13.576108913834801</v>
      </c>
      <c r="J55" s="14"/>
      <c r="K55" s="14"/>
      <c r="L55" s="14"/>
      <c r="M55" s="14"/>
      <c r="N55" s="14"/>
      <c r="O55" s="14"/>
      <c r="P55" s="14"/>
    </row>
    <row r="56" spans="1:16" x14ac:dyDescent="0.25">
      <c r="A56" s="213">
        <v>44.273800000000001</v>
      </c>
      <c r="B56" s="214">
        <v>47.237299999999998</v>
      </c>
      <c r="C56" s="214">
        <v>1.0006999999999999</v>
      </c>
      <c r="D56" s="214">
        <v>92.455600000000004</v>
      </c>
      <c r="E56" s="214">
        <f>+D56-B56-A56</f>
        <v>0.944500000000005</v>
      </c>
      <c r="F56" s="215">
        <f>+((C56-E56)/C56)*100</f>
        <v>5.6160687518731818</v>
      </c>
      <c r="G56" s="14"/>
      <c r="H56" s="107"/>
      <c r="I56" s="107"/>
      <c r="J56" s="14"/>
      <c r="K56" s="14"/>
      <c r="L56" s="14"/>
      <c r="M56" s="14"/>
      <c r="N56" s="14"/>
      <c r="O56" s="14"/>
      <c r="P56" s="14"/>
    </row>
    <row r="57" spans="1:16" x14ac:dyDescent="0.25">
      <c r="A57" s="14"/>
      <c r="B57" s="14"/>
      <c r="C57" s="14"/>
      <c r="D57" s="14"/>
      <c r="E57" s="41" t="s">
        <v>74</v>
      </c>
      <c r="F57" s="41">
        <f>AVERAGE(F55:F56)</f>
        <v>5.6311771761760392</v>
      </c>
      <c r="G57" s="14"/>
      <c r="H57" s="107" t="s">
        <v>85</v>
      </c>
      <c r="I57" s="107">
        <f>100-I54-I55</f>
        <v>22.259053985315916</v>
      </c>
      <c r="J57" s="14"/>
      <c r="K57" s="14"/>
      <c r="L57" s="14"/>
      <c r="M57" s="14"/>
      <c r="N57" s="14"/>
      <c r="O57" s="14"/>
      <c r="P57" s="14"/>
    </row>
    <row r="58" spans="1:16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5">
      <c r="A60" s="156" t="s">
        <v>35</v>
      </c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4"/>
      <c r="M60" s="14"/>
      <c r="N60" s="14"/>
      <c r="O60" s="14"/>
      <c r="P60" s="14"/>
    </row>
    <row r="61" spans="1:16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ht="15.75" x14ac:dyDescent="0.25">
      <c r="A62" s="226" t="s">
        <v>76</v>
      </c>
      <c r="B62" s="227"/>
      <c r="C62" s="227"/>
      <c r="D62" s="227"/>
      <c r="E62" s="227"/>
      <c r="F62" s="227"/>
      <c r="G62" s="227"/>
      <c r="H62" s="227"/>
      <c r="I62" s="227"/>
      <c r="J62" s="227"/>
      <c r="K62" s="228"/>
      <c r="L62" s="14"/>
      <c r="M62" s="14"/>
      <c r="N62" s="14"/>
      <c r="O62" s="14"/>
      <c r="P62" s="14"/>
    </row>
    <row r="63" spans="1:16" ht="15" customHeight="1" x14ac:dyDescent="0.25">
      <c r="A63" s="217" t="s">
        <v>6</v>
      </c>
      <c r="B63" s="127" t="s">
        <v>105</v>
      </c>
      <c r="C63" s="218" t="s">
        <v>62</v>
      </c>
      <c r="D63" s="218" t="s">
        <v>77</v>
      </c>
      <c r="E63" s="219" t="s">
        <v>78</v>
      </c>
      <c r="F63" s="219"/>
      <c r="G63" s="201" t="s">
        <v>110</v>
      </c>
      <c r="H63" s="201"/>
      <c r="I63" s="201" t="s">
        <v>100</v>
      </c>
      <c r="J63" s="219" t="s">
        <v>79</v>
      </c>
      <c r="K63" s="220" t="s">
        <v>76</v>
      </c>
      <c r="L63" s="14"/>
      <c r="M63" s="14"/>
      <c r="N63" s="14"/>
      <c r="O63" s="14"/>
      <c r="P63" s="14"/>
    </row>
    <row r="64" spans="1:16" x14ac:dyDescent="0.25">
      <c r="A64" s="221"/>
      <c r="B64" s="132"/>
      <c r="C64" s="159"/>
      <c r="D64" s="159"/>
      <c r="E64" s="158"/>
      <c r="F64" s="158"/>
      <c r="G64" s="162"/>
      <c r="H64" s="162"/>
      <c r="I64" s="162"/>
      <c r="J64" s="158"/>
      <c r="K64" s="222"/>
      <c r="L64" s="14"/>
      <c r="M64" s="14"/>
      <c r="N64" s="14"/>
      <c r="O64" s="14"/>
      <c r="P64" s="14"/>
    </row>
    <row r="65" spans="1:16" x14ac:dyDescent="0.25">
      <c r="A65" s="223">
        <v>1</v>
      </c>
      <c r="B65" s="43">
        <v>1.0036</v>
      </c>
      <c r="C65" s="43">
        <v>82.978899999999996</v>
      </c>
      <c r="D65" s="43">
        <v>1.9092</v>
      </c>
      <c r="E65" s="163">
        <f>+C65+D65</f>
        <v>84.888099999999994</v>
      </c>
      <c r="F65" s="163"/>
      <c r="G65" s="163">
        <v>85.015500000000003</v>
      </c>
      <c r="H65" s="163"/>
      <c r="I65" s="43">
        <f>+B65*(1-($F$76/100))</f>
        <v>0.95236733231171888</v>
      </c>
      <c r="J65" s="43">
        <f>+(G65-E65)</f>
        <v>0.12740000000000862</v>
      </c>
      <c r="K65" s="72">
        <f>+(J65/I65)*$I$76</f>
        <v>3.5116539352579244</v>
      </c>
      <c r="L65" s="14"/>
      <c r="M65" s="14"/>
      <c r="P65" s="14"/>
    </row>
    <row r="66" spans="1:16" x14ac:dyDescent="0.25">
      <c r="A66" s="223">
        <v>2</v>
      </c>
      <c r="B66" s="43">
        <v>1.0021</v>
      </c>
      <c r="C66" s="43">
        <v>97.804500000000004</v>
      </c>
      <c r="D66" s="43">
        <v>1.8220000000000001</v>
      </c>
      <c r="E66" s="163">
        <f>+C66+D66</f>
        <v>99.626500000000007</v>
      </c>
      <c r="F66" s="163"/>
      <c r="G66" s="163">
        <v>99.773499999999999</v>
      </c>
      <c r="H66" s="163"/>
      <c r="I66" s="43">
        <f>+B66*(1-($F$76/100))</f>
        <v>0.95094390564923625</v>
      </c>
      <c r="J66" s="43">
        <f>+(G66-E66)</f>
        <v>0.14699999999999136</v>
      </c>
      <c r="K66" s="72">
        <f>+(J66/I66)*$I$76</f>
        <v>4.0579735126515946</v>
      </c>
      <c r="L66" s="14"/>
      <c r="M66" s="14"/>
      <c r="P66" s="14"/>
    </row>
    <row r="67" spans="1:16" ht="15.75" thickBot="1" x14ac:dyDescent="0.3">
      <c r="A67" s="224">
        <v>3</v>
      </c>
      <c r="B67" s="214">
        <v>1.002</v>
      </c>
      <c r="C67" s="214">
        <v>107.313</v>
      </c>
      <c r="D67" s="214">
        <v>1.4468000000000001</v>
      </c>
      <c r="E67" s="225">
        <f>+C67+D67</f>
        <v>108.7598</v>
      </c>
      <c r="F67" s="225"/>
      <c r="G67" s="225">
        <v>108.902</v>
      </c>
      <c r="H67" s="225"/>
      <c r="I67" s="214">
        <f>+B67*(1-($F$76/100))</f>
        <v>0.95084901053840409</v>
      </c>
      <c r="J67" s="43">
        <f>+(G67-E67)</f>
        <v>0.14220000000000255</v>
      </c>
      <c r="K67" s="72">
        <f>+(J67/I67)*$I$76</f>
        <v>3.9258600183948364</v>
      </c>
      <c r="L67" s="14"/>
      <c r="M67" s="14"/>
      <c r="P67" s="14"/>
    </row>
    <row r="68" spans="1:16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235" t="s">
        <v>74</v>
      </c>
      <c r="K68" s="103">
        <f>AVERAGE(K65:K67)</f>
        <v>3.8318291554347854</v>
      </c>
      <c r="L68" s="14"/>
      <c r="M68" s="14"/>
      <c r="P68" s="14"/>
    </row>
    <row r="69" spans="1:16" ht="15.75" thickBot="1" x14ac:dyDescent="0.3">
      <c r="A69" s="14"/>
      <c r="B69" s="14"/>
      <c r="C69" s="14"/>
      <c r="D69" s="14"/>
      <c r="E69" s="14"/>
      <c r="F69" s="14"/>
      <c r="G69" s="14"/>
      <c r="H69" s="14"/>
      <c r="I69" s="14"/>
      <c r="J69" s="167" t="s">
        <v>75</v>
      </c>
      <c r="K69" s="104">
        <f>_xlfn.STDEV.S(K65:K67)</f>
        <v>0.28503968592576467</v>
      </c>
      <c r="L69" s="14"/>
      <c r="M69" s="14"/>
      <c r="P69" s="14"/>
    </row>
    <row r="70" spans="1:16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43"/>
      <c r="K70" s="43"/>
      <c r="L70" s="14"/>
      <c r="M70" s="14"/>
      <c r="P70" s="14"/>
    </row>
    <row r="71" spans="1:16" ht="15.75" thickBot="1" x14ac:dyDescent="0.3">
      <c r="A71" s="14"/>
      <c r="B71" s="14"/>
      <c r="C71" s="14"/>
      <c r="D71" s="14"/>
      <c r="E71" s="14"/>
      <c r="F71" s="14"/>
      <c r="G71" s="14"/>
      <c r="H71" s="14"/>
      <c r="I71" s="14"/>
      <c r="J71" s="43"/>
      <c r="K71" s="43"/>
      <c r="L71" s="14"/>
      <c r="M71" s="14"/>
      <c r="P71" s="14"/>
    </row>
    <row r="72" spans="1:16" x14ac:dyDescent="0.25">
      <c r="A72" s="206" t="s">
        <v>80</v>
      </c>
      <c r="B72" s="207"/>
      <c r="C72" s="207"/>
      <c r="D72" s="207"/>
      <c r="E72" s="207"/>
      <c r="F72" s="208"/>
      <c r="G72" s="14"/>
      <c r="H72" s="157" t="s">
        <v>84</v>
      </c>
      <c r="I72" s="157"/>
      <c r="J72" s="14"/>
      <c r="K72" s="14"/>
      <c r="L72" s="14"/>
      <c r="M72" s="14"/>
      <c r="N72" s="14"/>
    </row>
    <row r="73" spans="1:16" x14ac:dyDescent="0.25">
      <c r="A73" s="209" t="s">
        <v>62</v>
      </c>
      <c r="B73" s="210" t="s">
        <v>63</v>
      </c>
      <c r="C73" s="210" t="s">
        <v>64</v>
      </c>
      <c r="D73" s="210" t="s">
        <v>65</v>
      </c>
      <c r="E73" s="210" t="s">
        <v>66</v>
      </c>
      <c r="F73" s="211" t="s">
        <v>5</v>
      </c>
      <c r="G73" s="14"/>
      <c r="H73" s="107" t="s">
        <v>16</v>
      </c>
      <c r="I73" s="107">
        <v>60.722009921554594</v>
      </c>
      <c r="J73" s="14"/>
      <c r="K73" s="14"/>
      <c r="L73" s="14"/>
      <c r="M73" s="14"/>
      <c r="N73" s="14"/>
    </row>
    <row r="74" spans="1:16" x14ac:dyDescent="0.25">
      <c r="A74" s="212">
        <v>17.613199999999999</v>
      </c>
      <c r="B74" s="43">
        <v>18.8172</v>
      </c>
      <c r="C74" s="43">
        <v>1.0011000000000001</v>
      </c>
      <c r="D74" s="43">
        <v>37.379800000000003</v>
      </c>
      <c r="E74" s="43">
        <f>+D74-B74-A74</f>
        <v>0.94940000000000424</v>
      </c>
      <c r="F74" s="72">
        <f>+((C74-E74)/C74)*100</f>
        <v>5.1643192488258771</v>
      </c>
      <c r="G74" s="14"/>
      <c r="H74" s="107" t="s">
        <v>81</v>
      </c>
      <c r="I74" s="107">
        <v>13.026934424416261</v>
      </c>
      <c r="J74" s="14"/>
      <c r="K74" s="14"/>
      <c r="L74" s="14"/>
      <c r="M74" s="14"/>
      <c r="N74" s="14"/>
      <c r="O74" s="14"/>
      <c r="P74" s="14"/>
    </row>
    <row r="75" spans="1:16" x14ac:dyDescent="0.25">
      <c r="A75" s="213">
        <v>18.078199999999999</v>
      </c>
      <c r="B75" s="214">
        <v>18.589300000000001</v>
      </c>
      <c r="C75" s="214">
        <v>1.0008999999999999</v>
      </c>
      <c r="D75" s="214">
        <v>37.617899999999999</v>
      </c>
      <c r="E75" s="214">
        <f>+D75-B75-A75</f>
        <v>0.95039999999999836</v>
      </c>
      <c r="F75" s="215">
        <f>+((C75-E75)/C75)*100</f>
        <v>5.0454590868220146</v>
      </c>
      <c r="G75" s="14"/>
      <c r="H75" s="107"/>
      <c r="I75" s="107"/>
      <c r="J75" s="14"/>
      <c r="K75" s="14"/>
      <c r="L75" s="14"/>
      <c r="M75" s="14"/>
      <c r="N75" s="14"/>
      <c r="O75" s="14"/>
      <c r="P75" s="14"/>
    </row>
    <row r="76" spans="1:16" x14ac:dyDescent="0.25">
      <c r="A76" s="14"/>
      <c r="B76" s="14"/>
      <c r="C76" s="14"/>
      <c r="D76" s="14"/>
      <c r="E76" s="41" t="s">
        <v>74</v>
      </c>
      <c r="F76" s="41">
        <f>AVERAGE(F74:F75)</f>
        <v>5.1048891678239459</v>
      </c>
      <c r="G76" s="14"/>
      <c r="H76" s="107" t="s">
        <v>85</v>
      </c>
      <c r="I76" s="107">
        <f>100-I73-I74</f>
        <v>26.251055654029145</v>
      </c>
      <c r="J76" s="14"/>
      <c r="K76" s="14"/>
      <c r="L76" s="14"/>
      <c r="M76" s="14"/>
      <c r="N76" s="14"/>
      <c r="O76" s="14"/>
      <c r="P76" s="14"/>
    </row>
    <row r="77" spans="1:16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5">
      <c r="A79" s="156" t="s">
        <v>36</v>
      </c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4"/>
      <c r="M79" s="14"/>
      <c r="N79" s="14"/>
      <c r="O79" s="14"/>
      <c r="P79" s="14"/>
    </row>
    <row r="80" spans="1:16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ht="15.75" x14ac:dyDescent="0.25">
      <c r="A81" s="226" t="s">
        <v>76</v>
      </c>
      <c r="B81" s="227"/>
      <c r="C81" s="227"/>
      <c r="D81" s="227"/>
      <c r="E81" s="227"/>
      <c r="F81" s="227"/>
      <c r="G81" s="227"/>
      <c r="H81" s="227"/>
      <c r="I81" s="227"/>
      <c r="J81" s="227"/>
      <c r="K81" s="228"/>
      <c r="L81" s="14"/>
      <c r="M81" s="14"/>
      <c r="N81" s="14"/>
      <c r="O81" s="14"/>
      <c r="P81" s="14"/>
    </row>
    <row r="82" spans="1:16" ht="15" customHeight="1" x14ac:dyDescent="0.25">
      <c r="A82" s="221" t="s">
        <v>6</v>
      </c>
      <c r="B82" s="132" t="s">
        <v>105</v>
      </c>
      <c r="C82" s="159" t="s">
        <v>62</v>
      </c>
      <c r="D82" s="159" t="s">
        <v>77</v>
      </c>
      <c r="E82" s="158" t="s">
        <v>78</v>
      </c>
      <c r="F82" s="158"/>
      <c r="G82" s="162" t="s">
        <v>110</v>
      </c>
      <c r="H82" s="162"/>
      <c r="I82" s="162" t="s">
        <v>100</v>
      </c>
      <c r="J82" s="158" t="s">
        <v>79</v>
      </c>
      <c r="K82" s="222" t="s">
        <v>76</v>
      </c>
      <c r="L82" s="14"/>
      <c r="M82" s="14"/>
      <c r="N82" s="14"/>
      <c r="O82" s="14"/>
      <c r="P82" s="14"/>
    </row>
    <row r="83" spans="1:16" x14ac:dyDescent="0.25">
      <c r="A83" s="221"/>
      <c r="B83" s="132"/>
      <c r="C83" s="159"/>
      <c r="D83" s="159"/>
      <c r="E83" s="158"/>
      <c r="F83" s="158"/>
      <c r="G83" s="162"/>
      <c r="H83" s="162"/>
      <c r="I83" s="162"/>
      <c r="J83" s="158"/>
      <c r="K83" s="222"/>
      <c r="L83" s="14"/>
      <c r="M83" s="14"/>
      <c r="N83" s="14"/>
      <c r="O83" s="14"/>
      <c r="P83" s="14"/>
    </row>
    <row r="84" spans="1:16" x14ac:dyDescent="0.25">
      <c r="A84" s="223">
        <v>1</v>
      </c>
      <c r="B84" s="43">
        <v>1.0008999999999999</v>
      </c>
      <c r="C84" s="43">
        <v>102.2859</v>
      </c>
      <c r="D84" s="43">
        <v>1.8449</v>
      </c>
      <c r="E84" s="163">
        <f>+C84+D84</f>
        <v>104.13079999999999</v>
      </c>
      <c r="F84" s="163"/>
      <c r="G84" s="163">
        <v>104.2595</v>
      </c>
      <c r="H84" s="163"/>
      <c r="I84" s="43">
        <f>+B84*(1-($F$95/100))</f>
        <v>0.95535879269155533</v>
      </c>
      <c r="J84" s="43">
        <f>+(G84-E84)</f>
        <v>0.12870000000000914</v>
      </c>
      <c r="K84" s="72">
        <f>+(J84/I84)*$I$95</f>
        <v>4.3588656073882692</v>
      </c>
      <c r="L84" s="14"/>
      <c r="M84" s="14"/>
      <c r="N84" s="14"/>
      <c r="O84" s="14"/>
      <c r="P84" s="14"/>
    </row>
    <row r="85" spans="1:16" x14ac:dyDescent="0.25">
      <c r="A85" s="223">
        <v>2</v>
      </c>
      <c r="B85" s="43">
        <v>1.0024</v>
      </c>
      <c r="C85" s="43">
        <v>77.491</v>
      </c>
      <c r="D85" s="43">
        <v>1.7738</v>
      </c>
      <c r="E85" s="163">
        <f>+C85+D85</f>
        <v>79.264799999999994</v>
      </c>
      <c r="F85" s="163"/>
      <c r="G85" s="163">
        <v>79.400099999999995</v>
      </c>
      <c r="H85" s="163"/>
      <c r="I85" s="43">
        <f>+B85*(1-($F$95/100))</f>
        <v>0.95679054230593985</v>
      </c>
      <c r="J85" s="43">
        <f>+(G85-E85)</f>
        <v>0.13530000000000086</v>
      </c>
      <c r="K85" s="72">
        <f>+(J85/I85)*$I$95</f>
        <v>4.5755400383648492</v>
      </c>
      <c r="L85" s="14"/>
      <c r="M85" s="14"/>
      <c r="N85" s="14"/>
    </row>
    <row r="86" spans="1:16" ht="15.75" thickBot="1" x14ac:dyDescent="0.3">
      <c r="A86" s="224">
        <v>3</v>
      </c>
      <c r="B86" s="214">
        <v>1.0016</v>
      </c>
      <c r="C86" s="214">
        <v>107.3235</v>
      </c>
      <c r="D86" s="214">
        <v>1.8962000000000001</v>
      </c>
      <c r="E86" s="225">
        <f>+C86+D86</f>
        <v>109.21969999999999</v>
      </c>
      <c r="F86" s="225"/>
      <c r="G86" s="225">
        <v>109.36150000000001</v>
      </c>
      <c r="H86" s="225"/>
      <c r="I86" s="214">
        <f>+B86*(1-($F$95/100))</f>
        <v>0.95602694251160159</v>
      </c>
      <c r="J86" s="43">
        <f>+(G86-E86)</f>
        <v>0.14180000000001769</v>
      </c>
      <c r="K86" s="72">
        <f>+(J86/I86)*$I$95</f>
        <v>4.7991854955653288</v>
      </c>
      <c r="L86" s="14"/>
      <c r="M86" s="14"/>
      <c r="N86" s="14"/>
    </row>
    <row r="87" spans="1:16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235" t="s">
        <v>74</v>
      </c>
      <c r="K87" s="103">
        <f>AVERAGE(K84:K86)</f>
        <v>4.5778637137728158</v>
      </c>
      <c r="L87" s="14"/>
      <c r="M87" s="14"/>
      <c r="N87" s="14"/>
    </row>
    <row r="88" spans="1:16" ht="15.75" thickBot="1" x14ac:dyDescent="0.3">
      <c r="A88" s="14"/>
      <c r="B88" s="14"/>
      <c r="C88" s="14"/>
      <c r="D88" s="14"/>
      <c r="E88" s="14"/>
      <c r="F88" s="14"/>
      <c r="G88" s="14"/>
      <c r="H88" s="14"/>
      <c r="I88" s="14"/>
      <c r="J88" s="167" t="s">
        <v>75</v>
      </c>
      <c r="K88" s="104">
        <f>_xlfn.STDEV.S(K84:K86)</f>
        <v>0.22016914084770317</v>
      </c>
      <c r="L88" s="14"/>
      <c r="M88" s="14"/>
      <c r="N88" s="14"/>
    </row>
    <row r="89" spans="1:16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43"/>
      <c r="K89" s="43"/>
      <c r="L89" s="14"/>
      <c r="M89" s="14"/>
      <c r="N89" s="14"/>
    </row>
    <row r="90" spans="1:16" ht="15.75" thickBot="1" x14ac:dyDescent="0.3">
      <c r="A90" s="14"/>
      <c r="B90" s="14"/>
      <c r="C90" s="14"/>
      <c r="D90" s="14"/>
      <c r="E90" s="14"/>
      <c r="F90" s="14"/>
      <c r="G90" s="14"/>
      <c r="H90" s="14"/>
      <c r="I90" s="14"/>
      <c r="J90" s="43"/>
      <c r="K90" s="43"/>
      <c r="L90" s="14"/>
      <c r="M90" s="14"/>
      <c r="N90" s="14"/>
    </row>
    <row r="91" spans="1:16" x14ac:dyDescent="0.25">
      <c r="A91" s="206" t="s">
        <v>80</v>
      </c>
      <c r="B91" s="207"/>
      <c r="C91" s="207"/>
      <c r="D91" s="207"/>
      <c r="E91" s="207"/>
      <c r="F91" s="208"/>
      <c r="G91" s="14"/>
      <c r="H91" s="157" t="s">
        <v>84</v>
      </c>
      <c r="I91" s="157"/>
      <c r="J91" s="14"/>
      <c r="K91" s="14"/>
      <c r="L91" s="14"/>
    </row>
    <row r="92" spans="1:16" x14ac:dyDescent="0.25">
      <c r="A92" s="209" t="s">
        <v>62</v>
      </c>
      <c r="B92" s="210" t="s">
        <v>63</v>
      </c>
      <c r="C92" s="210" t="s">
        <v>64</v>
      </c>
      <c r="D92" s="210" t="s">
        <v>65</v>
      </c>
      <c r="E92" s="210" t="s">
        <v>66</v>
      </c>
      <c r="F92" s="211" t="s">
        <v>5</v>
      </c>
      <c r="G92" s="14"/>
      <c r="H92" s="107" t="s">
        <v>16</v>
      </c>
      <c r="I92" s="107">
        <v>55.531101857527887</v>
      </c>
      <c r="J92" s="14"/>
      <c r="K92" s="14"/>
      <c r="L92" s="14"/>
      <c r="M92" s="14"/>
      <c r="N92" s="14"/>
    </row>
    <row r="93" spans="1:16" x14ac:dyDescent="0.25">
      <c r="A93" s="212">
        <v>44.342599999999997</v>
      </c>
      <c r="B93" s="43">
        <v>48.399500000000003</v>
      </c>
      <c r="C93" s="43">
        <v>1.0049999999999999</v>
      </c>
      <c r="D93" s="43">
        <v>93.700299999999999</v>
      </c>
      <c r="E93" s="43">
        <f>+D93-B93-A93</f>
        <v>0.95819999999999794</v>
      </c>
      <c r="F93" s="72">
        <f>+((C93-E93)/C93)*100</f>
        <v>4.6567164179106424</v>
      </c>
      <c r="G93" s="14"/>
      <c r="H93" s="107" t="s">
        <v>81</v>
      </c>
      <c r="I93" s="107">
        <v>12.112405646909529</v>
      </c>
      <c r="J93" s="14"/>
      <c r="K93" s="14"/>
      <c r="L93" s="14"/>
      <c r="M93" s="14"/>
      <c r="N93" s="14"/>
      <c r="O93" s="14"/>
      <c r="P93" s="14"/>
    </row>
    <row r="94" spans="1:16" x14ac:dyDescent="0.25">
      <c r="A94" s="213">
        <v>44.375700000000002</v>
      </c>
      <c r="B94" s="214">
        <v>47.033099999999997</v>
      </c>
      <c r="C94" s="214">
        <v>1.0015000000000001</v>
      </c>
      <c r="D94" s="214">
        <v>92.365799999999993</v>
      </c>
      <c r="E94" s="214">
        <f>+D94-B94-A94</f>
        <v>0.95699999999999363</v>
      </c>
      <c r="F94" s="215">
        <f>+((C94-E94)/C94)*100</f>
        <v>4.4433349975043859</v>
      </c>
      <c r="G94" s="14"/>
      <c r="H94" s="107"/>
      <c r="I94" s="107"/>
      <c r="J94" s="14"/>
      <c r="K94" s="14"/>
      <c r="L94" s="14"/>
      <c r="M94" s="14"/>
      <c r="N94" s="14"/>
      <c r="O94" s="14"/>
      <c r="P94" s="14"/>
    </row>
    <row r="95" spans="1:16" x14ac:dyDescent="0.25">
      <c r="A95" s="14"/>
      <c r="B95" s="14"/>
      <c r="C95" s="14"/>
      <c r="D95" s="14"/>
      <c r="E95" s="41" t="s">
        <v>74</v>
      </c>
      <c r="F95" s="41">
        <f>AVERAGE(F93:F94)</f>
        <v>4.5500257077075137</v>
      </c>
      <c r="G95" s="14"/>
      <c r="H95" s="107" t="s">
        <v>85</v>
      </c>
      <c r="I95" s="107">
        <f>100-I92-I93</f>
        <v>32.356492495562584</v>
      </c>
      <c r="J95" s="14"/>
      <c r="K95" s="14"/>
      <c r="L95" s="14"/>
      <c r="M95" s="14"/>
      <c r="N95" s="14"/>
      <c r="O95" s="14"/>
      <c r="P95" s="14"/>
    </row>
    <row r="96" spans="1:16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</sheetData>
  <mergeCells count="104">
    <mergeCell ref="E7:F8"/>
    <mergeCell ref="G7:H8"/>
    <mergeCell ref="A6:K6"/>
    <mergeCell ref="A24:K24"/>
    <mergeCell ref="A43:K43"/>
    <mergeCell ref="G25:H26"/>
    <mergeCell ref="E9:F9"/>
    <mergeCell ref="G9:H9"/>
    <mergeCell ref="E10:F10"/>
    <mergeCell ref="G10:H10"/>
    <mergeCell ref="E11:F11"/>
    <mergeCell ref="G11:H11"/>
    <mergeCell ref="A25:A26"/>
    <mergeCell ref="B25:B26"/>
    <mergeCell ref="C25:C26"/>
    <mergeCell ref="D25:D26"/>
    <mergeCell ref="E25:F26"/>
    <mergeCell ref="G44:H45"/>
    <mergeCell ref="I44:I45"/>
    <mergeCell ref="E27:F27"/>
    <mergeCell ref="G27:H27"/>
    <mergeCell ref="E28:F28"/>
    <mergeCell ref="G28:H28"/>
    <mergeCell ref="E29:F29"/>
    <mergeCell ref="G29:H29"/>
    <mergeCell ref="A44:A45"/>
    <mergeCell ref="B44:B45"/>
    <mergeCell ref="C44:C45"/>
    <mergeCell ref="D44:D45"/>
    <mergeCell ref="E44:F45"/>
    <mergeCell ref="I82:I83"/>
    <mergeCell ref="E63:F64"/>
    <mergeCell ref="G63:H64"/>
    <mergeCell ref="E46:F46"/>
    <mergeCell ref="G46:H46"/>
    <mergeCell ref="E47:F47"/>
    <mergeCell ref="G47:H47"/>
    <mergeCell ref="E48:F48"/>
    <mergeCell ref="G48:H48"/>
    <mergeCell ref="A81:K81"/>
    <mergeCell ref="A62:K62"/>
    <mergeCell ref="G86:H86"/>
    <mergeCell ref="A82:A83"/>
    <mergeCell ref="B82:B83"/>
    <mergeCell ref="C82:C83"/>
    <mergeCell ref="D82:D83"/>
    <mergeCell ref="E82:F83"/>
    <mergeCell ref="G82:H83"/>
    <mergeCell ref="A63:A64"/>
    <mergeCell ref="B63:B64"/>
    <mergeCell ref="C63:C64"/>
    <mergeCell ref="D63:D64"/>
    <mergeCell ref="E86:F86"/>
    <mergeCell ref="E84:F84"/>
    <mergeCell ref="G84:H84"/>
    <mergeCell ref="E85:F85"/>
    <mergeCell ref="G85:H85"/>
    <mergeCell ref="E65:F65"/>
    <mergeCell ref="G65:H65"/>
    <mergeCell ref="E66:F66"/>
    <mergeCell ref="G66:H66"/>
    <mergeCell ref="E67:F67"/>
    <mergeCell ref="G67:H67"/>
    <mergeCell ref="I63:I64"/>
    <mergeCell ref="J63:J64"/>
    <mergeCell ref="K63:K64"/>
    <mergeCell ref="K7:K8"/>
    <mergeCell ref="J7:J8"/>
    <mergeCell ref="I7:I8"/>
    <mergeCell ref="I25:I26"/>
    <mergeCell ref="J25:J26"/>
    <mergeCell ref="K25:K26"/>
    <mergeCell ref="A91:F91"/>
    <mergeCell ref="A22:K22"/>
    <mergeCell ref="A79:K79"/>
    <mergeCell ref="A60:K60"/>
    <mergeCell ref="A41:K41"/>
    <mergeCell ref="H34:I34"/>
    <mergeCell ref="H53:I53"/>
    <mergeCell ref="H72:I72"/>
    <mergeCell ref="H91:I91"/>
    <mergeCell ref="J82:J83"/>
    <mergeCell ref="K82:K83"/>
    <mergeCell ref="A34:F34"/>
    <mergeCell ref="A53:F53"/>
    <mergeCell ref="A72:F72"/>
    <mergeCell ref="J44:J45"/>
    <mergeCell ref="K44:K45"/>
    <mergeCell ref="N15:P15"/>
    <mergeCell ref="R15:T15"/>
    <mergeCell ref="R17:T18"/>
    <mergeCell ref="N17:P18"/>
    <mergeCell ref="A1:K2"/>
    <mergeCell ref="A16:F16"/>
    <mergeCell ref="H16:I16"/>
    <mergeCell ref="R2:T2"/>
    <mergeCell ref="R4:T5"/>
    <mergeCell ref="N2:P2"/>
    <mergeCell ref="N4:P5"/>
    <mergeCell ref="A4:K4"/>
    <mergeCell ref="A7:A8"/>
    <mergeCell ref="B7:B8"/>
    <mergeCell ref="C7:C8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% Humidity for extracrtives</vt:lpstr>
      <vt:lpstr>Cyclohexane</vt:lpstr>
      <vt:lpstr>Acetone</vt:lpstr>
      <vt:lpstr>Methanol</vt:lpstr>
      <vt:lpstr>Hot water</vt:lpstr>
      <vt:lpstr>Total extractives</vt:lpstr>
      <vt:lpstr>pH</vt:lpstr>
      <vt:lpstr>Ash</vt:lpstr>
      <vt:lpstr>Lignin</vt:lpstr>
      <vt:lpstr>Holocellulose</vt:lpstr>
      <vt:lpstr>Microanalysis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</dc:creator>
  <cp:lastModifiedBy>OSWALDO</cp:lastModifiedBy>
  <dcterms:created xsi:type="dcterms:W3CDTF">2020-06-30T18:09:12Z</dcterms:created>
  <dcterms:modified xsi:type="dcterms:W3CDTF">2020-07-04T11:08:25Z</dcterms:modified>
</cp:coreProperties>
</file>