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king\dock-paper\MS-dock\MSdock-peerJ4\"/>
    </mc:Choice>
  </mc:AlternateContent>
  <xr:revisionPtr revIDLastSave="0" documentId="13_ncr:1_{420D1ECD-59CE-4E62-8C9C-3418682E467B}" xr6:coauthVersionLast="46" xr6:coauthVersionMax="46" xr10:uidLastSave="{00000000-0000-0000-0000-000000000000}"/>
  <bookViews>
    <workbookView xWindow="-120" yWindow="-120" windowWidth="20730" windowHeight="11160" activeTab="1" xr2:uid="{2CF4D6C9-0FD9-4DBA-9966-C25155DF73A9}"/>
  </bookViews>
  <sheets>
    <sheet name="Fig2" sheetId="1" r:id="rId1"/>
    <sheet name="Tab1" sheetId="4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4" l="1"/>
  <c r="N32" i="4"/>
  <c r="M32" i="4"/>
  <c r="J32" i="4"/>
  <c r="L31" i="4"/>
  <c r="L32" i="4" s="1"/>
  <c r="K31" i="4"/>
  <c r="K32" i="4" s="1"/>
  <c r="J31" i="4"/>
  <c r="M26" i="4"/>
  <c r="O26" i="4"/>
  <c r="N26" i="4"/>
  <c r="H7" i="4"/>
  <c r="G7" i="4"/>
  <c r="H31" i="4"/>
  <c r="G31" i="4"/>
  <c r="H25" i="4"/>
  <c r="H26" i="4"/>
  <c r="H27" i="4"/>
  <c r="H30" i="4"/>
  <c r="H32" i="4"/>
  <c r="G25" i="4"/>
  <c r="G26" i="4"/>
  <c r="G27" i="4"/>
  <c r="G30" i="4"/>
  <c r="G32" i="4"/>
  <c r="L25" i="4"/>
  <c r="L26" i="4" s="1"/>
  <c r="K25" i="4"/>
  <c r="K26" i="4" s="1"/>
  <c r="J25" i="4"/>
  <c r="H17" i="4"/>
  <c r="G17" i="4"/>
  <c r="H16" i="4"/>
  <c r="G16" i="4"/>
  <c r="H15" i="4"/>
  <c r="G15" i="4"/>
  <c r="H21" i="4"/>
  <c r="G21" i="4"/>
  <c r="M21" i="4"/>
  <c r="L21" i="4"/>
  <c r="K21" i="4"/>
  <c r="J21" i="4"/>
  <c r="H20" i="4"/>
  <c r="G20" i="4"/>
  <c r="H19" i="4"/>
  <c r="G19" i="4"/>
  <c r="L16" i="4"/>
  <c r="K16" i="4"/>
  <c r="J16" i="4"/>
  <c r="L15" i="4"/>
  <c r="K15" i="4"/>
  <c r="J15" i="4"/>
  <c r="M15" i="4" s="1"/>
  <c r="L5" i="4"/>
  <c r="K5" i="4"/>
  <c r="J5" i="4"/>
  <c r="L11" i="4"/>
  <c r="K11" i="4"/>
  <c r="J11" i="4"/>
  <c r="H11" i="4"/>
  <c r="G11" i="4"/>
  <c r="H10" i="4"/>
  <c r="G10" i="4"/>
  <c r="H9" i="4"/>
  <c r="G9" i="4"/>
  <c r="L6" i="4"/>
  <c r="K6" i="4"/>
  <c r="J6" i="4"/>
  <c r="N6" i="4" s="1"/>
  <c r="O6" i="4" s="1"/>
  <c r="H6" i="4"/>
  <c r="G6" i="4"/>
  <c r="H5" i="4"/>
  <c r="G5" i="4"/>
  <c r="F42" i="1"/>
  <c r="F4" i="1"/>
  <c r="H5" i="1"/>
  <c r="H6" i="1"/>
  <c r="H7" i="1"/>
  <c r="H9" i="1"/>
  <c r="H12" i="1"/>
  <c r="H13" i="1"/>
  <c r="H17" i="1"/>
  <c r="G17" i="1"/>
  <c r="F17" i="1"/>
  <c r="G13" i="1"/>
  <c r="F13" i="1"/>
  <c r="G12" i="1"/>
  <c r="F12" i="1"/>
  <c r="G8" i="1"/>
  <c r="H8" i="1" s="1"/>
  <c r="F8" i="1"/>
  <c r="G4" i="1"/>
  <c r="H4" i="1" s="1"/>
  <c r="H21" i="1"/>
  <c r="H24" i="1"/>
  <c r="H26" i="1"/>
  <c r="H28" i="1"/>
  <c r="H29" i="1"/>
  <c r="H30" i="1"/>
  <c r="H31" i="1"/>
  <c r="H32" i="1"/>
  <c r="H33" i="1"/>
  <c r="G33" i="1"/>
  <c r="F33" i="1"/>
  <c r="G29" i="1"/>
  <c r="F29" i="1"/>
  <c r="G28" i="1"/>
  <c r="F28" i="1"/>
  <c r="G26" i="1"/>
  <c r="F26" i="1"/>
  <c r="G24" i="1"/>
  <c r="F24" i="1"/>
  <c r="G21" i="1"/>
  <c r="F21" i="1"/>
  <c r="H41" i="1"/>
  <c r="F43" i="1"/>
  <c r="G43" i="1"/>
  <c r="H43" i="1" s="1"/>
  <c r="G42" i="1"/>
  <c r="H42" i="1" s="1"/>
  <c r="F40" i="1"/>
  <c r="G40" i="1"/>
  <c r="H40" i="1" s="1"/>
  <c r="H46" i="1"/>
  <c r="F48" i="1"/>
  <c r="G48" i="1"/>
  <c r="H48" i="1" s="1"/>
  <c r="F46" i="1"/>
  <c r="G46" i="1"/>
  <c r="F50" i="1"/>
  <c r="H49" i="1"/>
  <c r="F49" i="1"/>
  <c r="G49" i="1"/>
  <c r="F47" i="1"/>
  <c r="G47" i="1"/>
  <c r="H47" i="1" s="1"/>
  <c r="G38" i="1"/>
  <c r="H38" i="1" s="1"/>
  <c r="G39" i="1"/>
  <c r="H39" i="1" s="1"/>
  <c r="F41" i="1"/>
  <c r="G41" i="1"/>
  <c r="G30" i="1"/>
  <c r="F30" i="1"/>
  <c r="G31" i="1"/>
  <c r="F31" i="1"/>
  <c r="G32" i="1"/>
  <c r="F32" i="1"/>
  <c r="G22" i="1"/>
  <c r="H22" i="1" s="1"/>
  <c r="F22" i="1"/>
  <c r="G23" i="1"/>
  <c r="H23" i="1" s="1"/>
  <c r="F23" i="1"/>
  <c r="G25" i="1"/>
  <c r="H25" i="1" s="1"/>
  <c r="F25" i="1"/>
  <c r="N5" i="4" l="1"/>
  <c r="N21" i="4"/>
  <c r="O21" i="4" s="1"/>
  <c r="N11" i="4"/>
  <c r="O11" i="4" s="1"/>
  <c r="N15" i="4"/>
  <c r="M16" i="4"/>
  <c r="M6" i="4"/>
  <c r="J26" i="4"/>
  <c r="N16" i="4"/>
  <c r="O16" i="4" s="1"/>
  <c r="M5" i="4"/>
  <c r="M11" i="4"/>
  <c r="G50" i="1"/>
  <c r="H50" i="1" s="1"/>
  <c r="G5" i="1" l="1"/>
  <c r="F5" i="1"/>
  <c r="G6" i="1"/>
  <c r="F6" i="1"/>
  <c r="G7" i="1"/>
  <c r="F7" i="1"/>
  <c r="G14" i="1"/>
  <c r="H14" i="1" s="1"/>
  <c r="F14" i="1"/>
  <c r="G15" i="1"/>
  <c r="H15" i="1" s="1"/>
  <c r="F15" i="1"/>
  <c r="G16" i="1"/>
  <c r="H16" i="1" s="1"/>
  <c r="F16" i="1"/>
</calcChain>
</file>

<file path=xl/sharedStrings.xml><?xml version="1.0" encoding="utf-8"?>
<sst xmlns="http://schemas.openxmlformats.org/spreadsheetml/2006/main" count="73" uniqueCount="34">
  <si>
    <t>ave</t>
  </si>
  <si>
    <t>sem</t>
  </si>
  <si>
    <t>bisresorcinol</t>
  </si>
  <si>
    <t>uM</t>
  </si>
  <si>
    <t>sd</t>
  </si>
  <si>
    <t>ug/ml</t>
  </si>
  <si>
    <t>% inhibition</t>
  </si>
  <si>
    <t>conc</t>
  </si>
  <si>
    <t>N1</t>
  </si>
  <si>
    <t>N2</t>
  </si>
  <si>
    <t>N3</t>
  </si>
  <si>
    <t>20 ug/ml</t>
  </si>
  <si>
    <t>ic50</t>
  </si>
  <si>
    <t>100 uM</t>
  </si>
  <si>
    <t>collagenase</t>
  </si>
  <si>
    <t>100 ug/ml</t>
  </si>
  <si>
    <t>50 ug/ml</t>
  </si>
  <si>
    <t>25 ug/ml</t>
  </si>
  <si>
    <t>elastase</t>
  </si>
  <si>
    <t>caffeic acid</t>
  </si>
  <si>
    <t>tyrosinase</t>
  </si>
  <si>
    <t>arbutin</t>
  </si>
  <si>
    <t>Bisresorcinol</t>
  </si>
  <si>
    <t>Ursolic acid</t>
  </si>
  <si>
    <t>56 mM</t>
  </si>
  <si>
    <t>28 mM</t>
  </si>
  <si>
    <t>14 mM</t>
  </si>
  <si>
    <t>Collagenase</t>
  </si>
  <si>
    <t>15 ug/ml</t>
  </si>
  <si>
    <t>12.5 ug/ml</t>
  </si>
  <si>
    <t>10 ug/ml</t>
  </si>
  <si>
    <t>Arbutin</t>
  </si>
  <si>
    <t>50 uM</t>
  </si>
  <si>
    <t>10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</si>
</sst>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_ "/>
    <numFmt numFmtId="166" formatCode="0.0_ "/>
    <numFmt numFmtId="167" formatCode="0_ "/>
    <numFmt numFmtId="168" formatCode="0.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166" fontId="2" fillId="0" borderId="0" xfId="0" applyNumberFormat="1" applyFont="1" applyFill="1"/>
    <xf numFmtId="166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Fill="1"/>
    <xf numFmtId="167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4" fontId="0" fillId="0" borderId="0" xfId="0" applyNumberFormat="1"/>
    <xf numFmtId="165" fontId="0" fillId="0" borderId="0" xfId="0" applyNumberFormat="1" applyAlignment="1">
      <alignment horizontal="center"/>
    </xf>
    <xf numFmtId="168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king/dock-paper/MS-dock/MSdock-peerJ3/Figure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P_HU/proposal_HT/Paper_HT-Ecpd7/Result_HTcpd7/AllResults_papercpd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"/>
      <sheetName val="elas"/>
      <sheetName val="tyr"/>
    </sheetNames>
    <sheetDataSet>
      <sheetData sheetId="0">
        <row r="4">
          <cell r="C4">
            <v>226</v>
          </cell>
          <cell r="D4">
            <v>81.313333333333333</v>
          </cell>
          <cell r="E4">
            <v>0.63508529610858844</v>
          </cell>
        </row>
        <row r="5">
          <cell r="C5">
            <v>210</v>
          </cell>
          <cell r="D5">
            <v>75.19</v>
          </cell>
          <cell r="E5">
            <v>1.05</v>
          </cell>
        </row>
        <row r="6">
          <cell r="C6">
            <v>180</v>
          </cell>
          <cell r="D6">
            <v>61</v>
          </cell>
          <cell r="E6">
            <v>1.07</v>
          </cell>
        </row>
        <row r="7">
          <cell r="C7">
            <v>150</v>
          </cell>
          <cell r="D7">
            <v>46.8</v>
          </cell>
          <cell r="E7">
            <v>1.1000000000000001</v>
          </cell>
        </row>
        <row r="8">
          <cell r="C8">
            <v>113</v>
          </cell>
          <cell r="D8">
            <v>32.966666666666669</v>
          </cell>
          <cell r="E8">
            <v>3.0715034320888095</v>
          </cell>
        </row>
        <row r="9">
          <cell r="C9">
            <v>56</v>
          </cell>
          <cell r="D9">
            <v>0</v>
          </cell>
          <cell r="E9">
            <v>3.186973485926734</v>
          </cell>
        </row>
        <row r="12">
          <cell r="C12">
            <v>560</v>
          </cell>
          <cell r="D12">
            <v>72.77</v>
          </cell>
          <cell r="E12">
            <v>0.73900834456272102</v>
          </cell>
        </row>
        <row r="13">
          <cell r="C13">
            <v>280</v>
          </cell>
          <cell r="D13">
            <v>53.47</v>
          </cell>
          <cell r="E13">
            <v>0.50806823688687075</v>
          </cell>
        </row>
        <row r="14">
          <cell r="C14">
            <v>210</v>
          </cell>
          <cell r="D14">
            <v>40.049999999999997</v>
          </cell>
          <cell r="E14">
            <v>1.4087346568226868</v>
          </cell>
        </row>
        <row r="15">
          <cell r="C15">
            <v>180</v>
          </cell>
          <cell r="D15">
            <v>37.119999999999997</v>
          </cell>
          <cell r="E15">
            <v>1.593486742963367</v>
          </cell>
        </row>
        <row r="16">
          <cell r="C16">
            <v>150</v>
          </cell>
          <cell r="D16">
            <v>34.200000000000003</v>
          </cell>
          <cell r="E16">
            <v>1.7782388291040474</v>
          </cell>
        </row>
        <row r="17">
          <cell r="C17">
            <v>140</v>
          </cell>
          <cell r="D17">
            <v>30.37</v>
          </cell>
          <cell r="E17">
            <v>4.3243535162302971</v>
          </cell>
        </row>
      </sheetData>
      <sheetData sheetId="1">
        <row r="4">
          <cell r="C4">
            <v>45</v>
          </cell>
          <cell r="D4">
            <v>99.7</v>
          </cell>
          <cell r="E4">
            <v>0.09</v>
          </cell>
        </row>
        <row r="5">
          <cell r="C5">
            <v>40</v>
          </cell>
          <cell r="D5">
            <v>73.260000000000005</v>
          </cell>
          <cell r="E5">
            <v>4.6100000000000003</v>
          </cell>
        </row>
        <row r="6">
          <cell r="C6">
            <v>35</v>
          </cell>
          <cell r="D6">
            <v>55.77</v>
          </cell>
          <cell r="E6">
            <v>3.45</v>
          </cell>
        </row>
        <row r="7">
          <cell r="C7">
            <v>34</v>
          </cell>
          <cell r="D7">
            <v>34.700000000000003</v>
          </cell>
          <cell r="E7">
            <v>6</v>
          </cell>
        </row>
        <row r="8">
          <cell r="C8">
            <v>30</v>
          </cell>
          <cell r="D8">
            <v>38.29</v>
          </cell>
          <cell r="E8">
            <v>2.2999999999999998</v>
          </cell>
        </row>
        <row r="9">
          <cell r="C9">
            <v>23</v>
          </cell>
          <cell r="D9">
            <v>20.76</v>
          </cell>
          <cell r="E9">
            <v>5.3</v>
          </cell>
        </row>
        <row r="11">
          <cell r="C11">
            <v>100</v>
          </cell>
          <cell r="D11">
            <v>87.51</v>
          </cell>
          <cell r="E11">
            <v>1.2124355652982142</v>
          </cell>
        </row>
        <row r="12">
          <cell r="C12">
            <v>50</v>
          </cell>
          <cell r="D12">
            <v>72.36</v>
          </cell>
          <cell r="E12">
            <v>1.3279056191361391</v>
          </cell>
        </row>
        <row r="13">
          <cell r="C13">
            <v>40</v>
          </cell>
          <cell r="D13">
            <v>53.72</v>
          </cell>
          <cell r="E13">
            <v>0.25</v>
          </cell>
        </row>
        <row r="14">
          <cell r="C14">
            <v>35</v>
          </cell>
          <cell r="D14">
            <v>50.45</v>
          </cell>
          <cell r="E14">
            <v>0.33</v>
          </cell>
        </row>
        <row r="15">
          <cell r="C15">
            <v>30</v>
          </cell>
          <cell r="D15">
            <v>47.19</v>
          </cell>
          <cell r="E15">
            <v>0.45</v>
          </cell>
        </row>
        <row r="16">
          <cell r="C16">
            <v>10</v>
          </cell>
          <cell r="D16">
            <v>27.4</v>
          </cell>
          <cell r="E16">
            <v>1.6743157806499147</v>
          </cell>
        </row>
      </sheetData>
      <sheetData sheetId="2">
        <row r="3">
          <cell r="B3">
            <v>50</v>
          </cell>
          <cell r="C3">
            <v>100</v>
          </cell>
          <cell r="D3">
            <v>5.38</v>
          </cell>
        </row>
        <row r="4">
          <cell r="B4">
            <v>40</v>
          </cell>
          <cell r="C4">
            <v>100</v>
          </cell>
          <cell r="D4">
            <v>3.47</v>
          </cell>
        </row>
        <row r="5">
          <cell r="B5">
            <v>34</v>
          </cell>
          <cell r="C5">
            <v>84.25</v>
          </cell>
          <cell r="D5">
            <v>0.51318298242710203</v>
          </cell>
        </row>
        <row r="6">
          <cell r="B6">
            <v>30</v>
          </cell>
          <cell r="C6">
            <v>78.7</v>
          </cell>
          <cell r="D6">
            <v>1.62</v>
          </cell>
        </row>
        <row r="7">
          <cell r="B7">
            <v>28</v>
          </cell>
          <cell r="C7">
            <v>78.513333333333335</v>
          </cell>
          <cell r="D7">
            <v>0.62746590293056925</v>
          </cell>
        </row>
        <row r="8">
          <cell r="B8">
            <v>10</v>
          </cell>
          <cell r="C8">
            <v>44.386666666666663</v>
          </cell>
          <cell r="D8">
            <v>1.0047537524050172</v>
          </cell>
        </row>
        <row r="11">
          <cell r="A11" t="str">
            <v>β-arbutin</v>
          </cell>
          <cell r="B11">
            <v>92</v>
          </cell>
          <cell r="C11">
            <v>58.8</v>
          </cell>
          <cell r="D11">
            <v>0.65659052011974028</v>
          </cell>
        </row>
        <row r="12">
          <cell r="B12">
            <v>50</v>
          </cell>
          <cell r="C12">
            <v>34.433866666666667</v>
          </cell>
          <cell r="D12">
            <v>2.0524862129730486</v>
          </cell>
        </row>
        <row r="13">
          <cell r="B13">
            <v>46</v>
          </cell>
          <cell r="C13">
            <v>28.8</v>
          </cell>
          <cell r="D13">
            <v>0.58118652580542307</v>
          </cell>
        </row>
        <row r="14">
          <cell r="B14">
            <v>40</v>
          </cell>
          <cell r="C14">
            <v>24.941333333333329</v>
          </cell>
          <cell r="D14">
            <v>0.39186367669268679</v>
          </cell>
        </row>
        <row r="15">
          <cell r="B15">
            <v>30</v>
          </cell>
          <cell r="C15">
            <v>18.417666666666666</v>
          </cell>
          <cell r="D15">
            <v>0.28258073969123315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d7"/>
      <sheetName val="tyr"/>
      <sheetName val="coll"/>
      <sheetName val="elas"/>
      <sheetName val="coll-elas"/>
      <sheetName val="Sheet1"/>
      <sheetName val="mic"/>
      <sheetName val="cpd1"/>
      <sheetName val="cpd2"/>
      <sheetName val="cpd3"/>
      <sheetName val="cpd18"/>
      <sheetName val="cpd 6"/>
      <sheetName val="cpd 10"/>
      <sheetName val="cpd 13"/>
    </sheetNames>
    <sheetDataSet>
      <sheetData sheetId="0"/>
      <sheetData sheetId="1"/>
      <sheetData sheetId="2"/>
      <sheetData sheetId="3">
        <row r="9">
          <cell r="B9">
            <v>20</v>
          </cell>
          <cell r="C9">
            <v>99.644800000000004</v>
          </cell>
          <cell r="D9">
            <v>99.581400000000002</v>
          </cell>
          <cell r="E9">
            <v>99.759</v>
          </cell>
        </row>
        <row r="10">
          <cell r="B10">
            <v>15</v>
          </cell>
          <cell r="C10">
            <v>46.4925</v>
          </cell>
          <cell r="D10">
            <v>30.889299999999999</v>
          </cell>
          <cell r="E10">
            <v>26.766500000000001</v>
          </cell>
        </row>
        <row r="11">
          <cell r="B11">
            <v>10</v>
          </cell>
          <cell r="C11">
            <v>30.140799999999999</v>
          </cell>
          <cell r="D11">
            <v>20.284199999999998</v>
          </cell>
          <cell r="E11">
            <v>11.873699999999999</v>
          </cell>
        </row>
        <row r="16">
          <cell r="B16">
            <v>100</v>
          </cell>
          <cell r="C16">
            <v>87.2</v>
          </cell>
          <cell r="D16">
            <v>89.73</v>
          </cell>
          <cell r="E16">
            <v>85.61</v>
          </cell>
        </row>
        <row r="17">
          <cell r="B17">
            <v>50</v>
          </cell>
          <cell r="C17">
            <v>72.78</v>
          </cell>
          <cell r="D17">
            <v>74.42</v>
          </cell>
          <cell r="E17">
            <v>69.89</v>
          </cell>
        </row>
        <row r="18">
          <cell r="B18">
            <v>10</v>
          </cell>
          <cell r="C18">
            <v>26.21</v>
          </cell>
          <cell r="D18">
            <v>25.34</v>
          </cell>
          <cell r="E18">
            <v>30.65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ABBDA-0AB7-4FC5-85C4-4DCA67BEA1D1}">
  <dimension ref="A2:O50"/>
  <sheetViews>
    <sheetView zoomScale="90" zoomScaleNormal="90" workbookViewId="0">
      <selection activeCell="K13" sqref="K13"/>
    </sheetView>
  </sheetViews>
  <sheetFormatPr defaultRowHeight="15" x14ac:dyDescent="0.25"/>
  <cols>
    <col min="1" max="1" width="18.5703125" style="5" customWidth="1"/>
    <col min="2" max="16384" width="9.140625" style="5"/>
  </cols>
  <sheetData>
    <row r="2" spans="1:15" x14ac:dyDescent="0.25">
      <c r="A2" s="6" t="s">
        <v>14</v>
      </c>
      <c r="B2" s="6"/>
      <c r="C2" s="27" t="s">
        <v>6</v>
      </c>
      <c r="D2" s="27"/>
      <c r="E2" s="27"/>
      <c r="F2" s="27"/>
      <c r="G2" s="27"/>
      <c r="H2" s="27"/>
      <c r="I2" s="6"/>
      <c r="J2" s="28"/>
      <c r="K2" s="28"/>
      <c r="L2" s="28"/>
      <c r="M2" s="6"/>
      <c r="N2" s="6"/>
      <c r="O2" s="6"/>
    </row>
    <row r="3" spans="1:15" x14ac:dyDescent="0.25">
      <c r="A3" s="6"/>
      <c r="B3" s="12" t="s">
        <v>3</v>
      </c>
      <c r="C3" s="12">
        <v>1</v>
      </c>
      <c r="D3" s="12">
        <v>2</v>
      </c>
      <c r="E3" s="12">
        <v>3</v>
      </c>
      <c r="F3" s="12" t="s">
        <v>0</v>
      </c>
      <c r="G3" s="12" t="s">
        <v>4</v>
      </c>
      <c r="H3" s="12" t="s">
        <v>1</v>
      </c>
      <c r="I3" s="6"/>
      <c r="J3" s="6"/>
      <c r="K3" s="6"/>
      <c r="L3" s="6"/>
      <c r="M3" s="6"/>
      <c r="N3" s="6"/>
      <c r="O3" s="6"/>
    </row>
    <row r="4" spans="1:15" x14ac:dyDescent="0.25">
      <c r="A4" s="6" t="s">
        <v>2</v>
      </c>
      <c r="B4" s="7">
        <v>226</v>
      </c>
      <c r="C4" s="35">
        <v>82.28</v>
      </c>
      <c r="D4" s="36">
        <v>81.540000000000006</v>
      </c>
      <c r="E4" s="36">
        <v>80.12</v>
      </c>
      <c r="F4" s="15">
        <f>AVERAGE(C4:E4)</f>
        <v>81.313333333333333</v>
      </c>
      <c r="G4" s="10">
        <f>STDEV(C4:E4)</f>
        <v>1.0976945537504184</v>
      </c>
      <c r="H4" s="10">
        <f>G4/SQRT(3)</f>
        <v>0.63375424609579023</v>
      </c>
      <c r="I4" s="6"/>
      <c r="J4" s="11"/>
      <c r="K4" s="11"/>
      <c r="L4" s="6"/>
      <c r="M4" s="6"/>
      <c r="N4" s="6"/>
      <c r="O4" s="6"/>
    </row>
    <row r="5" spans="1:15" x14ac:dyDescent="0.25">
      <c r="A5" s="6"/>
      <c r="B5" s="6">
        <v>210</v>
      </c>
      <c r="C5" s="35">
        <v>77.297999999999988</v>
      </c>
      <c r="D5" s="16">
        <v>74.194999999999993</v>
      </c>
      <c r="E5" s="16">
        <v>74.081999999999994</v>
      </c>
      <c r="F5" s="9">
        <f>AVERAGE(C5:E5)</f>
        <v>75.191666666666663</v>
      </c>
      <c r="G5" s="10">
        <f>STDEV(C5:E5)</f>
        <v>1.8250129679904525</v>
      </c>
      <c r="H5" s="10">
        <f t="shared" ref="H5:H17" si="0">G5/SQRT(3)</f>
        <v>1.0536717283438457</v>
      </c>
      <c r="I5" s="6"/>
      <c r="J5" s="11"/>
      <c r="K5" s="11"/>
      <c r="L5" s="6"/>
      <c r="M5" s="6"/>
      <c r="N5" s="6"/>
      <c r="O5" s="6"/>
    </row>
    <row r="6" spans="1:15" x14ac:dyDescent="0.25">
      <c r="A6" s="6"/>
      <c r="B6" s="6">
        <v>180</v>
      </c>
      <c r="C6" s="35">
        <v>63.128999999999991</v>
      </c>
      <c r="D6" s="16">
        <v>59.765000000000001</v>
      </c>
      <c r="E6" s="16">
        <v>60.095999999999997</v>
      </c>
      <c r="F6" s="9">
        <f t="shared" ref="F6" si="1">AVERAGE(C6:E6)</f>
        <v>60.996666666666663</v>
      </c>
      <c r="G6" s="10">
        <f t="shared" ref="G6" si="2">STDEV(C6:E6)</f>
        <v>1.8540561839742926</v>
      </c>
      <c r="H6" s="10">
        <f t="shared" si="0"/>
        <v>1.0704398369102481</v>
      </c>
      <c r="I6" s="6"/>
      <c r="J6" s="11"/>
      <c r="K6" s="11"/>
      <c r="L6" s="6"/>
      <c r="M6" s="6"/>
      <c r="N6" s="6"/>
      <c r="O6" s="6"/>
    </row>
    <row r="7" spans="1:15" x14ac:dyDescent="0.25">
      <c r="A7" s="6"/>
      <c r="B7" s="6">
        <v>150</v>
      </c>
      <c r="C7" s="35">
        <v>48.959999999999994</v>
      </c>
      <c r="D7" s="16">
        <v>45.334999999999994</v>
      </c>
      <c r="E7" s="16">
        <v>46.110000000000007</v>
      </c>
      <c r="F7" s="9">
        <f>AVERAGE(C7:E7)</f>
        <v>46.801666666666669</v>
      </c>
      <c r="G7" s="10">
        <f>STDEV(C7:E7)</f>
        <v>1.9089154861683439</v>
      </c>
      <c r="H7" s="10">
        <f t="shared" si="0"/>
        <v>1.1021128697995388</v>
      </c>
      <c r="I7" s="6"/>
      <c r="J7" s="11"/>
      <c r="K7" s="11"/>
      <c r="L7" s="6"/>
      <c r="M7" s="6"/>
      <c r="N7" s="6"/>
      <c r="O7" s="6"/>
    </row>
    <row r="8" spans="1:15" x14ac:dyDescent="0.25">
      <c r="A8" s="6"/>
      <c r="B8" s="7">
        <v>113</v>
      </c>
      <c r="C8" s="35">
        <v>38.51</v>
      </c>
      <c r="D8" s="36">
        <v>27.91</v>
      </c>
      <c r="E8" s="36">
        <v>32.479999999999997</v>
      </c>
      <c r="F8" s="9">
        <f t="shared" ref="F8" si="3">AVERAGE(C8:E8)</f>
        <v>32.966666666666669</v>
      </c>
      <c r="G8" s="10">
        <f t="shared" ref="G8" si="4">STDEV(C8:E8)</f>
        <v>5.3167314520608357</v>
      </c>
      <c r="H8" s="10">
        <f t="shared" si="0"/>
        <v>3.0696163350562737</v>
      </c>
      <c r="I8" s="6"/>
      <c r="J8" s="11"/>
      <c r="K8" s="11"/>
      <c r="L8" s="6"/>
      <c r="M8" s="6"/>
      <c r="N8" s="6"/>
      <c r="O8" s="6"/>
    </row>
    <row r="9" spans="1:15" x14ac:dyDescent="0.25">
      <c r="A9" s="6"/>
      <c r="B9" s="7">
        <v>56</v>
      </c>
      <c r="C9" s="35">
        <v>0</v>
      </c>
      <c r="D9" s="16">
        <v>0</v>
      </c>
      <c r="E9" s="16">
        <v>0</v>
      </c>
      <c r="F9" s="9">
        <v>0</v>
      </c>
      <c r="G9" s="10">
        <v>5.52</v>
      </c>
      <c r="H9" s="10">
        <f t="shared" si="0"/>
        <v>3.186973485926734</v>
      </c>
      <c r="I9" s="6"/>
      <c r="J9" s="11"/>
      <c r="K9" s="11"/>
      <c r="L9" s="6"/>
      <c r="M9" s="11"/>
      <c r="N9" s="6"/>
      <c r="O9" s="6"/>
    </row>
    <row r="10" spans="1:15" x14ac:dyDescent="0.25">
      <c r="A10" s="6"/>
      <c r="B10" s="6"/>
      <c r="C10" s="18"/>
      <c r="D10" s="18"/>
      <c r="E10" s="18"/>
      <c r="F10" s="10"/>
      <c r="G10" s="10"/>
      <c r="H10" s="10"/>
      <c r="I10" s="6"/>
      <c r="J10"/>
      <c r="K10"/>
    </row>
    <row r="11" spans="1:15" x14ac:dyDescent="0.25">
      <c r="A11" s="6"/>
      <c r="B11" s="6"/>
      <c r="C11" s="18"/>
      <c r="D11" s="18"/>
      <c r="E11" s="18"/>
      <c r="F11" s="10"/>
      <c r="G11" s="10"/>
      <c r="H11" s="10"/>
      <c r="I11" s="6"/>
      <c r="J11"/>
      <c r="K11"/>
    </row>
    <row r="12" spans="1:15" x14ac:dyDescent="0.25">
      <c r="A12" s="6" t="s">
        <v>19</v>
      </c>
      <c r="B12" s="6">
        <v>560</v>
      </c>
      <c r="C12" s="18">
        <v>71.84</v>
      </c>
      <c r="D12" s="18">
        <v>74.23</v>
      </c>
      <c r="E12" s="18">
        <v>72.239999999999995</v>
      </c>
      <c r="F12" s="9">
        <f t="shared" ref="F12:F13" si="5">AVERAGE(C12:E12)</f>
        <v>72.77</v>
      </c>
      <c r="G12" s="10">
        <f t="shared" ref="G12:G13" si="6">STDEV(C12:E12)</f>
        <v>1.2801171821360751</v>
      </c>
      <c r="H12" s="10">
        <f t="shared" si="0"/>
        <v>0.73907599970052817</v>
      </c>
      <c r="I12" s="6"/>
      <c r="J12" s="24"/>
      <c r="K12" s="24"/>
    </row>
    <row r="13" spans="1:15" x14ac:dyDescent="0.25">
      <c r="A13" s="6"/>
      <c r="B13" s="6">
        <v>280</v>
      </c>
      <c r="C13" s="18">
        <v>50.5</v>
      </c>
      <c r="D13" s="18">
        <v>50.77</v>
      </c>
      <c r="E13" s="18">
        <v>52.14</v>
      </c>
      <c r="F13" s="9">
        <f t="shared" si="5"/>
        <v>51.136666666666677</v>
      </c>
      <c r="G13" s="10">
        <f t="shared" si="6"/>
        <v>0.87933687136007932</v>
      </c>
      <c r="H13" s="10">
        <f t="shared" si="0"/>
        <v>0.5076853793881051</v>
      </c>
      <c r="I13" s="6"/>
      <c r="J13" s="24"/>
      <c r="K13" s="24"/>
    </row>
    <row r="14" spans="1:15" x14ac:dyDescent="0.25">
      <c r="A14" s="6"/>
      <c r="B14" s="6">
        <v>210</v>
      </c>
      <c r="C14" s="18">
        <v>40.852000000000004</v>
      </c>
      <c r="D14" s="18">
        <v>35.484999999999999</v>
      </c>
      <c r="E14" s="18">
        <v>43.820999999999998</v>
      </c>
      <c r="F14" s="9">
        <f>AVERAGE(C14:E14)</f>
        <v>40.052666666666667</v>
      </c>
      <c r="G14" s="10">
        <f>STDEV(C14:E14)</f>
        <v>4.2250945946017975</v>
      </c>
      <c r="H14" s="10">
        <f t="shared" si="0"/>
        <v>2.4393595015449807</v>
      </c>
      <c r="I14" s="6"/>
      <c r="J14" s="24"/>
      <c r="K14" s="24"/>
    </row>
    <row r="15" spans="1:15" x14ac:dyDescent="0.25">
      <c r="A15" s="6"/>
      <c r="B15" s="6">
        <v>180</v>
      </c>
      <c r="C15" s="37">
        <v>38.025999999999996</v>
      </c>
      <c r="D15" s="37">
        <v>31.96</v>
      </c>
      <c r="E15" s="37">
        <v>41.387999999999998</v>
      </c>
      <c r="F15" s="9">
        <f t="shared" ref="F15" si="7">AVERAGE(C15:E15)</f>
        <v>37.124666666666663</v>
      </c>
      <c r="G15" s="10">
        <f t="shared" ref="G15" si="8">STDEV(C15:E15)</f>
        <v>4.7781897548478778</v>
      </c>
      <c r="H15" s="10">
        <f t="shared" si="0"/>
        <v>2.7586891412005343</v>
      </c>
      <c r="I15" s="6"/>
      <c r="J15" s="24"/>
      <c r="K15" s="24"/>
    </row>
    <row r="16" spans="1:15" x14ac:dyDescent="0.25">
      <c r="A16" s="6"/>
      <c r="B16" s="6">
        <v>150</v>
      </c>
      <c r="C16" s="37">
        <v>35.200000000000003</v>
      </c>
      <c r="D16" s="37">
        <v>28.435000000000002</v>
      </c>
      <c r="E16" s="37">
        <v>38.954999999999998</v>
      </c>
      <c r="F16" s="9">
        <f>AVERAGE(C16:E16)</f>
        <v>34.196666666666665</v>
      </c>
      <c r="G16" s="10">
        <f>STDEV(C16:E16)</f>
        <v>5.3312858048817384</v>
      </c>
      <c r="H16" s="10">
        <f t="shared" si="0"/>
        <v>3.0780192945753027</v>
      </c>
      <c r="I16" s="6"/>
      <c r="J16" s="24"/>
      <c r="K16" s="24"/>
    </row>
    <row r="17" spans="1:13" x14ac:dyDescent="0.25">
      <c r="A17" s="6"/>
      <c r="B17" s="6">
        <v>140</v>
      </c>
      <c r="C17" s="17">
        <v>37.46</v>
      </c>
      <c r="D17" s="17">
        <v>22.54</v>
      </c>
      <c r="E17" s="18">
        <v>31.12</v>
      </c>
      <c r="F17" s="9">
        <f t="shared" ref="F17" si="9">AVERAGE(C17:E17)</f>
        <v>30.373333333333335</v>
      </c>
      <c r="G17" s="10">
        <f t="shared" ref="G17" si="10">STDEV(C17:E17)</f>
        <v>7.487972578297363</v>
      </c>
      <c r="H17" s="10">
        <f t="shared" si="0"/>
        <v>4.3231829837645188</v>
      </c>
      <c r="I17" s="6"/>
      <c r="J17" s="24"/>
      <c r="K17" s="24"/>
      <c r="M17" s="22"/>
    </row>
    <row r="18" spans="1:13" x14ac:dyDescent="0.25">
      <c r="A18" s="6"/>
      <c r="B18" s="6"/>
      <c r="C18" s="17"/>
      <c r="D18" s="17"/>
      <c r="E18" s="17"/>
      <c r="F18" s="10"/>
      <c r="G18" s="10"/>
      <c r="H18" s="10"/>
      <c r="I18" s="6"/>
    </row>
    <row r="19" spans="1:13" x14ac:dyDescent="0.25">
      <c r="C19" s="23"/>
      <c r="D19" s="23"/>
      <c r="E19" s="23"/>
      <c r="F19" s="21"/>
      <c r="G19" s="21"/>
      <c r="H19" s="21"/>
    </row>
    <row r="20" spans="1:13" x14ac:dyDescent="0.25">
      <c r="A20" s="6" t="s">
        <v>18</v>
      </c>
      <c r="B20" s="12" t="s">
        <v>3</v>
      </c>
      <c r="C20" s="19">
        <v>1</v>
      </c>
      <c r="D20" s="19">
        <v>2</v>
      </c>
      <c r="E20" s="19">
        <v>3</v>
      </c>
      <c r="F20" s="12" t="s">
        <v>0</v>
      </c>
      <c r="G20" s="12" t="s">
        <v>4</v>
      </c>
      <c r="H20" s="12" t="s">
        <v>1</v>
      </c>
      <c r="J20"/>
      <c r="K20"/>
    </row>
    <row r="21" spans="1:13" x14ac:dyDescent="0.25">
      <c r="A21" s="6" t="s">
        <v>22</v>
      </c>
      <c r="B21" s="7">
        <v>45</v>
      </c>
      <c r="C21" s="17">
        <v>99.644800000000004</v>
      </c>
      <c r="D21" s="17">
        <v>99.581400000000002</v>
      </c>
      <c r="E21" s="17">
        <v>99.759</v>
      </c>
      <c r="F21" s="10">
        <f>AVERAGE(C21:E21)</f>
        <v>99.661733333333345</v>
      </c>
      <c r="G21" s="10">
        <f>STDEV(C21:E21)</f>
        <v>9.0002740699009459E-2</v>
      </c>
      <c r="H21" s="10">
        <f>G21/SQRT(3)</f>
        <v>5.1963106570377199E-2</v>
      </c>
      <c r="J21" s="24"/>
      <c r="K21" s="24"/>
    </row>
    <row r="22" spans="1:13" x14ac:dyDescent="0.25">
      <c r="A22" s="6"/>
      <c r="B22" s="6">
        <v>40</v>
      </c>
      <c r="C22" s="17">
        <v>70.137</v>
      </c>
      <c r="D22" s="17">
        <v>71.909999999999982</v>
      </c>
      <c r="E22" s="17">
        <v>77.742999999999995</v>
      </c>
      <c r="F22" s="10">
        <f>AVERAGE(C22:E22)</f>
        <v>73.263333333333321</v>
      </c>
      <c r="G22" s="10">
        <f>STDEV(C22:E22)</f>
        <v>3.9795027746357126</v>
      </c>
      <c r="H22" s="10">
        <f>(G22/SQRT(3))</f>
        <v>2.2975669981767912</v>
      </c>
      <c r="J22" s="24"/>
      <c r="K22" s="24"/>
    </row>
    <row r="23" spans="1:13" x14ac:dyDescent="0.25">
      <c r="A23" s="6"/>
      <c r="B23" s="6">
        <v>35</v>
      </c>
      <c r="C23" s="17">
        <v>50.658000000000015</v>
      </c>
      <c r="D23" s="17">
        <v>54.334499999999991</v>
      </c>
      <c r="E23" s="17">
        <v>62.337999999999994</v>
      </c>
      <c r="F23" s="10">
        <f t="shared" ref="F23:F24" si="11">AVERAGE(C23:E23)</f>
        <v>55.776833333333336</v>
      </c>
      <c r="G23" s="10">
        <f t="shared" ref="G23:G24" si="12">STDEV(C23:E23)</f>
        <v>5.9720887538057594</v>
      </c>
      <c r="H23" s="10">
        <f t="shared" ref="H23:H33" si="13">(G23/SQRT(3))</f>
        <v>3.4479870496340919</v>
      </c>
      <c r="J23" s="24"/>
      <c r="K23" s="24"/>
    </row>
    <row r="24" spans="1:13" x14ac:dyDescent="0.25">
      <c r="A24" s="6"/>
      <c r="B24" s="6">
        <v>34</v>
      </c>
      <c r="C24" s="17">
        <v>46.4925</v>
      </c>
      <c r="D24" s="17">
        <v>30.889299999999999</v>
      </c>
      <c r="E24" s="17">
        <v>26.766500000000001</v>
      </c>
      <c r="F24" s="10">
        <f t="shared" si="11"/>
        <v>34.716100000000004</v>
      </c>
      <c r="G24" s="10">
        <f t="shared" si="12"/>
        <v>10.404905942871371</v>
      </c>
      <c r="H24" s="10">
        <f t="shared" si="13"/>
        <v>6.0072752470095239</v>
      </c>
      <c r="J24"/>
      <c r="K24" s="24"/>
    </row>
    <row r="25" spans="1:13" x14ac:dyDescent="0.25">
      <c r="A25" s="6"/>
      <c r="B25" s="6">
        <v>30</v>
      </c>
      <c r="C25" s="26">
        <v>31.179000000000002</v>
      </c>
      <c r="D25" s="26">
        <v>36.759</v>
      </c>
      <c r="E25" s="26">
        <v>46.932999999999993</v>
      </c>
      <c r="F25" s="10">
        <f>AVERAGE(C25:E25)</f>
        <v>38.290333333333329</v>
      </c>
      <c r="G25" s="10">
        <f>STDEV(C25:E25)</f>
        <v>7.9878573681140086</v>
      </c>
      <c r="H25" s="10">
        <f t="shared" si="13"/>
        <v>4.6117916017289584</v>
      </c>
      <c r="J25" s="24"/>
      <c r="K25" s="24"/>
    </row>
    <row r="26" spans="1:13" x14ac:dyDescent="0.25">
      <c r="A26" s="6"/>
      <c r="B26" s="6">
        <v>23</v>
      </c>
      <c r="C26" s="17">
        <v>30.140799999999999</v>
      </c>
      <c r="D26" s="17">
        <v>20.284199999999998</v>
      </c>
      <c r="E26" s="17">
        <v>11.873699999999999</v>
      </c>
      <c r="F26" s="10">
        <f t="shared" ref="F26" si="14">AVERAGE(C26:E26)</f>
        <v>20.766233333333332</v>
      </c>
      <c r="G26" s="10">
        <f t="shared" ref="G26" si="15">STDEV(C26:E26)</f>
        <v>9.1430849664286331</v>
      </c>
      <c r="H26" s="10">
        <f t="shared" si="13"/>
        <v>5.2787625665911921</v>
      </c>
      <c r="J26" s="24"/>
      <c r="K26" s="24"/>
      <c r="M26" s="22"/>
    </row>
    <row r="27" spans="1:13" x14ac:dyDescent="0.25">
      <c r="A27" s="6"/>
      <c r="B27" s="6"/>
      <c r="C27" s="17"/>
      <c r="D27" s="17"/>
      <c r="E27" s="17"/>
      <c r="F27" s="10"/>
      <c r="G27" s="10"/>
      <c r="H27" s="10"/>
      <c r="J27"/>
      <c r="K27"/>
    </row>
    <row r="28" spans="1:13" x14ac:dyDescent="0.25">
      <c r="A28" s="6" t="s">
        <v>23</v>
      </c>
      <c r="B28" s="6">
        <v>100</v>
      </c>
      <c r="C28" s="17">
        <v>87.2</v>
      </c>
      <c r="D28" s="17">
        <v>89.73</v>
      </c>
      <c r="E28" s="17">
        <v>85.61</v>
      </c>
      <c r="F28" s="10">
        <f>AVERAGE(C28:E28)</f>
        <v>87.513333333333335</v>
      </c>
      <c r="G28" s="10">
        <f>STDEV(C28:E28)</f>
        <v>2.0777953059272565</v>
      </c>
      <c r="H28" s="10">
        <f t="shared" si="13"/>
        <v>1.1996156791980424</v>
      </c>
      <c r="J28" s="24"/>
      <c r="K28" s="24"/>
    </row>
    <row r="29" spans="1:13" x14ac:dyDescent="0.25">
      <c r="A29" s="6"/>
      <c r="B29" s="6">
        <v>50</v>
      </c>
      <c r="C29" s="17">
        <v>72.78</v>
      </c>
      <c r="D29" s="17">
        <v>74.42</v>
      </c>
      <c r="E29" s="17">
        <v>69.89</v>
      </c>
      <c r="F29" s="10">
        <f t="shared" ref="F29" si="16">AVERAGE(C29:E29)</f>
        <v>72.36333333333333</v>
      </c>
      <c r="G29" s="10">
        <f t="shared" ref="G29" si="17">STDEV(C29:E29)</f>
        <v>2.2935634574463677</v>
      </c>
      <c r="H29" s="10">
        <f t="shared" si="13"/>
        <v>1.3241894795601492</v>
      </c>
      <c r="J29" s="24"/>
      <c r="K29" s="24"/>
    </row>
    <row r="30" spans="1:13" x14ac:dyDescent="0.25">
      <c r="A30" s="6"/>
      <c r="B30" s="6">
        <v>40</v>
      </c>
      <c r="C30" s="17">
        <v>53.239999999999995</v>
      </c>
      <c r="D30" s="17">
        <v>53.849000000000004</v>
      </c>
      <c r="E30" s="17">
        <v>54.069000000000003</v>
      </c>
      <c r="F30" s="10">
        <f>AVERAGE(C30:E30)</f>
        <v>53.719333333333338</v>
      </c>
      <c r="G30" s="10">
        <f>STDEV(C30:E30)</f>
        <v>0.42944188586272902</v>
      </c>
      <c r="H30" s="10">
        <f t="shared" si="13"/>
        <v>0.24793838840414717</v>
      </c>
      <c r="J30" s="24"/>
      <c r="K30" s="24"/>
    </row>
    <row r="31" spans="1:13" x14ac:dyDescent="0.25">
      <c r="A31" s="6"/>
      <c r="B31" s="6">
        <v>35</v>
      </c>
      <c r="C31" s="17">
        <v>51.076500000000003</v>
      </c>
      <c r="D31" s="17">
        <v>50.355499999999999</v>
      </c>
      <c r="E31" s="17">
        <v>49.9315</v>
      </c>
      <c r="F31" s="10">
        <f>AVERAGE(C31:E31)</f>
        <v>50.454499999999996</v>
      </c>
      <c r="G31" s="10">
        <f>STDEV(C31:E31)</f>
        <v>0.57888427168131118</v>
      </c>
      <c r="H31" s="10">
        <f t="shared" si="13"/>
        <v>0.33421899008484546</v>
      </c>
      <c r="J31" s="24"/>
      <c r="K31" s="24"/>
    </row>
    <row r="32" spans="1:13" x14ac:dyDescent="0.25">
      <c r="A32" s="6"/>
      <c r="B32" s="6">
        <v>30</v>
      </c>
      <c r="C32" s="17">
        <v>48.084000000000003</v>
      </c>
      <c r="D32" s="17">
        <v>46.861999999999995</v>
      </c>
      <c r="E32" s="17">
        <v>46.622999999999998</v>
      </c>
      <c r="F32" s="10">
        <f>AVERAGE(C32:E32)</f>
        <v>47.18966666666666</v>
      </c>
      <c r="G32" s="10">
        <f>STDEV(C32:E32)</f>
        <v>0.78367999421532974</v>
      </c>
      <c r="H32" s="10">
        <f t="shared" si="13"/>
        <v>0.45245785561874502</v>
      </c>
      <c r="J32" s="24"/>
      <c r="K32" s="24"/>
    </row>
    <row r="33" spans="1:11" x14ac:dyDescent="0.25">
      <c r="A33" s="6"/>
      <c r="B33" s="6">
        <v>10</v>
      </c>
      <c r="C33" s="17">
        <v>26.21</v>
      </c>
      <c r="D33" s="17">
        <v>25.34</v>
      </c>
      <c r="E33" s="17">
        <v>30.65</v>
      </c>
      <c r="F33" s="10">
        <f t="shared" ref="F33" si="18">AVERAGE(C33:E33)</f>
        <v>27.399999999999995</v>
      </c>
      <c r="G33" s="10">
        <f t="shared" ref="G33" si="19">STDEV(C33:E33)</f>
        <v>2.8479992977527218</v>
      </c>
      <c r="H33" s="10">
        <f t="shared" si="13"/>
        <v>1.6442931612093992</v>
      </c>
      <c r="J33" s="24"/>
      <c r="K33" s="24"/>
    </row>
    <row r="34" spans="1:11" x14ac:dyDescent="0.25">
      <c r="C34" s="23"/>
      <c r="D34" s="23"/>
      <c r="E34" s="23"/>
      <c r="F34" s="21"/>
      <c r="G34" s="21"/>
      <c r="H34" s="21"/>
    </row>
    <row r="35" spans="1:11" x14ac:dyDescent="0.25">
      <c r="C35" s="23"/>
      <c r="D35" s="23"/>
      <c r="E35" s="23"/>
      <c r="F35" s="21"/>
      <c r="G35" s="21"/>
      <c r="H35" s="21"/>
    </row>
    <row r="36" spans="1:11" x14ac:dyDescent="0.25">
      <c r="C36" s="23"/>
      <c r="D36" s="23"/>
      <c r="E36" s="23"/>
      <c r="F36" s="21"/>
      <c r="G36" s="21"/>
      <c r="H36" s="21"/>
    </row>
    <row r="37" spans="1:11" x14ac:dyDescent="0.25">
      <c r="A37" s="6" t="s">
        <v>20</v>
      </c>
      <c r="B37" s="12" t="s">
        <v>3</v>
      </c>
      <c r="C37" s="19">
        <v>1</v>
      </c>
      <c r="D37" s="19">
        <v>2</v>
      </c>
      <c r="E37" s="19">
        <v>3</v>
      </c>
      <c r="F37" s="14" t="s">
        <v>0</v>
      </c>
      <c r="G37" s="14" t="s">
        <v>4</v>
      </c>
      <c r="H37" s="14" t="s">
        <v>1</v>
      </c>
      <c r="J37"/>
      <c r="K37"/>
    </row>
    <row r="38" spans="1:11" x14ac:dyDescent="0.25">
      <c r="A38" s="6" t="s">
        <v>22</v>
      </c>
      <c r="B38" s="6">
        <v>50</v>
      </c>
      <c r="C38" s="17">
        <v>137.51</v>
      </c>
      <c r="D38" s="17">
        <v>143.96</v>
      </c>
      <c r="E38" s="17">
        <v>155.88</v>
      </c>
      <c r="F38" s="13">
        <v>100</v>
      </c>
      <c r="G38" s="10">
        <f t="shared" ref="G38:G43" si="20">STDEV(C38:E38)</f>
        <v>9.3197442740309864</v>
      </c>
      <c r="H38" s="10">
        <f t="shared" ref="H38:H43" si="21">(G38/SQRT(3))</f>
        <v>5.3807568653902633</v>
      </c>
      <c r="J38"/>
      <c r="K38" s="24"/>
    </row>
    <row r="39" spans="1:11" x14ac:dyDescent="0.25">
      <c r="A39" s="6"/>
      <c r="B39" s="6">
        <v>40</v>
      </c>
      <c r="C39" s="17">
        <v>118.54299999999998</v>
      </c>
      <c r="D39" s="17">
        <v>111.58900000000003</v>
      </c>
      <c r="E39" s="17">
        <v>106.58699999999999</v>
      </c>
      <c r="F39" s="13">
        <v>100</v>
      </c>
      <c r="G39" s="10">
        <f t="shared" si="20"/>
        <v>6.0044990909594818</v>
      </c>
      <c r="H39" s="10">
        <f t="shared" si="21"/>
        <v>3.4666991665143203</v>
      </c>
      <c r="J39"/>
      <c r="K39" s="24"/>
    </row>
    <row r="40" spans="1:11" x14ac:dyDescent="0.25">
      <c r="A40" s="6"/>
      <c r="B40" s="6">
        <v>34</v>
      </c>
      <c r="C40" s="12">
        <v>86.35</v>
      </c>
      <c r="D40" s="12">
        <v>84.72</v>
      </c>
      <c r="E40" s="12">
        <v>81.680000000000007</v>
      </c>
      <c r="F40" s="10">
        <f>AVERAGE(C40:E40)</f>
        <v>84.25</v>
      </c>
      <c r="G40" s="10">
        <f t="shared" si="20"/>
        <v>2.370210961074978</v>
      </c>
      <c r="H40" s="10">
        <f t="shared" si="21"/>
        <v>1.3684419364128402</v>
      </c>
      <c r="J40" s="11"/>
      <c r="K40" s="11"/>
    </row>
    <row r="41" spans="1:11" x14ac:dyDescent="0.25">
      <c r="A41" s="6"/>
      <c r="B41" s="6">
        <v>30</v>
      </c>
      <c r="C41" s="12">
        <v>81.83</v>
      </c>
      <c r="D41" s="12">
        <v>78.930000000000007</v>
      </c>
      <c r="E41" s="12">
        <v>74.78</v>
      </c>
      <c r="F41" s="10">
        <f>AVERAGE(C41:E41)</f>
        <v>78.513333333333335</v>
      </c>
      <c r="G41" s="10">
        <f t="shared" si="20"/>
        <v>3.5434211340642712</v>
      </c>
      <c r="H41" s="10">
        <f t="shared" si="21"/>
        <v>2.0457951456042163</v>
      </c>
      <c r="J41" s="6"/>
      <c r="K41" s="11"/>
    </row>
    <row r="42" spans="1:11" x14ac:dyDescent="0.25">
      <c r="A42" s="6"/>
      <c r="B42" s="6">
        <v>28</v>
      </c>
      <c r="C42" s="12">
        <v>81.83</v>
      </c>
      <c r="D42" s="12">
        <v>78.930000000000007</v>
      </c>
      <c r="E42" s="12">
        <v>74.78</v>
      </c>
      <c r="F42" s="10">
        <f>AVERAGE(C42:E42)</f>
        <v>78.513333333333335</v>
      </c>
      <c r="G42" s="10">
        <f t="shared" si="20"/>
        <v>3.5434211340642712</v>
      </c>
      <c r="H42" s="10">
        <f t="shared" si="21"/>
        <v>2.0457951456042163</v>
      </c>
      <c r="J42" s="11"/>
      <c r="K42" s="11"/>
    </row>
    <row r="43" spans="1:11" x14ac:dyDescent="0.25">
      <c r="A43" s="6"/>
      <c r="B43" s="6">
        <v>10</v>
      </c>
      <c r="C43" s="12">
        <v>52.37</v>
      </c>
      <c r="D43" s="12">
        <v>46.29</v>
      </c>
      <c r="E43" s="12">
        <v>34.5</v>
      </c>
      <c r="F43" s="10">
        <f>AVERAGE(C43:E43)</f>
        <v>44.386666666666663</v>
      </c>
      <c r="G43" s="10">
        <f t="shared" si="20"/>
        <v>9.0857709267476654</v>
      </c>
      <c r="H43" s="10">
        <f t="shared" si="21"/>
        <v>5.2456722903530402</v>
      </c>
      <c r="J43" s="11"/>
      <c r="K43" s="11"/>
    </row>
    <row r="44" spans="1:11" x14ac:dyDescent="0.25">
      <c r="C44" s="23"/>
      <c r="D44" s="23"/>
      <c r="E44" s="23"/>
      <c r="F44" s="21"/>
      <c r="G44" s="21"/>
      <c r="H44" s="21"/>
      <c r="J44"/>
      <c r="K44" s="24"/>
    </row>
    <row r="45" spans="1:11" x14ac:dyDescent="0.25">
      <c r="C45" s="23"/>
      <c r="D45" s="23"/>
      <c r="E45" s="23"/>
      <c r="F45" s="21"/>
      <c r="G45" s="21"/>
      <c r="H45" s="21"/>
      <c r="J45"/>
      <c r="K45" s="24"/>
    </row>
    <row r="46" spans="1:11" x14ac:dyDescent="0.25">
      <c r="A46" s="6" t="s">
        <v>21</v>
      </c>
      <c r="B46" s="6">
        <v>92</v>
      </c>
      <c r="C46" s="8">
        <v>59.72</v>
      </c>
      <c r="D46" s="8">
        <v>62.06</v>
      </c>
      <c r="E46" s="8">
        <v>54.48</v>
      </c>
      <c r="F46" s="10">
        <f>AVERAGE(C46:E46)</f>
        <v>58.75333333333333</v>
      </c>
      <c r="G46" s="10">
        <f>STDEV(C46:E46)</f>
        <v>3.8813571509632236</v>
      </c>
      <c r="H46" s="10">
        <f>G46/SQRT(3)</f>
        <v>2.2409025959296964</v>
      </c>
      <c r="J46" s="24"/>
      <c r="K46" s="24"/>
    </row>
    <row r="47" spans="1:11" x14ac:dyDescent="0.25">
      <c r="A47" s="6"/>
      <c r="B47" s="6">
        <v>50</v>
      </c>
      <c r="C47" s="17">
        <v>30.4833</v>
      </c>
      <c r="D47" s="17">
        <v>37.375</v>
      </c>
      <c r="E47" s="17">
        <v>35.443300000000001</v>
      </c>
      <c r="F47" s="10">
        <f>AVERAGE(C47:E47)</f>
        <v>34.433866666666667</v>
      </c>
      <c r="G47" s="10">
        <f>STDEV(C47:E47)</f>
        <v>3.5550104027039549</v>
      </c>
      <c r="H47" s="10">
        <f>(G47/SQRT(3))</f>
        <v>2.0524862129730486</v>
      </c>
      <c r="J47" s="24"/>
      <c r="K47" s="24"/>
    </row>
    <row r="48" spans="1:11" x14ac:dyDescent="0.25">
      <c r="A48" s="6"/>
      <c r="B48" s="6">
        <v>46</v>
      </c>
      <c r="C48" s="12">
        <v>31.16</v>
      </c>
      <c r="D48" s="12">
        <v>29.87</v>
      </c>
      <c r="E48" s="12">
        <v>25.37</v>
      </c>
      <c r="F48" s="10">
        <f>AVERAGE(C48:E48)</f>
        <v>28.8</v>
      </c>
      <c r="G48" s="10">
        <f>STDEV(C48:E48)</f>
        <v>3.0396874839364649</v>
      </c>
      <c r="H48" s="10">
        <f>G48/SQRT(3)</f>
        <v>1.7549643871030545</v>
      </c>
      <c r="J48" s="24"/>
      <c r="K48" s="24"/>
    </row>
    <row r="49" spans="1:11" x14ac:dyDescent="0.25">
      <c r="A49" s="6"/>
      <c r="B49" s="6">
        <v>40</v>
      </c>
      <c r="C49" s="8">
        <v>25.723999999999997</v>
      </c>
      <c r="D49" s="8">
        <v>24.5853</v>
      </c>
      <c r="E49" s="8">
        <v>24.514699999999998</v>
      </c>
      <c r="F49" s="10">
        <f>AVERAGE(C49:E49)</f>
        <v>24.941333333333329</v>
      </c>
      <c r="G49" s="10">
        <f>STDEV(C49:E49)</f>
        <v>0.6787277976724776</v>
      </c>
      <c r="H49" s="10">
        <f>(G49/SQRT(3))</f>
        <v>0.39186367669268679</v>
      </c>
      <c r="J49" s="24"/>
      <c r="K49" s="24"/>
    </row>
    <row r="50" spans="1:11" x14ac:dyDescent="0.25">
      <c r="A50" s="6"/>
      <c r="B50" s="6">
        <v>30</v>
      </c>
      <c r="C50" s="17">
        <v>18.71</v>
      </c>
      <c r="D50" s="17">
        <v>18.690000000000001</v>
      </c>
      <c r="E50" s="17">
        <v>17.850000000000001</v>
      </c>
      <c r="F50" s="10">
        <f>AVERAGE(C50:E50)</f>
        <v>18.416666666666668</v>
      </c>
      <c r="G50" s="10">
        <f>STDEV(C50:E50)</f>
        <v>0.49084960357866553</v>
      </c>
      <c r="H50" s="10">
        <f>(G50/SQRT(3))</f>
        <v>0.28339215075776364</v>
      </c>
      <c r="J50" s="24"/>
      <c r="K50" s="24"/>
    </row>
  </sheetData>
  <mergeCells count="2">
    <mergeCell ref="J2:L2"/>
    <mergeCell ref="C2:H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E2611-E5F1-4064-B39F-489B4CE2F858}">
  <dimension ref="B2:O32"/>
  <sheetViews>
    <sheetView tabSelected="1" workbookViewId="0">
      <selection activeCell="N6" sqref="N6"/>
    </sheetView>
  </sheetViews>
  <sheetFormatPr defaultRowHeight="15" x14ac:dyDescent="0.25"/>
  <cols>
    <col min="2" max="2" width="18.28515625" customWidth="1"/>
  </cols>
  <sheetData>
    <row r="2" spans="2:15" x14ac:dyDescent="0.25">
      <c r="B2" t="s">
        <v>27</v>
      </c>
    </row>
    <row r="3" spans="2:15" x14ac:dyDescent="0.25">
      <c r="D3" s="20" t="s">
        <v>6</v>
      </c>
      <c r="E3" s="20"/>
      <c r="F3" s="20"/>
      <c r="G3" s="20" t="s">
        <v>0</v>
      </c>
      <c r="H3" s="20" t="s">
        <v>4</v>
      </c>
      <c r="J3" s="20" t="s">
        <v>12</v>
      </c>
      <c r="K3" s="20"/>
      <c r="L3" s="20"/>
      <c r="M3" s="20"/>
      <c r="N3" s="20"/>
    </row>
    <row r="4" spans="2:15" x14ac:dyDescent="0.25">
      <c r="C4" t="s">
        <v>7</v>
      </c>
      <c r="D4" s="4" t="s">
        <v>8</v>
      </c>
      <c r="E4" s="4" t="s">
        <v>9</v>
      </c>
      <c r="F4" s="4" t="s">
        <v>10</v>
      </c>
      <c r="G4" s="20"/>
      <c r="H4" s="20"/>
      <c r="J4" s="4" t="s">
        <v>8</v>
      </c>
      <c r="K4" s="4" t="s">
        <v>9</v>
      </c>
      <c r="L4" s="4" t="s">
        <v>10</v>
      </c>
      <c r="M4" s="4" t="s">
        <v>0</v>
      </c>
      <c r="N4" s="4" t="s">
        <v>4</v>
      </c>
      <c r="O4" s="4" t="s">
        <v>1</v>
      </c>
    </row>
    <row r="5" spans="2:15" x14ac:dyDescent="0.25">
      <c r="B5" s="20" t="s">
        <v>2</v>
      </c>
      <c r="C5" s="3" t="s">
        <v>15</v>
      </c>
      <c r="D5" s="1">
        <v>82.28</v>
      </c>
      <c r="E5" s="2">
        <v>81.540000000000006</v>
      </c>
      <c r="F5" s="31">
        <v>80.12</v>
      </c>
      <c r="G5" s="25">
        <f>AVERAGE(D5:F5)</f>
        <v>81.313333333333333</v>
      </c>
      <c r="H5" s="25">
        <f>STDEV(D5:F5)</f>
        <v>1.0976945537504184</v>
      </c>
      <c r="I5" t="s">
        <v>5</v>
      </c>
      <c r="J5" s="29">
        <f>(50+21.885)/1.0654</f>
        <v>67.472310869157141</v>
      </c>
      <c r="K5" s="29">
        <f>(50+26.815)/1.0851</f>
        <v>70.79071053359138</v>
      </c>
      <c r="L5" s="29">
        <f>(50+23.82)/1.0518</f>
        <v>70.184445712112563</v>
      </c>
      <c r="M5" s="24">
        <f>AVERAGE(J5:L5)</f>
        <v>69.482489038287028</v>
      </c>
      <c r="N5" s="24">
        <f>STDEV(J5:L5)</f>
        <v>1.7670601184383834</v>
      </c>
      <c r="O5" s="24"/>
    </row>
    <row r="6" spans="2:15" x14ac:dyDescent="0.25">
      <c r="B6" s="20"/>
      <c r="C6" s="3" t="s">
        <v>16</v>
      </c>
      <c r="D6" s="1">
        <v>38.51</v>
      </c>
      <c r="E6" s="2">
        <v>27.91</v>
      </c>
      <c r="F6" s="31">
        <v>32.479999999999997</v>
      </c>
      <c r="G6" s="25">
        <f t="shared" ref="G6:G13" si="0">AVERAGE(D6:F6)</f>
        <v>32.966666666666669</v>
      </c>
      <c r="H6" s="25">
        <f t="shared" ref="H6:H13" si="1">STDEV(D6:F6)</f>
        <v>5.3167314520608357</v>
      </c>
      <c r="I6" t="s">
        <v>3</v>
      </c>
      <c r="J6" s="29">
        <f>(67.47/443.2819)*1000</f>
        <v>152.20562806647416</v>
      </c>
      <c r="K6" s="29">
        <f>(70.79/443.2819)*1000</f>
        <v>159.6952187761332</v>
      </c>
      <c r="L6" s="29">
        <f>(70.18/443.2819)*1000</f>
        <v>158.3191192782742</v>
      </c>
      <c r="M6" s="22">
        <f>AVERAGE(J6:L6)</f>
        <v>156.73998870696053</v>
      </c>
      <c r="N6" s="11">
        <f>STDEV(J6:L6)</f>
        <v>3.9866944039512049</v>
      </c>
      <c r="O6" s="22">
        <f>N6/SQRT(3)</f>
        <v>2.3017190872980029</v>
      </c>
    </row>
    <row r="7" spans="2:15" x14ac:dyDescent="0.25">
      <c r="B7" s="20"/>
      <c r="C7" s="3" t="s">
        <v>17</v>
      </c>
      <c r="D7" s="1">
        <v>0</v>
      </c>
      <c r="E7" s="2">
        <v>0</v>
      </c>
      <c r="F7" s="31">
        <v>0</v>
      </c>
      <c r="G7" s="25">
        <f t="shared" si="0"/>
        <v>0</v>
      </c>
      <c r="H7" s="25">
        <f t="shared" si="1"/>
        <v>0</v>
      </c>
      <c r="M7" s="24"/>
      <c r="N7" s="24"/>
      <c r="O7" s="24"/>
    </row>
    <row r="8" spans="2:15" x14ac:dyDescent="0.25">
      <c r="D8" s="2"/>
      <c r="E8" s="2"/>
      <c r="F8" s="31"/>
      <c r="G8" s="25"/>
      <c r="H8" s="25"/>
      <c r="M8" s="24"/>
      <c r="N8" s="24"/>
      <c r="O8" s="24"/>
    </row>
    <row r="9" spans="2:15" x14ac:dyDescent="0.25">
      <c r="B9" s="20" t="s">
        <v>19</v>
      </c>
      <c r="C9" t="s">
        <v>24</v>
      </c>
      <c r="D9" s="2">
        <v>71.84</v>
      </c>
      <c r="E9" s="2">
        <v>74.23</v>
      </c>
      <c r="F9" s="31">
        <v>72.239999999999995</v>
      </c>
      <c r="G9" s="25">
        <f>AVERAGE(D9:F9)</f>
        <v>72.77</v>
      </c>
      <c r="H9" s="25">
        <f>STDEV(D9:F9)</f>
        <v>1.2801171821360751</v>
      </c>
      <c r="M9" s="24"/>
      <c r="N9" s="24"/>
      <c r="O9" s="24"/>
    </row>
    <row r="10" spans="2:15" x14ac:dyDescent="0.25">
      <c r="B10" s="20"/>
      <c r="C10" t="s">
        <v>25</v>
      </c>
      <c r="D10" s="2">
        <v>50.5</v>
      </c>
      <c r="E10" s="2">
        <v>50.77</v>
      </c>
      <c r="F10" s="31">
        <v>52.14</v>
      </c>
      <c r="G10" s="25">
        <f>AVERAGE(D10:F10)</f>
        <v>51.136666666666677</v>
      </c>
      <c r="H10" s="25">
        <f>STDEV(D10:F10)</f>
        <v>0.87933687136007932</v>
      </c>
      <c r="M10" s="24"/>
      <c r="N10" s="24"/>
      <c r="O10" s="24"/>
    </row>
    <row r="11" spans="2:15" x14ac:dyDescent="0.25">
      <c r="B11" s="20"/>
      <c r="C11" t="s">
        <v>26</v>
      </c>
      <c r="D11" s="2">
        <v>37.46</v>
      </c>
      <c r="E11" s="2">
        <v>22.54</v>
      </c>
      <c r="F11" s="31">
        <v>31.12</v>
      </c>
      <c r="G11" s="25">
        <f>AVERAGE(D11:F11)</f>
        <v>30.373333333333335</v>
      </c>
      <c r="H11" s="25">
        <f>STDEV(D11:F11)</f>
        <v>7.487972578297363</v>
      </c>
      <c r="I11" t="s">
        <v>3</v>
      </c>
      <c r="J11" s="29">
        <f>(50-26.79)/0.0811</f>
        <v>286.18988902589393</v>
      </c>
      <c r="K11" s="29">
        <f>(50-10.81)/0.1175</f>
        <v>333.531914893617</v>
      </c>
      <c r="L11" s="29">
        <f>(50-21.07)/0.0942</f>
        <v>307.11252653927812</v>
      </c>
      <c r="M11" s="22">
        <f>AVERAGE(J11:L11)</f>
        <v>308.94477681959637</v>
      </c>
      <c r="N11" s="11">
        <f>STDEV(J11:L11)</f>
        <v>23.72413768996325</v>
      </c>
      <c r="O11" s="22">
        <f>N11/SQRT(3)</f>
        <v>13.697137281592029</v>
      </c>
    </row>
    <row r="12" spans="2:15" x14ac:dyDescent="0.25">
      <c r="D12" s="2"/>
      <c r="E12" s="2"/>
      <c r="F12" s="2"/>
      <c r="G12" s="25"/>
      <c r="H12" s="25"/>
      <c r="J12" s="29"/>
      <c r="K12" s="29"/>
      <c r="L12" s="29"/>
      <c r="M12" s="24"/>
      <c r="N12" s="24"/>
      <c r="O12" s="24"/>
    </row>
    <row r="13" spans="2:15" x14ac:dyDescent="0.25">
      <c r="D13" s="2"/>
      <c r="E13" s="2"/>
      <c r="F13" s="2"/>
      <c r="G13" s="25"/>
      <c r="H13" s="25"/>
      <c r="J13" s="29"/>
      <c r="K13" s="29"/>
      <c r="L13" s="29"/>
      <c r="M13" s="24"/>
      <c r="N13" s="24"/>
      <c r="O13" s="24"/>
    </row>
    <row r="14" spans="2:15" x14ac:dyDescent="0.25">
      <c r="B14" t="s">
        <v>18</v>
      </c>
      <c r="C14" s="3"/>
      <c r="D14" s="2"/>
      <c r="E14" s="2"/>
      <c r="F14" s="2"/>
      <c r="G14" s="25"/>
      <c r="H14" s="25"/>
      <c r="J14" s="29"/>
      <c r="K14" s="29"/>
      <c r="L14" s="29"/>
      <c r="M14" s="24"/>
      <c r="N14" s="24"/>
      <c r="O14" s="24"/>
    </row>
    <row r="15" spans="2:15" x14ac:dyDescent="0.25">
      <c r="B15" s="20" t="s">
        <v>2</v>
      </c>
      <c r="C15" s="3" t="s">
        <v>11</v>
      </c>
      <c r="D15" s="30">
        <v>99.644800000000004</v>
      </c>
      <c r="E15" s="30">
        <v>99.581400000000002</v>
      </c>
      <c r="F15" s="30">
        <v>99.759</v>
      </c>
      <c r="G15" s="25">
        <f>AVERAGE(D15:F15)</f>
        <v>99.661733333333345</v>
      </c>
      <c r="H15" s="25">
        <f>STDEV(D15:F15)</f>
        <v>9.0002740699009459E-2</v>
      </c>
      <c r="I15" t="s">
        <v>5</v>
      </c>
      <c r="J15" s="29">
        <f>(50+45.497)/6.9504</f>
        <v>13.739784760589318</v>
      </c>
      <c r="K15" s="29">
        <f>(50+68.694)/7.9297</f>
        <v>14.968283793838355</v>
      </c>
      <c r="L15" s="29">
        <f>(50+85.695)/8.7885</f>
        <v>15.44006371963361</v>
      </c>
      <c r="M15" s="24">
        <f>AVERAGE(J15:L15)</f>
        <v>14.71604409135376</v>
      </c>
      <c r="N15" s="24">
        <f>STDEV(J15:L15)</f>
        <v>0.87775610808146609</v>
      </c>
      <c r="O15" s="24"/>
    </row>
    <row r="16" spans="2:15" x14ac:dyDescent="0.25">
      <c r="B16" s="20"/>
      <c r="C16" s="3" t="s">
        <v>28</v>
      </c>
      <c r="D16" s="30">
        <v>46.4925</v>
      </c>
      <c r="E16" s="30">
        <v>30.889299999999999</v>
      </c>
      <c r="F16" s="30">
        <v>26.766500000000001</v>
      </c>
      <c r="G16" s="25">
        <f t="shared" ref="G16:G17" si="2">AVERAGE(D16:F16)</f>
        <v>34.716100000000004</v>
      </c>
      <c r="H16" s="25">
        <f t="shared" ref="H16:H17" si="3">STDEV(D16:F16)</f>
        <v>10.404905942871371</v>
      </c>
      <c r="I16" t="s">
        <v>3</v>
      </c>
      <c r="J16" s="29">
        <f>(13.73978/443.2819)*1000</f>
        <v>30.995580915891217</v>
      </c>
      <c r="K16" s="29">
        <f>(14.96828/443.2819)*1000</f>
        <v>33.766955068546679</v>
      </c>
      <c r="L16" s="29">
        <f>(15.44006/443.2819)*1000</f>
        <v>34.831243955595752</v>
      </c>
      <c r="M16" s="22">
        <f>AVERAGE(J16:L16)</f>
        <v>33.197926646677885</v>
      </c>
      <c r="N16" s="24">
        <f>STDEV(J16:L16)</f>
        <v>1.9801320024709788</v>
      </c>
      <c r="O16" s="22">
        <f>N16/SQRT(3)</f>
        <v>1.1432297446576123</v>
      </c>
    </row>
    <row r="17" spans="2:15" x14ac:dyDescent="0.25">
      <c r="B17" s="20"/>
      <c r="C17" s="3" t="s">
        <v>30</v>
      </c>
      <c r="D17" s="30">
        <v>30.140799999999999</v>
      </c>
      <c r="E17" s="30">
        <v>20.284199999999998</v>
      </c>
      <c r="F17" s="30">
        <v>11.873699999999999</v>
      </c>
      <c r="G17" s="25">
        <f t="shared" si="2"/>
        <v>20.766233333333332</v>
      </c>
      <c r="H17" s="25">
        <f t="shared" si="3"/>
        <v>9.1430849664286331</v>
      </c>
      <c r="J17" s="29"/>
      <c r="K17" s="29"/>
      <c r="L17" s="29"/>
      <c r="M17" s="24"/>
      <c r="N17" s="24"/>
      <c r="O17" s="24"/>
    </row>
    <row r="18" spans="2:15" x14ac:dyDescent="0.25">
      <c r="B18" s="3"/>
      <c r="D18" s="2"/>
      <c r="E18" s="2"/>
      <c r="F18" s="2"/>
      <c r="G18" s="25"/>
      <c r="H18" s="25"/>
      <c r="J18" s="29"/>
      <c r="K18" s="29"/>
      <c r="L18" s="29"/>
      <c r="M18" s="24"/>
      <c r="N18" s="24"/>
      <c r="O18" s="24"/>
    </row>
    <row r="19" spans="2:15" x14ac:dyDescent="0.25">
      <c r="B19" s="20" t="s">
        <v>23</v>
      </c>
      <c r="C19" t="s">
        <v>13</v>
      </c>
      <c r="D19" s="2">
        <v>87.2</v>
      </c>
      <c r="E19" s="2">
        <v>89.73</v>
      </c>
      <c r="F19" s="2">
        <v>85.61</v>
      </c>
      <c r="G19" s="25">
        <f>AVERAGE(D19:F19)</f>
        <v>87.513333333333335</v>
      </c>
      <c r="H19" s="25">
        <f>STDEV(D19:F19)</f>
        <v>2.0777953059272565</v>
      </c>
      <c r="J19" s="29"/>
      <c r="K19" s="29"/>
      <c r="L19" s="29"/>
      <c r="M19" s="24"/>
      <c r="N19" s="24"/>
      <c r="O19" s="24"/>
    </row>
    <row r="20" spans="2:15" x14ac:dyDescent="0.25">
      <c r="B20" s="20"/>
      <c r="C20" t="s">
        <v>32</v>
      </c>
      <c r="D20" s="2">
        <v>72.78</v>
      </c>
      <c r="E20" s="2">
        <v>74.42</v>
      </c>
      <c r="F20" s="2">
        <v>69.89</v>
      </c>
      <c r="G20" s="25">
        <f t="shared" ref="G20:G32" si="4">AVERAGE(D20:F20)</f>
        <v>72.36333333333333</v>
      </c>
      <c r="H20" s="25">
        <f t="shared" ref="H20:H32" si="5">STDEV(D20:F20)</f>
        <v>2.2935634574463677</v>
      </c>
      <c r="J20" s="29"/>
      <c r="K20" s="29"/>
      <c r="L20" s="29"/>
      <c r="M20" s="24"/>
      <c r="N20" s="24"/>
      <c r="O20" s="24"/>
    </row>
    <row r="21" spans="2:15" x14ac:dyDescent="0.25">
      <c r="B21" s="20"/>
      <c r="C21" t="s">
        <v>33</v>
      </c>
      <c r="D21" s="2">
        <v>26.21</v>
      </c>
      <c r="E21" s="2">
        <v>25.34</v>
      </c>
      <c r="F21" s="2">
        <v>30.65</v>
      </c>
      <c r="G21" s="25">
        <f t="shared" si="4"/>
        <v>27.399999999999995</v>
      </c>
      <c r="H21" s="25">
        <f t="shared" si="5"/>
        <v>2.8479992977527218</v>
      </c>
      <c r="I21" t="s">
        <v>3</v>
      </c>
      <c r="J21" s="29">
        <f>(50-26.772)/0.6617</f>
        <v>35.103521233187251</v>
      </c>
      <c r="K21" s="29">
        <f>(50-25.901)/0.6987</f>
        <v>34.491197939029625</v>
      </c>
      <c r="L21" s="29">
        <f>(50-30.129)/0.5985</f>
        <v>33.201336675020883</v>
      </c>
      <c r="M21" s="22">
        <f>AVERAGE(J21:L21)</f>
        <v>34.265351949079253</v>
      </c>
      <c r="N21" s="24">
        <f>STDEV(J21:L21)</f>
        <v>0.97099502146722827</v>
      </c>
      <c r="O21" s="22">
        <f>N21/SQRT(3)</f>
        <v>0.56060423702589068</v>
      </c>
    </row>
    <row r="22" spans="2:15" x14ac:dyDescent="0.25">
      <c r="D22" s="2"/>
      <c r="E22" s="2"/>
      <c r="F22" s="2"/>
      <c r="G22" s="25"/>
      <c r="H22" s="25"/>
      <c r="J22" s="29"/>
      <c r="K22" s="29"/>
      <c r="L22" s="29"/>
    </row>
    <row r="23" spans="2:15" x14ac:dyDescent="0.25">
      <c r="D23" s="2"/>
      <c r="E23" s="2"/>
      <c r="F23" s="2"/>
      <c r="G23" s="25"/>
      <c r="H23" s="25"/>
      <c r="J23" s="29"/>
      <c r="K23" s="29"/>
      <c r="L23" s="29"/>
    </row>
    <row r="24" spans="2:15" x14ac:dyDescent="0.25">
      <c r="B24" t="s">
        <v>20</v>
      </c>
      <c r="D24" s="2"/>
      <c r="E24" s="2"/>
      <c r="F24" s="2"/>
      <c r="G24" s="25"/>
      <c r="H24" s="25"/>
      <c r="J24" s="29"/>
      <c r="K24" s="29"/>
      <c r="L24" s="29"/>
    </row>
    <row r="25" spans="2:15" x14ac:dyDescent="0.25">
      <c r="B25" s="20" t="s">
        <v>2</v>
      </c>
      <c r="C25" t="s">
        <v>28</v>
      </c>
      <c r="D25" s="2">
        <v>86.35</v>
      </c>
      <c r="E25" s="2">
        <v>84.72</v>
      </c>
      <c r="F25" s="2">
        <v>81.680000000000007</v>
      </c>
      <c r="G25" s="25">
        <f t="shared" si="4"/>
        <v>84.25</v>
      </c>
      <c r="H25" s="25">
        <f t="shared" si="5"/>
        <v>2.370210961074978</v>
      </c>
      <c r="I25" t="s">
        <v>5</v>
      </c>
      <c r="J25" s="29">
        <f>(50+11.433)/6.796</f>
        <v>9.0395821071218361</v>
      </c>
      <c r="K25" s="29">
        <f>(50+26.095)/7.686</f>
        <v>9.9004683840749408</v>
      </c>
      <c r="L25" s="29">
        <f>(50+54.297)/9.436</f>
        <v>11.053094531581179</v>
      </c>
      <c r="M25" s="24"/>
      <c r="N25" s="24"/>
      <c r="O25" s="24"/>
    </row>
    <row r="26" spans="2:15" x14ac:dyDescent="0.25">
      <c r="B26" s="20"/>
      <c r="C26" t="s">
        <v>29</v>
      </c>
      <c r="D26" s="2">
        <v>81.83</v>
      </c>
      <c r="E26" s="2">
        <v>78.930000000000007</v>
      </c>
      <c r="F26" s="2">
        <v>74.78</v>
      </c>
      <c r="G26" s="25">
        <f t="shared" si="4"/>
        <v>78.513333333333335</v>
      </c>
      <c r="H26" s="25">
        <f t="shared" si="5"/>
        <v>3.5434211340642712</v>
      </c>
      <c r="I26" t="s">
        <v>3</v>
      </c>
      <c r="J26" s="29">
        <f>(J25/443.2819)*1000</f>
        <v>20.392400653222783</v>
      </c>
      <c r="K26" s="29">
        <f>(K25/443.2819)*1000</f>
        <v>22.334474708024263</v>
      </c>
      <c r="L26" s="29">
        <f>(L25/443.2819)*1000</f>
        <v>24.934684974913658</v>
      </c>
      <c r="M26" s="22">
        <f>AVERAGE(J26:L26)</f>
        <v>22.553853445386903</v>
      </c>
      <c r="N26" s="24">
        <f>STDEV(J26:L26)</f>
        <v>2.2790748095608451</v>
      </c>
      <c r="O26" s="22">
        <f>N26/SQRT(3)</f>
        <v>1.3158244548032489</v>
      </c>
    </row>
    <row r="27" spans="2:15" x14ac:dyDescent="0.25">
      <c r="B27" s="20"/>
      <c r="C27" t="s">
        <v>30</v>
      </c>
      <c r="D27" s="2">
        <v>52.37</v>
      </c>
      <c r="E27" s="2">
        <v>46.29</v>
      </c>
      <c r="F27" s="2">
        <v>34.5</v>
      </c>
      <c r="G27" s="25">
        <f t="shared" si="4"/>
        <v>44.386666666666663</v>
      </c>
      <c r="H27" s="25">
        <f t="shared" si="5"/>
        <v>9.0857709267476654</v>
      </c>
    </row>
    <row r="28" spans="2:15" x14ac:dyDescent="0.25">
      <c r="D28" s="2"/>
      <c r="E28" s="2"/>
      <c r="F28" s="2"/>
      <c r="G28" s="25"/>
      <c r="H28" s="25"/>
    </row>
    <row r="29" spans="2:15" x14ac:dyDescent="0.25">
      <c r="D29" s="2"/>
      <c r="E29" s="2"/>
      <c r="F29" s="2"/>
      <c r="G29" s="25"/>
      <c r="H29" s="25"/>
    </row>
    <row r="30" spans="2:15" x14ac:dyDescent="0.25">
      <c r="B30" s="20" t="s">
        <v>31</v>
      </c>
      <c r="C30" t="s">
        <v>17</v>
      </c>
      <c r="D30" s="4">
        <v>59.72</v>
      </c>
      <c r="E30" s="4">
        <v>62.06</v>
      </c>
      <c r="F30" s="4">
        <v>54.48</v>
      </c>
      <c r="G30" s="25">
        <f>AVERAGE(D30:F30)</f>
        <v>58.75333333333333</v>
      </c>
      <c r="H30" s="25">
        <f t="shared" si="5"/>
        <v>3.8813571509632236</v>
      </c>
    </row>
    <row r="31" spans="2:15" x14ac:dyDescent="0.25">
      <c r="B31" s="20"/>
      <c r="C31" s="32" t="s">
        <v>28</v>
      </c>
      <c r="D31" s="33">
        <v>36.872000000000007</v>
      </c>
      <c r="E31" s="33">
        <v>36.308</v>
      </c>
      <c r="F31" s="33">
        <v>31.192</v>
      </c>
      <c r="G31" s="25">
        <f>AVERAGE(D31:F31)</f>
        <v>34.790666666666674</v>
      </c>
      <c r="H31" s="25">
        <f t="shared" si="5"/>
        <v>3.1292691372480808</v>
      </c>
      <c r="I31" t="s">
        <v>5</v>
      </c>
      <c r="J31" s="29">
        <f>(50-2.6)/2.2848</f>
        <v>20.745798319327729</v>
      </c>
      <c r="K31" s="29">
        <f>(50+2.32)/2.5752</f>
        <v>20.31686859273066</v>
      </c>
      <c r="L31" s="29">
        <f>(50+3.74)/2.3288</f>
        <v>23.07626245276537</v>
      </c>
    </row>
    <row r="32" spans="2:15" x14ac:dyDescent="0.25">
      <c r="B32" s="20"/>
      <c r="C32" s="32" t="s">
        <v>29</v>
      </c>
      <c r="D32" s="34">
        <v>31.16</v>
      </c>
      <c r="E32" s="34">
        <v>29.87</v>
      </c>
      <c r="F32" s="34">
        <v>25.37</v>
      </c>
      <c r="G32" s="25">
        <f t="shared" si="4"/>
        <v>28.8</v>
      </c>
      <c r="H32" s="25">
        <f t="shared" si="5"/>
        <v>3.0396874839364649</v>
      </c>
      <c r="I32" t="s">
        <v>3</v>
      </c>
      <c r="J32" s="29">
        <f>(J31/272.25)*1000</f>
        <v>76.20127940983555</v>
      </c>
      <c r="K32" s="29">
        <f>(K31/272.25)*1000</f>
        <v>74.625779954933549</v>
      </c>
      <c r="L32" s="29">
        <f>(L31/272.25)*1000</f>
        <v>84.761294592342949</v>
      </c>
      <c r="M32" s="22">
        <f>AVERAGE(J32:L32)</f>
        <v>78.529451319037349</v>
      </c>
      <c r="N32" s="24">
        <f>STDEV(J32:L32)</f>
        <v>5.4541225298284521</v>
      </c>
      <c r="O32" s="22">
        <f>N32/SQRT(3)</f>
        <v>3.1489391107896596</v>
      </c>
    </row>
  </sheetData>
  <mergeCells count="10">
    <mergeCell ref="B15:B17"/>
    <mergeCell ref="B25:B27"/>
    <mergeCell ref="B19:B21"/>
    <mergeCell ref="B30:B32"/>
    <mergeCell ref="B9:B11"/>
    <mergeCell ref="D3:F3"/>
    <mergeCell ref="G3:G4"/>
    <mergeCell ref="H3:H4"/>
    <mergeCell ref="J3:N3"/>
    <mergeCell ref="B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Fig2</vt:lpstr>
      <vt:lpstr>Tab1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CHARINRAT SAE-CHAN</dc:creator>
  <cp:lastModifiedBy>CHARINRAT SAE-CHAN</cp:lastModifiedBy>
  <dcterms:created xsi:type="dcterms:W3CDTF">2021-02-26T02:11:44Z</dcterms:created>
  <dcterms:modified xsi:type="dcterms:W3CDTF">2021-02-26T06:09:36Z</dcterms:modified>
</cp:coreProperties>
</file>