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PhD stuffs\"/>
    </mc:Choice>
  </mc:AlternateContent>
  <xr:revisionPtr revIDLastSave="0" documentId="13_ncr:40009_{ED9A870D-0661-4144-BE03-06A3B5FA9C32}" xr6:coauthVersionLast="46" xr6:coauthVersionMax="46" xr10:uidLastSave="{00000000-0000-0000-0000-000000000000}"/>
  <bookViews>
    <workbookView xWindow="-120" yWindow="-120" windowWidth="25440" windowHeight="15390"/>
  </bookViews>
  <sheets>
    <sheet name="Sheet1" sheetId="1" r:id="rId1"/>
  </sheets>
  <definedNames>
    <definedName name="_xlnm._FilterDatabase" localSheetId="0">Sheet1!$A$1:$AI$100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7" i="1" l="1"/>
  <c r="AC96" i="1"/>
  <c r="AC95" i="1"/>
  <c r="AC94" i="1"/>
  <c r="AC93" i="1"/>
  <c r="AC92" i="1"/>
  <c r="AC91" i="1"/>
  <c r="AC90" i="1"/>
  <c r="AC88" i="1"/>
  <c r="AC87" i="1"/>
  <c r="AC86" i="1"/>
  <c r="AC85" i="1"/>
  <c r="AC83" i="1"/>
  <c r="AC81" i="1"/>
  <c r="AC80" i="1"/>
  <c r="AC79" i="1"/>
  <c r="AC77" i="1"/>
  <c r="AC76" i="1"/>
  <c r="AC75" i="1"/>
  <c r="AC72" i="1"/>
  <c r="AC71" i="1"/>
  <c r="AC70" i="1"/>
  <c r="AC68" i="1"/>
  <c r="AC67" i="1"/>
  <c r="AC66" i="1"/>
  <c r="AC64" i="1"/>
  <c r="AC62" i="1"/>
  <c r="AC61" i="1"/>
  <c r="AC60" i="1"/>
  <c r="AC57" i="1"/>
  <c r="AC56" i="1"/>
  <c r="AC53" i="1"/>
  <c r="AC52" i="1"/>
  <c r="AC51" i="1"/>
  <c r="AC49" i="1"/>
  <c r="AC48" i="1"/>
  <c r="AC46" i="1"/>
  <c r="AC45" i="1"/>
  <c r="AC44" i="1"/>
  <c r="AC42" i="1"/>
  <c r="AC40" i="1"/>
  <c r="AC39" i="1"/>
  <c r="AC38" i="1"/>
  <c r="AC37" i="1"/>
  <c r="AC35" i="1"/>
  <c r="AC34" i="1"/>
  <c r="AC33" i="1"/>
  <c r="AC31" i="1"/>
  <c r="AC30" i="1"/>
  <c r="AC29" i="1"/>
  <c r="AC28" i="1"/>
  <c r="AC26" i="1"/>
  <c r="AC24" i="1"/>
  <c r="AC23" i="1"/>
  <c r="AC20" i="1"/>
  <c r="AC19" i="1"/>
  <c r="AC16" i="1"/>
  <c r="AC14" i="1"/>
  <c r="AC13" i="1"/>
  <c r="AC12" i="1"/>
  <c r="AC10" i="1"/>
  <c r="AC7" i="1"/>
  <c r="AC6" i="1"/>
  <c r="AC5" i="1"/>
  <c r="AC4" i="1"/>
  <c r="AC2" i="1"/>
</calcChain>
</file>

<file path=xl/comments1.xml><?xml version="1.0" encoding="utf-8"?>
<comments xmlns="http://schemas.openxmlformats.org/spreadsheetml/2006/main">
  <authors>
    <author/>
  </authors>
  <commentList>
    <comment ref="N1" authorId="0" shapeId="0">
      <text>
        <r>
          <rPr>
            <sz val="11"/>
            <color rgb="FF000000"/>
            <rFont val="Calibri"/>
            <family val="2"/>
          </rPr>
          <t>From https://data.linz.govt.nz/layer/53405-auckland-lidar-1m-dem-2013/</t>
        </r>
      </text>
    </comment>
    <comment ref="T1" authorId="0" shapeId="0">
      <text>
        <r>
          <rPr>
            <sz val="11"/>
            <color rgb="FF000000"/>
            <rFont val="Calibri"/>
            <family val="2"/>
          </rPr>
          <t>Per google maps</t>
        </r>
      </text>
    </comment>
    <comment ref="N2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7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8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65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66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67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78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79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  <comment ref="N94" authorId="0" shapeId="0">
      <text>
        <r>
          <rPr>
            <sz val="11"/>
            <color rgb="FF000000"/>
            <rFont val="Calibri"/>
            <family val="2"/>
          </rPr>
          <t>For rural location google maps terrian was used</t>
        </r>
      </text>
    </comment>
  </commentList>
</comments>
</file>

<file path=xl/sharedStrings.xml><?xml version="1.0" encoding="utf-8"?>
<sst xmlns="http://schemas.openxmlformats.org/spreadsheetml/2006/main" count="2276" uniqueCount="348">
  <si>
    <t>Sample</t>
  </si>
  <si>
    <t>Sample Ref</t>
  </si>
  <si>
    <t>Control type</t>
  </si>
  <si>
    <t>All controls</t>
  </si>
  <si>
    <t>Lab controls</t>
  </si>
  <si>
    <t>DNA quant pre PCR</t>
  </si>
  <si>
    <t>DNA quant post 16S PCR</t>
  </si>
  <si>
    <t>Time – NZ</t>
  </si>
  <si>
    <t>Date – NZ</t>
  </si>
  <si>
    <t>Time – UTC</t>
  </si>
  <si>
    <t>Date – UTC</t>
  </si>
  <si>
    <t>Time window</t>
  </si>
  <si>
    <t>Location</t>
  </si>
  <si>
    <t>Park area (m2)</t>
  </si>
  <si>
    <t>Elevation sample point (m above sea level)</t>
  </si>
  <si>
    <t>Sample point N</t>
  </si>
  <si>
    <t>Sample point E</t>
  </si>
  <si>
    <t>UTM E</t>
  </si>
  <si>
    <t>UTM N</t>
  </si>
  <si>
    <t>UTM Zone</t>
  </si>
  <si>
    <t>Shortest dist to sea  (km)</t>
  </si>
  <si>
    <t>Temp (oC)</t>
  </si>
  <si>
    <t>wind av (m/s)</t>
  </si>
  <si>
    <t>wind max (m/s)</t>
  </si>
  <si>
    <t>Humidity (%)</t>
  </si>
  <si>
    <t>Weather commentary</t>
  </si>
  <si>
    <t>Wind direction</t>
  </si>
  <si>
    <t>Weather</t>
  </si>
  <si>
    <t>Particle counts</t>
  </si>
  <si>
    <t>Particle count total</t>
  </si>
  <si>
    <t>Water</t>
  </si>
  <si>
    <t>Birds</t>
  </si>
  <si>
    <t>Trees</t>
  </si>
  <si>
    <t>Dogs</t>
  </si>
  <si>
    <t>Cars</t>
  </si>
  <si>
    <t>Park Size</t>
  </si>
  <si>
    <t>3 day trajectory</t>
  </si>
  <si>
    <t>1 day trajectory cluster</t>
  </si>
  <si>
    <t>1 week trajectory cluster</t>
  </si>
  <si>
    <t>P1</t>
  </si>
  <si>
    <t>&lt;0.05</t>
  </si>
  <si>
    <t>2.10pm</t>
  </si>
  <si>
    <t>Winter</t>
  </si>
  <si>
    <t>Rural location</t>
  </si>
  <si>
    <t>NA</t>
  </si>
  <si>
    <t>60H</t>
  </si>
  <si>
    <t>Wind 290 W, 80% cloud, light wind,</t>
  </si>
  <si>
    <t>W</t>
  </si>
  <si>
    <t>Overcast</t>
  </si>
  <si>
    <t>0.3 26/ 0.5 26/ 1 26/ 3 24/ 5 21/ 10 8</t>
  </si>
  <si>
    <t>N</t>
  </si>
  <si>
    <t>Medium</t>
  </si>
  <si>
    <t>P2</t>
  </si>
  <si>
    <t>Control – sampling</t>
  </si>
  <si>
    <t>Control</t>
  </si>
  <si>
    <t>11.50am</t>
  </si>
  <si>
    <t>Aotea Square</t>
  </si>
  <si>
    <t>Y</t>
  </si>
  <si>
    <t>Small</t>
  </si>
  <si>
    <t>P3</t>
  </si>
  <si>
    <t>No wind. Sunny/showers while sampling. Next to grass and ice rink, some birds and people.</t>
  </si>
  <si>
    <t>Rain</t>
  </si>
  <si>
    <t>0.3 64/ 0.5 64/ 1 63/ 3 52/ 5 43/ 10 12</t>
  </si>
  <si>
    <t>Large</t>
  </si>
  <si>
    <t>P4</t>
  </si>
  <si>
    <t>11.00am</t>
  </si>
  <si>
    <t>Sunny. Light - no wind. Dry. Cars, people, birds nearby. Wind from South.</t>
  </si>
  <si>
    <t>Fine</t>
  </si>
  <si>
    <t>0.3 68/ 0.5 68/ 1 67/ 3 57/ 5 48/ 10 2</t>
  </si>
  <si>
    <t>P5</t>
  </si>
  <si>
    <t>2.25pm</t>
  </si>
  <si>
    <t>Moderate to light wind, E, overcast, people and birds around.</t>
  </si>
  <si>
    <t>E</t>
  </si>
  <si>
    <t>0.3 104/ 0.5 103/ 1 101/ 3 84/ 5 66/ 10 22</t>
  </si>
  <si>
    <t>P6</t>
  </si>
  <si>
    <t>2.00pm</t>
  </si>
  <si>
    <t>Overcast, dry, light to moderate S wind, dogs, people, mud, some dust from road nearby, farm animals - cows and turkeys.</t>
  </si>
  <si>
    <t>S</t>
  </si>
  <si>
    <t>0.3 126/ 0.5 124/ 1 122/ 3 106/ 5 82/ 10 27</t>
  </si>
  <si>
    <t>P7</t>
  </si>
  <si>
    <t>-P7</t>
  </si>
  <si>
    <t>Control – extraction</t>
  </si>
  <si>
    <t>P21</t>
  </si>
  <si>
    <t>12.00pm</t>
  </si>
  <si>
    <t>Western Springs</t>
  </si>
  <si>
    <t>Sunny light wind (W). Near lake and birds. Dry.</t>
  </si>
  <si>
    <t>0.3 41/ 0.5 41/ 1 40/ 3 35/ 5 30/ 10 12</t>
  </si>
  <si>
    <t>P22</t>
  </si>
  <si>
    <t>P23</t>
  </si>
  <si>
    <t>2.05pm</t>
  </si>
  <si>
    <t>Mt Albert Park</t>
  </si>
  <si>
    <t>Sunny/showers. Just rained when started sampling. Nearish to trees. Off leash dog area. Light-no wind.</t>
  </si>
  <si>
    <t>0.3 57/ 0.5 57/ 1 56/ 3 48/ 5 40/ 10 15</t>
  </si>
  <si>
    <t>P24</t>
  </si>
  <si>
    <t>3.55pm</t>
  </si>
  <si>
    <t>Warren Freer Park</t>
  </si>
  <si>
    <t>Sun/rain. Rained for some of sampling. Light SW wind.</t>
  </si>
  <si>
    <t>SW</t>
  </si>
  <si>
    <t>0.3 41/ 0.5 41/ 1 41/ 3 36/ 5 29/ 10 8</t>
  </si>
  <si>
    <t>P25</t>
  </si>
  <si>
    <t>10.10am</t>
  </si>
  <si>
    <t>Mt Eden Domain</t>
  </si>
  <si>
    <t>On long grass near trees. Reasonable elevation. Cloudy, some sun, Light E wind, dry.</t>
  </si>
  <si>
    <t>0.3 49/ 0.5 49/ 1 48/ 3 41/ 5 34/ 10 11</t>
  </si>
  <si>
    <t>P27</t>
  </si>
  <si>
    <t>12.15pm</t>
  </si>
  <si>
    <t>The Museum</t>
  </si>
  <si>
    <t>P29</t>
  </si>
  <si>
    <t>2.20pm</t>
  </si>
  <si>
    <t>Raining, sheltered coriolis with umbrella, no wind, some water birds</t>
  </si>
  <si>
    <t>0.3 85/ 0.5 84/ 1 83/ 3 75/ 5 63/ 10 25</t>
  </si>
  <si>
    <t>P30</t>
  </si>
  <si>
    <t>negative for above</t>
  </si>
  <si>
    <t>-P30</t>
  </si>
  <si>
    <t>P31</t>
  </si>
  <si>
    <t>4.30pm</t>
  </si>
  <si>
    <t>Cloudy, some rain, light wind.</t>
  </si>
  <si>
    <t>0.3 54/ 0.5 52/ 1 57/ 3 43/ 5 35/ 10 9</t>
  </si>
  <si>
    <t>P32</t>
  </si>
  <si>
    <t>12.10pm</t>
  </si>
  <si>
    <t>Overcast, no wind, dry, dogs and people around, near trees and grass.</t>
  </si>
  <si>
    <t>0.3 29/ 0.5 29/ 1 29/ 3 25/ 5 21/ 10 1</t>
  </si>
  <si>
    <t>P33</t>
  </si>
  <si>
    <t>11.59am</t>
  </si>
  <si>
    <t>Windmill Park</t>
  </si>
  <si>
    <t>P36</t>
  </si>
  <si>
    <t>12.50pm</t>
  </si>
  <si>
    <t>P37</t>
  </si>
  <si>
    <t>4.12pm</t>
  </si>
  <si>
    <t>Sunny, high cloud, dry, no wind, people and birds around.</t>
  </si>
  <si>
    <t>0.3 75/ 0.5 75/ 1 74/ 3 66/ 5 57/ 10 23</t>
  </si>
  <si>
    <t>P38</t>
  </si>
  <si>
    <t>2.30pm</t>
  </si>
  <si>
    <t>Patchy cloud, sunny, dry, on grass near trees, dogs and people about. No - light wind, NE.</t>
  </si>
  <si>
    <t>NE</t>
  </si>
  <si>
    <t>0.3 72/ 0.5 72/ 1 71/ 3 65/ 5 56/ 10 28</t>
  </si>
  <si>
    <t>P39</t>
  </si>
  <si>
    <t>1.25pm</t>
  </si>
  <si>
    <t>P40</t>
  </si>
  <si>
    <t>Raining - light to moderate wind S. Odd person and dog around.</t>
  </si>
  <si>
    <t>0.3 4276/ 0.5 4275/ 1 4273/ 3 4230/ 5 3838/ 10 1607</t>
  </si>
  <si>
    <t>P41</t>
  </si>
  <si>
    <t>3.30pm</t>
  </si>
  <si>
    <t>P42</t>
  </si>
  <si>
    <t>12.30pm</t>
  </si>
  <si>
    <t>Keith Hay Park</t>
  </si>
  <si>
    <t>Sunny, some cloud, dry, no wind, odd person around.</t>
  </si>
  <si>
    <t>0.3 51/ 0.5 51/ 1 50/3 41/ 5 32/ 10 8</t>
  </si>
  <si>
    <t>P43</t>
  </si>
  <si>
    <t>Overcast, dry, light wind, S, some kids around.</t>
  </si>
  <si>
    <t>0.3 75/ 0.5 75/ 1 74/ 3 63/ 5 52/ 10 19</t>
  </si>
  <si>
    <t>P44</t>
  </si>
  <si>
    <t>4.45pm</t>
  </si>
  <si>
    <t>Sunny, high cloud, light wind SW, dry. Afew cars and people about.</t>
  </si>
  <si>
    <t>0.3 75/ 0.5 74/ 1 73/ 3 62/ 5 50/ 10 18</t>
  </si>
  <si>
    <t>P45</t>
  </si>
  <si>
    <t>Cornwall Park</t>
  </si>
  <si>
    <t>Sunny, some cloud, dry, no wind.</t>
  </si>
  <si>
    <t>0.3 79/ 0.5 79/ 1 78/ 3 68/ 5 57/ 10 22</t>
  </si>
  <si>
    <t>-P45</t>
  </si>
  <si>
    <t>P46</t>
  </si>
  <si>
    <t>2.50pm</t>
  </si>
  <si>
    <t>Sunny, some patchy cloud, no wind. In middle of park, children playing sport and a pupper around.</t>
  </si>
  <si>
    <t>0.3 12/ 0.5 12/ 1 12/ 3 11/ 5 10/ 10 6</t>
  </si>
  <si>
    <t>P47</t>
  </si>
  <si>
    <t>10.55am</t>
  </si>
  <si>
    <t>Overcast. No wind. Dry. In clearing.</t>
  </si>
  <si>
    <t>0.3 29/ 0.5 29/ 1 29/ 3 26/ 5 22/ 10 8</t>
  </si>
  <si>
    <t>P48</t>
  </si>
  <si>
    <t>1.00pm</t>
  </si>
  <si>
    <t>Overcast, some sun, was light rain before sample, light - no wind. By playing field and golf course.</t>
  </si>
  <si>
    <t>0.3 32/ 0.5 31/ 1 30/ 3 26/ 5 22/ 10 10</t>
  </si>
  <si>
    <t>P49</t>
  </si>
  <si>
    <t>P51</t>
  </si>
  <si>
    <t>1.30pm</t>
  </si>
  <si>
    <t>Overcast, some rain, no wind. Sunny. A few people and dogs about.</t>
  </si>
  <si>
    <t>0.3 76/ 0.5 75/ 1 74/ 3 66/ 5 57/ 10 27</t>
  </si>
  <si>
    <t>P52</t>
  </si>
  <si>
    <t>3.00pm</t>
  </si>
  <si>
    <t>Sunny, light wind NE, dry, patchy cloud, plenty of blue sky, amoung trees, people and cars nearby.</t>
  </si>
  <si>
    <t>0.3 36/ 0.5 36/ 1 36/ 3 32/ 5 27/ 10 13</t>
  </si>
  <si>
    <t>P54</t>
  </si>
  <si>
    <t>Fijoa Forest</t>
  </si>
  <si>
    <t>Clear sky, sunny, dry, people nearby on grass. No wind.</t>
  </si>
  <si>
    <t>0.3 31/ 0.5 31/ 1 31/ 3 29/ 5 25/ 10 11</t>
  </si>
  <si>
    <t>P55</t>
  </si>
  <si>
    <t>3.35pm</t>
  </si>
  <si>
    <t>Clear sky, sunny, no wind, dry, some high cloud.</t>
  </si>
  <si>
    <t>0.3 28/ 0.5 28/ 1 28/ 3 26/ 5 23/ 10 11</t>
  </si>
  <si>
    <t>P56</t>
  </si>
  <si>
    <t>P57</t>
  </si>
  <si>
    <t>11.30am</t>
  </si>
  <si>
    <t>Raining - light to moderate wind E, odd person around.</t>
  </si>
  <si>
    <t>0.3 392/ 0.5 390/ 1 386/ 3 333/ 5 213/ 10 102</t>
  </si>
  <si>
    <t>-P57</t>
  </si>
  <si>
    <t>P58/P73</t>
  </si>
  <si>
    <t>Autumn</t>
  </si>
  <si>
    <t>Still warm, sunny, some cloud, little wind</t>
  </si>
  <si>
    <t>0.3 34/ 0.5 34/ 1 33/ 3 27/ 5 22/ 10 5</t>
  </si>
  <si>
    <t>P59</t>
  </si>
  <si>
    <t>6.00pm</t>
  </si>
  <si>
    <t>E Wind, sunny, little cloud</t>
  </si>
  <si>
    <t>0.3 33/ 0.5 33/ 1 32/ 3 26/ 5 21/10 8</t>
  </si>
  <si>
    <t>P60</t>
  </si>
  <si>
    <t>3.10pm</t>
  </si>
  <si>
    <t>Sunny, some cloud, gusty SW wind</t>
  </si>
  <si>
    <t>0.3 65/ 0.5 65/ 1 64/ 3 55/ 5 48/ 10 23</t>
  </si>
  <si>
    <t>P61</t>
  </si>
  <si>
    <t>12.45pm</t>
  </si>
  <si>
    <t>P63</t>
  </si>
  <si>
    <t>N - W shifting wind, fine and sunny</t>
  </si>
  <si>
    <t>NW</t>
  </si>
  <si>
    <t>0.3 35/ 0.5 35/ 1 34/ 3 27/ 5 22/ 10 11</t>
  </si>
  <si>
    <t>P64</t>
  </si>
  <si>
    <t>E - S shifting wind, sunny, few clouds</t>
  </si>
  <si>
    <t>SE</t>
  </si>
  <si>
    <t>0.3 40/ 0.5 40/ 1 39/ 3 32/ 5 26/ 10 10</t>
  </si>
  <si>
    <t>P66</t>
  </si>
  <si>
    <t>11.45am</t>
  </si>
  <si>
    <t>P67</t>
  </si>
  <si>
    <t>Waited for rain to stop, sunny and cloudy NE Wind</t>
  </si>
  <si>
    <t>0.3 52/ 0.5 52/ 1 51/ 3 42/ 5 34/ 10 7</t>
  </si>
  <si>
    <t>P68</t>
  </si>
  <si>
    <t>Light rain, sun and patchy cloud</t>
  </si>
  <si>
    <t>0.3 98/ 0.5 98/ 1 97/ 3 84/ 5 70/ 10 30</t>
  </si>
  <si>
    <t>P69</t>
  </si>
  <si>
    <t>Sunny, fine, light wind E shifting, some patchy cloud, small 0.3 w/c</t>
  </si>
  <si>
    <t>0.3 60/ 0.5 60/ 1 59/ 3 51/ 5 42/ 10 15</t>
  </si>
  <si>
    <t>P70</t>
  </si>
  <si>
    <t>P71</t>
  </si>
  <si>
    <t>3.20pm</t>
  </si>
  <si>
    <t>Sunny, fine, light wind NE, some patchy cloud, small 0.2 w/c</t>
  </si>
  <si>
    <t>P72</t>
  </si>
  <si>
    <t>4.40pm</t>
  </si>
  <si>
    <t>Overcast, small patches of blue sky visible, light wind, NE</t>
  </si>
  <si>
    <t>0.3 88/ 0.5 88/ 1 87/ 3 77/ 5 65/ 10 24</t>
  </si>
  <si>
    <t>-P73</t>
  </si>
  <si>
    <t>-BH5/78.15</t>
  </si>
  <si>
    <t>P8</t>
  </si>
  <si>
    <t>W-N-E shifting wind, sunny, a few clouds in the sky</t>
  </si>
  <si>
    <t>0.3 54/ 0.5 53/ 1 52/ 3 43/ 5 36/ 10 12</t>
  </si>
  <si>
    <t>P9</t>
  </si>
  <si>
    <t>1.20pm</t>
  </si>
  <si>
    <t>Less overcast, some sun, very light N wind</t>
  </si>
  <si>
    <t>0.3 60/ 0.5 60/ 1 60/ 3 54/ 5 44/ 10 13</t>
  </si>
  <si>
    <t>P10</t>
  </si>
  <si>
    <t>Overcast again, 90% cloud cover, dry, NW wind</t>
  </si>
  <si>
    <t>0.3 77/ 0.5 76/ 1 75/ 3 68/ 5 59/ 10 31</t>
  </si>
  <si>
    <t>P11</t>
  </si>
  <si>
    <t>P12</t>
  </si>
  <si>
    <t>Overcast, light wind, NW shifting.</t>
  </si>
  <si>
    <t>0.3 64/ 0.5 64/ 1 63/ 3 56/ 5 47/ 10 19</t>
  </si>
  <si>
    <t>P13</t>
  </si>
  <si>
    <t>P14</t>
  </si>
  <si>
    <t>Sunny, 60% cloud, some SW wind</t>
  </si>
  <si>
    <t>0.3 63/ 0.5 63/ 1 62/ 3 55/ 5 47/ 10 18</t>
  </si>
  <si>
    <t>P15</t>
  </si>
  <si>
    <t>2.45pm</t>
  </si>
  <si>
    <t>Sunny, patchy cloud, light wind, fine S wind.</t>
  </si>
  <si>
    <t>0.3 34/ 0.5 34/ 1 34/ 3 29/ 5 24/ 10 9</t>
  </si>
  <si>
    <t>P16</t>
  </si>
  <si>
    <t>4.48pm</t>
  </si>
  <si>
    <t>clear sky, light W wind</t>
  </si>
  <si>
    <t>0.3 30/ 0.5 30/ 1 30/ 3 27/ 5 24/ 10 16</t>
  </si>
  <si>
    <t>P17</t>
  </si>
  <si>
    <t>P18</t>
  </si>
  <si>
    <t>Dry, becoming more overcast, still sunny, no wind</t>
  </si>
  <si>
    <t>0.3 27/ 0.5 26/ 1 25/ 3 23/ 5 20/ 10 12</t>
  </si>
  <si>
    <t>P19</t>
  </si>
  <si>
    <t>3.21pm</t>
  </si>
  <si>
    <t>Sunny, light wind, odd high cloud E wind</t>
  </si>
  <si>
    <t>0.3 21/ 0.5 20/ 1 20/ 3 19/ 5 17/ 10 9</t>
  </si>
  <si>
    <t>P20</t>
  </si>
  <si>
    <t>Sunny, light wind, odd cloud E shifting wind</t>
  </si>
  <si>
    <t>0.3 16/ 0.5 15/ 1 15/ 3 13/5 11/ 10 5</t>
  </si>
  <si>
    <t>-P20</t>
  </si>
  <si>
    <t>P74</t>
  </si>
  <si>
    <t>11.25am</t>
  </si>
  <si>
    <t>P75</t>
  </si>
  <si>
    <t>Warm and sunny, some cloud, slight N wind</t>
  </si>
  <si>
    <t>0.3 47/ 0.5 47/ 1 47/ 3 42/ 5 37/ 10 17</t>
  </si>
  <si>
    <t>P76</t>
  </si>
  <si>
    <t>1.10pm</t>
  </si>
  <si>
    <t>Warm and sunny, some cloud, slight NW wind</t>
  </si>
  <si>
    <t>0.3 49/ 0.5 49/ 1 49/ 3 44/ 5 38/ 10 21</t>
  </si>
  <si>
    <t>P77</t>
  </si>
  <si>
    <t>Sunny, a few clouds, light wind, odd person around. NW wind.</t>
  </si>
  <si>
    <t>0.3 30/ 0.5 30/ 1 29/ 3 24/ 5 19/ 10 5</t>
  </si>
  <si>
    <t>P78</t>
  </si>
  <si>
    <t>P79</t>
  </si>
  <si>
    <t>Overcast, some sun/wind 70% clouds, SW - W wind.</t>
  </si>
  <si>
    <t>0.3 190/ 0.5 189/ 1 186/ 3 160/ 5 133/10 51</t>
  </si>
  <si>
    <t>P80</t>
  </si>
  <si>
    <t>Patchy cloud, sun, dry, W wind shifting.</t>
  </si>
  <si>
    <t>0.3 67/ 0.5 67/ 1 66/ 3 58/ 5 50/ 10 22</t>
  </si>
  <si>
    <t>P81</t>
  </si>
  <si>
    <t>Sunny and windy, showers but not while sampling, W - S shifting wind, More W.</t>
  </si>
  <si>
    <t>0.3 76/ 0.5 76/ 1 74/ 3 60/ 5 49/ 10 17</t>
  </si>
  <si>
    <t>P82</t>
  </si>
  <si>
    <t>P83</t>
  </si>
  <si>
    <t>4.25pm</t>
  </si>
  <si>
    <t>Was showery, now dry, sun, W wind</t>
  </si>
  <si>
    <t>0.3 65/ 0.5 65/ 1 63/ 3 50/ 5 39/ 10 13</t>
  </si>
  <si>
    <t>P84</t>
  </si>
  <si>
    <t>11.35am</t>
  </si>
  <si>
    <t>P85</t>
  </si>
  <si>
    <t>Patchy cloud, sun, dry, SW wind.</t>
  </si>
  <si>
    <t>0.3 67/ 0.5 67/ 1 66/ 3 57/ 5 47/ 10 18</t>
  </si>
  <si>
    <t>P86</t>
  </si>
  <si>
    <t>Fewer clouds in sky, sunny, little wind. SW shifting.</t>
  </si>
  <si>
    <t>0.3 53/ 0.5 53/ 1 52/ 3 44/ 5 35/ 10 9</t>
  </si>
  <si>
    <t>P87</t>
  </si>
  <si>
    <t>overcast, bits of blue visible, little NE wind</t>
  </si>
  <si>
    <t>0.3 76/ 0.5 76/ 1 75/ 3 66/ 5 57/ 10 22</t>
  </si>
  <si>
    <t>P88</t>
  </si>
  <si>
    <t>-P87</t>
  </si>
  <si>
    <t>P26</t>
  </si>
  <si>
    <t>Raining, sampled in area shelterd by tree. Light - Moderate wind E. Cloudy.</t>
  </si>
  <si>
    <t>0.3 78/ 0.5 78/ 1 77/ 3 64/ 5 52/ 10 18</t>
  </si>
  <si>
    <t>P28</t>
  </si>
  <si>
    <t>2.55pm</t>
  </si>
  <si>
    <t>Light - moderate wind N, overcast, dry.</t>
  </si>
  <si>
    <t>0.3 88/ 0.5 87/ 1 85/ 3 69/ 5 57/ 10 18</t>
  </si>
  <si>
    <t>P34</t>
  </si>
  <si>
    <t>Cloudy, some patches of sun, No - light N wind. On grass, no one around.</t>
  </si>
  <si>
    <t>0.3 55/ 0.5 55/ 1 54/ 3 48/ 5 40/ 10 16</t>
  </si>
  <si>
    <t>P35</t>
  </si>
  <si>
    <t>Overcast, some sun, no - light S wind.</t>
  </si>
  <si>
    <t>0.3 91/ 0.5 91/ 1 90/ 3 84/ 5 75/ 10 41</t>
  </si>
  <si>
    <t>P50</t>
  </si>
  <si>
    <t>Wind 256 W, 90% cloud, showers, moderate rain</t>
  </si>
  <si>
    <t>0.3 74/ 0.5 74/ 1 73/ 3 64/ 5 53/ 10 21</t>
  </si>
  <si>
    <t>P53</t>
  </si>
  <si>
    <t>1.45pm</t>
  </si>
  <si>
    <t>Clear sky, some high cloud, dry, on grass, trees and odd person and dog nearby. No wind.</t>
  </si>
  <si>
    <t>0.3 28/ 0.5 27/ 1 27/ 3 25/ 5 22/ 10 11</t>
  </si>
  <si>
    <t>P62</t>
  </si>
  <si>
    <t>4.00pm</t>
  </si>
  <si>
    <t>NW wind, Fine, slightly more cloud.</t>
  </si>
  <si>
    <t>0.3 48/ 0.5 48/ 1 47/ 3 40/ 5 35/ 10 17</t>
  </si>
  <si>
    <t>P65</t>
  </si>
  <si>
    <t>NE wind, sunny, fair bit of cloud.</t>
  </si>
  <si>
    <t>0.3 57/ 0.5 57/ 1 56/ 3 47/ 5 40/ 10 15</t>
  </si>
  <si>
    <t>PCR+</t>
  </si>
  <si>
    <t>Control – PCR+</t>
  </si>
  <si>
    <t>PCR-</t>
  </si>
  <si>
    <t>Control – PCR-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</si>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</sst>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hh&quot;:&quot;mm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5" fontId="0" fillId="0" borderId="0" xfId="0" applyNumberFormat="1" applyFill="1"/>
    <xf numFmtId="0" fontId="0" fillId="0" borderId="0" xfId="0" applyFont="1"/>
    <xf numFmtId="164" fontId="0" fillId="0" borderId="0" xfId="0" applyNumberFormat="1" applyFill="1"/>
    <xf numFmtId="164" fontId="0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/>
    <xf numFmtId="0" fontId="14" fillId="0" borderId="2" xfId="0" applyFont="1" applyBorder="1"/>
    <xf numFmtId="0" fontId="0" fillId="0" borderId="2" xfId="0" applyBorder="1"/>
  </cellXfs>
  <cellStyles count="18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Footnote" xfId="12"/>
    <cellStyle name="Good" xfId="3" builtinId="26" customBuiltin="1"/>
    <cellStyle name="Heading" xfId="13"/>
    <cellStyle name="Heading 1" xfId="1" builtinId="16" customBuiltin="1"/>
    <cellStyle name="Heading 2" xfId="2" builtinId="17" customBuiltin="1"/>
    <cellStyle name="Hyperlink" xfId="14"/>
    <cellStyle name="Neutral" xfId="5" builtinId="28" customBuiltin="1"/>
    <cellStyle name="Normal" xfId="0" builtinId="0" customBuiltin="1"/>
    <cellStyle name="Note" xfId="6" builtinId="10" customBuiltin="1"/>
    <cellStyle name="Status" xfId="15"/>
    <cellStyle name="Text" xfId="16"/>
    <cellStyle name="Warning" xfId="17"/>
  </cellStyles>
  <dxfs count="1"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Anonymous_Sheet_DB__0" displayName="__Anonymous_Sheet_DB__0" ref="A1:AH99" totalsRowShown="0" headerRowBorderDxfId="0">
  <autoFilter ref="A1:AH99"/>
  <tableColumns count="34">
    <tableColumn id="2" name="Sample Ref"/>
    <tableColumn id="4" name="Control type"/>
    <tableColumn id="5" name="All controls"/>
    <tableColumn id="6" name="Lab controls"/>
    <tableColumn id="7" name="DNA quant pre PCR"/>
    <tableColumn id="8" name="DNA quant post 16S PCR"/>
    <tableColumn id="9" name="Time – NZ"/>
    <tableColumn id="10" name="Date – NZ"/>
    <tableColumn id="11" name="Time – UTC"/>
    <tableColumn id="12" name="Date – UTC"/>
    <tableColumn id="13" name="Time window"/>
    <tableColumn id="14" name="Location"/>
    <tableColumn id="15" name="Park area (m2)"/>
    <tableColumn id="16" name="Elevation sample point (m above sea level)"/>
    <tableColumn id="17" name="Sample point N"/>
    <tableColumn id="18" name="Sample point E"/>
    <tableColumn id="19" name="UTM E"/>
    <tableColumn id="20" name="UTM N"/>
    <tableColumn id="21" name="UTM Zone"/>
    <tableColumn id="22" name="Shortest dist to sea  (km)"/>
    <tableColumn id="23" name="Temp (oC)"/>
    <tableColumn id="24" name="wind av (m/s)"/>
    <tableColumn id="25" name="wind max (m/s)"/>
    <tableColumn id="26" name="Humidity (%)"/>
    <tableColumn id="27" name="Weather commentary"/>
    <tableColumn id="28" name="Wind direction"/>
    <tableColumn id="29" name="Weather"/>
    <tableColumn id="30" name="Particle counts"/>
    <tableColumn id="31" name="Particle count total"/>
    <tableColumn id="32" name="Water"/>
    <tableColumn id="33" name="Birds"/>
    <tableColumn id="34" name="Trees"/>
    <tableColumn id="35" name="Dogs"/>
    <tableColumn id="36" name="Car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99"/>
  <sheetViews>
    <sheetView tabSelected="1" workbookViewId="0">
      <selection activeCell="AM4" sqref="AM4"/>
    </sheetView>
  </sheetViews>
  <sheetFormatPr defaultRowHeight="15" x14ac:dyDescent="0.25"/>
  <cols>
    <col min="1" max="1" width="16" customWidth="1"/>
    <col min="2" max="5" width="15" customWidth="1"/>
    <col min="6" max="8" width="14.28515625" customWidth="1"/>
    <col min="9" max="9" width="14" customWidth="1"/>
    <col min="10" max="10" width="14.42578125" customWidth="1"/>
    <col min="11" max="11" width="9.7109375" customWidth="1"/>
    <col min="12" max="12" width="21" customWidth="1"/>
    <col min="13" max="13" width="14.42578125" customWidth="1"/>
    <col min="14" max="14" width="20.5703125" customWidth="1"/>
    <col min="15" max="16" width="17.42578125" customWidth="1"/>
    <col min="17" max="24" width="11.42578125" customWidth="1"/>
    <col min="25" max="25" width="27.5703125" customWidth="1"/>
    <col min="26" max="27" width="12.5703125" customWidth="1"/>
    <col min="28" max="28" width="48" customWidth="1"/>
    <col min="29" max="29" width="16.85546875" customWidth="1"/>
    <col min="30" max="30" width="9.42578125" customWidth="1"/>
    <col min="31" max="32" width="7.5703125" customWidth="1"/>
    <col min="33" max="33" width="7.140625" customWidth="1"/>
    <col min="34" max="34" width="6.85546875" customWidth="1"/>
    <col min="35" max="35" width="16.85546875" customWidth="1"/>
    <col min="36" max="37" width="11.42578125" customWidth="1"/>
    <col min="38" max="38" width="9.28515625" customWidth="1"/>
    <col min="39" max="39" width="10.28515625" customWidth="1"/>
    <col min="40" max="1020" width="11.42578125" customWidth="1"/>
  </cols>
  <sheetData>
    <row r="1" spans="1:59" s="11" customFormat="1" x14ac:dyDescent="0.25">
      <c r="A1" s="10" t="s">
        <v>1</v>
      </c>
      <c r="B1" s="10" t="s">
        <v>2</v>
      </c>
      <c r="C1" s="10" t="s">
        <v>3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  <c r="K1" s="10" t="s">
        <v>11</v>
      </c>
      <c r="L1" s="10" t="s">
        <v>12</v>
      </c>
      <c r="M1" s="10" t="s">
        <v>13</v>
      </c>
      <c r="N1" s="10" t="s">
        <v>14</v>
      </c>
      <c r="O1" s="10" t="s">
        <v>15</v>
      </c>
      <c r="P1" s="10" t="s">
        <v>16</v>
      </c>
      <c r="Q1" s="10" t="s">
        <v>17</v>
      </c>
      <c r="R1" s="10" t="s">
        <v>18</v>
      </c>
      <c r="S1" s="10" t="s">
        <v>19</v>
      </c>
      <c r="T1" s="10" t="s">
        <v>20</v>
      </c>
      <c r="U1" s="10" t="s">
        <v>21</v>
      </c>
      <c r="V1" s="10" t="s">
        <v>22</v>
      </c>
      <c r="W1" s="10" t="s">
        <v>23</v>
      </c>
      <c r="X1" s="10" t="s">
        <v>24</v>
      </c>
      <c r="Y1" s="10" t="s">
        <v>25</v>
      </c>
      <c r="Z1" s="10" t="s">
        <v>26</v>
      </c>
      <c r="AA1" s="10" t="s">
        <v>27</v>
      </c>
      <c r="AB1" s="10" t="s">
        <v>28</v>
      </c>
      <c r="AC1" s="10" t="s">
        <v>29</v>
      </c>
      <c r="AD1" s="10" t="s">
        <v>30</v>
      </c>
      <c r="AE1" s="10" t="s">
        <v>31</v>
      </c>
      <c r="AF1" s="10" t="s">
        <v>32</v>
      </c>
      <c r="AG1" s="10" t="s">
        <v>33</v>
      </c>
      <c r="AH1" s="10" t="s">
        <v>34</v>
      </c>
      <c r="AI1" s="10" t="s">
        <v>35</v>
      </c>
      <c r="AJ1" s="10" t="s">
        <v>36</v>
      </c>
      <c r="AK1" s="10" t="s">
        <v>37</v>
      </c>
      <c r="AL1" s="10" t="s">
        <v>38</v>
      </c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59" x14ac:dyDescent="0.25">
      <c r="A2" t="s">
        <v>39</v>
      </c>
      <c r="B2" t="s">
        <v>0</v>
      </c>
      <c r="C2" t="s">
        <v>0</v>
      </c>
      <c r="D2" t="s">
        <v>0</v>
      </c>
      <c r="E2" t="s">
        <v>40</v>
      </c>
      <c r="F2">
        <v>0.92144083843000002</v>
      </c>
      <c r="G2" t="s">
        <v>41</v>
      </c>
      <c r="H2" s="1">
        <v>42932</v>
      </c>
      <c r="I2" s="2">
        <v>8.3333333333333329E-2</v>
      </c>
      <c r="J2" s="1">
        <v>42932</v>
      </c>
      <c r="K2" s="1" t="s">
        <v>42</v>
      </c>
      <c r="L2" t="s">
        <v>43</v>
      </c>
      <c r="M2" t="s">
        <v>44</v>
      </c>
      <c r="N2">
        <v>100</v>
      </c>
      <c r="O2">
        <v>-36.347988000000001</v>
      </c>
      <c r="P2">
        <v>174.35324800000001</v>
      </c>
      <c r="Q2">
        <v>262481.59999999998</v>
      </c>
      <c r="R2">
        <v>5974200.6299999999</v>
      </c>
      <c r="S2" t="s">
        <v>45</v>
      </c>
      <c r="T2">
        <v>4.9000000000000004</v>
      </c>
      <c r="U2">
        <v>17.3</v>
      </c>
      <c r="V2" t="s">
        <v>44</v>
      </c>
      <c r="W2" t="s">
        <v>44</v>
      </c>
      <c r="X2">
        <v>67.2</v>
      </c>
      <c r="Y2" t="s">
        <v>46</v>
      </c>
      <c r="Z2" t="s">
        <v>47</v>
      </c>
      <c r="AA2" t="s">
        <v>48</v>
      </c>
      <c r="AB2" t="s">
        <v>49</v>
      </c>
      <c r="AC2">
        <f>26+26+26+24+21+8</f>
        <v>131</v>
      </c>
      <c r="AD2" t="s">
        <v>50</v>
      </c>
      <c r="AE2" t="s">
        <v>50</v>
      </c>
      <c r="AF2" t="s">
        <v>50</v>
      </c>
      <c r="AG2" t="s">
        <v>50</v>
      </c>
      <c r="AH2" t="s">
        <v>50</v>
      </c>
      <c r="AI2" s="3" t="s">
        <v>51</v>
      </c>
      <c r="AJ2">
        <v>3</v>
      </c>
      <c r="AK2">
        <v>4</v>
      </c>
      <c r="AL2" s="3">
        <v>3</v>
      </c>
    </row>
    <row r="3" spans="1:59" x14ac:dyDescent="0.25">
      <c r="A3" t="s">
        <v>52</v>
      </c>
      <c r="B3" t="s">
        <v>53</v>
      </c>
      <c r="C3" t="s">
        <v>54</v>
      </c>
      <c r="D3" t="s">
        <v>0</v>
      </c>
      <c r="E3">
        <v>0.03</v>
      </c>
      <c r="F3">
        <v>0.21247082653999999</v>
      </c>
      <c r="G3" t="s">
        <v>55</v>
      </c>
      <c r="H3" s="1">
        <v>42941</v>
      </c>
      <c r="I3" s="2">
        <v>0</v>
      </c>
      <c r="J3" s="1">
        <v>42941</v>
      </c>
      <c r="K3" s="1" t="s">
        <v>42</v>
      </c>
      <c r="L3" t="s">
        <v>56</v>
      </c>
      <c r="M3">
        <v>0</v>
      </c>
      <c r="N3">
        <v>21</v>
      </c>
      <c r="O3">
        <v>-36.852339999999998</v>
      </c>
      <c r="P3">
        <v>174.76306700000001</v>
      </c>
      <c r="Q3">
        <v>300567.94</v>
      </c>
      <c r="R3">
        <v>5919172.2400000002</v>
      </c>
      <c r="S3" t="s">
        <v>45</v>
      </c>
      <c r="T3">
        <v>1.3</v>
      </c>
      <c r="U3" t="s">
        <v>44</v>
      </c>
      <c r="V3" t="s">
        <v>44</v>
      </c>
      <c r="W3" t="s">
        <v>44</v>
      </c>
      <c r="X3" t="s">
        <v>44</v>
      </c>
      <c r="Y3" t="s">
        <v>44</v>
      </c>
      <c r="Z3" t="s">
        <v>44</v>
      </c>
      <c r="AA3" t="s">
        <v>44</v>
      </c>
      <c r="AB3" t="s">
        <v>44</v>
      </c>
      <c r="AC3" t="s">
        <v>44</v>
      </c>
      <c r="AD3" t="s">
        <v>50</v>
      </c>
      <c r="AE3" t="s">
        <v>57</v>
      </c>
      <c r="AF3" t="s">
        <v>50</v>
      </c>
      <c r="AG3" t="s">
        <v>50</v>
      </c>
      <c r="AH3" t="s">
        <v>57</v>
      </c>
      <c r="AI3" s="3" t="s">
        <v>58</v>
      </c>
      <c r="AJ3" t="s">
        <v>44</v>
      </c>
      <c r="AK3" t="s">
        <v>44</v>
      </c>
      <c r="AL3" s="3" t="s">
        <v>44</v>
      </c>
    </row>
    <row r="4" spans="1:59" x14ac:dyDescent="0.25">
      <c r="A4" t="s">
        <v>59</v>
      </c>
      <c r="B4" t="s">
        <v>0</v>
      </c>
      <c r="C4" t="s">
        <v>0</v>
      </c>
      <c r="D4" t="s">
        <v>0</v>
      </c>
      <c r="E4">
        <v>0.08</v>
      </c>
      <c r="F4">
        <v>0.81795763793999998</v>
      </c>
      <c r="G4" t="s">
        <v>55</v>
      </c>
      <c r="H4" s="1">
        <v>42941</v>
      </c>
      <c r="I4" s="2">
        <v>1</v>
      </c>
      <c r="J4" s="1">
        <v>42941</v>
      </c>
      <c r="K4" s="1" t="s">
        <v>42</v>
      </c>
      <c r="L4" t="s">
        <v>56</v>
      </c>
      <c r="M4">
        <v>0</v>
      </c>
      <c r="N4">
        <v>21</v>
      </c>
      <c r="O4">
        <v>-36.852339999999998</v>
      </c>
      <c r="P4">
        <v>174.76306700000001</v>
      </c>
      <c r="Q4">
        <v>300567.94</v>
      </c>
      <c r="R4">
        <v>5919172.2400000002</v>
      </c>
      <c r="S4" t="s">
        <v>45</v>
      </c>
      <c r="T4">
        <v>1.3</v>
      </c>
      <c r="U4">
        <v>18.8</v>
      </c>
      <c r="V4" t="s">
        <v>44</v>
      </c>
      <c r="W4" t="s">
        <v>44</v>
      </c>
      <c r="X4">
        <v>66.2</v>
      </c>
      <c r="Y4" t="s">
        <v>60</v>
      </c>
      <c r="Z4" t="s">
        <v>44</v>
      </c>
      <c r="AA4" t="s">
        <v>61</v>
      </c>
      <c r="AB4" t="s">
        <v>62</v>
      </c>
      <c r="AC4">
        <f>64+64+63+52+43+12</f>
        <v>298</v>
      </c>
      <c r="AD4" t="s">
        <v>50</v>
      </c>
      <c r="AE4" t="s">
        <v>57</v>
      </c>
      <c r="AF4" t="s">
        <v>50</v>
      </c>
      <c r="AG4" t="s">
        <v>50</v>
      </c>
      <c r="AH4" t="s">
        <v>57</v>
      </c>
      <c r="AI4" s="3" t="s">
        <v>63</v>
      </c>
      <c r="AJ4">
        <v>4</v>
      </c>
      <c r="AK4">
        <v>4</v>
      </c>
      <c r="AL4" s="3">
        <v>3</v>
      </c>
    </row>
    <row r="5" spans="1:59" x14ac:dyDescent="0.25">
      <c r="A5" t="s">
        <v>64</v>
      </c>
      <c r="B5" t="s">
        <v>0</v>
      </c>
      <c r="C5" t="s">
        <v>0</v>
      </c>
      <c r="D5" t="s">
        <v>0</v>
      </c>
      <c r="E5">
        <v>0.06</v>
      </c>
      <c r="F5">
        <v>0.29613809502999999</v>
      </c>
      <c r="G5" t="s">
        <v>65</v>
      </c>
      <c r="H5" s="1">
        <v>42942</v>
      </c>
      <c r="I5" s="2">
        <v>0.95833333333333337</v>
      </c>
      <c r="J5" s="1">
        <v>42941</v>
      </c>
      <c r="K5" s="1" t="s">
        <v>42</v>
      </c>
      <c r="L5" s="3" t="s">
        <v>56</v>
      </c>
      <c r="M5">
        <v>0</v>
      </c>
      <c r="N5">
        <v>21</v>
      </c>
      <c r="O5">
        <v>-36.852339999999998</v>
      </c>
      <c r="P5">
        <v>174.76306700000001</v>
      </c>
      <c r="Q5">
        <v>300567.94</v>
      </c>
      <c r="R5">
        <v>5919172.2400000002</v>
      </c>
      <c r="S5" t="s">
        <v>45</v>
      </c>
      <c r="T5">
        <v>1.3</v>
      </c>
      <c r="U5" s="3">
        <v>19.100000000000001</v>
      </c>
      <c r="V5" s="3" t="s">
        <v>44</v>
      </c>
      <c r="W5" t="s">
        <v>44</v>
      </c>
      <c r="X5">
        <v>54.4</v>
      </c>
      <c r="Y5" t="s">
        <v>66</v>
      </c>
      <c r="Z5" t="s">
        <v>44</v>
      </c>
      <c r="AA5" t="s">
        <v>67</v>
      </c>
      <c r="AB5" t="s">
        <v>68</v>
      </c>
      <c r="AC5">
        <f>68+68+67+57+48+2</f>
        <v>310</v>
      </c>
      <c r="AD5" t="s">
        <v>50</v>
      </c>
      <c r="AE5" t="s">
        <v>57</v>
      </c>
      <c r="AF5" t="s">
        <v>50</v>
      </c>
      <c r="AG5" t="s">
        <v>50</v>
      </c>
      <c r="AH5" t="s">
        <v>57</v>
      </c>
      <c r="AI5" s="3" t="s">
        <v>63</v>
      </c>
      <c r="AJ5">
        <v>5</v>
      </c>
      <c r="AL5" s="3"/>
    </row>
    <row r="6" spans="1:59" x14ac:dyDescent="0.25">
      <c r="A6" t="s">
        <v>69</v>
      </c>
      <c r="B6" t="s">
        <v>0</v>
      </c>
      <c r="C6" t="s">
        <v>0</v>
      </c>
      <c r="D6" t="s">
        <v>0</v>
      </c>
      <c r="E6" t="s">
        <v>40</v>
      </c>
      <c r="F6">
        <v>1.0909771456299999</v>
      </c>
      <c r="G6" t="s">
        <v>70</v>
      </c>
      <c r="H6" s="1">
        <v>42955</v>
      </c>
      <c r="I6" s="2">
        <v>8.3333333333333329E-2</v>
      </c>
      <c r="J6" s="1">
        <v>42955</v>
      </c>
      <c r="K6" s="1" t="s">
        <v>42</v>
      </c>
      <c r="L6" s="3" t="s">
        <v>56</v>
      </c>
      <c r="M6">
        <v>0</v>
      </c>
      <c r="N6">
        <v>21</v>
      </c>
      <c r="O6">
        <v>-36.852339999999998</v>
      </c>
      <c r="P6">
        <v>174.76306700000001</v>
      </c>
      <c r="Q6">
        <v>300567.94</v>
      </c>
      <c r="R6">
        <v>5919172.2400000002</v>
      </c>
      <c r="S6" t="s">
        <v>45</v>
      </c>
      <c r="T6">
        <v>1.3</v>
      </c>
      <c r="U6" s="3">
        <v>17.3</v>
      </c>
      <c r="V6" s="3" t="s">
        <v>44</v>
      </c>
      <c r="W6" t="s">
        <v>44</v>
      </c>
      <c r="X6">
        <v>81.599999999999994</v>
      </c>
      <c r="Y6" t="s">
        <v>71</v>
      </c>
      <c r="Z6" t="s">
        <v>72</v>
      </c>
      <c r="AA6" t="s">
        <v>48</v>
      </c>
      <c r="AB6" t="s">
        <v>73</v>
      </c>
      <c r="AC6">
        <f>104+103+101+84+66+22</f>
        <v>480</v>
      </c>
      <c r="AD6" t="s">
        <v>50</v>
      </c>
      <c r="AE6" t="s">
        <v>57</v>
      </c>
      <c r="AF6" t="s">
        <v>50</v>
      </c>
      <c r="AG6" t="s">
        <v>50</v>
      </c>
      <c r="AH6" t="s">
        <v>57</v>
      </c>
      <c r="AI6" s="3" t="s">
        <v>51</v>
      </c>
      <c r="AJ6">
        <v>1</v>
      </c>
      <c r="AK6">
        <v>3</v>
      </c>
      <c r="AL6" s="3">
        <v>3</v>
      </c>
    </row>
    <row r="7" spans="1:59" x14ac:dyDescent="0.25">
      <c r="A7" t="s">
        <v>74</v>
      </c>
      <c r="B7" t="s">
        <v>0</v>
      </c>
      <c r="C7" t="s">
        <v>0</v>
      </c>
      <c r="D7" t="s">
        <v>0</v>
      </c>
      <c r="E7">
        <v>0.05</v>
      </c>
      <c r="F7">
        <v>1.9375577964699999</v>
      </c>
      <c r="G7" t="s">
        <v>75</v>
      </c>
      <c r="H7" s="1">
        <v>42992</v>
      </c>
      <c r="I7" s="4">
        <v>8.3333333333333329E-2</v>
      </c>
      <c r="J7" s="1">
        <v>42992</v>
      </c>
      <c r="K7" s="1" t="s">
        <v>42</v>
      </c>
      <c r="L7" s="3" t="s">
        <v>43</v>
      </c>
      <c r="M7" t="s">
        <v>44</v>
      </c>
      <c r="N7">
        <v>100</v>
      </c>
      <c r="O7">
        <v>-36.347988000000001</v>
      </c>
      <c r="P7">
        <v>174.35324800000001</v>
      </c>
      <c r="Q7">
        <v>262481.59999999998</v>
      </c>
      <c r="R7">
        <v>5974200.6299999999</v>
      </c>
      <c r="S7" t="s">
        <v>45</v>
      </c>
      <c r="T7">
        <v>4.9000000000000004</v>
      </c>
      <c r="U7" s="3">
        <v>18.7</v>
      </c>
      <c r="V7" s="3" t="s">
        <v>44</v>
      </c>
      <c r="W7" t="s">
        <v>44</v>
      </c>
      <c r="X7">
        <v>78.099999999999994</v>
      </c>
      <c r="Y7" t="s">
        <v>76</v>
      </c>
      <c r="Z7" t="s">
        <v>77</v>
      </c>
      <c r="AA7" t="s">
        <v>48</v>
      </c>
      <c r="AB7" t="s">
        <v>78</v>
      </c>
      <c r="AC7">
        <f>126+124+122+106+82+27</f>
        <v>587</v>
      </c>
      <c r="AD7" t="s">
        <v>50</v>
      </c>
      <c r="AE7" t="s">
        <v>50</v>
      </c>
      <c r="AF7" t="s">
        <v>50</v>
      </c>
      <c r="AG7" t="s">
        <v>50</v>
      </c>
      <c r="AH7" t="s">
        <v>50</v>
      </c>
      <c r="AI7" s="3" t="s">
        <v>58</v>
      </c>
      <c r="AJ7">
        <v>4</v>
      </c>
      <c r="AK7">
        <v>3</v>
      </c>
      <c r="AL7" s="3">
        <v>4</v>
      </c>
    </row>
    <row r="8" spans="1:59" x14ac:dyDescent="0.25">
      <c r="A8" t="s">
        <v>79</v>
      </c>
      <c r="B8" t="s">
        <v>53</v>
      </c>
      <c r="C8" t="s">
        <v>54</v>
      </c>
      <c r="D8" t="s">
        <v>0</v>
      </c>
      <c r="E8">
        <v>0.03</v>
      </c>
      <c r="F8">
        <v>0.75520718657999997</v>
      </c>
      <c r="G8" t="s">
        <v>75</v>
      </c>
      <c r="H8" s="1">
        <v>42992</v>
      </c>
      <c r="I8" s="4">
        <v>8.3333333333333329E-2</v>
      </c>
      <c r="J8" s="1">
        <v>42992</v>
      </c>
      <c r="K8" s="1" t="s">
        <v>42</v>
      </c>
      <c r="L8" s="3" t="s">
        <v>43</v>
      </c>
      <c r="M8" t="s">
        <v>44</v>
      </c>
      <c r="N8">
        <v>100</v>
      </c>
      <c r="O8">
        <v>-36.347988000000001</v>
      </c>
      <c r="P8">
        <v>174.35324800000001</v>
      </c>
      <c r="Q8">
        <v>262481.59999999998</v>
      </c>
      <c r="R8">
        <v>5974200.6299999999</v>
      </c>
      <c r="S8" t="s">
        <v>45</v>
      </c>
      <c r="T8">
        <v>4.9000000000000004</v>
      </c>
      <c r="U8" s="3" t="s">
        <v>44</v>
      </c>
      <c r="V8" s="3" t="s">
        <v>44</v>
      </c>
      <c r="W8" t="s">
        <v>44</v>
      </c>
      <c r="X8" t="s">
        <v>44</v>
      </c>
      <c r="Y8" t="s">
        <v>44</v>
      </c>
      <c r="Z8" t="s">
        <v>44</v>
      </c>
      <c r="AA8" t="s">
        <v>44</v>
      </c>
      <c r="AB8" t="s">
        <v>44</v>
      </c>
      <c r="AC8" t="s">
        <v>44</v>
      </c>
      <c r="AD8" t="s">
        <v>50</v>
      </c>
      <c r="AE8" t="s">
        <v>50</v>
      </c>
      <c r="AF8" t="s">
        <v>50</v>
      </c>
      <c r="AG8" t="s">
        <v>50</v>
      </c>
      <c r="AH8" t="s">
        <v>50</v>
      </c>
      <c r="AI8" s="3" t="s">
        <v>63</v>
      </c>
      <c r="AJ8" t="s">
        <v>44</v>
      </c>
      <c r="AK8" t="s">
        <v>44</v>
      </c>
      <c r="AL8" t="s">
        <v>44</v>
      </c>
    </row>
    <row r="9" spans="1:59" x14ac:dyDescent="0.25">
      <c r="A9" s="5" t="s">
        <v>80</v>
      </c>
      <c r="B9" t="s">
        <v>81</v>
      </c>
      <c r="C9" t="s">
        <v>54</v>
      </c>
      <c r="D9" t="s">
        <v>54</v>
      </c>
      <c r="E9" t="s">
        <v>40</v>
      </c>
      <c r="F9">
        <v>0.84768153594999995</v>
      </c>
      <c r="G9" t="s">
        <v>44</v>
      </c>
      <c r="H9" t="s">
        <v>44</v>
      </c>
      <c r="I9" t="s">
        <v>44</v>
      </c>
      <c r="J9" t="s">
        <v>44</v>
      </c>
      <c r="K9" s="1" t="s">
        <v>44</v>
      </c>
      <c r="L9" s="3" t="s">
        <v>44</v>
      </c>
      <c r="M9" s="3" t="s">
        <v>44</v>
      </c>
      <c r="N9" s="3" t="s">
        <v>44</v>
      </c>
      <c r="O9" s="3" t="s">
        <v>44</v>
      </c>
      <c r="P9" s="3" t="s">
        <v>44</v>
      </c>
      <c r="Q9" s="3" t="s">
        <v>44</v>
      </c>
      <c r="R9" s="3" t="s">
        <v>44</v>
      </c>
      <c r="S9" s="3" t="s">
        <v>44</v>
      </c>
      <c r="T9" s="3" t="s">
        <v>44</v>
      </c>
      <c r="U9" s="3" t="s">
        <v>44</v>
      </c>
      <c r="V9" s="3" t="s">
        <v>44</v>
      </c>
      <c r="W9" t="s">
        <v>44</v>
      </c>
      <c r="X9" t="s">
        <v>44</v>
      </c>
      <c r="Y9" t="s">
        <v>44</v>
      </c>
      <c r="Z9" t="s">
        <v>44</v>
      </c>
      <c r="AA9" t="s">
        <v>44</v>
      </c>
      <c r="AB9" t="s">
        <v>44</v>
      </c>
      <c r="AC9" t="s">
        <v>44</v>
      </c>
      <c r="AD9" t="s">
        <v>50</v>
      </c>
      <c r="AE9" t="s">
        <v>50</v>
      </c>
      <c r="AF9" t="s">
        <v>50</v>
      </c>
      <c r="AG9" t="s">
        <v>50</v>
      </c>
      <c r="AH9" t="s">
        <v>50</v>
      </c>
      <c r="AI9" s="3" t="s">
        <v>63</v>
      </c>
      <c r="AJ9" t="s">
        <v>44</v>
      </c>
      <c r="AK9" t="s">
        <v>44</v>
      </c>
      <c r="AL9" t="s">
        <v>44</v>
      </c>
    </row>
    <row r="10" spans="1:59" x14ac:dyDescent="0.25">
      <c r="A10" t="s">
        <v>82</v>
      </c>
      <c r="B10" t="s">
        <v>0</v>
      </c>
      <c r="C10" t="s">
        <v>0</v>
      </c>
      <c r="D10" t="s">
        <v>0</v>
      </c>
      <c r="E10">
        <v>0.09</v>
      </c>
      <c r="F10">
        <v>1.5830727905199999</v>
      </c>
      <c r="G10" t="s">
        <v>83</v>
      </c>
      <c r="H10" s="1">
        <v>42928</v>
      </c>
      <c r="I10" s="2">
        <v>0</v>
      </c>
      <c r="J10" s="1">
        <v>42928</v>
      </c>
      <c r="K10" s="1" t="s">
        <v>42</v>
      </c>
      <c r="L10" s="3" t="s">
        <v>84</v>
      </c>
      <c r="M10" s="3">
        <v>1850000</v>
      </c>
      <c r="N10" s="3">
        <v>13</v>
      </c>
      <c r="O10" s="3">
        <v>-36.864896999999999</v>
      </c>
      <c r="P10" s="3">
        <v>174.72235900000001</v>
      </c>
      <c r="Q10">
        <v>296971.36</v>
      </c>
      <c r="R10">
        <v>5917693.1600000001</v>
      </c>
      <c r="S10" t="s">
        <v>45</v>
      </c>
      <c r="T10" s="3">
        <v>1.5</v>
      </c>
      <c r="U10" s="3">
        <v>15.1</v>
      </c>
      <c r="V10" s="3" t="s">
        <v>44</v>
      </c>
      <c r="W10" t="s">
        <v>44</v>
      </c>
      <c r="X10">
        <v>54.4</v>
      </c>
      <c r="Y10" t="s">
        <v>85</v>
      </c>
      <c r="Z10" t="s">
        <v>47</v>
      </c>
      <c r="AA10" t="s">
        <v>67</v>
      </c>
      <c r="AB10" t="s">
        <v>86</v>
      </c>
      <c r="AC10">
        <f>41+41+40+35+30+12</f>
        <v>199</v>
      </c>
      <c r="AD10" t="s">
        <v>57</v>
      </c>
      <c r="AE10" t="s">
        <v>57</v>
      </c>
      <c r="AF10" t="s">
        <v>50</v>
      </c>
      <c r="AG10" t="s">
        <v>50</v>
      </c>
      <c r="AH10" t="s">
        <v>50</v>
      </c>
      <c r="AI10" s="3" t="s">
        <v>63</v>
      </c>
      <c r="AJ10">
        <v>2</v>
      </c>
      <c r="AK10">
        <v>2</v>
      </c>
      <c r="AL10">
        <v>6</v>
      </c>
    </row>
    <row r="11" spans="1:59" x14ac:dyDescent="0.25">
      <c r="A11" t="s">
        <v>87</v>
      </c>
      <c r="B11" t="s">
        <v>53</v>
      </c>
      <c r="C11" t="s">
        <v>54</v>
      </c>
      <c r="D11" t="s">
        <v>0</v>
      </c>
      <c r="E11">
        <v>0.03</v>
      </c>
      <c r="F11">
        <v>2.5936853229999999</v>
      </c>
      <c r="G11" t="s">
        <v>83</v>
      </c>
      <c r="H11" s="1">
        <v>42928</v>
      </c>
      <c r="I11" s="2">
        <v>0</v>
      </c>
      <c r="J11" s="1">
        <v>42928</v>
      </c>
      <c r="K11" s="1" t="s">
        <v>42</v>
      </c>
      <c r="L11" s="3" t="s">
        <v>84</v>
      </c>
      <c r="M11" s="3">
        <v>1850000</v>
      </c>
      <c r="N11" s="3">
        <v>13</v>
      </c>
      <c r="O11" s="3">
        <v>-36.864896999999999</v>
      </c>
      <c r="P11" s="3">
        <v>174.72235900000001</v>
      </c>
      <c r="Q11">
        <v>296971.36</v>
      </c>
      <c r="R11">
        <v>5917693.1600000001</v>
      </c>
      <c r="S11" t="s">
        <v>45</v>
      </c>
      <c r="T11" s="3">
        <v>1.5</v>
      </c>
      <c r="U11" s="6" t="s">
        <v>44</v>
      </c>
      <c r="V11" s="3" t="s">
        <v>44</v>
      </c>
      <c r="W11" t="s">
        <v>44</v>
      </c>
      <c r="X11" t="s">
        <v>44</v>
      </c>
      <c r="Y11" t="s">
        <v>44</v>
      </c>
      <c r="Z11" t="s">
        <v>44</v>
      </c>
      <c r="AA11" t="s">
        <v>44</v>
      </c>
      <c r="AB11" t="s">
        <v>44</v>
      </c>
      <c r="AC11" t="s">
        <v>44</v>
      </c>
      <c r="AD11" t="s">
        <v>57</v>
      </c>
      <c r="AE11" t="s">
        <v>57</v>
      </c>
      <c r="AF11" t="s">
        <v>50</v>
      </c>
      <c r="AG11" t="s">
        <v>50</v>
      </c>
      <c r="AH11" t="s">
        <v>50</v>
      </c>
      <c r="AI11" s="3" t="s">
        <v>63</v>
      </c>
      <c r="AJ11" t="s">
        <v>44</v>
      </c>
      <c r="AK11" t="s">
        <v>44</v>
      </c>
      <c r="AL11" t="s">
        <v>44</v>
      </c>
    </row>
    <row r="12" spans="1:59" x14ac:dyDescent="0.25">
      <c r="A12" t="s">
        <v>88</v>
      </c>
      <c r="B12" t="s">
        <v>0</v>
      </c>
      <c r="C12" t="s">
        <v>0</v>
      </c>
      <c r="D12" t="s">
        <v>0</v>
      </c>
      <c r="E12">
        <v>0.01</v>
      </c>
      <c r="F12">
        <v>1.63591527588</v>
      </c>
      <c r="G12" t="s">
        <v>89</v>
      </c>
      <c r="H12" s="1">
        <v>42928</v>
      </c>
      <c r="I12" s="2">
        <v>8.3333333333333329E-2</v>
      </c>
      <c r="J12" s="1">
        <v>42928</v>
      </c>
      <c r="K12" s="1" t="s">
        <v>42</v>
      </c>
      <c r="L12" s="3" t="s">
        <v>90</v>
      </c>
      <c r="M12" s="3">
        <v>404963</v>
      </c>
      <c r="N12" s="3">
        <v>103</v>
      </c>
      <c r="O12" s="3">
        <v>-36.890183</v>
      </c>
      <c r="P12" s="3">
        <v>174.720403</v>
      </c>
      <c r="Q12">
        <v>296864</v>
      </c>
      <c r="R12">
        <v>5914883.3700000001</v>
      </c>
      <c r="S12" t="s">
        <v>45</v>
      </c>
      <c r="T12" s="3">
        <v>2.4</v>
      </c>
      <c r="U12" s="3">
        <v>14.9</v>
      </c>
      <c r="V12" s="3" t="s">
        <v>44</v>
      </c>
      <c r="W12" t="s">
        <v>44</v>
      </c>
      <c r="X12">
        <v>63.2</v>
      </c>
      <c r="Y12" t="s">
        <v>91</v>
      </c>
      <c r="Z12" t="s">
        <v>44</v>
      </c>
      <c r="AA12" t="s">
        <v>61</v>
      </c>
      <c r="AB12" t="s">
        <v>92</v>
      </c>
      <c r="AC12">
        <f>57+57+56+48+40+15</f>
        <v>273</v>
      </c>
      <c r="AD12" t="s">
        <v>50</v>
      </c>
      <c r="AE12" t="s">
        <v>50</v>
      </c>
      <c r="AF12" t="s">
        <v>57</v>
      </c>
      <c r="AG12" t="s">
        <v>50</v>
      </c>
      <c r="AH12" t="s">
        <v>50</v>
      </c>
      <c r="AI12" s="3" t="s">
        <v>63</v>
      </c>
      <c r="AJ12">
        <v>2</v>
      </c>
    </row>
    <row r="13" spans="1:59" x14ac:dyDescent="0.25">
      <c r="A13" t="s">
        <v>93</v>
      </c>
      <c r="B13" t="s">
        <v>0</v>
      </c>
      <c r="C13" t="s">
        <v>0</v>
      </c>
      <c r="D13" t="s">
        <v>0</v>
      </c>
      <c r="E13">
        <v>0.01</v>
      </c>
      <c r="F13">
        <v>1.1911576907799999</v>
      </c>
      <c r="G13" t="s">
        <v>94</v>
      </c>
      <c r="H13" s="1">
        <v>42928</v>
      </c>
      <c r="I13" s="2">
        <v>0.16666666666666666</v>
      </c>
      <c r="J13" s="1">
        <v>42928</v>
      </c>
      <c r="K13" s="1" t="s">
        <v>42</v>
      </c>
      <c r="L13" s="3" t="s">
        <v>95</v>
      </c>
      <c r="M13" s="3">
        <v>14097</v>
      </c>
      <c r="N13" s="3">
        <v>36</v>
      </c>
      <c r="O13" s="3">
        <v>-36.883474</v>
      </c>
      <c r="P13" s="3">
        <v>174.73650000000001</v>
      </c>
      <c r="Q13">
        <v>298280.96000000002</v>
      </c>
      <c r="R13">
        <v>5915661.9299999997</v>
      </c>
      <c r="S13" t="s">
        <v>45</v>
      </c>
      <c r="T13" s="3">
        <v>4</v>
      </c>
      <c r="U13" s="3">
        <v>8.6</v>
      </c>
      <c r="V13" s="3" t="s">
        <v>44</v>
      </c>
      <c r="W13" t="s">
        <v>44</v>
      </c>
      <c r="X13">
        <v>85.1</v>
      </c>
      <c r="Y13" t="s">
        <v>96</v>
      </c>
      <c r="Z13" t="s">
        <v>97</v>
      </c>
      <c r="AA13" t="s">
        <v>61</v>
      </c>
      <c r="AB13" t="s">
        <v>98</v>
      </c>
      <c r="AC13">
        <f>41+41+41+36+29+8</f>
        <v>196</v>
      </c>
      <c r="AD13" t="s">
        <v>50</v>
      </c>
      <c r="AE13" t="s">
        <v>50</v>
      </c>
      <c r="AF13" t="s">
        <v>50</v>
      </c>
      <c r="AG13" t="s">
        <v>50</v>
      </c>
      <c r="AH13" t="s">
        <v>50</v>
      </c>
      <c r="AI13" s="3" t="s">
        <v>51</v>
      </c>
      <c r="AJ13">
        <v>2</v>
      </c>
      <c r="AK13">
        <v>1</v>
      </c>
      <c r="AL13">
        <v>5</v>
      </c>
    </row>
    <row r="14" spans="1:59" x14ac:dyDescent="0.25">
      <c r="A14" t="s">
        <v>99</v>
      </c>
      <c r="B14" t="s">
        <v>0</v>
      </c>
      <c r="C14" t="s">
        <v>0</v>
      </c>
      <c r="D14" t="s">
        <v>0</v>
      </c>
      <c r="E14">
        <v>0.06</v>
      </c>
      <c r="F14">
        <v>6.8750275221299999</v>
      </c>
      <c r="G14" t="s">
        <v>100</v>
      </c>
      <c r="H14" s="1">
        <v>42930</v>
      </c>
      <c r="I14" s="2">
        <v>0.91666666666666663</v>
      </c>
      <c r="J14" s="1">
        <v>42929</v>
      </c>
      <c r="K14" s="1" t="s">
        <v>42</v>
      </c>
      <c r="L14" s="3" t="s">
        <v>101</v>
      </c>
      <c r="M14" s="3">
        <v>348552</v>
      </c>
      <c r="N14" s="3">
        <v>153</v>
      </c>
      <c r="O14" s="3">
        <v>-36.874961999999996</v>
      </c>
      <c r="P14" s="3">
        <v>174.76515900000001</v>
      </c>
      <c r="Q14">
        <v>300813.24</v>
      </c>
      <c r="R14">
        <v>5916666.5999999996</v>
      </c>
      <c r="S14" t="s">
        <v>45</v>
      </c>
      <c r="T14" s="3">
        <v>2.8</v>
      </c>
      <c r="U14" s="3">
        <v>11.3</v>
      </c>
      <c r="V14" s="3" t="s">
        <v>44</v>
      </c>
      <c r="W14" t="s">
        <v>44</v>
      </c>
      <c r="X14">
        <v>79.8</v>
      </c>
      <c r="Y14" t="s">
        <v>102</v>
      </c>
      <c r="Z14" t="s">
        <v>72</v>
      </c>
      <c r="AA14" t="s">
        <v>48</v>
      </c>
      <c r="AB14" t="s">
        <v>103</v>
      </c>
      <c r="AC14">
        <f>49+49+48+41+34+11</f>
        <v>232</v>
      </c>
      <c r="AD14" t="s">
        <v>50</v>
      </c>
      <c r="AE14" t="s">
        <v>50</v>
      </c>
      <c r="AF14" t="s">
        <v>50</v>
      </c>
      <c r="AG14" t="s">
        <v>50</v>
      </c>
      <c r="AH14" t="s">
        <v>50</v>
      </c>
      <c r="AI14" s="3" t="s">
        <v>58</v>
      </c>
      <c r="AJ14">
        <v>3</v>
      </c>
      <c r="AK14">
        <v>1</v>
      </c>
      <c r="AL14">
        <v>5</v>
      </c>
    </row>
    <row r="15" spans="1:59" x14ac:dyDescent="0.25">
      <c r="A15" t="s">
        <v>104</v>
      </c>
      <c r="B15" t="s">
        <v>53</v>
      </c>
      <c r="C15" t="s">
        <v>54</v>
      </c>
      <c r="D15" t="s">
        <v>0</v>
      </c>
      <c r="E15">
        <v>0.05</v>
      </c>
      <c r="F15">
        <v>2.4549737989299998</v>
      </c>
      <c r="G15" t="s">
        <v>105</v>
      </c>
      <c r="H15" s="1">
        <v>42930</v>
      </c>
      <c r="I15" s="2">
        <v>0</v>
      </c>
      <c r="J15" s="1">
        <v>42930</v>
      </c>
      <c r="K15" s="1" t="s">
        <v>42</v>
      </c>
      <c r="L15" s="3" t="s">
        <v>106</v>
      </c>
      <c r="M15" s="3">
        <v>710007</v>
      </c>
      <c r="N15" s="3">
        <v>63</v>
      </c>
      <c r="O15" s="3">
        <v>-36.859202000000003</v>
      </c>
      <c r="P15" s="3">
        <v>174.77531999999999</v>
      </c>
      <c r="Q15">
        <v>301678.25</v>
      </c>
      <c r="R15">
        <v>5918436.4000000004</v>
      </c>
      <c r="S15" t="s">
        <v>45</v>
      </c>
      <c r="T15" s="3">
        <v>1.4</v>
      </c>
      <c r="U15" s="6" t="s">
        <v>44</v>
      </c>
      <c r="V15" s="3" t="s">
        <v>44</v>
      </c>
      <c r="W15" t="s">
        <v>44</v>
      </c>
      <c r="X15" t="s">
        <v>44</v>
      </c>
      <c r="Y15" t="s">
        <v>44</v>
      </c>
      <c r="Z15" t="s">
        <v>44</v>
      </c>
      <c r="AA15" t="s">
        <v>44</v>
      </c>
      <c r="AB15" t="s">
        <v>44</v>
      </c>
      <c r="AC15" t="s">
        <v>44</v>
      </c>
      <c r="AD15" t="s">
        <v>50</v>
      </c>
      <c r="AE15" t="s">
        <v>50</v>
      </c>
      <c r="AF15" t="s">
        <v>50</v>
      </c>
      <c r="AG15" t="s">
        <v>50</v>
      </c>
      <c r="AH15" t="s">
        <v>50</v>
      </c>
      <c r="AI15" s="3" t="s">
        <v>63</v>
      </c>
      <c r="AJ15" t="s">
        <v>44</v>
      </c>
      <c r="AK15" t="s">
        <v>44</v>
      </c>
      <c r="AL15" t="s">
        <v>44</v>
      </c>
    </row>
    <row r="16" spans="1:59" x14ac:dyDescent="0.25">
      <c r="A16" t="s">
        <v>107</v>
      </c>
      <c r="B16" t="s">
        <v>0</v>
      </c>
      <c r="C16" t="s">
        <v>0</v>
      </c>
      <c r="D16" t="s">
        <v>0</v>
      </c>
      <c r="E16">
        <v>0.01</v>
      </c>
      <c r="F16">
        <v>7.3528116605799996</v>
      </c>
      <c r="G16" t="s">
        <v>108</v>
      </c>
      <c r="H16" s="1">
        <v>42943</v>
      </c>
      <c r="I16" s="2">
        <v>8.3333333333333329E-2</v>
      </c>
      <c r="J16" s="1">
        <v>42943</v>
      </c>
      <c r="K16" s="1" t="s">
        <v>42</v>
      </c>
      <c r="L16" s="3" t="s">
        <v>84</v>
      </c>
      <c r="M16" s="3">
        <v>1850000</v>
      </c>
      <c r="N16" s="3">
        <v>13</v>
      </c>
      <c r="O16" s="3">
        <v>-36.864896999999999</v>
      </c>
      <c r="P16" s="3">
        <v>174.72235900000001</v>
      </c>
      <c r="Q16">
        <v>296971.36</v>
      </c>
      <c r="R16">
        <v>5917693.1600000001</v>
      </c>
      <c r="S16" t="s">
        <v>45</v>
      </c>
      <c r="T16" s="3">
        <v>1.5</v>
      </c>
      <c r="U16" s="3">
        <v>14.9</v>
      </c>
      <c r="V16" s="3" t="s">
        <v>44</v>
      </c>
      <c r="W16" t="s">
        <v>44</v>
      </c>
      <c r="X16">
        <v>82</v>
      </c>
      <c r="Y16" t="s">
        <v>109</v>
      </c>
      <c r="Z16" t="s">
        <v>44</v>
      </c>
      <c r="AA16" t="s">
        <v>61</v>
      </c>
      <c r="AB16" t="s">
        <v>110</v>
      </c>
      <c r="AC16">
        <f>85+84+83+75+63+25</f>
        <v>415</v>
      </c>
      <c r="AD16" t="s">
        <v>57</v>
      </c>
      <c r="AE16" t="s">
        <v>57</v>
      </c>
      <c r="AF16" t="s">
        <v>50</v>
      </c>
      <c r="AG16" t="s">
        <v>50</v>
      </c>
      <c r="AH16" t="s">
        <v>50</v>
      </c>
      <c r="AI16" s="3" t="s">
        <v>58</v>
      </c>
      <c r="AJ16">
        <v>4</v>
      </c>
    </row>
    <row r="17" spans="1:38" x14ac:dyDescent="0.25">
      <c r="A17" t="s">
        <v>111</v>
      </c>
      <c r="B17" t="s">
        <v>53</v>
      </c>
      <c r="C17" t="s">
        <v>54</v>
      </c>
      <c r="D17" t="s">
        <v>0</v>
      </c>
      <c r="E17">
        <v>0.08</v>
      </c>
      <c r="F17">
        <v>1.81315777885</v>
      </c>
      <c r="G17" t="s">
        <v>108</v>
      </c>
      <c r="H17" s="1">
        <v>42943</v>
      </c>
      <c r="I17" s="2">
        <v>8.3333333333333329E-2</v>
      </c>
      <c r="J17" s="1">
        <v>42943</v>
      </c>
      <c r="K17" s="1" t="s">
        <v>42</v>
      </c>
      <c r="L17" s="3" t="s">
        <v>84</v>
      </c>
      <c r="M17" s="3">
        <v>1850000</v>
      </c>
      <c r="N17" s="3">
        <v>13</v>
      </c>
      <c r="O17" s="3">
        <v>-36.864896999999999</v>
      </c>
      <c r="P17" s="3">
        <v>174.72235900000001</v>
      </c>
      <c r="Q17">
        <v>296971.36</v>
      </c>
      <c r="R17">
        <v>5917693.1600000001</v>
      </c>
      <c r="S17" t="s">
        <v>45</v>
      </c>
      <c r="T17" s="3">
        <v>1.5</v>
      </c>
      <c r="U17" s="6" t="s">
        <v>112</v>
      </c>
      <c r="V17" s="3" t="s">
        <v>44</v>
      </c>
      <c r="W17" t="s">
        <v>44</v>
      </c>
      <c r="X17" t="s">
        <v>44</v>
      </c>
      <c r="Y17" t="s">
        <v>44</v>
      </c>
      <c r="Z17" t="s">
        <v>44</v>
      </c>
      <c r="AA17" t="s">
        <v>44</v>
      </c>
      <c r="AB17" t="s">
        <v>44</v>
      </c>
      <c r="AC17" t="s">
        <v>44</v>
      </c>
      <c r="AD17" t="s">
        <v>57</v>
      </c>
      <c r="AE17" t="s">
        <v>57</v>
      </c>
      <c r="AF17" t="s">
        <v>50</v>
      </c>
      <c r="AG17" t="s">
        <v>50</v>
      </c>
      <c r="AH17" t="s">
        <v>50</v>
      </c>
      <c r="AI17" s="3" t="s">
        <v>58</v>
      </c>
      <c r="AJ17" t="s">
        <v>44</v>
      </c>
      <c r="AK17" t="s">
        <v>44</v>
      </c>
      <c r="AL17" t="s">
        <v>44</v>
      </c>
    </row>
    <row r="18" spans="1:38" x14ac:dyDescent="0.25">
      <c r="A18" s="5" t="s">
        <v>113</v>
      </c>
      <c r="B18" t="s">
        <v>81</v>
      </c>
      <c r="C18" t="s">
        <v>54</v>
      </c>
      <c r="D18" t="s">
        <v>54</v>
      </c>
      <c r="E18" t="s">
        <v>40</v>
      </c>
      <c r="F18">
        <v>1.20546919723</v>
      </c>
      <c r="G18" t="s">
        <v>44</v>
      </c>
      <c r="H18" t="s">
        <v>44</v>
      </c>
      <c r="I18" t="s">
        <v>44</v>
      </c>
      <c r="J18" t="s">
        <v>44</v>
      </c>
      <c r="K18" s="1" t="s">
        <v>44</v>
      </c>
      <c r="L18" s="3" t="s">
        <v>44</v>
      </c>
      <c r="M18" s="3" t="s">
        <v>44</v>
      </c>
      <c r="N18" s="3" t="s">
        <v>44</v>
      </c>
      <c r="O18" s="3" t="s">
        <v>44</v>
      </c>
      <c r="P18" s="3" t="s">
        <v>44</v>
      </c>
      <c r="Q18" s="3" t="s">
        <v>44</v>
      </c>
      <c r="R18" s="3" t="s">
        <v>44</v>
      </c>
      <c r="S18" s="3" t="s">
        <v>44</v>
      </c>
      <c r="T18" s="3" t="s">
        <v>44</v>
      </c>
      <c r="U18" s="3" t="s">
        <v>44</v>
      </c>
      <c r="V18" s="3" t="s">
        <v>44</v>
      </c>
      <c r="W18" t="s">
        <v>44</v>
      </c>
      <c r="X18" t="s">
        <v>44</v>
      </c>
      <c r="Y18" t="s">
        <v>44</v>
      </c>
      <c r="Z18" t="s">
        <v>44</v>
      </c>
      <c r="AA18" t="s">
        <v>44</v>
      </c>
      <c r="AB18" t="s">
        <v>44</v>
      </c>
      <c r="AC18" t="s">
        <v>44</v>
      </c>
      <c r="AD18" t="s">
        <v>50</v>
      </c>
      <c r="AE18" t="s">
        <v>50</v>
      </c>
      <c r="AF18" t="s">
        <v>50</v>
      </c>
      <c r="AG18" t="s">
        <v>50</v>
      </c>
      <c r="AH18" t="s">
        <v>50</v>
      </c>
      <c r="AI18" s="3" t="s">
        <v>58</v>
      </c>
      <c r="AJ18" t="s">
        <v>44</v>
      </c>
      <c r="AK18" t="s">
        <v>44</v>
      </c>
      <c r="AL18" t="s">
        <v>44</v>
      </c>
    </row>
    <row r="19" spans="1:38" x14ac:dyDescent="0.25">
      <c r="A19" t="s">
        <v>114</v>
      </c>
      <c r="B19" t="s">
        <v>0</v>
      </c>
      <c r="C19" t="s">
        <v>0</v>
      </c>
      <c r="D19" t="s">
        <v>0</v>
      </c>
      <c r="E19" t="s">
        <v>40</v>
      </c>
      <c r="F19">
        <v>1.1218019287500001</v>
      </c>
      <c r="G19" t="s">
        <v>115</v>
      </c>
      <c r="H19" s="1">
        <v>42943</v>
      </c>
      <c r="I19" s="2">
        <v>0.20833333333333334</v>
      </c>
      <c r="J19" s="1">
        <v>42943</v>
      </c>
      <c r="K19" s="1" t="s">
        <v>42</v>
      </c>
      <c r="L19" s="3" t="s">
        <v>95</v>
      </c>
      <c r="M19" s="3">
        <v>14097</v>
      </c>
      <c r="N19" s="3">
        <v>36</v>
      </c>
      <c r="O19" s="3">
        <v>-36.883474</v>
      </c>
      <c r="P19" s="3">
        <v>174.73650000000001</v>
      </c>
      <c r="Q19">
        <v>298280.96000000002</v>
      </c>
      <c r="R19">
        <v>5915661.9299999997</v>
      </c>
      <c r="S19" t="s">
        <v>45</v>
      </c>
      <c r="T19" s="3">
        <v>4</v>
      </c>
      <c r="U19" s="3">
        <v>12.5</v>
      </c>
      <c r="V19" s="3" t="s">
        <v>44</v>
      </c>
      <c r="W19" t="s">
        <v>44</v>
      </c>
      <c r="X19">
        <v>97.3</v>
      </c>
      <c r="Y19" t="s">
        <v>116</v>
      </c>
      <c r="Z19" t="s">
        <v>44</v>
      </c>
      <c r="AA19" t="s">
        <v>61</v>
      </c>
      <c r="AB19" t="s">
        <v>117</v>
      </c>
      <c r="AC19">
        <f>54+52+57+43+35+9</f>
        <v>250</v>
      </c>
      <c r="AD19" t="s">
        <v>50</v>
      </c>
      <c r="AE19" t="s">
        <v>50</v>
      </c>
      <c r="AF19" t="s">
        <v>50</v>
      </c>
      <c r="AG19" t="s">
        <v>50</v>
      </c>
      <c r="AH19" t="s">
        <v>50</v>
      </c>
      <c r="AI19" s="3" t="s">
        <v>51</v>
      </c>
      <c r="AJ19">
        <v>4</v>
      </c>
      <c r="AK19">
        <v>1</v>
      </c>
      <c r="AL19">
        <v>4</v>
      </c>
    </row>
    <row r="20" spans="1:38" x14ac:dyDescent="0.25">
      <c r="A20" t="s">
        <v>118</v>
      </c>
      <c r="B20" t="s">
        <v>0</v>
      </c>
      <c r="C20" t="s">
        <v>0</v>
      </c>
      <c r="D20" t="s">
        <v>0</v>
      </c>
      <c r="E20">
        <v>0.08</v>
      </c>
      <c r="F20" s="5">
        <v>6.02294244573</v>
      </c>
      <c r="G20" s="3" t="s">
        <v>119</v>
      </c>
      <c r="H20" s="6">
        <v>42943</v>
      </c>
      <c r="I20" s="4">
        <v>0</v>
      </c>
      <c r="J20" s="1">
        <v>42943</v>
      </c>
      <c r="K20" s="1" t="s">
        <v>42</v>
      </c>
      <c r="L20" s="3" t="s">
        <v>90</v>
      </c>
      <c r="M20" s="3">
        <v>404963</v>
      </c>
      <c r="N20" s="3">
        <v>103</v>
      </c>
      <c r="O20" s="3">
        <v>-36.890183</v>
      </c>
      <c r="P20" s="3">
        <v>174.720403</v>
      </c>
      <c r="Q20">
        <v>296864</v>
      </c>
      <c r="R20">
        <v>5914883.3700000001</v>
      </c>
      <c r="S20" t="s">
        <v>45</v>
      </c>
      <c r="T20" s="3">
        <v>2.4</v>
      </c>
      <c r="U20" s="3">
        <v>19.3</v>
      </c>
      <c r="V20" s="3" t="s">
        <v>44</v>
      </c>
      <c r="W20" t="s">
        <v>44</v>
      </c>
      <c r="X20">
        <v>60.5</v>
      </c>
      <c r="Y20" t="s">
        <v>120</v>
      </c>
      <c r="Z20" t="s">
        <v>44</v>
      </c>
      <c r="AA20" t="s">
        <v>48</v>
      </c>
      <c r="AB20" t="s">
        <v>121</v>
      </c>
      <c r="AC20">
        <f>29+29+29+25+21+1</f>
        <v>134</v>
      </c>
      <c r="AD20" t="s">
        <v>50</v>
      </c>
      <c r="AE20" t="s">
        <v>50</v>
      </c>
      <c r="AF20" t="s">
        <v>57</v>
      </c>
      <c r="AG20" t="s">
        <v>50</v>
      </c>
      <c r="AH20" t="s">
        <v>50</v>
      </c>
      <c r="AI20" s="3" t="s">
        <v>58</v>
      </c>
      <c r="AJ20">
        <v>4</v>
      </c>
      <c r="AK20">
        <v>1</v>
      </c>
      <c r="AL20">
        <v>4</v>
      </c>
    </row>
    <row r="21" spans="1:38" x14ac:dyDescent="0.25">
      <c r="A21" t="s">
        <v>122</v>
      </c>
      <c r="B21" t="s">
        <v>53</v>
      </c>
      <c r="C21" t="s">
        <v>54</v>
      </c>
      <c r="D21" t="s">
        <v>0</v>
      </c>
      <c r="E21">
        <v>0.03</v>
      </c>
      <c r="F21" s="5">
        <v>0.78493108459000005</v>
      </c>
      <c r="G21" s="3" t="s">
        <v>123</v>
      </c>
      <c r="H21" s="6">
        <v>42944</v>
      </c>
      <c r="I21" s="4">
        <v>0</v>
      </c>
      <c r="J21" s="6">
        <v>42944</v>
      </c>
      <c r="K21" s="1" t="s">
        <v>42</v>
      </c>
      <c r="L21" s="3" t="s">
        <v>124</v>
      </c>
      <c r="M21" s="3">
        <v>23479</v>
      </c>
      <c r="N21" s="3">
        <v>74</v>
      </c>
      <c r="O21" s="3">
        <v>-36.888378000000003</v>
      </c>
      <c r="P21" s="3">
        <v>174.765905</v>
      </c>
      <c r="Q21">
        <v>300914.59999999998</v>
      </c>
      <c r="R21">
        <v>5915179.5800000001</v>
      </c>
      <c r="S21" t="s">
        <v>45</v>
      </c>
      <c r="T21" s="3">
        <v>4.3</v>
      </c>
      <c r="U21" s="3" t="s">
        <v>44</v>
      </c>
      <c r="V21" s="3" t="s">
        <v>44</v>
      </c>
      <c r="W21" t="s">
        <v>44</v>
      </c>
      <c r="X21" t="s">
        <v>44</v>
      </c>
      <c r="Y21" t="s">
        <v>44</v>
      </c>
      <c r="Z21" t="s">
        <v>44</v>
      </c>
      <c r="AA21" t="s">
        <v>44</v>
      </c>
      <c r="AB21" t="s">
        <v>44</v>
      </c>
      <c r="AC21" t="s">
        <v>44</v>
      </c>
      <c r="AD21" t="s">
        <v>50</v>
      </c>
      <c r="AE21" t="s">
        <v>50</v>
      </c>
      <c r="AF21" t="s">
        <v>50</v>
      </c>
      <c r="AG21" t="s">
        <v>50</v>
      </c>
      <c r="AH21" t="s">
        <v>50</v>
      </c>
      <c r="AI21" s="3" t="s">
        <v>63</v>
      </c>
      <c r="AJ21" t="s">
        <v>44</v>
      </c>
      <c r="AK21" t="s">
        <v>44</v>
      </c>
      <c r="AL21" t="s">
        <v>44</v>
      </c>
    </row>
    <row r="22" spans="1:38" x14ac:dyDescent="0.25">
      <c r="A22" t="s">
        <v>125</v>
      </c>
      <c r="B22" s="3" t="s">
        <v>0</v>
      </c>
      <c r="C22" t="s">
        <v>0</v>
      </c>
      <c r="D22" t="s">
        <v>0</v>
      </c>
      <c r="E22">
        <v>0.04</v>
      </c>
      <c r="F22" s="5">
        <v>0.58016645382999998</v>
      </c>
      <c r="G22" s="3" t="s">
        <v>126</v>
      </c>
      <c r="H22" s="7">
        <v>42948</v>
      </c>
      <c r="I22" s="8">
        <v>4.1666666666666664E-2</v>
      </c>
      <c r="J22" s="7">
        <v>42948</v>
      </c>
      <c r="K22" s="1" t="s">
        <v>42</v>
      </c>
      <c r="L22" s="3" t="s">
        <v>95</v>
      </c>
      <c r="M22" s="3">
        <v>14097</v>
      </c>
      <c r="N22" s="3">
        <v>36</v>
      </c>
      <c r="O22" s="3">
        <v>-36.883474</v>
      </c>
      <c r="P22" s="3">
        <v>174.73650000000001</v>
      </c>
      <c r="Q22">
        <v>298280.96000000002</v>
      </c>
      <c r="R22">
        <v>5915661.9299999997</v>
      </c>
      <c r="S22" t="s">
        <v>45</v>
      </c>
      <c r="T22" s="3">
        <v>4</v>
      </c>
      <c r="U22" s="3" t="s">
        <v>44</v>
      </c>
      <c r="V22" s="3" t="s">
        <v>44</v>
      </c>
      <c r="W22" t="s">
        <v>44</v>
      </c>
      <c r="X22" t="s">
        <v>44</v>
      </c>
      <c r="Y22" t="s">
        <v>44</v>
      </c>
      <c r="Z22" t="s">
        <v>44</v>
      </c>
      <c r="AA22" t="s">
        <v>44</v>
      </c>
      <c r="AB22" t="s">
        <v>44</v>
      </c>
      <c r="AC22" t="s">
        <v>44</v>
      </c>
      <c r="AD22" t="s">
        <v>50</v>
      </c>
      <c r="AE22" t="s">
        <v>50</v>
      </c>
      <c r="AF22" t="s">
        <v>50</v>
      </c>
      <c r="AG22" t="s">
        <v>50</v>
      </c>
      <c r="AH22" t="s">
        <v>50</v>
      </c>
      <c r="AI22" s="3" t="s">
        <v>63</v>
      </c>
      <c r="AJ22">
        <v>1</v>
      </c>
    </row>
    <row r="23" spans="1:38" x14ac:dyDescent="0.25">
      <c r="A23" t="s">
        <v>127</v>
      </c>
      <c r="B23" t="s">
        <v>0</v>
      </c>
      <c r="C23" t="s">
        <v>0</v>
      </c>
      <c r="D23" t="s">
        <v>0</v>
      </c>
      <c r="E23">
        <v>0.05</v>
      </c>
      <c r="F23" s="5">
        <v>8.3777356995000005</v>
      </c>
      <c r="G23" s="3" t="s">
        <v>128</v>
      </c>
      <c r="H23" s="6">
        <v>42948</v>
      </c>
      <c r="I23" s="4">
        <v>0.16666666666666666</v>
      </c>
      <c r="J23" s="7">
        <v>42948</v>
      </c>
      <c r="K23" s="1" t="s">
        <v>42</v>
      </c>
      <c r="L23" s="3" t="s">
        <v>84</v>
      </c>
      <c r="M23" s="3">
        <v>1850000</v>
      </c>
      <c r="N23" s="3">
        <v>13</v>
      </c>
      <c r="O23" s="3">
        <v>-36.864896999999999</v>
      </c>
      <c r="P23" s="3">
        <v>174.72235900000001</v>
      </c>
      <c r="Q23">
        <v>296971.36</v>
      </c>
      <c r="R23">
        <v>5917693.1600000001</v>
      </c>
      <c r="S23" t="s">
        <v>45</v>
      </c>
      <c r="T23" s="3">
        <v>1.5</v>
      </c>
      <c r="U23" s="3">
        <v>18.8</v>
      </c>
      <c r="V23" s="3" t="s">
        <v>44</v>
      </c>
      <c r="W23" t="s">
        <v>44</v>
      </c>
      <c r="X23">
        <v>65.7</v>
      </c>
      <c r="Y23" t="s">
        <v>129</v>
      </c>
      <c r="Z23" t="s">
        <v>44</v>
      </c>
      <c r="AA23" t="s">
        <v>67</v>
      </c>
      <c r="AB23" t="s">
        <v>130</v>
      </c>
      <c r="AC23">
        <f>75+75+74+66+57+23</f>
        <v>370</v>
      </c>
      <c r="AD23" t="s">
        <v>57</v>
      </c>
      <c r="AE23" t="s">
        <v>57</v>
      </c>
      <c r="AF23" t="s">
        <v>50</v>
      </c>
      <c r="AG23" t="s">
        <v>50</v>
      </c>
      <c r="AH23" t="s">
        <v>50</v>
      </c>
      <c r="AI23" s="3" t="s">
        <v>51</v>
      </c>
      <c r="AJ23">
        <v>1</v>
      </c>
      <c r="AK23">
        <v>2</v>
      </c>
      <c r="AL23">
        <v>2</v>
      </c>
    </row>
    <row r="24" spans="1:38" x14ac:dyDescent="0.25">
      <c r="A24" t="s">
        <v>131</v>
      </c>
      <c r="B24" t="s">
        <v>0</v>
      </c>
      <c r="C24" t="s">
        <v>0</v>
      </c>
      <c r="D24" t="s">
        <v>0</v>
      </c>
      <c r="E24">
        <v>0.44</v>
      </c>
      <c r="F24" s="5">
        <v>2.1390197719000001</v>
      </c>
      <c r="G24" s="3" t="s">
        <v>132</v>
      </c>
      <c r="H24" s="6">
        <v>42948</v>
      </c>
      <c r="I24" s="4">
        <v>0.125</v>
      </c>
      <c r="J24" s="7">
        <v>42948</v>
      </c>
      <c r="K24" s="1" t="s">
        <v>42</v>
      </c>
      <c r="L24" s="3" t="s">
        <v>90</v>
      </c>
      <c r="M24" s="3">
        <v>404963</v>
      </c>
      <c r="N24" s="3">
        <v>103</v>
      </c>
      <c r="O24" s="3">
        <v>-36.890183</v>
      </c>
      <c r="P24" s="3">
        <v>174.720403</v>
      </c>
      <c r="Q24">
        <v>296864</v>
      </c>
      <c r="R24">
        <v>5914883.3700000001</v>
      </c>
      <c r="S24" t="s">
        <v>45</v>
      </c>
      <c r="T24" s="3">
        <v>2.4</v>
      </c>
      <c r="U24" s="3">
        <v>20.8</v>
      </c>
      <c r="V24" s="3" t="s">
        <v>44</v>
      </c>
      <c r="W24" t="s">
        <v>44</v>
      </c>
      <c r="X24">
        <v>61.7</v>
      </c>
      <c r="Y24" t="s">
        <v>133</v>
      </c>
      <c r="Z24" t="s">
        <v>134</v>
      </c>
      <c r="AA24" t="s">
        <v>67</v>
      </c>
      <c r="AB24" t="s">
        <v>135</v>
      </c>
      <c r="AC24">
        <f>72+72+71+65+56+28</f>
        <v>364</v>
      </c>
      <c r="AD24" t="s">
        <v>50</v>
      </c>
      <c r="AE24" t="s">
        <v>50</v>
      </c>
      <c r="AF24" t="s">
        <v>57</v>
      </c>
      <c r="AG24" t="s">
        <v>50</v>
      </c>
      <c r="AH24" t="s">
        <v>50</v>
      </c>
      <c r="AI24" s="3" t="s">
        <v>63</v>
      </c>
      <c r="AJ24">
        <v>1</v>
      </c>
      <c r="AK24">
        <v>2</v>
      </c>
      <c r="AL24">
        <v>2</v>
      </c>
    </row>
    <row r="25" spans="1:38" x14ac:dyDescent="0.25">
      <c r="A25" t="s">
        <v>136</v>
      </c>
      <c r="B25" t="s">
        <v>53</v>
      </c>
      <c r="C25" t="s">
        <v>54</v>
      </c>
      <c r="D25" t="s">
        <v>0</v>
      </c>
      <c r="E25">
        <v>0.02</v>
      </c>
      <c r="F25" s="5">
        <v>0.18494869875</v>
      </c>
      <c r="G25" s="3" t="s">
        <v>137</v>
      </c>
      <c r="H25" s="6">
        <v>42956</v>
      </c>
      <c r="I25" s="2">
        <v>4.1666666666666664E-2</v>
      </c>
      <c r="J25" s="6">
        <v>42956</v>
      </c>
      <c r="K25" s="1" t="s">
        <v>42</v>
      </c>
      <c r="L25" s="3" t="s">
        <v>101</v>
      </c>
      <c r="M25" s="3">
        <v>348552</v>
      </c>
      <c r="N25" s="3">
        <v>153</v>
      </c>
      <c r="O25" s="3">
        <v>-36.874961999999996</v>
      </c>
      <c r="P25" s="3">
        <v>174.76515900000001</v>
      </c>
      <c r="Q25">
        <v>300813.24</v>
      </c>
      <c r="R25">
        <v>5916666.5999999996</v>
      </c>
      <c r="S25" t="s">
        <v>45</v>
      </c>
      <c r="T25" s="3">
        <v>2.8</v>
      </c>
      <c r="U25" s="3" t="s">
        <v>44</v>
      </c>
      <c r="V25" s="3" t="s">
        <v>44</v>
      </c>
      <c r="W25" t="s">
        <v>44</v>
      </c>
      <c r="X25" t="s">
        <v>44</v>
      </c>
      <c r="Y25" t="s">
        <v>44</v>
      </c>
      <c r="Z25" t="s">
        <v>44</v>
      </c>
      <c r="AA25" t="s">
        <v>44</v>
      </c>
      <c r="AB25" t="s">
        <v>44</v>
      </c>
      <c r="AC25" t="s">
        <v>44</v>
      </c>
      <c r="AD25" t="s">
        <v>50</v>
      </c>
      <c r="AE25" t="s">
        <v>50</v>
      </c>
      <c r="AF25" t="s">
        <v>50</v>
      </c>
      <c r="AG25" t="s">
        <v>50</v>
      </c>
      <c r="AH25" t="s">
        <v>50</v>
      </c>
      <c r="AI25" s="3" t="s">
        <v>58</v>
      </c>
      <c r="AJ25" t="s">
        <v>44</v>
      </c>
      <c r="AK25" t="s">
        <v>44</v>
      </c>
      <c r="AL25" t="s">
        <v>44</v>
      </c>
    </row>
    <row r="26" spans="1:38" x14ac:dyDescent="0.25">
      <c r="A26" t="s">
        <v>138</v>
      </c>
      <c r="B26" t="s">
        <v>0</v>
      </c>
      <c r="C26" t="s">
        <v>0</v>
      </c>
      <c r="D26" t="s">
        <v>0</v>
      </c>
      <c r="E26" t="s">
        <v>40</v>
      </c>
      <c r="F26" s="5">
        <v>0.59557884538999994</v>
      </c>
      <c r="G26" s="3" t="s">
        <v>137</v>
      </c>
      <c r="H26" s="6">
        <v>42956</v>
      </c>
      <c r="I26" s="2">
        <v>4.1666666666666664E-2</v>
      </c>
      <c r="J26" s="6">
        <v>42956</v>
      </c>
      <c r="K26" s="1" t="s">
        <v>42</v>
      </c>
      <c r="L26" s="3" t="s">
        <v>101</v>
      </c>
      <c r="M26" s="3">
        <v>348552</v>
      </c>
      <c r="N26" s="3">
        <v>153</v>
      </c>
      <c r="O26" s="3">
        <v>-36.874961999999996</v>
      </c>
      <c r="P26" s="3">
        <v>174.76515900000001</v>
      </c>
      <c r="Q26">
        <v>300813.24</v>
      </c>
      <c r="R26">
        <v>5916666.5999999996</v>
      </c>
      <c r="S26" t="s">
        <v>45</v>
      </c>
      <c r="T26" s="3">
        <v>2.8</v>
      </c>
      <c r="U26" s="3">
        <v>16.2</v>
      </c>
      <c r="V26" s="3" t="s">
        <v>44</v>
      </c>
      <c r="W26" t="s">
        <v>44</v>
      </c>
      <c r="X26">
        <v>93.4</v>
      </c>
      <c r="Y26" t="s">
        <v>139</v>
      </c>
      <c r="Z26" t="s">
        <v>77</v>
      </c>
      <c r="AA26" t="s">
        <v>61</v>
      </c>
      <c r="AB26" t="s">
        <v>140</v>
      </c>
      <c r="AC26">
        <f>4276+4275+4273+4230+3838+1607</f>
        <v>22499</v>
      </c>
      <c r="AD26" t="s">
        <v>50</v>
      </c>
      <c r="AE26" t="s">
        <v>50</v>
      </c>
      <c r="AF26" t="s">
        <v>50</v>
      </c>
      <c r="AG26" t="s">
        <v>50</v>
      </c>
      <c r="AH26" t="s">
        <v>50</v>
      </c>
      <c r="AI26" s="3" t="s">
        <v>58</v>
      </c>
      <c r="AJ26">
        <v>1</v>
      </c>
      <c r="AK26">
        <v>2</v>
      </c>
      <c r="AL26">
        <v>2</v>
      </c>
    </row>
    <row r="27" spans="1:38" x14ac:dyDescent="0.25">
      <c r="A27" t="s">
        <v>141</v>
      </c>
      <c r="B27" t="s">
        <v>53</v>
      </c>
      <c r="C27" t="s">
        <v>54</v>
      </c>
      <c r="D27" t="s">
        <v>0</v>
      </c>
      <c r="E27" t="s">
        <v>40</v>
      </c>
      <c r="F27" s="5">
        <v>0.73318948434999998</v>
      </c>
      <c r="G27" s="3" t="s">
        <v>142</v>
      </c>
      <c r="H27" s="6">
        <v>42957</v>
      </c>
      <c r="I27" s="4">
        <v>0.16666666666666666</v>
      </c>
      <c r="J27" s="6">
        <v>42957</v>
      </c>
      <c r="K27" s="1" t="s">
        <v>42</v>
      </c>
      <c r="L27" s="3" t="s">
        <v>124</v>
      </c>
      <c r="M27" s="3">
        <v>23479</v>
      </c>
      <c r="N27" s="3">
        <v>74</v>
      </c>
      <c r="O27" s="3">
        <v>-36.888378000000003</v>
      </c>
      <c r="P27" s="3">
        <v>174.765905</v>
      </c>
      <c r="Q27">
        <v>300914.59999999998</v>
      </c>
      <c r="R27">
        <v>5915179.5800000001</v>
      </c>
      <c r="S27" t="s">
        <v>45</v>
      </c>
      <c r="T27" s="3">
        <v>4.3</v>
      </c>
      <c r="U27" s="3" t="s">
        <v>44</v>
      </c>
      <c r="V27" s="3" t="s">
        <v>44</v>
      </c>
      <c r="W27" t="s">
        <v>44</v>
      </c>
      <c r="X27" t="s">
        <v>44</v>
      </c>
      <c r="Y27" t="s">
        <v>44</v>
      </c>
      <c r="Z27" t="s">
        <v>44</v>
      </c>
      <c r="AA27" t="s">
        <v>44</v>
      </c>
      <c r="AB27" t="s">
        <v>44</v>
      </c>
      <c r="AC27" t="s">
        <v>44</v>
      </c>
      <c r="AD27" t="s">
        <v>50</v>
      </c>
      <c r="AE27" t="s">
        <v>50</v>
      </c>
      <c r="AF27" t="s">
        <v>50</v>
      </c>
      <c r="AG27" t="s">
        <v>50</v>
      </c>
      <c r="AH27" t="s">
        <v>50</v>
      </c>
      <c r="AI27" s="3" t="s">
        <v>63</v>
      </c>
      <c r="AJ27" t="s">
        <v>44</v>
      </c>
      <c r="AK27" t="s">
        <v>44</v>
      </c>
      <c r="AL27" t="s">
        <v>44</v>
      </c>
    </row>
    <row r="28" spans="1:38" x14ac:dyDescent="0.25">
      <c r="A28" t="s">
        <v>143</v>
      </c>
      <c r="B28" t="s">
        <v>0</v>
      </c>
      <c r="C28" t="s">
        <v>0</v>
      </c>
      <c r="D28" t="s">
        <v>0</v>
      </c>
      <c r="E28">
        <v>0.26</v>
      </c>
      <c r="F28" s="5">
        <v>0.67374168832000003</v>
      </c>
      <c r="G28" s="3" t="s">
        <v>144</v>
      </c>
      <c r="H28" s="6">
        <v>42957</v>
      </c>
      <c r="I28" s="4">
        <v>4.1666666666666664E-2</v>
      </c>
      <c r="J28" s="6">
        <v>42957</v>
      </c>
      <c r="K28" s="1" t="s">
        <v>42</v>
      </c>
      <c r="L28" s="3" t="s">
        <v>145</v>
      </c>
      <c r="M28" s="3">
        <v>582988</v>
      </c>
      <c r="N28" s="3">
        <v>55</v>
      </c>
      <c r="O28" s="3">
        <v>-36.916733999999998</v>
      </c>
      <c r="P28" s="3">
        <v>174.74166199999999</v>
      </c>
      <c r="Q28">
        <v>298828.43</v>
      </c>
      <c r="R28">
        <v>5911982.4500000002</v>
      </c>
      <c r="S28" t="s">
        <v>45</v>
      </c>
      <c r="T28" s="3">
        <v>1.8</v>
      </c>
      <c r="U28" s="3">
        <v>20.8</v>
      </c>
      <c r="V28" s="3" t="s">
        <v>44</v>
      </c>
      <c r="W28" t="s">
        <v>44</v>
      </c>
      <c r="X28">
        <v>71.3</v>
      </c>
      <c r="Y28" t="s">
        <v>146</v>
      </c>
      <c r="Z28" t="s">
        <v>44</v>
      </c>
      <c r="AA28" t="s">
        <v>67</v>
      </c>
      <c r="AB28" t="s">
        <v>147</v>
      </c>
      <c r="AC28">
        <f>51+51+50+41+32+8</f>
        <v>233</v>
      </c>
      <c r="AD28" t="s">
        <v>50</v>
      </c>
      <c r="AE28" t="s">
        <v>50</v>
      </c>
      <c r="AF28" t="s">
        <v>50</v>
      </c>
      <c r="AG28" t="s">
        <v>50</v>
      </c>
      <c r="AH28" t="s">
        <v>50</v>
      </c>
      <c r="AI28" s="3" t="s">
        <v>58</v>
      </c>
      <c r="AJ28">
        <v>5</v>
      </c>
      <c r="AK28">
        <v>2</v>
      </c>
      <c r="AL28">
        <v>4</v>
      </c>
    </row>
    <row r="29" spans="1:38" x14ac:dyDescent="0.25">
      <c r="A29" t="s">
        <v>148</v>
      </c>
      <c r="B29" t="s">
        <v>0</v>
      </c>
      <c r="C29" t="s">
        <v>0</v>
      </c>
      <c r="D29" t="s">
        <v>0</v>
      </c>
      <c r="E29">
        <v>0.13</v>
      </c>
      <c r="F29" s="5">
        <v>1.96728169448</v>
      </c>
      <c r="G29" s="3" t="s">
        <v>142</v>
      </c>
      <c r="H29" s="6">
        <v>42957</v>
      </c>
      <c r="I29" s="4">
        <v>0.16666666666666666</v>
      </c>
      <c r="J29" s="6">
        <v>42957</v>
      </c>
      <c r="K29" s="1" t="s">
        <v>42</v>
      </c>
      <c r="L29" s="3" t="s">
        <v>124</v>
      </c>
      <c r="M29" s="3">
        <v>23479</v>
      </c>
      <c r="N29" s="3">
        <v>74</v>
      </c>
      <c r="O29" s="3">
        <v>-36.888378000000003</v>
      </c>
      <c r="P29" s="3">
        <v>174.765905</v>
      </c>
      <c r="Q29">
        <v>300914.59999999998</v>
      </c>
      <c r="R29">
        <v>5915179.5800000001</v>
      </c>
      <c r="S29" t="s">
        <v>45</v>
      </c>
      <c r="T29" s="3">
        <v>4.3</v>
      </c>
      <c r="U29" s="3">
        <v>16.399999999999999</v>
      </c>
      <c r="V29" t="s">
        <v>44</v>
      </c>
      <c r="W29" t="s">
        <v>44</v>
      </c>
      <c r="X29">
        <v>78</v>
      </c>
      <c r="Y29" t="s">
        <v>149</v>
      </c>
      <c r="Z29" t="s">
        <v>77</v>
      </c>
      <c r="AA29" t="s">
        <v>48</v>
      </c>
      <c r="AB29" t="s">
        <v>150</v>
      </c>
      <c r="AC29">
        <f>75+75+74+63+52+19</f>
        <v>358</v>
      </c>
      <c r="AD29" t="s">
        <v>50</v>
      </c>
      <c r="AE29" t="s">
        <v>50</v>
      </c>
      <c r="AF29" t="s">
        <v>50</v>
      </c>
      <c r="AG29" t="s">
        <v>50</v>
      </c>
      <c r="AH29" t="s">
        <v>50</v>
      </c>
      <c r="AI29" s="3" t="s">
        <v>51</v>
      </c>
      <c r="AJ29">
        <v>5</v>
      </c>
      <c r="AK29">
        <v>2</v>
      </c>
      <c r="AL29">
        <v>4</v>
      </c>
    </row>
    <row r="30" spans="1:38" x14ac:dyDescent="0.25">
      <c r="A30" t="s">
        <v>151</v>
      </c>
      <c r="B30" t="s">
        <v>0</v>
      </c>
      <c r="C30" t="s">
        <v>0</v>
      </c>
      <c r="D30" t="s">
        <v>0</v>
      </c>
      <c r="E30">
        <v>0.31</v>
      </c>
      <c r="F30" s="5">
        <v>1.31335593817</v>
      </c>
      <c r="G30" s="3" t="s">
        <v>152</v>
      </c>
      <c r="H30" s="6">
        <v>42957</v>
      </c>
      <c r="I30" s="4">
        <v>0.20833333333333334</v>
      </c>
      <c r="J30" s="6">
        <v>42957</v>
      </c>
      <c r="K30" s="1" t="s">
        <v>42</v>
      </c>
      <c r="L30" s="3" t="s">
        <v>106</v>
      </c>
      <c r="M30" s="3">
        <v>710007</v>
      </c>
      <c r="N30" s="3">
        <v>63</v>
      </c>
      <c r="O30" s="3">
        <v>-36.859202000000003</v>
      </c>
      <c r="P30" s="3">
        <v>174.77531999999999</v>
      </c>
      <c r="Q30">
        <v>301678.25</v>
      </c>
      <c r="R30">
        <v>5918436.4000000004</v>
      </c>
      <c r="S30" t="s">
        <v>45</v>
      </c>
      <c r="T30" s="3">
        <v>1.4</v>
      </c>
      <c r="U30" s="3">
        <v>14.2</v>
      </c>
      <c r="V30" t="s">
        <v>44</v>
      </c>
      <c r="W30" t="s">
        <v>44</v>
      </c>
      <c r="X30">
        <v>80.099999999999994</v>
      </c>
      <c r="Y30" t="s">
        <v>153</v>
      </c>
      <c r="Z30" t="s">
        <v>97</v>
      </c>
      <c r="AA30" t="s">
        <v>67</v>
      </c>
      <c r="AB30" t="s">
        <v>154</v>
      </c>
      <c r="AC30">
        <f>75+74+73+62+50+18</f>
        <v>352</v>
      </c>
      <c r="AD30" t="s">
        <v>50</v>
      </c>
      <c r="AE30" t="s">
        <v>50</v>
      </c>
      <c r="AF30" t="s">
        <v>50</v>
      </c>
      <c r="AG30" t="s">
        <v>50</v>
      </c>
      <c r="AH30" t="s">
        <v>50</v>
      </c>
      <c r="AI30" s="3" t="s">
        <v>51</v>
      </c>
      <c r="AJ30">
        <v>5</v>
      </c>
    </row>
    <row r="31" spans="1:38" x14ac:dyDescent="0.25">
      <c r="A31" t="s">
        <v>155</v>
      </c>
      <c r="B31" t="s">
        <v>0</v>
      </c>
      <c r="C31" t="s">
        <v>0</v>
      </c>
      <c r="D31" t="s">
        <v>0</v>
      </c>
      <c r="E31">
        <v>0.17</v>
      </c>
      <c r="F31" s="5">
        <v>3.5162270465500001</v>
      </c>
      <c r="G31" s="3" t="s">
        <v>75</v>
      </c>
      <c r="H31" s="6">
        <v>42957</v>
      </c>
      <c r="I31" s="4">
        <v>8.3333333333333329E-2</v>
      </c>
      <c r="J31" s="6">
        <v>42957</v>
      </c>
      <c r="K31" s="1" t="s">
        <v>42</v>
      </c>
      <c r="L31" s="3" t="s">
        <v>156</v>
      </c>
      <c r="M31" s="3">
        <v>1700000</v>
      </c>
      <c r="N31" s="3">
        <v>94</v>
      </c>
      <c r="O31" s="3">
        <v>-36.898637000000001</v>
      </c>
      <c r="P31" s="3">
        <v>174.785471</v>
      </c>
      <c r="Q31">
        <v>302684.84000000003</v>
      </c>
      <c r="R31">
        <v>5914081.96</v>
      </c>
      <c r="S31" t="s">
        <v>45</v>
      </c>
      <c r="T31" s="3">
        <v>2.9</v>
      </c>
      <c r="U31" s="3">
        <v>18</v>
      </c>
      <c r="V31" t="s">
        <v>44</v>
      </c>
      <c r="W31" t="s">
        <v>44</v>
      </c>
      <c r="X31">
        <v>79.099999999999994</v>
      </c>
      <c r="Y31" t="s">
        <v>157</v>
      </c>
      <c r="Z31" t="s">
        <v>44</v>
      </c>
      <c r="AA31" t="s">
        <v>67</v>
      </c>
      <c r="AB31" t="s">
        <v>158</v>
      </c>
      <c r="AC31">
        <f>79+79+78+68+57+22</f>
        <v>383</v>
      </c>
      <c r="AD31" t="s">
        <v>50</v>
      </c>
      <c r="AE31" t="s">
        <v>50</v>
      </c>
      <c r="AF31" t="s">
        <v>50</v>
      </c>
      <c r="AG31" t="s">
        <v>50</v>
      </c>
      <c r="AH31" t="s">
        <v>50</v>
      </c>
      <c r="AI31" s="3" t="s">
        <v>51</v>
      </c>
      <c r="AJ31">
        <v>5</v>
      </c>
      <c r="AK31">
        <v>1</v>
      </c>
      <c r="AL31">
        <v>5</v>
      </c>
    </row>
    <row r="32" spans="1:38" x14ac:dyDescent="0.25">
      <c r="A32" s="5" t="s">
        <v>159</v>
      </c>
      <c r="B32" t="s">
        <v>81</v>
      </c>
      <c r="C32" t="s">
        <v>54</v>
      </c>
      <c r="D32" t="s">
        <v>54</v>
      </c>
      <c r="E32" t="s">
        <v>40</v>
      </c>
      <c r="F32" s="5">
        <v>1.5863754458599999</v>
      </c>
      <c r="G32" s="3" t="s">
        <v>44</v>
      </c>
      <c r="H32" s="3" t="s">
        <v>44</v>
      </c>
      <c r="I32" s="3" t="s">
        <v>44</v>
      </c>
      <c r="J32" s="3" t="s">
        <v>44</v>
      </c>
      <c r="K32" s="1" t="s">
        <v>44</v>
      </c>
      <c r="L32" s="3" t="s">
        <v>44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44</v>
      </c>
      <c r="T32" s="3" t="s">
        <v>44</v>
      </c>
      <c r="U32" s="3" t="s">
        <v>44</v>
      </c>
      <c r="V32" t="s">
        <v>44</v>
      </c>
      <c r="W32" t="s">
        <v>44</v>
      </c>
      <c r="X32" t="s">
        <v>44</v>
      </c>
      <c r="Y32" t="s">
        <v>44</v>
      </c>
      <c r="Z32" t="s">
        <v>44</v>
      </c>
      <c r="AA32" t="s">
        <v>44</v>
      </c>
      <c r="AB32" t="s">
        <v>44</v>
      </c>
      <c r="AC32" t="s">
        <v>44</v>
      </c>
      <c r="AD32" t="s">
        <v>50</v>
      </c>
      <c r="AE32" t="s">
        <v>50</v>
      </c>
      <c r="AF32" t="s">
        <v>50</v>
      </c>
      <c r="AG32" t="s">
        <v>50</v>
      </c>
      <c r="AH32" t="s">
        <v>50</v>
      </c>
      <c r="AI32" s="3" t="s">
        <v>58</v>
      </c>
      <c r="AJ32" t="s">
        <v>44</v>
      </c>
      <c r="AK32" t="s">
        <v>44</v>
      </c>
      <c r="AL32" t="s">
        <v>44</v>
      </c>
    </row>
    <row r="33" spans="1:59" x14ac:dyDescent="0.25">
      <c r="A33" t="s">
        <v>160</v>
      </c>
      <c r="B33" t="s">
        <v>0</v>
      </c>
      <c r="C33" t="s">
        <v>0</v>
      </c>
      <c r="D33" t="s">
        <v>0</v>
      </c>
      <c r="E33">
        <v>0.06</v>
      </c>
      <c r="F33" s="5">
        <v>8.3061781672499997</v>
      </c>
      <c r="G33" s="3" t="s">
        <v>161</v>
      </c>
      <c r="H33" s="6">
        <v>42935</v>
      </c>
      <c r="I33" s="4">
        <v>0.125</v>
      </c>
      <c r="J33" s="6">
        <v>42935</v>
      </c>
      <c r="K33" s="1" t="s">
        <v>42</v>
      </c>
      <c r="L33" s="3" t="s">
        <v>124</v>
      </c>
      <c r="M33" s="3">
        <v>23479</v>
      </c>
      <c r="N33" s="3">
        <v>74</v>
      </c>
      <c r="O33" s="3">
        <v>-36.888378000000003</v>
      </c>
      <c r="P33" s="3">
        <v>174.765905</v>
      </c>
      <c r="Q33">
        <v>300914.59999999998</v>
      </c>
      <c r="R33">
        <v>5915179.5800000001</v>
      </c>
      <c r="S33" t="s">
        <v>45</v>
      </c>
      <c r="T33" s="3">
        <v>4.3</v>
      </c>
      <c r="U33" s="3">
        <v>21.3</v>
      </c>
      <c r="V33" t="s">
        <v>44</v>
      </c>
      <c r="W33" t="s">
        <v>44</v>
      </c>
      <c r="X33">
        <v>64.099999999999994</v>
      </c>
      <c r="Y33" t="s">
        <v>162</v>
      </c>
      <c r="Z33" t="s">
        <v>44</v>
      </c>
      <c r="AA33" t="s">
        <v>67</v>
      </c>
      <c r="AB33" t="s">
        <v>163</v>
      </c>
      <c r="AC33">
        <f>12+12+12+11+10+6</f>
        <v>63</v>
      </c>
      <c r="AD33" t="s">
        <v>50</v>
      </c>
      <c r="AE33" t="s">
        <v>50</v>
      </c>
      <c r="AF33" t="s">
        <v>50</v>
      </c>
      <c r="AG33" t="s">
        <v>50</v>
      </c>
      <c r="AH33" t="s">
        <v>50</v>
      </c>
      <c r="AI33" s="3" t="s">
        <v>58</v>
      </c>
      <c r="AJ33">
        <v>1</v>
      </c>
      <c r="AK33">
        <v>2</v>
      </c>
      <c r="AL33">
        <v>5</v>
      </c>
    </row>
    <row r="34" spans="1:59" x14ac:dyDescent="0.25">
      <c r="A34" t="s">
        <v>164</v>
      </c>
      <c r="B34" t="s">
        <v>0</v>
      </c>
      <c r="C34" t="s">
        <v>0</v>
      </c>
      <c r="D34" t="s">
        <v>0</v>
      </c>
      <c r="E34" t="s">
        <v>40</v>
      </c>
      <c r="F34" s="5">
        <v>8.9259764850900005</v>
      </c>
      <c r="G34" s="3" t="s">
        <v>165</v>
      </c>
      <c r="H34" s="6">
        <v>42935</v>
      </c>
      <c r="I34" s="4">
        <v>0.95833333333333337</v>
      </c>
      <c r="J34" s="6">
        <v>42934</v>
      </c>
      <c r="K34" s="1" t="s">
        <v>42</v>
      </c>
      <c r="L34" s="3" t="s">
        <v>156</v>
      </c>
      <c r="M34" s="3">
        <v>1700000</v>
      </c>
      <c r="N34" s="3">
        <v>94</v>
      </c>
      <c r="O34" s="3">
        <v>-36.898637000000001</v>
      </c>
      <c r="P34" s="3">
        <v>174.785471</v>
      </c>
      <c r="Q34">
        <v>302684.84000000003</v>
      </c>
      <c r="R34">
        <v>5914081.96</v>
      </c>
      <c r="S34" t="s">
        <v>45</v>
      </c>
      <c r="T34" s="3">
        <v>2.9</v>
      </c>
      <c r="U34" s="3">
        <v>17</v>
      </c>
      <c r="V34" t="s">
        <v>44</v>
      </c>
      <c r="W34" t="s">
        <v>44</v>
      </c>
      <c r="X34">
        <v>78.900000000000006</v>
      </c>
      <c r="Y34" t="s">
        <v>166</v>
      </c>
      <c r="Z34" t="s">
        <v>44</v>
      </c>
      <c r="AA34" t="s">
        <v>48</v>
      </c>
      <c r="AB34" t="s">
        <v>167</v>
      </c>
      <c r="AC34">
        <f>29+29+29+26+22+8</f>
        <v>143</v>
      </c>
      <c r="AD34" t="s">
        <v>50</v>
      </c>
      <c r="AE34" t="s">
        <v>50</v>
      </c>
      <c r="AF34" t="s">
        <v>50</v>
      </c>
      <c r="AG34" t="s">
        <v>50</v>
      </c>
      <c r="AH34" t="s">
        <v>50</v>
      </c>
      <c r="AI34" s="3" t="s">
        <v>63</v>
      </c>
      <c r="AJ34">
        <v>1</v>
      </c>
      <c r="AK34">
        <v>1</v>
      </c>
      <c r="AL34">
        <v>5</v>
      </c>
    </row>
    <row r="35" spans="1:59" x14ac:dyDescent="0.25">
      <c r="A35" t="s">
        <v>168</v>
      </c>
      <c r="B35" t="s">
        <v>0</v>
      </c>
      <c r="C35" t="s">
        <v>0</v>
      </c>
      <c r="D35" t="s">
        <v>0</v>
      </c>
      <c r="E35" t="s">
        <v>40</v>
      </c>
      <c r="F35" s="5">
        <v>9.3586243339599999</v>
      </c>
      <c r="G35" s="3" t="s">
        <v>169</v>
      </c>
      <c r="H35" s="6">
        <v>42935</v>
      </c>
      <c r="I35" s="4">
        <v>4.1666666666666664E-2</v>
      </c>
      <c r="J35" s="6">
        <v>42935</v>
      </c>
      <c r="K35" s="1" t="s">
        <v>42</v>
      </c>
      <c r="L35" s="3" t="s">
        <v>145</v>
      </c>
      <c r="M35" s="3">
        <v>582988</v>
      </c>
      <c r="N35" s="3">
        <v>55</v>
      </c>
      <c r="O35" s="3">
        <v>-36.916733999999998</v>
      </c>
      <c r="P35" s="3">
        <v>174.74166199999999</v>
      </c>
      <c r="Q35">
        <v>298828.43</v>
      </c>
      <c r="R35">
        <v>5911982.4500000002</v>
      </c>
      <c r="S35" t="s">
        <v>45</v>
      </c>
      <c r="T35" s="3">
        <v>1.8</v>
      </c>
      <c r="U35" s="3">
        <v>19.2</v>
      </c>
      <c r="V35" t="s">
        <v>44</v>
      </c>
      <c r="W35" t="s">
        <v>44</v>
      </c>
      <c r="X35">
        <v>71.8</v>
      </c>
      <c r="Y35" t="s">
        <v>170</v>
      </c>
      <c r="Z35" t="s">
        <v>44</v>
      </c>
      <c r="AA35" t="s">
        <v>48</v>
      </c>
      <c r="AB35" t="s">
        <v>171</v>
      </c>
      <c r="AC35">
        <f>32+31+30+26+22+10</f>
        <v>151</v>
      </c>
      <c r="AD35" t="s">
        <v>50</v>
      </c>
      <c r="AE35" t="s">
        <v>50</v>
      </c>
      <c r="AF35" t="s">
        <v>50</v>
      </c>
      <c r="AG35" t="s">
        <v>50</v>
      </c>
      <c r="AH35" t="s">
        <v>50</v>
      </c>
      <c r="AI35" s="3" t="s">
        <v>58</v>
      </c>
      <c r="AJ35">
        <v>1</v>
      </c>
      <c r="AK35">
        <v>1</v>
      </c>
      <c r="AL35">
        <v>1</v>
      </c>
    </row>
    <row r="36" spans="1:59" x14ac:dyDescent="0.25">
      <c r="A36" t="s">
        <v>172</v>
      </c>
      <c r="B36" t="s">
        <v>53</v>
      </c>
      <c r="C36" t="s">
        <v>54</v>
      </c>
      <c r="D36" t="s">
        <v>0</v>
      </c>
      <c r="E36" t="s">
        <v>40</v>
      </c>
      <c r="F36" s="5">
        <v>5.7003831080199996</v>
      </c>
      <c r="G36" s="3" t="s">
        <v>165</v>
      </c>
      <c r="H36" s="6">
        <v>42935</v>
      </c>
      <c r="I36" s="4">
        <v>0.95833333333333337</v>
      </c>
      <c r="J36" s="6">
        <v>42934</v>
      </c>
      <c r="K36" s="1" t="s">
        <v>42</v>
      </c>
      <c r="L36" s="3" t="s">
        <v>156</v>
      </c>
      <c r="M36" s="3">
        <v>1700000</v>
      </c>
      <c r="N36" s="3">
        <v>94</v>
      </c>
      <c r="O36" s="3">
        <v>-36.898637000000001</v>
      </c>
      <c r="P36" s="3">
        <v>174.785471</v>
      </c>
      <c r="Q36">
        <v>302684.84000000003</v>
      </c>
      <c r="R36">
        <v>5914081.96</v>
      </c>
      <c r="S36" t="s">
        <v>45</v>
      </c>
      <c r="T36" s="3">
        <v>2.9</v>
      </c>
      <c r="U36" s="3" t="s">
        <v>44</v>
      </c>
      <c r="V36" t="s">
        <v>44</v>
      </c>
      <c r="W36" t="s">
        <v>44</v>
      </c>
      <c r="X36" t="s">
        <v>44</v>
      </c>
      <c r="Y36" t="s">
        <v>44</v>
      </c>
      <c r="Z36" t="s">
        <v>44</v>
      </c>
      <c r="AA36" t="s">
        <v>44</v>
      </c>
      <c r="AB36" t="s">
        <v>44</v>
      </c>
      <c r="AC36" t="s">
        <v>44</v>
      </c>
      <c r="AD36" t="s">
        <v>50</v>
      </c>
      <c r="AE36" t="s">
        <v>50</v>
      </c>
      <c r="AF36" t="s">
        <v>50</v>
      </c>
      <c r="AG36" t="s">
        <v>50</v>
      </c>
      <c r="AH36" t="s">
        <v>50</v>
      </c>
      <c r="AI36" s="3" t="s">
        <v>58</v>
      </c>
      <c r="AJ36" t="s">
        <v>44</v>
      </c>
      <c r="AK36" t="s">
        <v>44</v>
      </c>
      <c r="AL36" t="s">
        <v>44</v>
      </c>
    </row>
    <row r="37" spans="1:59" x14ac:dyDescent="0.25">
      <c r="A37" t="s">
        <v>173</v>
      </c>
      <c r="B37" t="s">
        <v>0</v>
      </c>
      <c r="C37" t="s">
        <v>0</v>
      </c>
      <c r="D37" t="s">
        <v>0</v>
      </c>
      <c r="E37" t="s">
        <v>40</v>
      </c>
      <c r="F37" s="5">
        <v>6.3014663789699998</v>
      </c>
      <c r="G37" s="3" t="s">
        <v>174</v>
      </c>
      <c r="H37" s="6">
        <v>42944</v>
      </c>
      <c r="I37" s="2">
        <v>8.3333333333333329E-2</v>
      </c>
      <c r="J37" s="6">
        <v>42944</v>
      </c>
      <c r="K37" s="1" t="s">
        <v>42</v>
      </c>
      <c r="L37" s="3" t="s">
        <v>101</v>
      </c>
      <c r="M37" s="3">
        <v>348552</v>
      </c>
      <c r="N37" s="3">
        <v>153</v>
      </c>
      <c r="O37" s="3">
        <v>-36.874961999999996</v>
      </c>
      <c r="P37" s="3">
        <v>174.76515900000001</v>
      </c>
      <c r="Q37">
        <v>300813.24</v>
      </c>
      <c r="R37">
        <v>5916666.5999999996</v>
      </c>
      <c r="S37" t="s">
        <v>45</v>
      </c>
      <c r="T37" s="3">
        <v>2.8</v>
      </c>
      <c r="U37" s="3">
        <v>15.2</v>
      </c>
      <c r="V37" t="s">
        <v>44</v>
      </c>
      <c r="W37" t="s">
        <v>44</v>
      </c>
      <c r="X37">
        <v>86.2</v>
      </c>
      <c r="Y37" t="s">
        <v>175</v>
      </c>
      <c r="Z37" t="s">
        <v>44</v>
      </c>
      <c r="AA37" t="s">
        <v>48</v>
      </c>
      <c r="AB37" t="s">
        <v>176</v>
      </c>
      <c r="AC37">
        <f>76+75+74+66+57+27</f>
        <v>375</v>
      </c>
      <c r="AD37" t="s">
        <v>50</v>
      </c>
      <c r="AE37" t="s">
        <v>50</v>
      </c>
      <c r="AF37" t="s">
        <v>50</v>
      </c>
      <c r="AG37" t="s">
        <v>50</v>
      </c>
      <c r="AH37" t="s">
        <v>50</v>
      </c>
      <c r="AI37" s="3" t="s">
        <v>51</v>
      </c>
      <c r="AJ37">
        <v>4</v>
      </c>
    </row>
    <row r="38" spans="1:59" x14ac:dyDescent="0.25">
      <c r="A38" t="s">
        <v>177</v>
      </c>
      <c r="B38" t="s">
        <v>0</v>
      </c>
      <c r="C38" t="s">
        <v>0</v>
      </c>
      <c r="D38" t="s">
        <v>0</v>
      </c>
      <c r="E38" t="s">
        <v>40</v>
      </c>
      <c r="F38" s="5">
        <v>14.110044475800001</v>
      </c>
      <c r="G38" s="3" t="s">
        <v>178</v>
      </c>
      <c r="H38" s="6">
        <v>42944</v>
      </c>
      <c r="I38" s="4">
        <v>0.125</v>
      </c>
      <c r="J38" s="6">
        <v>42944</v>
      </c>
      <c r="K38" s="1" t="s">
        <v>42</v>
      </c>
      <c r="L38" s="3" t="s">
        <v>106</v>
      </c>
      <c r="M38" s="3">
        <v>710007</v>
      </c>
      <c r="N38" s="3">
        <v>63</v>
      </c>
      <c r="O38" s="3">
        <v>-36.859202000000003</v>
      </c>
      <c r="P38" s="3">
        <v>174.77531999999999</v>
      </c>
      <c r="Q38">
        <v>301678.25</v>
      </c>
      <c r="R38">
        <v>5918436.4000000004</v>
      </c>
      <c r="S38" t="s">
        <v>45</v>
      </c>
      <c r="T38" s="3">
        <v>1.4</v>
      </c>
      <c r="U38" s="3">
        <v>15.9</v>
      </c>
      <c r="V38" t="s">
        <v>44</v>
      </c>
      <c r="W38" t="s">
        <v>44</v>
      </c>
      <c r="X38">
        <v>78.400000000000006</v>
      </c>
      <c r="Y38" t="s">
        <v>179</v>
      </c>
      <c r="Z38" t="s">
        <v>134</v>
      </c>
      <c r="AA38" t="s">
        <v>67</v>
      </c>
      <c r="AB38" t="s">
        <v>180</v>
      </c>
      <c r="AC38">
        <f>36+36+36+32+27+13</f>
        <v>180</v>
      </c>
      <c r="AD38" t="s">
        <v>50</v>
      </c>
      <c r="AE38" t="s">
        <v>50</v>
      </c>
      <c r="AF38" t="s">
        <v>50</v>
      </c>
      <c r="AG38" t="s">
        <v>50</v>
      </c>
      <c r="AH38" t="s">
        <v>50</v>
      </c>
      <c r="AI38" s="3" t="s">
        <v>51</v>
      </c>
      <c r="AJ38">
        <v>4</v>
      </c>
      <c r="AK38">
        <v>1</v>
      </c>
      <c r="AL38">
        <v>1</v>
      </c>
    </row>
    <row r="39" spans="1:59" x14ac:dyDescent="0.25">
      <c r="A39" t="s">
        <v>181</v>
      </c>
      <c r="B39" t="s">
        <v>0</v>
      </c>
      <c r="C39" t="s">
        <v>0</v>
      </c>
      <c r="D39" t="s">
        <v>0</v>
      </c>
      <c r="E39" t="s">
        <v>40</v>
      </c>
      <c r="F39" s="5">
        <v>6.9586947906100001</v>
      </c>
      <c r="G39" s="3" t="s">
        <v>119</v>
      </c>
      <c r="H39" s="6">
        <v>42947</v>
      </c>
      <c r="I39" s="2">
        <v>0</v>
      </c>
      <c r="J39" s="6">
        <v>42947</v>
      </c>
      <c r="K39" s="1" t="s">
        <v>42</v>
      </c>
      <c r="L39" s="3" t="s">
        <v>182</v>
      </c>
      <c r="M39" s="3">
        <v>14682</v>
      </c>
      <c r="N39" s="3">
        <v>16</v>
      </c>
      <c r="O39" s="3">
        <v>-36.850625000000001</v>
      </c>
      <c r="P39" s="3">
        <v>174.77347800000001</v>
      </c>
      <c r="Q39">
        <v>301491.82</v>
      </c>
      <c r="R39">
        <v>5919384.2300000004</v>
      </c>
      <c r="S39" t="s">
        <v>45</v>
      </c>
      <c r="T39" s="3">
        <v>0.8</v>
      </c>
      <c r="U39" s="3">
        <v>19.3</v>
      </c>
      <c r="V39" t="s">
        <v>44</v>
      </c>
      <c r="W39" t="s">
        <v>44</v>
      </c>
      <c r="X39">
        <v>56.4</v>
      </c>
      <c r="Y39" t="s">
        <v>183</v>
      </c>
      <c r="Z39" t="s">
        <v>44</v>
      </c>
      <c r="AA39" t="s">
        <v>67</v>
      </c>
      <c r="AB39" t="s">
        <v>184</v>
      </c>
      <c r="AC39">
        <f>31+31+31+29+25+11</f>
        <v>158</v>
      </c>
      <c r="AD39" t="s">
        <v>50</v>
      </c>
      <c r="AE39" t="s">
        <v>50</v>
      </c>
      <c r="AF39" t="s">
        <v>50</v>
      </c>
      <c r="AG39" t="s">
        <v>50</v>
      </c>
      <c r="AH39" t="s">
        <v>57</v>
      </c>
      <c r="AI39" s="3" t="s">
        <v>63</v>
      </c>
      <c r="AJ39">
        <v>3</v>
      </c>
      <c r="AK39">
        <v>6</v>
      </c>
      <c r="AL39">
        <v>2</v>
      </c>
    </row>
    <row r="40" spans="1:59" x14ac:dyDescent="0.25">
      <c r="A40" t="s">
        <v>185</v>
      </c>
      <c r="B40" t="s">
        <v>0</v>
      </c>
      <c r="C40" t="s">
        <v>0</v>
      </c>
      <c r="D40" t="s">
        <v>0</v>
      </c>
      <c r="E40">
        <v>0.38</v>
      </c>
      <c r="F40" s="5">
        <v>10.829406843099999</v>
      </c>
      <c r="G40" s="3" t="s">
        <v>186</v>
      </c>
      <c r="H40" s="6">
        <v>42947</v>
      </c>
      <c r="I40" s="4">
        <v>0.16666666666666666</v>
      </c>
      <c r="J40" s="6">
        <v>42947</v>
      </c>
      <c r="K40" s="1" t="s">
        <v>42</v>
      </c>
      <c r="L40" s="3" t="s">
        <v>145</v>
      </c>
      <c r="M40" s="3">
        <v>582988</v>
      </c>
      <c r="N40" s="3">
        <v>55</v>
      </c>
      <c r="O40" s="3">
        <v>-36.916733999999998</v>
      </c>
      <c r="P40" s="3">
        <v>174.74166199999999</v>
      </c>
      <c r="Q40">
        <v>298828.43</v>
      </c>
      <c r="R40">
        <v>5911982.4500000002</v>
      </c>
      <c r="S40" t="s">
        <v>45</v>
      </c>
      <c r="T40" s="3">
        <v>1.8</v>
      </c>
      <c r="U40" s="3">
        <v>16.2</v>
      </c>
      <c r="V40" t="s">
        <v>44</v>
      </c>
      <c r="W40" t="s">
        <v>44</v>
      </c>
      <c r="X40">
        <v>61.6</v>
      </c>
      <c r="Y40" t="s">
        <v>187</v>
      </c>
      <c r="Z40" t="s">
        <v>44</v>
      </c>
      <c r="AA40" t="s">
        <v>67</v>
      </c>
      <c r="AB40" t="s">
        <v>188</v>
      </c>
      <c r="AC40">
        <f>28+28+28+26+23+11</f>
        <v>144</v>
      </c>
      <c r="AD40" t="s">
        <v>50</v>
      </c>
      <c r="AE40" t="s">
        <v>50</v>
      </c>
      <c r="AF40" t="s">
        <v>50</v>
      </c>
      <c r="AG40" t="s">
        <v>50</v>
      </c>
      <c r="AH40" t="s">
        <v>50</v>
      </c>
      <c r="AI40" s="3" t="s">
        <v>51</v>
      </c>
      <c r="AJ40">
        <v>1</v>
      </c>
      <c r="AK40">
        <v>6</v>
      </c>
      <c r="AL40">
        <v>2</v>
      </c>
    </row>
    <row r="41" spans="1:59" x14ac:dyDescent="0.25">
      <c r="A41" t="s">
        <v>189</v>
      </c>
      <c r="B41" t="s">
        <v>53</v>
      </c>
      <c r="C41" t="s">
        <v>54</v>
      </c>
      <c r="D41" t="s">
        <v>0</v>
      </c>
      <c r="E41" t="s">
        <v>40</v>
      </c>
      <c r="F41" s="5">
        <v>4.7260997842299997</v>
      </c>
      <c r="G41" s="3" t="s">
        <v>186</v>
      </c>
      <c r="H41" s="6">
        <v>42947</v>
      </c>
      <c r="I41" s="4">
        <v>0.16666666666666666</v>
      </c>
      <c r="J41" s="6">
        <v>42947</v>
      </c>
      <c r="K41" s="1" t="s">
        <v>42</v>
      </c>
      <c r="L41" s="3" t="s">
        <v>145</v>
      </c>
      <c r="M41" s="3">
        <v>582988</v>
      </c>
      <c r="N41" s="3">
        <v>55</v>
      </c>
      <c r="O41" s="3">
        <v>-36.916733999999998</v>
      </c>
      <c r="P41" s="3">
        <v>174.74166199999999</v>
      </c>
      <c r="Q41">
        <v>298828.43</v>
      </c>
      <c r="R41">
        <v>5911982.4500000002</v>
      </c>
      <c r="S41" t="s">
        <v>45</v>
      </c>
      <c r="T41" s="3">
        <v>1.8</v>
      </c>
      <c r="U41" s="3" t="s">
        <v>44</v>
      </c>
      <c r="V41" t="s">
        <v>44</v>
      </c>
      <c r="W41" t="s">
        <v>44</v>
      </c>
      <c r="X41" t="s">
        <v>44</v>
      </c>
      <c r="Y41" t="s">
        <v>44</v>
      </c>
      <c r="Z41" t="s">
        <v>44</v>
      </c>
      <c r="AA41" t="s">
        <v>44</v>
      </c>
      <c r="AB41" t="s">
        <v>44</v>
      </c>
      <c r="AC41" t="s">
        <v>44</v>
      </c>
      <c r="AD41" t="s">
        <v>50</v>
      </c>
      <c r="AE41" t="s">
        <v>50</v>
      </c>
      <c r="AF41" t="s">
        <v>50</v>
      </c>
      <c r="AG41" t="s">
        <v>50</v>
      </c>
      <c r="AH41" t="s">
        <v>50</v>
      </c>
      <c r="AI41" s="3" t="s">
        <v>63</v>
      </c>
      <c r="AJ41" t="s">
        <v>44</v>
      </c>
      <c r="AK41" t="s">
        <v>44</v>
      </c>
      <c r="AL41" t="s">
        <v>44</v>
      </c>
    </row>
    <row r="42" spans="1:59" x14ac:dyDescent="0.25">
      <c r="A42" t="s">
        <v>190</v>
      </c>
      <c r="B42" t="s">
        <v>0</v>
      </c>
      <c r="C42" t="s">
        <v>0</v>
      </c>
      <c r="D42" t="s">
        <v>0</v>
      </c>
      <c r="E42" t="s">
        <v>40</v>
      </c>
      <c r="F42" s="5">
        <v>0.85979127217999995</v>
      </c>
      <c r="G42" s="3" t="s">
        <v>191</v>
      </c>
      <c r="H42" s="6">
        <v>42956</v>
      </c>
      <c r="I42" s="4">
        <v>0</v>
      </c>
      <c r="J42" s="6">
        <v>42956</v>
      </c>
      <c r="K42" s="1" t="s">
        <v>42</v>
      </c>
      <c r="L42" s="3" t="s">
        <v>182</v>
      </c>
      <c r="M42" s="3">
        <v>14682</v>
      </c>
      <c r="N42" s="3">
        <v>16</v>
      </c>
      <c r="O42" s="3">
        <v>-36.850625000000001</v>
      </c>
      <c r="P42" s="3">
        <v>174.77347800000001</v>
      </c>
      <c r="Q42">
        <v>301491.82</v>
      </c>
      <c r="R42">
        <v>5919384.2300000004</v>
      </c>
      <c r="S42" t="s">
        <v>45</v>
      </c>
      <c r="T42" s="3">
        <v>0.8</v>
      </c>
      <c r="U42" s="3">
        <v>15.7</v>
      </c>
      <c r="V42" t="s">
        <v>44</v>
      </c>
      <c r="W42" t="s">
        <v>44</v>
      </c>
      <c r="X42">
        <v>93.8</v>
      </c>
      <c r="Y42" t="s">
        <v>192</v>
      </c>
      <c r="Z42" t="s">
        <v>72</v>
      </c>
      <c r="AA42" t="s">
        <v>61</v>
      </c>
      <c r="AB42" t="s">
        <v>193</v>
      </c>
      <c r="AC42">
        <f>392+390+386+333+213+102</f>
        <v>1816</v>
      </c>
      <c r="AD42" t="s">
        <v>50</v>
      </c>
      <c r="AE42" t="s">
        <v>50</v>
      </c>
      <c r="AF42" t="s">
        <v>50</v>
      </c>
      <c r="AG42" t="s">
        <v>50</v>
      </c>
      <c r="AH42" t="s">
        <v>57</v>
      </c>
      <c r="AI42" s="3" t="s">
        <v>58</v>
      </c>
      <c r="AJ42">
        <v>1</v>
      </c>
    </row>
    <row r="43" spans="1:59" x14ac:dyDescent="0.25">
      <c r="A43" s="5" t="s">
        <v>194</v>
      </c>
      <c r="B43" s="5" t="s">
        <v>81</v>
      </c>
      <c r="C43" t="s">
        <v>54</v>
      </c>
      <c r="D43" t="s">
        <v>54</v>
      </c>
      <c r="E43" t="s">
        <v>40</v>
      </c>
      <c r="F43" s="5">
        <v>0.72658417367999995</v>
      </c>
      <c r="G43" s="3" t="s">
        <v>44</v>
      </c>
      <c r="H43" s="3" t="s">
        <v>44</v>
      </c>
      <c r="I43" s="3" t="s">
        <v>44</v>
      </c>
      <c r="J43" s="3" t="s">
        <v>44</v>
      </c>
      <c r="K43" s="3" t="s">
        <v>44</v>
      </c>
      <c r="L43" s="3" t="s">
        <v>44</v>
      </c>
      <c r="M43" s="3" t="s">
        <v>44</v>
      </c>
      <c r="N43" s="3" t="s">
        <v>44</v>
      </c>
      <c r="O43" s="3" t="s">
        <v>44</v>
      </c>
      <c r="P43" s="3" t="s">
        <v>44</v>
      </c>
      <c r="Q43" s="3" t="s">
        <v>44</v>
      </c>
      <c r="R43" s="3" t="s">
        <v>44</v>
      </c>
      <c r="S43" s="3" t="s">
        <v>44</v>
      </c>
      <c r="T43" s="3" t="s">
        <v>44</v>
      </c>
      <c r="U43" s="3" t="s">
        <v>44</v>
      </c>
      <c r="V43" t="s">
        <v>44</v>
      </c>
      <c r="W43" t="s">
        <v>44</v>
      </c>
      <c r="X43" t="s">
        <v>44</v>
      </c>
      <c r="Y43" t="s">
        <v>44</v>
      </c>
      <c r="Z43" t="s">
        <v>44</v>
      </c>
      <c r="AA43" t="s">
        <v>44</v>
      </c>
      <c r="AB43" t="s">
        <v>44</v>
      </c>
      <c r="AC43" t="s">
        <v>44</v>
      </c>
      <c r="AD43" t="s">
        <v>50</v>
      </c>
      <c r="AE43" t="s">
        <v>50</v>
      </c>
      <c r="AF43" t="s">
        <v>50</v>
      </c>
      <c r="AG43" t="s">
        <v>50</v>
      </c>
      <c r="AH43" t="s">
        <v>50</v>
      </c>
      <c r="AI43" s="3" t="s">
        <v>58</v>
      </c>
      <c r="AJ43" t="s">
        <v>44</v>
      </c>
      <c r="AK43" t="s">
        <v>44</v>
      </c>
      <c r="AL43" t="s">
        <v>44</v>
      </c>
    </row>
    <row r="44" spans="1:59" x14ac:dyDescent="0.25">
      <c r="A44" s="3" t="s">
        <v>195</v>
      </c>
      <c r="B44" s="3" t="s">
        <v>0</v>
      </c>
      <c r="C44" s="3" t="s">
        <v>0</v>
      </c>
      <c r="D44" s="3" t="s">
        <v>0</v>
      </c>
      <c r="E44" s="3" t="s">
        <v>40</v>
      </c>
      <c r="F44" s="5">
        <v>3.0219296314199999</v>
      </c>
      <c r="G44" s="3" t="s">
        <v>115</v>
      </c>
      <c r="H44" s="6">
        <v>43179</v>
      </c>
      <c r="I44" s="4">
        <v>0.16666666666666666</v>
      </c>
      <c r="J44" s="6">
        <v>43179</v>
      </c>
      <c r="K44" s="6" t="s">
        <v>196</v>
      </c>
      <c r="L44" s="3" t="s">
        <v>90</v>
      </c>
      <c r="M44" s="3">
        <v>404963</v>
      </c>
      <c r="N44" s="3">
        <v>103</v>
      </c>
      <c r="O44" s="3">
        <v>-36.890183</v>
      </c>
      <c r="P44" s="3">
        <v>174.720403</v>
      </c>
      <c r="Q44">
        <v>296864</v>
      </c>
      <c r="R44">
        <v>5914883.3700000001</v>
      </c>
      <c r="S44" t="s">
        <v>45</v>
      </c>
      <c r="T44" s="3">
        <v>2.4</v>
      </c>
      <c r="U44" s="3">
        <v>27.2</v>
      </c>
      <c r="V44" s="3">
        <v>0.6</v>
      </c>
      <c r="W44" s="3">
        <v>1.2</v>
      </c>
      <c r="X44" s="3">
        <v>58</v>
      </c>
      <c r="Y44" s="3" t="s">
        <v>197</v>
      </c>
      <c r="Z44" s="3" t="s">
        <v>44</v>
      </c>
      <c r="AA44" s="3" t="s">
        <v>67</v>
      </c>
      <c r="AB44" s="3" t="s">
        <v>198</v>
      </c>
      <c r="AC44" s="3">
        <f>34+34+33+27+22+5</f>
        <v>155</v>
      </c>
      <c r="AD44" t="s">
        <v>50</v>
      </c>
      <c r="AE44" t="s">
        <v>50</v>
      </c>
      <c r="AF44" t="s">
        <v>57</v>
      </c>
      <c r="AG44" t="s">
        <v>50</v>
      </c>
      <c r="AH44" t="s">
        <v>50</v>
      </c>
      <c r="AI44" s="3" t="s">
        <v>63</v>
      </c>
      <c r="AJ44" s="3">
        <v>6</v>
      </c>
      <c r="AK44">
        <v>6</v>
      </c>
      <c r="AL44" s="3">
        <v>4</v>
      </c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</row>
    <row r="45" spans="1:59" x14ac:dyDescent="0.25">
      <c r="A45" s="3" t="s">
        <v>199</v>
      </c>
      <c r="B45" s="3" t="s">
        <v>0</v>
      </c>
      <c r="C45" s="3" t="s">
        <v>0</v>
      </c>
      <c r="D45" s="3" t="s">
        <v>0</v>
      </c>
      <c r="E45" s="3" t="s">
        <v>40</v>
      </c>
      <c r="F45" s="5">
        <v>1.5291294200500001</v>
      </c>
      <c r="G45" s="3" t="s">
        <v>200</v>
      </c>
      <c r="H45" s="6">
        <v>43179</v>
      </c>
      <c r="I45" s="4">
        <v>0.20833333333333334</v>
      </c>
      <c r="J45" s="6">
        <v>43179</v>
      </c>
      <c r="K45" s="6" t="s">
        <v>196</v>
      </c>
      <c r="L45" s="3" t="s">
        <v>145</v>
      </c>
      <c r="M45" s="3">
        <v>582988</v>
      </c>
      <c r="N45" s="3">
        <v>55</v>
      </c>
      <c r="O45" s="3">
        <v>-36.916733999999998</v>
      </c>
      <c r="P45" s="3">
        <v>174.74166199999999</v>
      </c>
      <c r="Q45">
        <v>298828.43</v>
      </c>
      <c r="R45">
        <v>5911982.4500000002</v>
      </c>
      <c r="S45" t="s">
        <v>45</v>
      </c>
      <c r="T45" s="3">
        <v>1.8</v>
      </c>
      <c r="U45" s="3">
        <v>22.6</v>
      </c>
      <c r="V45" s="3">
        <v>1.3</v>
      </c>
      <c r="W45" s="3">
        <v>2</v>
      </c>
      <c r="X45" s="3">
        <v>58.6</v>
      </c>
      <c r="Y45" s="3" t="s">
        <v>201</v>
      </c>
      <c r="Z45" s="3" t="s">
        <v>72</v>
      </c>
      <c r="AA45" s="3" t="s">
        <v>67</v>
      </c>
      <c r="AB45" s="3" t="s">
        <v>202</v>
      </c>
      <c r="AC45" s="3">
        <f>33+33+32+26+21+8</f>
        <v>153</v>
      </c>
      <c r="AD45" t="s">
        <v>50</v>
      </c>
      <c r="AE45" t="s">
        <v>50</v>
      </c>
      <c r="AF45" t="s">
        <v>50</v>
      </c>
      <c r="AG45" t="s">
        <v>50</v>
      </c>
      <c r="AH45" t="s">
        <v>50</v>
      </c>
      <c r="AI45" s="3" t="s">
        <v>63</v>
      </c>
      <c r="AJ45" s="3">
        <v>6</v>
      </c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</row>
    <row r="46" spans="1:59" x14ac:dyDescent="0.25">
      <c r="A46" s="3" t="s">
        <v>203</v>
      </c>
      <c r="B46" s="3" t="s">
        <v>0</v>
      </c>
      <c r="C46" s="3" t="s">
        <v>0</v>
      </c>
      <c r="D46" s="3" t="s">
        <v>0</v>
      </c>
      <c r="E46" s="3" t="s">
        <v>40</v>
      </c>
      <c r="F46" s="5">
        <v>4.1525386410699996</v>
      </c>
      <c r="G46" s="3" t="s">
        <v>204</v>
      </c>
      <c r="H46" s="6">
        <v>43179</v>
      </c>
      <c r="I46" s="4">
        <v>8.3333333333333329E-2</v>
      </c>
      <c r="J46" s="6">
        <v>43179</v>
      </c>
      <c r="K46" s="6" t="s">
        <v>196</v>
      </c>
      <c r="L46" s="3" t="s">
        <v>84</v>
      </c>
      <c r="M46" s="3">
        <v>1850000</v>
      </c>
      <c r="N46" s="3">
        <v>13</v>
      </c>
      <c r="O46" s="3">
        <v>-36.864896999999999</v>
      </c>
      <c r="P46" s="3">
        <v>174.72235900000001</v>
      </c>
      <c r="Q46">
        <v>296971.36</v>
      </c>
      <c r="R46">
        <v>5917693.1600000001</v>
      </c>
      <c r="S46" t="s">
        <v>45</v>
      </c>
      <c r="T46" s="3">
        <v>1.5</v>
      </c>
      <c r="U46" s="3">
        <v>27.9</v>
      </c>
      <c r="V46" s="3">
        <v>0.9</v>
      </c>
      <c r="W46" s="3">
        <v>2.2000000000000002</v>
      </c>
      <c r="X46" s="3">
        <v>53.4</v>
      </c>
      <c r="Y46" s="3" t="s">
        <v>205</v>
      </c>
      <c r="Z46" s="3" t="s">
        <v>97</v>
      </c>
      <c r="AA46" s="3" t="s">
        <v>67</v>
      </c>
      <c r="AB46" s="3" t="s">
        <v>206</v>
      </c>
      <c r="AC46" s="3">
        <f>65+65+64+55+48+23</f>
        <v>320</v>
      </c>
      <c r="AD46" s="3" t="s">
        <v>57</v>
      </c>
      <c r="AE46" s="3" t="s">
        <v>57</v>
      </c>
      <c r="AF46" t="s">
        <v>50</v>
      </c>
      <c r="AG46" t="s">
        <v>50</v>
      </c>
      <c r="AH46" t="s">
        <v>50</v>
      </c>
      <c r="AI46" s="3" t="s">
        <v>51</v>
      </c>
      <c r="AJ46" s="3">
        <v>6</v>
      </c>
      <c r="AK46">
        <v>5</v>
      </c>
      <c r="AL46" s="3">
        <v>5</v>
      </c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</row>
    <row r="47" spans="1:59" x14ac:dyDescent="0.25">
      <c r="A47" s="3" t="s">
        <v>207</v>
      </c>
      <c r="B47" s="3" t="s">
        <v>53</v>
      </c>
      <c r="C47" s="3" t="s">
        <v>54</v>
      </c>
      <c r="D47" s="3" t="s">
        <v>0</v>
      </c>
      <c r="E47" s="3" t="s">
        <v>40</v>
      </c>
      <c r="F47" s="5">
        <v>1.2913382359400001</v>
      </c>
      <c r="G47" s="3" t="s">
        <v>208</v>
      </c>
      <c r="H47" s="6">
        <v>43180</v>
      </c>
      <c r="I47" s="4">
        <v>0</v>
      </c>
      <c r="J47" s="6">
        <v>43180</v>
      </c>
      <c r="K47" s="6" t="s">
        <v>196</v>
      </c>
      <c r="L47" s="3" t="s">
        <v>156</v>
      </c>
      <c r="M47" s="3">
        <v>1700000</v>
      </c>
      <c r="N47" s="3">
        <v>94</v>
      </c>
      <c r="O47" s="3">
        <v>-36.898637000000001</v>
      </c>
      <c r="P47" s="3">
        <v>174.785471</v>
      </c>
      <c r="Q47">
        <v>302684.84000000003</v>
      </c>
      <c r="R47">
        <v>5914081.96</v>
      </c>
      <c r="S47" t="s">
        <v>45</v>
      </c>
      <c r="T47" s="3">
        <v>2.9</v>
      </c>
      <c r="U47" s="3" t="s">
        <v>44</v>
      </c>
      <c r="V47" s="3" t="s">
        <v>44</v>
      </c>
      <c r="W47" s="3" t="s">
        <v>44</v>
      </c>
      <c r="X47" s="3" t="s">
        <v>44</v>
      </c>
      <c r="Y47" s="3" t="s">
        <v>44</v>
      </c>
      <c r="Z47" s="3" t="s">
        <v>44</v>
      </c>
      <c r="AA47" s="3" t="s">
        <v>44</v>
      </c>
      <c r="AB47" s="3" t="s">
        <v>44</v>
      </c>
      <c r="AC47" s="3" t="s">
        <v>44</v>
      </c>
      <c r="AD47" s="3" t="s">
        <v>50</v>
      </c>
      <c r="AE47" s="3" t="s">
        <v>50</v>
      </c>
      <c r="AF47" t="s">
        <v>50</v>
      </c>
      <c r="AG47" t="s">
        <v>50</v>
      </c>
      <c r="AH47" t="s">
        <v>50</v>
      </c>
      <c r="AI47" s="3" t="s">
        <v>51</v>
      </c>
      <c r="AJ47" s="3" t="s">
        <v>44</v>
      </c>
      <c r="AK47" t="s">
        <v>44</v>
      </c>
      <c r="AL47" t="s">
        <v>44</v>
      </c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</row>
    <row r="48" spans="1:59" x14ac:dyDescent="0.25">
      <c r="A48" s="3" t="s">
        <v>209</v>
      </c>
      <c r="B48" s="3" t="s">
        <v>0</v>
      </c>
      <c r="C48" s="3" t="s">
        <v>0</v>
      </c>
      <c r="D48" s="3" t="s">
        <v>0</v>
      </c>
      <c r="E48" s="3" t="s">
        <v>40</v>
      </c>
      <c r="F48" s="5">
        <v>3.70778105597</v>
      </c>
      <c r="G48" s="3" t="s">
        <v>132</v>
      </c>
      <c r="H48" s="6">
        <v>43180</v>
      </c>
      <c r="I48" s="4">
        <v>8.3333333333333329E-2</v>
      </c>
      <c r="J48" s="6">
        <v>43180</v>
      </c>
      <c r="K48" s="6" t="s">
        <v>196</v>
      </c>
      <c r="L48" s="3" t="s">
        <v>124</v>
      </c>
      <c r="M48" s="3">
        <v>23479</v>
      </c>
      <c r="N48" s="3">
        <v>74</v>
      </c>
      <c r="O48" s="3">
        <v>-36.888378000000003</v>
      </c>
      <c r="P48" s="3">
        <v>174.765905</v>
      </c>
      <c r="Q48">
        <v>300914.59999999998</v>
      </c>
      <c r="R48">
        <v>5915179.5800000001</v>
      </c>
      <c r="S48" t="s">
        <v>45</v>
      </c>
      <c r="T48" s="3">
        <v>4.3</v>
      </c>
      <c r="U48" s="3">
        <v>25</v>
      </c>
      <c r="V48" s="3">
        <v>1.3</v>
      </c>
      <c r="W48" s="3">
        <v>2.5</v>
      </c>
      <c r="X48" s="3">
        <v>60</v>
      </c>
      <c r="Y48" s="3" t="s">
        <v>210</v>
      </c>
      <c r="Z48" s="3" t="s">
        <v>211</v>
      </c>
      <c r="AA48" s="3" t="s">
        <v>67</v>
      </c>
      <c r="AB48" s="3" t="s">
        <v>212</v>
      </c>
      <c r="AC48" s="3">
        <f>35+35+34+27+22+11</f>
        <v>164</v>
      </c>
      <c r="AD48" s="3" t="s">
        <v>50</v>
      </c>
      <c r="AE48" s="3" t="s">
        <v>50</v>
      </c>
      <c r="AF48" t="s">
        <v>50</v>
      </c>
      <c r="AG48" t="s">
        <v>50</v>
      </c>
      <c r="AH48" t="s">
        <v>50</v>
      </c>
      <c r="AI48" s="3" t="s">
        <v>51</v>
      </c>
      <c r="AJ48" s="3">
        <v>6</v>
      </c>
      <c r="AK48">
        <v>5</v>
      </c>
      <c r="AL48" s="3">
        <v>5</v>
      </c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</row>
    <row r="49" spans="1:59" x14ac:dyDescent="0.25">
      <c r="A49" s="3" t="s">
        <v>213</v>
      </c>
      <c r="B49" s="3" t="s">
        <v>0</v>
      </c>
      <c r="C49" s="3" t="s">
        <v>0</v>
      </c>
      <c r="D49" s="3" t="s">
        <v>0</v>
      </c>
      <c r="E49" s="3" t="s">
        <v>40</v>
      </c>
      <c r="F49" s="5">
        <v>1.26932053371</v>
      </c>
      <c r="G49" s="3" t="s">
        <v>208</v>
      </c>
      <c r="H49" s="6">
        <v>43180</v>
      </c>
      <c r="I49" s="4">
        <v>0</v>
      </c>
      <c r="J49" s="6">
        <v>43180</v>
      </c>
      <c r="K49" s="6" t="s">
        <v>196</v>
      </c>
      <c r="L49" s="3" t="s">
        <v>156</v>
      </c>
      <c r="M49" s="3">
        <v>1700000</v>
      </c>
      <c r="N49" s="3">
        <v>94</v>
      </c>
      <c r="O49" s="3">
        <v>-36.898637000000001</v>
      </c>
      <c r="P49" s="3">
        <v>174.785471</v>
      </c>
      <c r="Q49">
        <v>302684.84000000003</v>
      </c>
      <c r="R49">
        <v>5914081.96</v>
      </c>
      <c r="S49" t="s">
        <v>45</v>
      </c>
      <c r="T49" s="3">
        <v>2.9</v>
      </c>
      <c r="U49" s="3">
        <v>27.3</v>
      </c>
      <c r="V49" s="3">
        <v>0.5</v>
      </c>
      <c r="W49" s="3">
        <v>0.8</v>
      </c>
      <c r="X49" s="3">
        <v>54.6</v>
      </c>
      <c r="Y49" s="3" t="s">
        <v>214</v>
      </c>
      <c r="Z49" s="3" t="s">
        <v>215</v>
      </c>
      <c r="AA49" s="3" t="s">
        <v>67</v>
      </c>
      <c r="AB49" s="3" t="s">
        <v>216</v>
      </c>
      <c r="AC49" s="3">
        <f>40+40+39+32+26+10</f>
        <v>187</v>
      </c>
      <c r="AD49" s="3" t="s">
        <v>50</v>
      </c>
      <c r="AE49" s="3" t="s">
        <v>50</v>
      </c>
      <c r="AF49" t="s">
        <v>50</v>
      </c>
      <c r="AG49" t="s">
        <v>50</v>
      </c>
      <c r="AH49" t="s">
        <v>50</v>
      </c>
      <c r="AI49" s="3" t="s">
        <v>63</v>
      </c>
      <c r="AJ49" s="3">
        <v>6</v>
      </c>
      <c r="AK49">
        <v>5</v>
      </c>
      <c r="AL49" s="3">
        <v>5</v>
      </c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</row>
    <row r="50" spans="1:59" x14ac:dyDescent="0.25">
      <c r="A50" s="3" t="s">
        <v>217</v>
      </c>
      <c r="B50" s="3" t="s">
        <v>53</v>
      </c>
      <c r="C50" s="3" t="s">
        <v>54</v>
      </c>
      <c r="D50" s="3" t="s">
        <v>0</v>
      </c>
      <c r="E50" s="3" t="s">
        <v>40</v>
      </c>
      <c r="F50" s="5">
        <v>2.0773702056499999</v>
      </c>
      <c r="G50" s="3" t="s">
        <v>218</v>
      </c>
      <c r="H50" s="6">
        <v>43182</v>
      </c>
      <c r="I50" s="4">
        <v>0.95833333333333337</v>
      </c>
      <c r="J50" s="6">
        <v>43181</v>
      </c>
      <c r="K50" s="6" t="s">
        <v>196</v>
      </c>
      <c r="L50" s="3" t="s">
        <v>101</v>
      </c>
      <c r="M50" s="3">
        <v>348552</v>
      </c>
      <c r="N50" s="3">
        <v>153</v>
      </c>
      <c r="O50" s="3">
        <v>-36.874961999999996</v>
      </c>
      <c r="P50" s="3">
        <v>174.76515900000001</v>
      </c>
      <c r="Q50">
        <v>300813.24</v>
      </c>
      <c r="R50">
        <v>5916666.5999999996</v>
      </c>
      <c r="S50" t="s">
        <v>45</v>
      </c>
      <c r="T50" s="3">
        <v>2.8</v>
      </c>
      <c r="U50" s="3" t="s">
        <v>44</v>
      </c>
      <c r="V50" s="3" t="s">
        <v>44</v>
      </c>
      <c r="W50" s="3" t="s">
        <v>44</v>
      </c>
      <c r="X50" s="3" t="s">
        <v>44</v>
      </c>
      <c r="Y50" s="3" t="s">
        <v>44</v>
      </c>
      <c r="Z50" s="3" t="s">
        <v>44</v>
      </c>
      <c r="AA50" s="3" t="s">
        <v>44</v>
      </c>
      <c r="AB50" s="3" t="s">
        <v>44</v>
      </c>
      <c r="AC50" s="3" t="s">
        <v>44</v>
      </c>
      <c r="AD50" s="3" t="s">
        <v>50</v>
      </c>
      <c r="AE50" s="3" t="s">
        <v>50</v>
      </c>
      <c r="AF50" t="s">
        <v>50</v>
      </c>
      <c r="AG50" t="s">
        <v>50</v>
      </c>
      <c r="AH50" t="s">
        <v>50</v>
      </c>
      <c r="AI50" s="3" t="s">
        <v>63</v>
      </c>
      <c r="AJ50" s="3" t="s">
        <v>44</v>
      </c>
      <c r="AK50" t="s">
        <v>44</v>
      </c>
      <c r="AL50" t="s">
        <v>44</v>
      </c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3" t="s">
        <v>219</v>
      </c>
      <c r="B51" s="3" t="s">
        <v>0</v>
      </c>
      <c r="C51" s="3" t="s">
        <v>0</v>
      </c>
      <c r="D51" s="3" t="s">
        <v>0</v>
      </c>
      <c r="E51" s="3" t="s">
        <v>40</v>
      </c>
      <c r="F51" s="5">
        <v>2.1269100356699999</v>
      </c>
      <c r="G51" s="3" t="s">
        <v>186</v>
      </c>
      <c r="H51" s="6">
        <v>43182</v>
      </c>
      <c r="I51" s="4">
        <v>0.125</v>
      </c>
      <c r="J51" s="6">
        <v>43182</v>
      </c>
      <c r="K51" s="6" t="s">
        <v>196</v>
      </c>
      <c r="L51" s="3" t="s">
        <v>182</v>
      </c>
      <c r="M51" s="3">
        <v>14682</v>
      </c>
      <c r="N51" s="3">
        <v>16</v>
      </c>
      <c r="O51" s="3">
        <v>-36.850625000000001</v>
      </c>
      <c r="P51" s="3">
        <v>174.77347800000001</v>
      </c>
      <c r="Q51">
        <v>301491.82</v>
      </c>
      <c r="R51">
        <v>5919384.2300000004</v>
      </c>
      <c r="S51" t="s">
        <v>45</v>
      </c>
      <c r="T51" s="3">
        <v>0.8</v>
      </c>
      <c r="U51" s="3">
        <v>20.9</v>
      </c>
      <c r="V51" s="3">
        <v>0.6</v>
      </c>
      <c r="W51" s="3">
        <v>1.1000000000000001</v>
      </c>
      <c r="X51" s="3">
        <v>71.3</v>
      </c>
      <c r="Y51" s="3" t="s">
        <v>220</v>
      </c>
      <c r="Z51" s="3" t="s">
        <v>134</v>
      </c>
      <c r="AA51" s="3" t="s">
        <v>61</v>
      </c>
      <c r="AB51" s="3" t="s">
        <v>221</v>
      </c>
      <c r="AC51" s="3">
        <f>52+52+51+42+34+7</f>
        <v>238</v>
      </c>
      <c r="AD51" s="3" t="s">
        <v>50</v>
      </c>
      <c r="AE51" s="3" t="s">
        <v>50</v>
      </c>
      <c r="AF51" t="s">
        <v>50</v>
      </c>
      <c r="AG51" t="s">
        <v>50</v>
      </c>
      <c r="AH51" s="3" t="s">
        <v>57</v>
      </c>
      <c r="AI51" s="3" t="s">
        <v>63</v>
      </c>
      <c r="AJ51" s="3">
        <v>6</v>
      </c>
      <c r="AK51">
        <v>5</v>
      </c>
      <c r="AL51" s="3">
        <v>5</v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</row>
    <row r="52" spans="1:59" x14ac:dyDescent="0.25">
      <c r="A52" s="3" t="s">
        <v>222</v>
      </c>
      <c r="B52" s="3" t="s">
        <v>0</v>
      </c>
      <c r="C52" s="3" t="s">
        <v>0</v>
      </c>
      <c r="D52" s="3" t="s">
        <v>0</v>
      </c>
      <c r="E52" s="3">
        <v>0.01</v>
      </c>
      <c r="F52" s="5">
        <v>0.01</v>
      </c>
      <c r="G52" s="3" t="s">
        <v>174</v>
      </c>
      <c r="H52" s="6">
        <v>43182</v>
      </c>
      <c r="I52" s="4">
        <v>4.1666666666666664E-2</v>
      </c>
      <c r="J52" s="6">
        <v>43182</v>
      </c>
      <c r="K52" s="6" t="s">
        <v>196</v>
      </c>
      <c r="L52" s="3" t="s">
        <v>106</v>
      </c>
      <c r="M52" s="3">
        <v>710007</v>
      </c>
      <c r="N52" s="3">
        <v>63</v>
      </c>
      <c r="O52" s="3">
        <v>-36.859202000000003</v>
      </c>
      <c r="P52" s="3">
        <v>174.77531999999999</v>
      </c>
      <c r="Q52">
        <v>301678.25</v>
      </c>
      <c r="R52">
        <v>5918436.4000000004</v>
      </c>
      <c r="S52" t="s">
        <v>45</v>
      </c>
      <c r="T52" s="3">
        <v>1.4</v>
      </c>
      <c r="U52" s="3">
        <v>22.7</v>
      </c>
      <c r="V52" s="3">
        <v>0.7</v>
      </c>
      <c r="W52" s="3">
        <v>1.6</v>
      </c>
      <c r="X52" s="3">
        <v>69.8</v>
      </c>
      <c r="Y52" s="3" t="s">
        <v>223</v>
      </c>
      <c r="Z52" s="3" t="s">
        <v>44</v>
      </c>
      <c r="AA52" s="3" t="s">
        <v>61</v>
      </c>
      <c r="AB52" s="3" t="s">
        <v>224</v>
      </c>
      <c r="AC52" s="3">
        <f>98+98+97+84+70+30</f>
        <v>477</v>
      </c>
      <c r="AD52" s="3" t="s">
        <v>50</v>
      </c>
      <c r="AE52" s="3" t="s">
        <v>50</v>
      </c>
      <c r="AF52" t="s">
        <v>57</v>
      </c>
      <c r="AG52" t="s">
        <v>50</v>
      </c>
      <c r="AH52" s="3" t="s">
        <v>57</v>
      </c>
      <c r="AI52" s="3" t="s">
        <v>58</v>
      </c>
      <c r="AJ52" s="3">
        <v>6</v>
      </c>
      <c r="AK52">
        <v>5</v>
      </c>
      <c r="AL52" s="3">
        <v>5</v>
      </c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</row>
    <row r="53" spans="1:59" x14ac:dyDescent="0.25">
      <c r="A53" s="3" t="s">
        <v>225</v>
      </c>
      <c r="B53" s="3" t="s">
        <v>0</v>
      </c>
      <c r="C53" s="3" t="s">
        <v>0</v>
      </c>
      <c r="D53" s="3" t="s">
        <v>0</v>
      </c>
      <c r="E53" s="3" t="s">
        <v>40</v>
      </c>
      <c r="F53" s="5">
        <v>3.3599013606899999</v>
      </c>
      <c r="G53" s="3" t="s">
        <v>75</v>
      </c>
      <c r="H53" s="6">
        <v>43185</v>
      </c>
      <c r="I53" s="4">
        <v>4.1666666666666664E-2</v>
      </c>
      <c r="J53" s="6">
        <v>43185</v>
      </c>
      <c r="K53" s="6" t="s">
        <v>196</v>
      </c>
      <c r="L53" s="3" t="s">
        <v>90</v>
      </c>
      <c r="M53" s="3">
        <v>404963</v>
      </c>
      <c r="N53" s="3">
        <v>103</v>
      </c>
      <c r="O53" s="3">
        <v>-36.890183</v>
      </c>
      <c r="P53" s="3">
        <v>174.720403</v>
      </c>
      <c r="Q53">
        <v>296864</v>
      </c>
      <c r="R53">
        <v>5914883.3700000001</v>
      </c>
      <c r="S53" t="s">
        <v>45</v>
      </c>
      <c r="T53" s="3">
        <v>2.4</v>
      </c>
      <c r="U53" s="3">
        <v>24.1</v>
      </c>
      <c r="V53" s="3">
        <v>1</v>
      </c>
      <c r="W53" s="3">
        <v>1.8</v>
      </c>
      <c r="X53" s="3">
        <v>75</v>
      </c>
      <c r="Y53" s="3" t="s">
        <v>226</v>
      </c>
      <c r="Z53" s="3" t="s">
        <v>72</v>
      </c>
      <c r="AA53" s="3" t="s">
        <v>67</v>
      </c>
      <c r="AB53" s="3" t="s">
        <v>227</v>
      </c>
      <c r="AC53" s="3">
        <f>60+60+59+51+42+15</f>
        <v>287</v>
      </c>
      <c r="AD53" s="3" t="s">
        <v>50</v>
      </c>
      <c r="AE53" s="3" t="s">
        <v>50</v>
      </c>
      <c r="AF53" t="s">
        <v>57</v>
      </c>
      <c r="AG53" t="s">
        <v>57</v>
      </c>
      <c r="AH53" s="3" t="s">
        <v>50</v>
      </c>
      <c r="AI53" s="3" t="s">
        <v>58</v>
      </c>
      <c r="AJ53" s="3">
        <v>1</v>
      </c>
      <c r="AK53">
        <v>5</v>
      </c>
      <c r="AL53" s="3">
        <v>5</v>
      </c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</row>
    <row r="54" spans="1:59" x14ac:dyDescent="0.25">
      <c r="A54" s="3" t="s">
        <v>228</v>
      </c>
      <c r="B54" s="3" t="s">
        <v>53</v>
      </c>
      <c r="C54" s="3" t="s">
        <v>54</v>
      </c>
      <c r="D54" s="3" t="s">
        <v>0</v>
      </c>
      <c r="E54" s="3" t="s">
        <v>40</v>
      </c>
      <c r="F54" s="5">
        <v>1.0458408560500001</v>
      </c>
      <c r="G54" s="3" t="s">
        <v>75</v>
      </c>
      <c r="H54" s="6">
        <v>43185</v>
      </c>
      <c r="I54" s="4">
        <v>4.1666666666666664E-2</v>
      </c>
      <c r="J54" s="6">
        <v>43185</v>
      </c>
      <c r="K54" s="6" t="s">
        <v>196</v>
      </c>
      <c r="L54" s="3" t="s">
        <v>90</v>
      </c>
      <c r="M54" s="3">
        <v>404963</v>
      </c>
      <c r="N54" s="3">
        <v>103</v>
      </c>
      <c r="O54" s="3">
        <v>-36.890183</v>
      </c>
      <c r="P54" s="3">
        <v>174.720403</v>
      </c>
      <c r="Q54">
        <v>296864</v>
      </c>
      <c r="R54">
        <v>5914883.3700000001</v>
      </c>
      <c r="S54" t="s">
        <v>45</v>
      </c>
      <c r="T54" s="3">
        <v>2.4</v>
      </c>
      <c r="U54" s="3" t="s">
        <v>44</v>
      </c>
      <c r="V54" s="3" t="s">
        <v>44</v>
      </c>
      <c r="W54" s="3" t="s">
        <v>44</v>
      </c>
      <c r="X54" s="3" t="s">
        <v>44</v>
      </c>
      <c r="Y54" s="3" t="s">
        <v>44</v>
      </c>
      <c r="Z54" s="3" t="s">
        <v>44</v>
      </c>
      <c r="AA54" s="3" t="s">
        <v>44</v>
      </c>
      <c r="AB54" s="3" t="s">
        <v>44</v>
      </c>
      <c r="AC54" s="3" t="s">
        <v>44</v>
      </c>
      <c r="AD54" s="3" t="s">
        <v>50</v>
      </c>
      <c r="AE54" s="3" t="s">
        <v>50</v>
      </c>
      <c r="AF54" t="s">
        <v>57</v>
      </c>
      <c r="AG54" s="3" t="s">
        <v>50</v>
      </c>
      <c r="AH54" s="3" t="s">
        <v>50</v>
      </c>
      <c r="AI54" s="3" t="s">
        <v>58</v>
      </c>
      <c r="AJ54" s="3" t="s">
        <v>44</v>
      </c>
      <c r="AK54" t="s">
        <v>44</v>
      </c>
      <c r="AL54" t="s">
        <v>44</v>
      </c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</row>
    <row r="55" spans="1:59" x14ac:dyDescent="0.25">
      <c r="A55" s="3" t="s">
        <v>229</v>
      </c>
      <c r="B55" s="3" t="s">
        <v>0</v>
      </c>
      <c r="C55" s="3" t="s">
        <v>0</v>
      </c>
      <c r="D55" s="3" t="s">
        <v>0</v>
      </c>
      <c r="E55" s="3" t="s">
        <v>40</v>
      </c>
      <c r="F55" s="5">
        <v>5.8875335770000001</v>
      </c>
      <c r="G55" s="3" t="s">
        <v>230</v>
      </c>
      <c r="H55" s="6">
        <v>43185</v>
      </c>
      <c r="I55" s="4">
        <v>8.3333333333333329E-2</v>
      </c>
      <c r="J55" s="6">
        <v>43185</v>
      </c>
      <c r="K55" s="6" t="s">
        <v>196</v>
      </c>
      <c r="L55" s="3" t="s">
        <v>95</v>
      </c>
      <c r="M55" s="3">
        <v>14097</v>
      </c>
      <c r="N55" s="3">
        <v>36</v>
      </c>
      <c r="O55" s="3">
        <v>-36.883474</v>
      </c>
      <c r="P55" s="3">
        <v>174.73650000000001</v>
      </c>
      <c r="Q55">
        <v>298280.96000000002</v>
      </c>
      <c r="R55">
        <v>5915661.9299999997</v>
      </c>
      <c r="S55" t="s">
        <v>45</v>
      </c>
      <c r="T55" s="3">
        <v>4</v>
      </c>
      <c r="U55" s="3">
        <v>26.1</v>
      </c>
      <c r="V55" s="3">
        <v>1.2</v>
      </c>
      <c r="W55" s="3">
        <v>2</v>
      </c>
      <c r="X55" s="3">
        <v>67.599999999999994</v>
      </c>
      <c r="Y55" s="3" t="s">
        <v>231</v>
      </c>
      <c r="Z55" s="3" t="s">
        <v>134</v>
      </c>
      <c r="AA55" s="3" t="s">
        <v>67</v>
      </c>
      <c r="AB55" s="3" t="s">
        <v>347</v>
      </c>
      <c r="AC55" s="3" t="s">
        <v>44</v>
      </c>
      <c r="AD55" s="3" t="s">
        <v>50</v>
      </c>
      <c r="AE55" s="3" t="s">
        <v>57</v>
      </c>
      <c r="AF55" s="3" t="s">
        <v>50</v>
      </c>
      <c r="AG55" s="3" t="s">
        <v>50</v>
      </c>
      <c r="AH55" s="3" t="s">
        <v>50</v>
      </c>
      <c r="AI55" s="3" t="s">
        <v>51</v>
      </c>
      <c r="AJ55" s="3">
        <v>1</v>
      </c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</row>
    <row r="56" spans="1:59" x14ac:dyDescent="0.25">
      <c r="A56" s="3" t="s">
        <v>232</v>
      </c>
      <c r="B56" s="3" t="s">
        <v>0</v>
      </c>
      <c r="C56" s="3" t="s">
        <v>0</v>
      </c>
      <c r="D56" s="3" t="s">
        <v>0</v>
      </c>
      <c r="E56" s="3" t="s">
        <v>40</v>
      </c>
      <c r="F56" s="5">
        <v>4.0347439341199998</v>
      </c>
      <c r="G56" s="3" t="s">
        <v>233</v>
      </c>
      <c r="H56" s="6">
        <v>43185</v>
      </c>
      <c r="I56" s="4">
        <v>0.16666666666666666</v>
      </c>
      <c r="J56" s="6">
        <v>43185</v>
      </c>
      <c r="K56" s="6" t="s">
        <v>196</v>
      </c>
      <c r="L56" s="3" t="s">
        <v>84</v>
      </c>
      <c r="M56" s="3">
        <v>1850000</v>
      </c>
      <c r="N56" s="3">
        <v>13</v>
      </c>
      <c r="O56" s="3">
        <v>-36.864896999999999</v>
      </c>
      <c r="P56" s="3">
        <v>174.72235900000001</v>
      </c>
      <c r="Q56">
        <v>296971.36</v>
      </c>
      <c r="R56">
        <v>5917693.1600000001</v>
      </c>
      <c r="S56" t="s">
        <v>45</v>
      </c>
      <c r="T56" s="3">
        <v>1.5</v>
      </c>
      <c r="U56" s="3">
        <v>25.6</v>
      </c>
      <c r="V56" s="3">
        <v>0.4</v>
      </c>
      <c r="W56" s="3">
        <v>0.8</v>
      </c>
      <c r="X56" s="3">
        <v>70</v>
      </c>
      <c r="Y56" s="3" t="s">
        <v>234</v>
      </c>
      <c r="Z56" s="3" t="s">
        <v>134</v>
      </c>
      <c r="AA56" s="3" t="s">
        <v>48</v>
      </c>
      <c r="AB56" s="3" t="s">
        <v>235</v>
      </c>
      <c r="AC56" s="3">
        <f>88+88+87+77+65+24</f>
        <v>429</v>
      </c>
      <c r="AD56" s="3" t="s">
        <v>57</v>
      </c>
      <c r="AE56" s="3" t="s">
        <v>57</v>
      </c>
      <c r="AF56" s="3" t="s">
        <v>50</v>
      </c>
      <c r="AG56" s="3" t="s">
        <v>50</v>
      </c>
      <c r="AH56" s="3" t="s">
        <v>50</v>
      </c>
      <c r="AI56" s="3" t="s">
        <v>51</v>
      </c>
      <c r="AJ56" s="3">
        <v>1</v>
      </c>
      <c r="AK56">
        <v>5</v>
      </c>
      <c r="AL56" s="3">
        <v>1</v>
      </c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</row>
    <row r="57" spans="1:59" x14ac:dyDescent="0.25">
      <c r="A57" s="3" t="s">
        <v>195</v>
      </c>
      <c r="B57" s="3" t="s">
        <v>0</v>
      </c>
      <c r="C57" s="3" t="s">
        <v>0</v>
      </c>
      <c r="D57" s="3" t="s">
        <v>0</v>
      </c>
      <c r="E57" s="3" t="s">
        <v>40</v>
      </c>
      <c r="F57">
        <v>1.27702672949</v>
      </c>
      <c r="G57" s="3" t="s">
        <v>115</v>
      </c>
      <c r="H57" s="6">
        <v>43179</v>
      </c>
      <c r="I57" s="4">
        <v>0.16666666666666666</v>
      </c>
      <c r="J57" s="6">
        <v>43179</v>
      </c>
      <c r="K57" s="6" t="s">
        <v>196</v>
      </c>
      <c r="L57" s="3" t="s">
        <v>90</v>
      </c>
      <c r="M57" s="3">
        <v>404963</v>
      </c>
      <c r="N57" s="3">
        <v>103</v>
      </c>
      <c r="O57" s="3">
        <v>-36.890183</v>
      </c>
      <c r="P57" s="3">
        <v>174.720403</v>
      </c>
      <c r="Q57">
        <v>296864</v>
      </c>
      <c r="R57">
        <v>5914883.3700000001</v>
      </c>
      <c r="S57" t="s">
        <v>45</v>
      </c>
      <c r="T57" s="3">
        <v>2.4</v>
      </c>
      <c r="U57" s="3">
        <v>27.2</v>
      </c>
      <c r="V57" s="3">
        <v>0.6</v>
      </c>
      <c r="W57" s="3">
        <v>1.2</v>
      </c>
      <c r="X57" s="3">
        <v>58</v>
      </c>
      <c r="Y57" s="3" t="s">
        <v>197</v>
      </c>
      <c r="Z57" s="3" t="s">
        <v>44</v>
      </c>
      <c r="AA57" s="3" t="s">
        <v>67</v>
      </c>
      <c r="AB57" s="3" t="s">
        <v>198</v>
      </c>
      <c r="AC57" s="3">
        <f>34+34+33+27+22+5</f>
        <v>155</v>
      </c>
      <c r="AD57" t="s">
        <v>50</v>
      </c>
      <c r="AE57" t="s">
        <v>50</v>
      </c>
      <c r="AF57" t="s">
        <v>57</v>
      </c>
      <c r="AG57" t="s">
        <v>50</v>
      </c>
      <c r="AH57" t="s">
        <v>50</v>
      </c>
      <c r="AI57" s="3" t="s">
        <v>58</v>
      </c>
      <c r="AJ57" s="3">
        <v>6</v>
      </c>
      <c r="AK57">
        <v>5</v>
      </c>
      <c r="AL57" s="3">
        <v>1</v>
      </c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</row>
    <row r="58" spans="1:59" x14ac:dyDescent="0.25">
      <c r="A58" s="9" t="s">
        <v>236</v>
      </c>
      <c r="B58" s="9" t="s">
        <v>81</v>
      </c>
      <c r="C58" s="3" t="s">
        <v>54</v>
      </c>
      <c r="D58" s="3" t="s">
        <v>54</v>
      </c>
      <c r="E58" s="3" t="s">
        <v>40</v>
      </c>
      <c r="F58" s="3">
        <v>1.9683825795900001</v>
      </c>
      <c r="G58" s="3" t="s">
        <v>44</v>
      </c>
      <c r="H58" s="3" t="s">
        <v>44</v>
      </c>
      <c r="I58" s="3" t="s">
        <v>44</v>
      </c>
      <c r="J58" s="3" t="s">
        <v>44</v>
      </c>
      <c r="K58" s="6" t="s">
        <v>44</v>
      </c>
      <c r="L58" s="3" t="s">
        <v>44</v>
      </c>
      <c r="M58" s="3" t="s">
        <v>44</v>
      </c>
      <c r="N58" s="3" t="s">
        <v>44</v>
      </c>
      <c r="O58" s="3" t="s">
        <v>44</v>
      </c>
      <c r="P58" s="3" t="s">
        <v>44</v>
      </c>
      <c r="Q58" s="3" t="s">
        <v>44</v>
      </c>
      <c r="R58" s="3" t="s">
        <v>44</v>
      </c>
      <c r="S58" s="3" t="s">
        <v>44</v>
      </c>
      <c r="T58" s="3" t="s">
        <v>44</v>
      </c>
      <c r="U58" s="3" t="s">
        <v>44</v>
      </c>
      <c r="V58" s="3" t="s">
        <v>44</v>
      </c>
      <c r="W58" s="3" t="s">
        <v>44</v>
      </c>
      <c r="X58" s="3" t="s">
        <v>44</v>
      </c>
      <c r="Y58" s="3" t="s">
        <v>44</v>
      </c>
      <c r="Z58" s="3" t="s">
        <v>44</v>
      </c>
      <c r="AA58" s="3" t="s">
        <v>44</v>
      </c>
      <c r="AB58" s="3" t="s">
        <v>44</v>
      </c>
      <c r="AC58" s="3" t="s">
        <v>44</v>
      </c>
      <c r="AD58" s="3" t="s">
        <v>50</v>
      </c>
      <c r="AE58" s="3" t="s">
        <v>50</v>
      </c>
      <c r="AF58" s="3" t="s">
        <v>50</v>
      </c>
      <c r="AG58" s="3" t="s">
        <v>50</v>
      </c>
      <c r="AH58" s="3" t="s">
        <v>50</v>
      </c>
      <c r="AI58" s="3" t="s">
        <v>63</v>
      </c>
      <c r="AJ58" s="3" t="s">
        <v>44</v>
      </c>
      <c r="AK58" t="s">
        <v>44</v>
      </c>
      <c r="AL58" t="s">
        <v>44</v>
      </c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59" x14ac:dyDescent="0.25">
      <c r="A59" s="9" t="s">
        <v>237</v>
      </c>
      <c r="B59" s="9" t="s">
        <v>81</v>
      </c>
      <c r="C59" s="3" t="s">
        <v>54</v>
      </c>
      <c r="D59" s="3" t="s">
        <v>54</v>
      </c>
      <c r="E59" s="3" t="s">
        <v>40</v>
      </c>
      <c r="F59">
        <v>5.911879532E-2</v>
      </c>
      <c r="G59" s="3" t="s">
        <v>44</v>
      </c>
      <c r="H59" s="3" t="s">
        <v>44</v>
      </c>
      <c r="I59" s="3" t="s">
        <v>44</v>
      </c>
      <c r="J59" s="3" t="s">
        <v>44</v>
      </c>
      <c r="K59" s="6" t="s">
        <v>44</v>
      </c>
      <c r="L59" s="3" t="s">
        <v>44</v>
      </c>
      <c r="M59" s="3" t="s">
        <v>44</v>
      </c>
      <c r="N59" s="3" t="s">
        <v>44</v>
      </c>
      <c r="O59" s="3" t="s">
        <v>44</v>
      </c>
      <c r="P59" s="3" t="s">
        <v>44</v>
      </c>
      <c r="Q59" s="3" t="s">
        <v>44</v>
      </c>
      <c r="R59" s="3" t="s">
        <v>44</v>
      </c>
      <c r="S59" s="3" t="s">
        <v>44</v>
      </c>
      <c r="T59" s="3" t="s">
        <v>44</v>
      </c>
      <c r="U59" s="3" t="s">
        <v>44</v>
      </c>
      <c r="V59" s="3" t="s">
        <v>44</v>
      </c>
      <c r="W59" s="3" t="s">
        <v>44</v>
      </c>
      <c r="X59" s="3" t="s">
        <v>44</v>
      </c>
      <c r="Y59" s="3" t="s">
        <v>44</v>
      </c>
      <c r="Z59" s="3" t="s">
        <v>44</v>
      </c>
      <c r="AA59" s="3" t="s">
        <v>44</v>
      </c>
      <c r="AB59" s="3" t="s">
        <v>44</v>
      </c>
      <c r="AC59" s="3" t="s">
        <v>44</v>
      </c>
      <c r="AD59" s="3" t="s">
        <v>50</v>
      </c>
      <c r="AE59" s="3" t="s">
        <v>50</v>
      </c>
      <c r="AF59" s="3" t="s">
        <v>50</v>
      </c>
      <c r="AG59" s="3" t="s">
        <v>50</v>
      </c>
      <c r="AH59" s="3" t="s">
        <v>50</v>
      </c>
      <c r="AI59" s="3" t="s">
        <v>51</v>
      </c>
      <c r="AJ59" s="3" t="s">
        <v>44</v>
      </c>
      <c r="AK59" t="s">
        <v>44</v>
      </c>
      <c r="AL59" t="s">
        <v>44</v>
      </c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</row>
    <row r="60" spans="1:59" x14ac:dyDescent="0.25">
      <c r="A60" s="3" t="s">
        <v>238</v>
      </c>
      <c r="B60" s="3" t="s">
        <v>0</v>
      </c>
      <c r="C60" s="3" t="s">
        <v>0</v>
      </c>
      <c r="D60" s="3" t="s">
        <v>0</v>
      </c>
      <c r="E60" s="3">
        <v>0.04</v>
      </c>
      <c r="F60" s="5">
        <v>6.9157836030000003E-2</v>
      </c>
      <c r="G60" s="3" t="s">
        <v>144</v>
      </c>
      <c r="H60" s="6">
        <v>43181</v>
      </c>
      <c r="I60" s="4">
        <v>0</v>
      </c>
      <c r="J60" s="6">
        <v>43181</v>
      </c>
      <c r="K60" s="6" t="s">
        <v>196</v>
      </c>
      <c r="L60" s="3" t="s">
        <v>56</v>
      </c>
      <c r="M60">
        <v>0</v>
      </c>
      <c r="N60">
        <v>21</v>
      </c>
      <c r="O60">
        <v>-36.852339999999998</v>
      </c>
      <c r="P60">
        <v>174.76306700000001</v>
      </c>
      <c r="Q60">
        <v>300567.94</v>
      </c>
      <c r="R60">
        <v>5919172.2400000002</v>
      </c>
      <c r="S60" t="s">
        <v>45</v>
      </c>
      <c r="T60">
        <v>1.3</v>
      </c>
      <c r="U60" s="3">
        <v>25</v>
      </c>
      <c r="V60" s="3">
        <v>1</v>
      </c>
      <c r="W60" s="3">
        <v>2</v>
      </c>
      <c r="X60" s="3">
        <v>53.7</v>
      </c>
      <c r="Y60" s="3" t="s">
        <v>239</v>
      </c>
      <c r="Z60" s="3" t="s">
        <v>50</v>
      </c>
      <c r="AA60" s="3" t="s">
        <v>67</v>
      </c>
      <c r="AB60" s="3" t="s">
        <v>240</v>
      </c>
      <c r="AC60" s="3">
        <f>54+53+52+43+36+12</f>
        <v>250</v>
      </c>
      <c r="AD60" s="3" t="s">
        <v>50</v>
      </c>
      <c r="AE60" s="3" t="s">
        <v>57</v>
      </c>
      <c r="AF60" s="3" t="s">
        <v>50</v>
      </c>
      <c r="AG60" s="3" t="s">
        <v>50</v>
      </c>
      <c r="AH60" s="3" t="s">
        <v>57</v>
      </c>
      <c r="AI60" s="3" t="s">
        <v>51</v>
      </c>
      <c r="AJ60" s="3">
        <v>6</v>
      </c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</row>
    <row r="61" spans="1:59" x14ac:dyDescent="0.25">
      <c r="A61" s="3" t="s">
        <v>241</v>
      </c>
      <c r="B61" s="3" t="s">
        <v>0</v>
      </c>
      <c r="C61" s="3" t="s">
        <v>0</v>
      </c>
      <c r="D61" s="3" t="s">
        <v>0</v>
      </c>
      <c r="E61" s="3">
        <v>0.05</v>
      </c>
      <c r="F61" s="5">
        <v>8.9235917459999994E-2</v>
      </c>
      <c r="G61" s="3" t="s">
        <v>242</v>
      </c>
      <c r="H61" s="6">
        <v>43187</v>
      </c>
      <c r="I61" s="4">
        <v>0</v>
      </c>
      <c r="J61" s="6">
        <v>43187</v>
      </c>
      <c r="K61" s="6" t="s">
        <v>196</v>
      </c>
      <c r="L61" s="3" t="s">
        <v>156</v>
      </c>
      <c r="M61" s="3">
        <v>1700000</v>
      </c>
      <c r="N61" s="3">
        <v>94</v>
      </c>
      <c r="O61" s="3">
        <v>-36.898637000000001</v>
      </c>
      <c r="P61" s="3">
        <v>174.785471</v>
      </c>
      <c r="Q61">
        <v>302684.84000000003</v>
      </c>
      <c r="R61">
        <v>5914081.96</v>
      </c>
      <c r="S61" t="s">
        <v>45</v>
      </c>
      <c r="T61" s="3">
        <v>2.9</v>
      </c>
      <c r="U61" s="3">
        <v>22.8</v>
      </c>
      <c r="V61" s="3">
        <v>0.5</v>
      </c>
      <c r="W61" s="3">
        <v>1</v>
      </c>
      <c r="X61" s="3">
        <v>79.900000000000006</v>
      </c>
      <c r="Y61" s="3" t="s">
        <v>243</v>
      </c>
      <c r="Z61" s="3" t="s">
        <v>50</v>
      </c>
      <c r="AA61" s="3" t="s">
        <v>67</v>
      </c>
      <c r="AB61" s="3" t="s">
        <v>244</v>
      </c>
      <c r="AC61" s="3">
        <f>60+60+60+54+44+13</f>
        <v>291</v>
      </c>
      <c r="AD61" s="3" t="s">
        <v>50</v>
      </c>
      <c r="AE61" s="3" t="s">
        <v>50</v>
      </c>
      <c r="AF61" s="3" t="s">
        <v>50</v>
      </c>
      <c r="AG61" s="3" t="s">
        <v>50</v>
      </c>
      <c r="AH61" s="3" t="s">
        <v>50</v>
      </c>
      <c r="AI61" s="3" t="s">
        <v>51</v>
      </c>
      <c r="AJ61" s="3">
        <v>1</v>
      </c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</row>
    <row r="62" spans="1:59" x14ac:dyDescent="0.25">
      <c r="A62" s="3" t="s">
        <v>245</v>
      </c>
      <c r="B62" s="3" t="s">
        <v>0</v>
      </c>
      <c r="C62" s="3" t="s">
        <v>0</v>
      </c>
      <c r="D62" s="3" t="s">
        <v>0</v>
      </c>
      <c r="E62" s="3">
        <v>0.04</v>
      </c>
      <c r="F62" s="5">
        <v>4.5733407699999999E-2</v>
      </c>
      <c r="G62" s="3" t="s">
        <v>161</v>
      </c>
      <c r="H62" s="6">
        <v>43187</v>
      </c>
      <c r="I62" s="4">
        <v>8.3333333333333329E-2</v>
      </c>
      <c r="J62" s="6">
        <v>43187</v>
      </c>
      <c r="K62" s="6" t="s">
        <v>196</v>
      </c>
      <c r="L62" s="3" t="s">
        <v>182</v>
      </c>
      <c r="M62" s="3">
        <v>14682</v>
      </c>
      <c r="N62" s="3">
        <v>16</v>
      </c>
      <c r="O62" s="3">
        <v>-36.850625000000001</v>
      </c>
      <c r="P62" s="3">
        <v>174.77347800000001</v>
      </c>
      <c r="Q62">
        <v>301491.82</v>
      </c>
      <c r="R62">
        <v>5919384.2300000004</v>
      </c>
      <c r="S62" t="s">
        <v>45</v>
      </c>
      <c r="T62" s="3">
        <v>0.8</v>
      </c>
      <c r="U62" s="3">
        <v>22.1</v>
      </c>
      <c r="V62" s="3">
        <v>0.9</v>
      </c>
      <c r="W62" s="3">
        <v>1.1000000000000001</v>
      </c>
      <c r="X62" s="3">
        <v>74.900000000000006</v>
      </c>
      <c r="Y62" s="3" t="s">
        <v>246</v>
      </c>
      <c r="Z62" s="3" t="s">
        <v>211</v>
      </c>
      <c r="AA62" s="3" t="s">
        <v>48</v>
      </c>
      <c r="AB62" s="3" t="s">
        <v>247</v>
      </c>
      <c r="AC62" s="3">
        <f>77+76+75+68+59+31</f>
        <v>386</v>
      </c>
      <c r="AD62" s="3" t="s">
        <v>50</v>
      </c>
      <c r="AE62" s="3" t="s">
        <v>50</v>
      </c>
      <c r="AF62" s="3" t="s">
        <v>50</v>
      </c>
      <c r="AG62" s="3" t="s">
        <v>50</v>
      </c>
      <c r="AH62" s="3" t="s">
        <v>57</v>
      </c>
      <c r="AI62" s="3" t="s">
        <v>51</v>
      </c>
      <c r="AJ62" s="3">
        <v>1</v>
      </c>
      <c r="AK62">
        <v>1</v>
      </c>
      <c r="AL62" s="3">
        <v>1</v>
      </c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</row>
    <row r="63" spans="1:59" x14ac:dyDescent="0.25">
      <c r="A63" s="3" t="s">
        <v>248</v>
      </c>
      <c r="B63" s="3" t="s">
        <v>53</v>
      </c>
      <c r="C63" s="3" t="s">
        <v>54</v>
      </c>
      <c r="D63" s="3" t="s">
        <v>0</v>
      </c>
      <c r="E63" s="3">
        <v>0.04</v>
      </c>
      <c r="F63" s="5">
        <v>9.5928611270000005E-2</v>
      </c>
      <c r="G63" s="3" t="s">
        <v>55</v>
      </c>
      <c r="H63" s="6">
        <v>43187</v>
      </c>
      <c r="I63" s="4">
        <v>0.95833333333333337</v>
      </c>
      <c r="J63" s="1">
        <v>43186</v>
      </c>
      <c r="K63" s="6" t="s">
        <v>196</v>
      </c>
      <c r="L63" s="3" t="s">
        <v>106</v>
      </c>
      <c r="M63" s="3">
        <v>710007</v>
      </c>
      <c r="N63" s="3">
        <v>63</v>
      </c>
      <c r="O63" s="3">
        <v>-36.859202000000003</v>
      </c>
      <c r="P63" s="3">
        <v>174.77531999999999</v>
      </c>
      <c r="Q63">
        <v>301678.25</v>
      </c>
      <c r="R63">
        <v>5918436.4000000004</v>
      </c>
      <c r="S63" t="s">
        <v>45</v>
      </c>
      <c r="T63" s="3">
        <v>1.4</v>
      </c>
      <c r="U63" s="3" t="s">
        <v>44</v>
      </c>
      <c r="V63" s="3" t="s">
        <v>44</v>
      </c>
      <c r="W63" s="3" t="s">
        <v>44</v>
      </c>
      <c r="X63" s="3" t="s">
        <v>44</v>
      </c>
      <c r="Y63" s="3" t="s">
        <v>44</v>
      </c>
      <c r="Z63" s="3" t="s">
        <v>44</v>
      </c>
      <c r="AA63" s="3" t="s">
        <v>44</v>
      </c>
      <c r="AB63" s="3" t="s">
        <v>44</v>
      </c>
      <c r="AC63" s="3" t="s">
        <v>44</v>
      </c>
      <c r="AD63" s="3" t="s">
        <v>50</v>
      </c>
      <c r="AE63" s="3" t="s">
        <v>50</v>
      </c>
      <c r="AF63" s="3" t="s">
        <v>50</v>
      </c>
      <c r="AG63" s="3" t="s">
        <v>50</v>
      </c>
      <c r="AH63" s="3" t="s">
        <v>50</v>
      </c>
      <c r="AI63" s="3" t="s">
        <v>58</v>
      </c>
      <c r="AJ63" s="3" t="s">
        <v>44</v>
      </c>
      <c r="AK63" t="s">
        <v>44</v>
      </c>
      <c r="AL63" t="s">
        <v>44</v>
      </c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</row>
    <row r="64" spans="1:59" x14ac:dyDescent="0.25">
      <c r="A64" s="3" t="s">
        <v>249</v>
      </c>
      <c r="B64" s="3" t="s">
        <v>0</v>
      </c>
      <c r="C64" s="3" t="s">
        <v>0</v>
      </c>
      <c r="D64" s="3" t="s">
        <v>0</v>
      </c>
      <c r="E64" s="3" t="s">
        <v>40</v>
      </c>
      <c r="F64" s="5">
        <v>3.6809815949999998E-2</v>
      </c>
      <c r="G64" s="3" t="s">
        <v>55</v>
      </c>
      <c r="H64" s="6">
        <v>43187</v>
      </c>
      <c r="I64" s="4">
        <v>0.95833333333333337</v>
      </c>
      <c r="J64" s="1">
        <v>43186</v>
      </c>
      <c r="K64" s="6" t="s">
        <v>196</v>
      </c>
      <c r="L64" s="3" t="s">
        <v>106</v>
      </c>
      <c r="M64" s="3">
        <v>710007</v>
      </c>
      <c r="N64" s="3">
        <v>63</v>
      </c>
      <c r="O64" s="3">
        <v>-36.859202000000003</v>
      </c>
      <c r="P64" s="3">
        <v>174.77531999999999</v>
      </c>
      <c r="Q64">
        <v>301678.25</v>
      </c>
      <c r="R64">
        <v>5918436.4000000004</v>
      </c>
      <c r="S64" t="s">
        <v>45</v>
      </c>
      <c r="T64" s="3">
        <v>1.4</v>
      </c>
      <c r="U64" s="3">
        <v>21.8</v>
      </c>
      <c r="V64" s="3">
        <v>0.7</v>
      </c>
      <c r="W64" s="3">
        <v>1.1000000000000001</v>
      </c>
      <c r="X64" s="3">
        <v>76.900000000000006</v>
      </c>
      <c r="Y64" s="3" t="s">
        <v>250</v>
      </c>
      <c r="Z64" s="3" t="s">
        <v>211</v>
      </c>
      <c r="AA64" s="3" t="s">
        <v>48</v>
      </c>
      <c r="AB64" s="3" t="s">
        <v>251</v>
      </c>
      <c r="AC64" s="3">
        <f>64+64+63+56+47+19</f>
        <v>313</v>
      </c>
      <c r="AD64" s="3" t="s">
        <v>50</v>
      </c>
      <c r="AE64" s="3" t="s">
        <v>50</v>
      </c>
      <c r="AF64" t="s">
        <v>57</v>
      </c>
      <c r="AG64" t="s">
        <v>57</v>
      </c>
      <c r="AH64" s="3" t="s">
        <v>57</v>
      </c>
      <c r="AI64" s="3" t="s">
        <v>63</v>
      </c>
      <c r="AJ64" s="3">
        <v>1</v>
      </c>
      <c r="AK64">
        <v>1</v>
      </c>
      <c r="AL64" s="3">
        <v>1</v>
      </c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</row>
    <row r="65" spans="1:59" x14ac:dyDescent="0.25">
      <c r="A65" s="3" t="s">
        <v>252</v>
      </c>
      <c r="B65" s="3" t="s">
        <v>53</v>
      </c>
      <c r="C65" s="3" t="s">
        <v>54</v>
      </c>
      <c r="D65" s="3" t="s">
        <v>0</v>
      </c>
      <c r="E65" s="3" t="s">
        <v>40</v>
      </c>
      <c r="F65" s="5">
        <v>0.15839375349000001</v>
      </c>
      <c r="G65" s="3" t="s">
        <v>144</v>
      </c>
      <c r="H65" s="6">
        <v>43202</v>
      </c>
      <c r="I65" s="4">
        <v>4.1666666666666664E-2</v>
      </c>
      <c r="J65" s="6">
        <v>43202</v>
      </c>
      <c r="K65" s="6" t="s">
        <v>196</v>
      </c>
      <c r="L65" s="3" t="s">
        <v>43</v>
      </c>
      <c r="M65" t="s">
        <v>44</v>
      </c>
      <c r="N65">
        <v>100</v>
      </c>
      <c r="O65">
        <v>-36.347988000000001</v>
      </c>
      <c r="P65">
        <v>174.35324800000001</v>
      </c>
      <c r="Q65">
        <v>262481.59999999998</v>
      </c>
      <c r="R65">
        <v>5974200.6299999999</v>
      </c>
      <c r="S65" t="s">
        <v>45</v>
      </c>
      <c r="T65">
        <v>4.9000000000000004</v>
      </c>
      <c r="U65" s="3" t="s">
        <v>44</v>
      </c>
      <c r="V65" s="3" t="s">
        <v>44</v>
      </c>
      <c r="W65" s="3" t="s">
        <v>44</v>
      </c>
      <c r="X65" s="3" t="s">
        <v>44</v>
      </c>
      <c r="Y65" s="3" t="s">
        <v>44</v>
      </c>
      <c r="Z65" s="3" t="s">
        <v>44</v>
      </c>
      <c r="AA65" s="3" t="s">
        <v>44</v>
      </c>
      <c r="AB65" s="3" t="s">
        <v>44</v>
      </c>
      <c r="AC65" s="3" t="s">
        <v>44</v>
      </c>
      <c r="AD65" s="3" t="s">
        <v>50</v>
      </c>
      <c r="AE65" s="3" t="s">
        <v>50</v>
      </c>
      <c r="AF65" s="3" t="s">
        <v>50</v>
      </c>
      <c r="AG65" s="3" t="s">
        <v>50</v>
      </c>
      <c r="AH65" s="3" t="s">
        <v>50</v>
      </c>
      <c r="AI65" s="3" t="s">
        <v>51</v>
      </c>
      <c r="AJ65" s="3" t="s">
        <v>44</v>
      </c>
      <c r="AK65" t="s">
        <v>44</v>
      </c>
      <c r="AL65" t="s">
        <v>44</v>
      </c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</row>
    <row r="66" spans="1:59" x14ac:dyDescent="0.25">
      <c r="A66" s="3" t="s">
        <v>253</v>
      </c>
      <c r="B66" s="3" t="s">
        <v>0</v>
      </c>
      <c r="C66" s="3" t="s">
        <v>0</v>
      </c>
      <c r="D66" s="3" t="s">
        <v>0</v>
      </c>
      <c r="E66" s="3">
        <v>0.04</v>
      </c>
      <c r="F66" s="5">
        <v>5.911879532E-2</v>
      </c>
      <c r="G66" s="3" t="s">
        <v>144</v>
      </c>
      <c r="H66" s="6">
        <v>43202</v>
      </c>
      <c r="I66" s="4">
        <v>4.1666666666666664E-2</v>
      </c>
      <c r="J66" s="6">
        <v>43202</v>
      </c>
      <c r="K66" s="6" t="s">
        <v>196</v>
      </c>
      <c r="L66" s="3" t="s">
        <v>43</v>
      </c>
      <c r="M66" t="s">
        <v>44</v>
      </c>
      <c r="N66">
        <v>100</v>
      </c>
      <c r="O66">
        <v>-36.347988000000001</v>
      </c>
      <c r="P66">
        <v>174.35324800000001</v>
      </c>
      <c r="Q66">
        <v>262481.59999999998</v>
      </c>
      <c r="R66">
        <v>5974200.6299999999</v>
      </c>
      <c r="S66" t="s">
        <v>45</v>
      </c>
      <c r="T66">
        <v>4.9000000000000004</v>
      </c>
      <c r="U66" s="3">
        <v>17.100000000000001</v>
      </c>
      <c r="V66" s="3">
        <v>2.4</v>
      </c>
      <c r="W66" s="3">
        <v>3.6</v>
      </c>
      <c r="X66" s="3">
        <v>51.6</v>
      </c>
      <c r="Y66" s="3" t="s">
        <v>254</v>
      </c>
      <c r="Z66" s="3" t="s">
        <v>97</v>
      </c>
      <c r="AA66" s="3" t="s">
        <v>67</v>
      </c>
      <c r="AB66" s="3" t="s">
        <v>255</v>
      </c>
      <c r="AC66" s="3">
        <f>63+63+62+55+47+18</f>
        <v>308</v>
      </c>
      <c r="AD66" s="3" t="s">
        <v>50</v>
      </c>
      <c r="AE66" s="3" t="s">
        <v>50</v>
      </c>
      <c r="AF66" s="3" t="s">
        <v>50</v>
      </c>
      <c r="AG66" s="3" t="s">
        <v>50</v>
      </c>
      <c r="AH66" s="3" t="s">
        <v>50</v>
      </c>
      <c r="AI66" s="3" t="s">
        <v>63</v>
      </c>
      <c r="AJ66" s="3">
        <v>5</v>
      </c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</row>
    <row r="67" spans="1:59" x14ac:dyDescent="0.25">
      <c r="A67" s="3" t="s">
        <v>256</v>
      </c>
      <c r="B67" s="3" t="s">
        <v>0</v>
      </c>
      <c r="C67" s="3" t="s">
        <v>0</v>
      </c>
      <c r="D67" s="3" t="s">
        <v>0</v>
      </c>
      <c r="E67" s="3">
        <v>0.05</v>
      </c>
      <c r="F67" s="5">
        <v>0.68377021751</v>
      </c>
      <c r="G67" s="3" t="s">
        <v>257</v>
      </c>
      <c r="H67" s="6">
        <v>43250</v>
      </c>
      <c r="I67" s="4">
        <v>0.125</v>
      </c>
      <c r="J67" s="6">
        <v>43250</v>
      </c>
      <c r="K67" s="6" t="s">
        <v>196</v>
      </c>
      <c r="L67" s="3" t="s">
        <v>43</v>
      </c>
      <c r="M67" t="s">
        <v>44</v>
      </c>
      <c r="N67">
        <v>100</v>
      </c>
      <c r="O67">
        <v>-36.347988000000001</v>
      </c>
      <c r="P67">
        <v>174.35324800000001</v>
      </c>
      <c r="Q67">
        <v>262481.59999999998</v>
      </c>
      <c r="R67">
        <v>5974200.6299999999</v>
      </c>
      <c r="S67" t="s">
        <v>45</v>
      </c>
      <c r="T67">
        <v>4.9000000000000004</v>
      </c>
      <c r="U67" s="3">
        <v>14.3</v>
      </c>
      <c r="V67" s="3">
        <v>1.4</v>
      </c>
      <c r="W67" s="3">
        <v>2.2000000000000002</v>
      </c>
      <c r="X67" s="3">
        <v>67.099999999999994</v>
      </c>
      <c r="Y67" s="3" t="s">
        <v>258</v>
      </c>
      <c r="Z67" s="3" t="s">
        <v>77</v>
      </c>
      <c r="AA67" s="3" t="s">
        <v>67</v>
      </c>
      <c r="AB67" s="3" t="s">
        <v>259</v>
      </c>
      <c r="AC67" s="3">
        <f>34+34+34+29+24+9</f>
        <v>164</v>
      </c>
      <c r="AD67" s="3" t="s">
        <v>50</v>
      </c>
      <c r="AE67" s="3" t="s">
        <v>50</v>
      </c>
      <c r="AF67" s="3" t="s">
        <v>50</v>
      </c>
      <c r="AG67" s="3" t="s">
        <v>50</v>
      </c>
      <c r="AH67" s="3" t="s">
        <v>50</v>
      </c>
      <c r="AI67" s="3" t="s">
        <v>63</v>
      </c>
      <c r="AJ67" s="3">
        <v>3</v>
      </c>
      <c r="AK67">
        <v>1</v>
      </c>
      <c r="AL67" s="3">
        <v>1</v>
      </c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</row>
    <row r="68" spans="1:59" x14ac:dyDescent="0.25">
      <c r="A68" s="3" t="s">
        <v>260</v>
      </c>
      <c r="B68" s="3" t="s">
        <v>0</v>
      </c>
      <c r="C68" s="3" t="s">
        <v>0</v>
      </c>
      <c r="D68" s="3" t="s">
        <v>0</v>
      </c>
      <c r="E68" s="3" t="s">
        <v>40</v>
      </c>
      <c r="F68" s="5">
        <v>1.14445064138</v>
      </c>
      <c r="G68" s="3" t="s">
        <v>261</v>
      </c>
      <c r="H68" s="6">
        <v>43251</v>
      </c>
      <c r="I68" s="4">
        <v>0.20833333333333334</v>
      </c>
      <c r="J68" s="6">
        <v>43251</v>
      </c>
      <c r="K68" s="6" t="s">
        <v>196</v>
      </c>
      <c r="L68" s="3" t="s">
        <v>56</v>
      </c>
      <c r="M68">
        <v>0</v>
      </c>
      <c r="N68">
        <v>21</v>
      </c>
      <c r="O68">
        <v>-36.852339999999998</v>
      </c>
      <c r="P68">
        <v>174.76306700000001</v>
      </c>
      <c r="Q68">
        <v>300567.94</v>
      </c>
      <c r="R68">
        <v>5919172.2400000002</v>
      </c>
      <c r="S68" t="s">
        <v>45</v>
      </c>
      <c r="T68">
        <v>1.3</v>
      </c>
      <c r="U68" s="3">
        <v>12.8</v>
      </c>
      <c r="V68" s="3">
        <v>0.5</v>
      </c>
      <c r="W68" s="3">
        <v>1.1000000000000001</v>
      </c>
      <c r="X68" s="3">
        <v>67.2</v>
      </c>
      <c r="Y68" s="3" t="s">
        <v>262</v>
      </c>
      <c r="Z68" s="3" t="s">
        <v>47</v>
      </c>
      <c r="AA68" s="3" t="s">
        <v>67</v>
      </c>
      <c r="AB68" s="3" t="s">
        <v>263</v>
      </c>
      <c r="AC68" s="3">
        <f>30+30+30+27+24+16</f>
        <v>157</v>
      </c>
      <c r="AD68" s="3" t="s">
        <v>50</v>
      </c>
      <c r="AE68" s="3" t="s">
        <v>57</v>
      </c>
      <c r="AF68" t="s">
        <v>50</v>
      </c>
      <c r="AG68" s="3" t="s">
        <v>50</v>
      </c>
      <c r="AH68" s="3" t="s">
        <v>57</v>
      </c>
      <c r="AI68" s="3" t="s">
        <v>58</v>
      </c>
      <c r="AJ68" s="3">
        <v>3</v>
      </c>
      <c r="AK68">
        <v>1</v>
      </c>
      <c r="AL68" s="3">
        <v>1</v>
      </c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</row>
    <row r="69" spans="1:59" x14ac:dyDescent="0.25">
      <c r="A69" t="s">
        <v>264</v>
      </c>
      <c r="B69" t="s">
        <v>53</v>
      </c>
      <c r="C69" t="s">
        <v>54</v>
      </c>
      <c r="D69" t="s">
        <v>0</v>
      </c>
      <c r="E69">
        <v>0.08</v>
      </c>
      <c r="F69">
        <v>0.10373675404</v>
      </c>
      <c r="G69" t="s">
        <v>174</v>
      </c>
      <c r="H69" s="1">
        <v>43252</v>
      </c>
      <c r="I69" s="2">
        <v>8.3333333333333329E-2</v>
      </c>
      <c r="J69" s="1">
        <v>43252</v>
      </c>
      <c r="K69" s="6" t="s">
        <v>196</v>
      </c>
      <c r="L69" t="s">
        <v>90</v>
      </c>
      <c r="M69" s="3">
        <v>404963</v>
      </c>
      <c r="N69" s="3">
        <v>103</v>
      </c>
      <c r="O69" s="3">
        <v>-36.890183</v>
      </c>
      <c r="P69" s="3">
        <v>174.720403</v>
      </c>
      <c r="Q69">
        <v>296864</v>
      </c>
      <c r="R69">
        <v>5914883.3700000001</v>
      </c>
      <c r="S69" t="s">
        <v>45</v>
      </c>
      <c r="T69" s="3">
        <v>2.4</v>
      </c>
      <c r="U69" t="s">
        <v>44</v>
      </c>
      <c r="V69" t="s">
        <v>44</v>
      </c>
      <c r="W69" t="s">
        <v>44</v>
      </c>
      <c r="X69" t="s">
        <v>44</v>
      </c>
      <c r="Y69" t="s">
        <v>44</v>
      </c>
      <c r="Z69" t="s">
        <v>44</v>
      </c>
      <c r="AA69" t="s">
        <v>44</v>
      </c>
      <c r="AB69" t="s">
        <v>44</v>
      </c>
      <c r="AC69" t="s">
        <v>44</v>
      </c>
      <c r="AD69" s="3" t="s">
        <v>50</v>
      </c>
      <c r="AE69" t="s">
        <v>50</v>
      </c>
      <c r="AF69" t="s">
        <v>57</v>
      </c>
      <c r="AG69" s="3" t="s">
        <v>50</v>
      </c>
      <c r="AH69" t="s">
        <v>50</v>
      </c>
      <c r="AI69" s="3" t="s">
        <v>63</v>
      </c>
      <c r="AJ69" t="s">
        <v>44</v>
      </c>
      <c r="AK69" t="s">
        <v>44</v>
      </c>
      <c r="AL69" t="s">
        <v>44</v>
      </c>
    </row>
    <row r="70" spans="1:59" x14ac:dyDescent="0.25">
      <c r="A70" t="s">
        <v>265</v>
      </c>
      <c r="B70" t="s">
        <v>0</v>
      </c>
      <c r="C70" t="s">
        <v>0</v>
      </c>
      <c r="D70" t="s">
        <v>0</v>
      </c>
      <c r="E70">
        <v>0.06</v>
      </c>
      <c r="F70">
        <v>5.8884551031800001</v>
      </c>
      <c r="G70" t="s">
        <v>261</v>
      </c>
      <c r="H70" s="1">
        <v>43252</v>
      </c>
      <c r="I70" s="2">
        <v>0.20833333333333334</v>
      </c>
      <c r="J70" s="1">
        <v>43252</v>
      </c>
      <c r="K70" s="6" t="s">
        <v>196</v>
      </c>
      <c r="L70" t="s">
        <v>182</v>
      </c>
      <c r="M70" s="3">
        <v>14682</v>
      </c>
      <c r="N70" s="3">
        <v>16</v>
      </c>
      <c r="O70" s="3">
        <v>-36.850625000000001</v>
      </c>
      <c r="P70" s="3">
        <v>174.77347800000001</v>
      </c>
      <c r="Q70">
        <v>301491.82</v>
      </c>
      <c r="R70">
        <v>5919384.2300000004</v>
      </c>
      <c r="S70" t="s">
        <v>45</v>
      </c>
      <c r="T70" s="3">
        <v>0.8</v>
      </c>
      <c r="U70">
        <v>14.6</v>
      </c>
      <c r="V70">
        <v>0</v>
      </c>
      <c r="W70">
        <v>0</v>
      </c>
      <c r="X70">
        <v>75.099999999999994</v>
      </c>
      <c r="Y70" t="s">
        <v>266</v>
      </c>
      <c r="Z70" t="s">
        <v>44</v>
      </c>
      <c r="AA70" t="s">
        <v>67</v>
      </c>
      <c r="AB70" t="s">
        <v>267</v>
      </c>
      <c r="AC70">
        <f>27+26+25+23+20+12</f>
        <v>133</v>
      </c>
      <c r="AD70" s="3" t="s">
        <v>50</v>
      </c>
      <c r="AE70" t="s">
        <v>50</v>
      </c>
      <c r="AF70" t="s">
        <v>50</v>
      </c>
      <c r="AG70" s="3" t="s">
        <v>50</v>
      </c>
      <c r="AH70" t="s">
        <v>57</v>
      </c>
      <c r="AI70" s="3" t="s">
        <v>58</v>
      </c>
      <c r="AJ70">
        <v>1</v>
      </c>
      <c r="AK70">
        <v>1</v>
      </c>
      <c r="AL70">
        <v>1</v>
      </c>
    </row>
    <row r="71" spans="1:59" x14ac:dyDescent="0.25">
      <c r="A71" t="s">
        <v>268</v>
      </c>
      <c r="B71" t="s">
        <v>0</v>
      </c>
      <c r="C71" t="s">
        <v>0</v>
      </c>
      <c r="D71" t="s">
        <v>0</v>
      </c>
      <c r="E71" t="s">
        <v>40</v>
      </c>
      <c r="F71">
        <v>0.12939208030999999</v>
      </c>
      <c r="G71" t="s">
        <v>269</v>
      </c>
      <c r="H71" s="1">
        <v>43252</v>
      </c>
      <c r="I71" s="2">
        <v>0.125</v>
      </c>
      <c r="J71" s="1">
        <v>43252</v>
      </c>
      <c r="K71" s="6" t="s">
        <v>196</v>
      </c>
      <c r="L71" t="s">
        <v>106</v>
      </c>
      <c r="M71" s="3">
        <v>710007</v>
      </c>
      <c r="N71" s="3">
        <v>63</v>
      </c>
      <c r="O71" s="3">
        <v>-36.859202000000003</v>
      </c>
      <c r="P71" s="3">
        <v>174.77531999999999</v>
      </c>
      <c r="Q71">
        <v>301678.25</v>
      </c>
      <c r="R71">
        <v>5918436.4000000004</v>
      </c>
      <c r="S71" t="s">
        <v>45</v>
      </c>
      <c r="T71" s="3">
        <v>1.4</v>
      </c>
      <c r="U71">
        <v>15.2</v>
      </c>
      <c r="V71">
        <v>0.8</v>
      </c>
      <c r="W71">
        <v>1.4</v>
      </c>
      <c r="X71">
        <v>76.8</v>
      </c>
      <c r="Y71" t="s">
        <v>270</v>
      </c>
      <c r="Z71" t="s">
        <v>72</v>
      </c>
      <c r="AA71" t="s">
        <v>67</v>
      </c>
      <c r="AB71" t="s">
        <v>271</v>
      </c>
      <c r="AC71">
        <f>21+20+20+19+17+9</f>
        <v>106</v>
      </c>
      <c r="AD71" s="3" t="s">
        <v>50</v>
      </c>
      <c r="AE71" t="s">
        <v>50</v>
      </c>
      <c r="AF71" t="s">
        <v>50</v>
      </c>
      <c r="AG71" s="3" t="s">
        <v>50</v>
      </c>
      <c r="AH71" t="s">
        <v>57</v>
      </c>
      <c r="AI71" s="3" t="s">
        <v>63</v>
      </c>
      <c r="AJ71">
        <v>1</v>
      </c>
    </row>
    <row r="72" spans="1:59" x14ac:dyDescent="0.25">
      <c r="A72" t="s">
        <v>272</v>
      </c>
      <c r="B72" t="s">
        <v>0</v>
      </c>
      <c r="C72" t="s">
        <v>0</v>
      </c>
      <c r="D72" t="s">
        <v>0</v>
      </c>
      <c r="E72">
        <v>0.02</v>
      </c>
      <c r="F72">
        <v>0.88008923591999999</v>
      </c>
      <c r="G72" t="s">
        <v>174</v>
      </c>
      <c r="H72" s="1">
        <v>43252</v>
      </c>
      <c r="I72" s="2">
        <v>8.3333333333333329E-2</v>
      </c>
      <c r="J72" s="1">
        <v>43252</v>
      </c>
      <c r="K72" s="6" t="s">
        <v>196</v>
      </c>
      <c r="L72" t="s">
        <v>90</v>
      </c>
      <c r="M72" s="3">
        <v>404963</v>
      </c>
      <c r="N72" s="3">
        <v>103</v>
      </c>
      <c r="O72" s="3">
        <v>-36.890183</v>
      </c>
      <c r="P72" s="3">
        <v>174.720403</v>
      </c>
      <c r="Q72">
        <v>296864</v>
      </c>
      <c r="R72">
        <v>5914883.3700000001</v>
      </c>
      <c r="S72" t="s">
        <v>45</v>
      </c>
      <c r="T72" s="3">
        <v>2.4</v>
      </c>
      <c r="U72">
        <v>19.7</v>
      </c>
      <c r="V72">
        <v>0.5</v>
      </c>
      <c r="W72">
        <v>1</v>
      </c>
      <c r="X72">
        <v>61.2</v>
      </c>
      <c r="Y72" t="s">
        <v>273</v>
      </c>
      <c r="Z72" t="s">
        <v>72</v>
      </c>
      <c r="AA72" t="s">
        <v>67</v>
      </c>
      <c r="AB72" t="s">
        <v>274</v>
      </c>
      <c r="AC72">
        <f>16+15+15+13+11+5</f>
        <v>75</v>
      </c>
      <c r="AD72" s="3" t="s">
        <v>50</v>
      </c>
      <c r="AE72" t="s">
        <v>50</v>
      </c>
      <c r="AF72" t="s">
        <v>57</v>
      </c>
      <c r="AG72" t="s">
        <v>57</v>
      </c>
      <c r="AH72" t="s">
        <v>50</v>
      </c>
      <c r="AI72" s="3" t="s">
        <v>63</v>
      </c>
      <c r="AJ72">
        <v>3</v>
      </c>
      <c r="AK72">
        <v>4</v>
      </c>
      <c r="AL72">
        <v>4</v>
      </c>
    </row>
    <row r="73" spans="1:59" x14ac:dyDescent="0.25">
      <c r="A73" s="5" t="s">
        <v>275</v>
      </c>
      <c r="B73" s="5" t="s">
        <v>81</v>
      </c>
      <c r="C73" t="s">
        <v>54</v>
      </c>
      <c r="D73" t="s">
        <v>54</v>
      </c>
      <c r="E73" t="s">
        <v>40</v>
      </c>
      <c r="F73">
        <v>0.32794199665000001</v>
      </c>
      <c r="G73" t="s">
        <v>44</v>
      </c>
      <c r="H73" t="s">
        <v>44</v>
      </c>
      <c r="I73" t="s">
        <v>44</v>
      </c>
      <c r="J73" t="s">
        <v>44</v>
      </c>
      <c r="K73" s="6" t="s">
        <v>44</v>
      </c>
      <c r="L73" t="s">
        <v>44</v>
      </c>
      <c r="M73" s="3" t="s">
        <v>44</v>
      </c>
      <c r="N73" s="3" t="s">
        <v>44</v>
      </c>
      <c r="O73" s="3" t="s">
        <v>44</v>
      </c>
      <c r="P73" s="3" t="s">
        <v>44</v>
      </c>
      <c r="Q73" s="3" t="s">
        <v>44</v>
      </c>
      <c r="R73" s="3" t="s">
        <v>44</v>
      </c>
      <c r="S73" s="3" t="s">
        <v>44</v>
      </c>
      <c r="T73" s="3" t="s">
        <v>44</v>
      </c>
      <c r="U73" t="s">
        <v>44</v>
      </c>
      <c r="V73" t="s">
        <v>44</v>
      </c>
      <c r="W73" t="s">
        <v>44</v>
      </c>
      <c r="X73" t="s">
        <v>44</v>
      </c>
      <c r="Y73" t="s">
        <v>44</v>
      </c>
      <c r="Z73" t="s">
        <v>44</v>
      </c>
      <c r="AA73" t="s">
        <v>44</v>
      </c>
      <c r="AB73" t="s">
        <v>44</v>
      </c>
      <c r="AC73" t="s">
        <v>44</v>
      </c>
      <c r="AD73" s="3" t="s">
        <v>50</v>
      </c>
      <c r="AE73" t="s">
        <v>50</v>
      </c>
      <c r="AF73" t="s">
        <v>50</v>
      </c>
      <c r="AG73" t="s">
        <v>50</v>
      </c>
      <c r="AH73" t="s">
        <v>50</v>
      </c>
      <c r="AI73" s="3" t="s">
        <v>63</v>
      </c>
      <c r="AJ73" t="s">
        <v>44</v>
      </c>
      <c r="AK73" t="s">
        <v>44</v>
      </c>
      <c r="AL73" t="s">
        <v>44</v>
      </c>
    </row>
    <row r="74" spans="1:59" x14ac:dyDescent="0.25">
      <c r="A74" t="s">
        <v>276</v>
      </c>
      <c r="B74" t="s">
        <v>53</v>
      </c>
      <c r="C74" t="s">
        <v>54</v>
      </c>
      <c r="D74" t="s">
        <v>0</v>
      </c>
      <c r="E74" t="s">
        <v>40</v>
      </c>
      <c r="F74">
        <v>1.13441160067</v>
      </c>
      <c r="G74" t="s">
        <v>277</v>
      </c>
      <c r="H74" s="1">
        <v>43186</v>
      </c>
      <c r="I74" s="2">
        <v>0.91666666666666663</v>
      </c>
      <c r="J74" s="6">
        <v>43185</v>
      </c>
      <c r="K74" s="6" t="s">
        <v>196</v>
      </c>
      <c r="L74" t="s">
        <v>101</v>
      </c>
      <c r="M74" s="3">
        <v>348552</v>
      </c>
      <c r="N74" s="3">
        <v>153</v>
      </c>
      <c r="O74" s="3">
        <v>-36.874961999999996</v>
      </c>
      <c r="P74" s="3">
        <v>174.76515900000001</v>
      </c>
      <c r="Q74">
        <v>300813.24</v>
      </c>
      <c r="R74">
        <v>5916666.5999999996</v>
      </c>
      <c r="S74" t="s">
        <v>45</v>
      </c>
      <c r="T74" s="3">
        <v>2.8</v>
      </c>
      <c r="U74" t="s">
        <v>44</v>
      </c>
      <c r="V74" t="s">
        <v>44</v>
      </c>
      <c r="W74" t="s">
        <v>44</v>
      </c>
      <c r="X74" t="s">
        <v>44</v>
      </c>
      <c r="Y74" t="s">
        <v>44</v>
      </c>
      <c r="Z74" t="s">
        <v>44</v>
      </c>
      <c r="AA74" t="s">
        <v>44</v>
      </c>
      <c r="AB74" t="s">
        <v>44</v>
      </c>
      <c r="AC74" t="s">
        <v>44</v>
      </c>
      <c r="AD74" s="3" t="s">
        <v>50</v>
      </c>
      <c r="AE74" t="s">
        <v>50</v>
      </c>
      <c r="AF74" t="s">
        <v>50</v>
      </c>
      <c r="AG74" t="s">
        <v>50</v>
      </c>
      <c r="AH74" t="s">
        <v>50</v>
      </c>
      <c r="AI74" s="3" t="s">
        <v>63</v>
      </c>
      <c r="AJ74" t="s">
        <v>44</v>
      </c>
      <c r="AK74" t="s">
        <v>44</v>
      </c>
      <c r="AL74" t="s">
        <v>44</v>
      </c>
    </row>
    <row r="75" spans="1:59" x14ac:dyDescent="0.25">
      <c r="A75" t="s">
        <v>278</v>
      </c>
      <c r="B75" t="s">
        <v>0</v>
      </c>
      <c r="C75" t="s">
        <v>0</v>
      </c>
      <c r="D75" t="s">
        <v>0</v>
      </c>
      <c r="E75" t="s">
        <v>40</v>
      </c>
      <c r="F75">
        <v>1.33853876185</v>
      </c>
      <c r="G75" t="s">
        <v>277</v>
      </c>
      <c r="H75" s="1">
        <v>43186</v>
      </c>
      <c r="I75" s="2">
        <v>0.91666666666666663</v>
      </c>
      <c r="J75" s="6">
        <v>43185</v>
      </c>
      <c r="K75" s="6" t="s">
        <v>196</v>
      </c>
      <c r="L75" t="s">
        <v>101</v>
      </c>
      <c r="M75" s="3">
        <v>348552</v>
      </c>
      <c r="N75" s="3">
        <v>153</v>
      </c>
      <c r="O75" s="3">
        <v>-36.874961999999996</v>
      </c>
      <c r="P75" s="3">
        <v>174.76515900000001</v>
      </c>
      <c r="Q75">
        <v>300813.24</v>
      </c>
      <c r="R75">
        <v>5916666.5999999996</v>
      </c>
      <c r="S75" t="s">
        <v>45</v>
      </c>
      <c r="T75" s="3">
        <v>2.8</v>
      </c>
      <c r="U75">
        <v>25.6</v>
      </c>
      <c r="V75">
        <v>0.9</v>
      </c>
      <c r="W75">
        <v>1.7</v>
      </c>
      <c r="X75">
        <v>64.900000000000006</v>
      </c>
      <c r="Y75" t="s">
        <v>279</v>
      </c>
      <c r="Z75" t="s">
        <v>50</v>
      </c>
      <c r="AA75" t="s">
        <v>67</v>
      </c>
      <c r="AB75" t="s">
        <v>280</v>
      </c>
      <c r="AC75">
        <f>47+47+47+42+37+17</f>
        <v>237</v>
      </c>
      <c r="AD75" s="3" t="s">
        <v>50</v>
      </c>
      <c r="AE75" t="s">
        <v>50</v>
      </c>
      <c r="AF75" t="s">
        <v>50</v>
      </c>
      <c r="AG75" t="s">
        <v>50</v>
      </c>
      <c r="AH75" t="s">
        <v>50</v>
      </c>
      <c r="AI75" s="3" t="s">
        <v>51</v>
      </c>
      <c r="AJ75">
        <v>1</v>
      </c>
      <c r="AK75">
        <v>4</v>
      </c>
      <c r="AL75">
        <v>3</v>
      </c>
    </row>
    <row r="76" spans="1:59" x14ac:dyDescent="0.25">
      <c r="A76" t="s">
        <v>281</v>
      </c>
      <c r="B76" t="s">
        <v>0</v>
      </c>
      <c r="C76" t="s">
        <v>0</v>
      </c>
      <c r="D76" t="s">
        <v>0</v>
      </c>
      <c r="E76" t="s">
        <v>40</v>
      </c>
      <c r="F76">
        <v>0.10039040714</v>
      </c>
      <c r="G76" t="s">
        <v>282</v>
      </c>
      <c r="H76" s="1">
        <v>43186</v>
      </c>
      <c r="I76" s="4">
        <v>0</v>
      </c>
      <c r="J76" s="1">
        <v>43186</v>
      </c>
      <c r="K76" s="6" t="s">
        <v>196</v>
      </c>
      <c r="L76" t="s">
        <v>124</v>
      </c>
      <c r="M76" s="3">
        <v>23479</v>
      </c>
      <c r="N76" s="3">
        <v>74</v>
      </c>
      <c r="O76" s="3">
        <v>-36.888378000000003</v>
      </c>
      <c r="P76" s="3">
        <v>174.765905</v>
      </c>
      <c r="Q76">
        <v>300914.59999999998</v>
      </c>
      <c r="R76">
        <v>5915179.5800000001</v>
      </c>
      <c r="S76" t="s">
        <v>45</v>
      </c>
      <c r="T76" s="3">
        <v>4.3</v>
      </c>
      <c r="U76">
        <v>26.6</v>
      </c>
      <c r="V76">
        <v>0.9</v>
      </c>
      <c r="W76">
        <v>1.5</v>
      </c>
      <c r="X76">
        <v>64.5</v>
      </c>
      <c r="Y76" t="s">
        <v>283</v>
      </c>
      <c r="Z76" t="s">
        <v>211</v>
      </c>
      <c r="AA76" t="s">
        <v>67</v>
      </c>
      <c r="AB76" t="s">
        <v>284</v>
      </c>
      <c r="AC76">
        <f>49+49+49+44+38+21</f>
        <v>250</v>
      </c>
      <c r="AD76" s="3" t="s">
        <v>50</v>
      </c>
      <c r="AE76" t="s">
        <v>50</v>
      </c>
      <c r="AF76" t="s">
        <v>50</v>
      </c>
      <c r="AG76" t="s">
        <v>50</v>
      </c>
      <c r="AH76" t="s">
        <v>50</v>
      </c>
      <c r="AI76" s="3" t="s">
        <v>51</v>
      </c>
      <c r="AJ76">
        <v>1</v>
      </c>
    </row>
    <row r="77" spans="1:59" x14ac:dyDescent="0.25">
      <c r="A77" t="s">
        <v>285</v>
      </c>
      <c r="B77" t="s">
        <v>0</v>
      </c>
      <c r="C77" t="s">
        <v>0</v>
      </c>
      <c r="D77" t="s">
        <v>0</v>
      </c>
      <c r="E77" t="s">
        <v>40</v>
      </c>
      <c r="F77">
        <v>4.26882320134</v>
      </c>
      <c r="G77" t="s">
        <v>115</v>
      </c>
      <c r="H77" s="1">
        <v>43186</v>
      </c>
      <c r="I77" s="4">
        <v>0.16666666666666666</v>
      </c>
      <c r="J77" s="1">
        <v>43186</v>
      </c>
      <c r="K77" s="6" t="s">
        <v>196</v>
      </c>
      <c r="L77" t="s">
        <v>145</v>
      </c>
      <c r="M77" s="3">
        <v>582988</v>
      </c>
      <c r="N77" s="3">
        <v>55</v>
      </c>
      <c r="O77" s="3">
        <v>-36.916733999999998</v>
      </c>
      <c r="P77" s="3">
        <v>174.74166199999999</v>
      </c>
      <c r="Q77">
        <v>298828.43</v>
      </c>
      <c r="R77">
        <v>5911982.4500000002</v>
      </c>
      <c r="S77" t="s">
        <v>45</v>
      </c>
      <c r="T77" s="3">
        <v>1.8</v>
      </c>
      <c r="U77">
        <v>25</v>
      </c>
      <c r="V77">
        <v>1.8</v>
      </c>
      <c r="W77">
        <v>2.4</v>
      </c>
      <c r="X77">
        <v>71.099999999999994</v>
      </c>
      <c r="Y77" t="s">
        <v>286</v>
      </c>
      <c r="Z77" t="s">
        <v>211</v>
      </c>
      <c r="AA77" t="s">
        <v>67</v>
      </c>
      <c r="AB77" t="s">
        <v>287</v>
      </c>
      <c r="AC77">
        <f>30+30+29+24+19+5</f>
        <v>137</v>
      </c>
      <c r="AD77" s="3" t="s">
        <v>50</v>
      </c>
      <c r="AE77" t="s">
        <v>50</v>
      </c>
      <c r="AF77" t="s">
        <v>50</v>
      </c>
      <c r="AG77" t="s">
        <v>50</v>
      </c>
      <c r="AH77" t="s">
        <v>50</v>
      </c>
      <c r="AI77" s="3" t="s">
        <v>51</v>
      </c>
      <c r="AJ77">
        <v>1</v>
      </c>
      <c r="AK77">
        <v>4</v>
      </c>
      <c r="AL77">
        <v>3</v>
      </c>
    </row>
    <row r="78" spans="1:59" x14ac:dyDescent="0.25">
      <c r="A78" t="s">
        <v>288</v>
      </c>
      <c r="B78" t="s">
        <v>53</v>
      </c>
      <c r="C78" t="s">
        <v>54</v>
      </c>
      <c r="D78" t="s">
        <v>0</v>
      </c>
      <c r="E78" t="s">
        <v>40</v>
      </c>
      <c r="F78">
        <v>2.5655326268800001</v>
      </c>
      <c r="G78" t="s">
        <v>282</v>
      </c>
      <c r="H78" s="1">
        <v>43207</v>
      </c>
      <c r="I78" s="4">
        <v>4.1666666666666664E-2</v>
      </c>
      <c r="J78" s="1">
        <v>43207</v>
      </c>
      <c r="K78" s="6" t="s">
        <v>196</v>
      </c>
      <c r="L78" t="s">
        <v>43</v>
      </c>
      <c r="M78" t="s">
        <v>44</v>
      </c>
      <c r="N78">
        <v>100</v>
      </c>
      <c r="O78">
        <v>-36.347988000000001</v>
      </c>
      <c r="P78">
        <v>174.35324800000001</v>
      </c>
      <c r="Q78">
        <v>262481.59999999998</v>
      </c>
      <c r="R78">
        <v>5974200.6299999999</v>
      </c>
      <c r="S78" t="s">
        <v>45</v>
      </c>
      <c r="T78">
        <v>4.9000000000000004</v>
      </c>
      <c r="U78" t="s">
        <v>44</v>
      </c>
      <c r="V78" t="s">
        <v>44</v>
      </c>
      <c r="W78" t="s">
        <v>44</v>
      </c>
      <c r="X78" t="s">
        <v>44</v>
      </c>
      <c r="Y78" t="s">
        <v>44</v>
      </c>
      <c r="Z78" t="s">
        <v>44</v>
      </c>
      <c r="AA78" t="s">
        <v>44</v>
      </c>
      <c r="AB78" t="s">
        <v>44</v>
      </c>
      <c r="AC78" t="s">
        <v>44</v>
      </c>
      <c r="AD78" s="3" t="s">
        <v>50</v>
      </c>
      <c r="AE78" t="s">
        <v>50</v>
      </c>
      <c r="AF78" t="s">
        <v>50</v>
      </c>
      <c r="AG78" t="s">
        <v>50</v>
      </c>
      <c r="AH78" t="s">
        <v>50</v>
      </c>
      <c r="AI78" s="3" t="s">
        <v>63</v>
      </c>
      <c r="AJ78" t="s">
        <v>44</v>
      </c>
      <c r="AK78" t="s">
        <v>44</v>
      </c>
      <c r="AL78" t="s">
        <v>44</v>
      </c>
    </row>
    <row r="79" spans="1:59" x14ac:dyDescent="0.25">
      <c r="A79" t="s">
        <v>289</v>
      </c>
      <c r="B79" t="s">
        <v>0</v>
      </c>
      <c r="C79" t="s">
        <v>0</v>
      </c>
      <c r="D79" t="s">
        <v>0</v>
      </c>
      <c r="E79">
        <v>0.09</v>
      </c>
      <c r="F79">
        <v>6.6279977691000003</v>
      </c>
      <c r="G79" t="s">
        <v>282</v>
      </c>
      <c r="H79" s="1">
        <v>43207</v>
      </c>
      <c r="I79" s="4">
        <v>4.1666666666666664E-2</v>
      </c>
      <c r="J79" s="1">
        <v>43207</v>
      </c>
      <c r="K79" s="6" t="s">
        <v>196</v>
      </c>
      <c r="L79" t="s">
        <v>43</v>
      </c>
      <c r="M79" t="s">
        <v>44</v>
      </c>
      <c r="N79">
        <v>100</v>
      </c>
      <c r="O79">
        <v>-36.347988000000001</v>
      </c>
      <c r="P79">
        <v>174.35324800000001</v>
      </c>
      <c r="Q79">
        <v>262481.59999999998</v>
      </c>
      <c r="R79">
        <v>5974200.6299999999</v>
      </c>
      <c r="S79" t="s">
        <v>45</v>
      </c>
      <c r="T79">
        <v>4.9000000000000004</v>
      </c>
      <c r="U79">
        <v>25.2</v>
      </c>
      <c r="V79">
        <v>0.8</v>
      </c>
      <c r="W79">
        <v>2</v>
      </c>
      <c r="X79">
        <v>64.8</v>
      </c>
      <c r="Y79" t="s">
        <v>290</v>
      </c>
      <c r="Z79" t="s">
        <v>97</v>
      </c>
      <c r="AA79" t="s">
        <v>48</v>
      </c>
      <c r="AB79" t="s">
        <v>291</v>
      </c>
      <c r="AC79">
        <f>190+189+186+160+133+51</f>
        <v>909</v>
      </c>
      <c r="AD79" s="3" t="s">
        <v>50</v>
      </c>
      <c r="AE79" t="s">
        <v>50</v>
      </c>
      <c r="AF79" t="s">
        <v>50</v>
      </c>
      <c r="AG79" t="s">
        <v>50</v>
      </c>
      <c r="AH79" t="s">
        <v>50</v>
      </c>
      <c r="AI79" s="3" t="s">
        <v>63</v>
      </c>
      <c r="AJ79">
        <v>4</v>
      </c>
      <c r="AK79">
        <v>4</v>
      </c>
      <c r="AL79">
        <v>3</v>
      </c>
    </row>
    <row r="80" spans="1:59" x14ac:dyDescent="0.25">
      <c r="A80" t="s">
        <v>292</v>
      </c>
      <c r="B80" t="s">
        <v>0</v>
      </c>
      <c r="C80" t="s">
        <v>0</v>
      </c>
      <c r="D80" t="s">
        <v>0</v>
      </c>
      <c r="E80" t="s">
        <v>40</v>
      </c>
      <c r="F80">
        <v>7.5638594534300001</v>
      </c>
      <c r="G80" t="s">
        <v>282</v>
      </c>
      <c r="H80" s="1">
        <v>43209</v>
      </c>
      <c r="I80" s="2">
        <v>4.1666666666666664E-2</v>
      </c>
      <c r="J80" s="1">
        <v>43209</v>
      </c>
      <c r="K80" s="6" t="s">
        <v>196</v>
      </c>
      <c r="L80" t="s">
        <v>101</v>
      </c>
      <c r="M80" s="3">
        <v>348552</v>
      </c>
      <c r="N80" s="3">
        <v>153</v>
      </c>
      <c r="O80" s="3">
        <v>-36.874961999999996</v>
      </c>
      <c r="P80" s="3">
        <v>174.76515900000001</v>
      </c>
      <c r="Q80">
        <v>300813.24</v>
      </c>
      <c r="R80">
        <v>5916666.5999999996</v>
      </c>
      <c r="S80" t="s">
        <v>45</v>
      </c>
      <c r="T80" s="3">
        <v>2.8</v>
      </c>
      <c r="U80">
        <v>18.899999999999999</v>
      </c>
      <c r="V80">
        <v>0.5</v>
      </c>
      <c r="W80">
        <v>1.9</v>
      </c>
      <c r="X80">
        <v>58.1</v>
      </c>
      <c r="Y80" t="s">
        <v>293</v>
      </c>
      <c r="Z80" t="s">
        <v>47</v>
      </c>
      <c r="AA80" t="s">
        <v>67</v>
      </c>
      <c r="AB80" t="s">
        <v>294</v>
      </c>
      <c r="AC80">
        <f>67+67+66+58+50+22</f>
        <v>330</v>
      </c>
      <c r="AD80" s="3" t="s">
        <v>50</v>
      </c>
      <c r="AE80" t="s">
        <v>50</v>
      </c>
      <c r="AF80" t="s">
        <v>50</v>
      </c>
      <c r="AG80" t="s">
        <v>50</v>
      </c>
      <c r="AH80" t="s">
        <v>50</v>
      </c>
      <c r="AI80" s="3" t="s">
        <v>51</v>
      </c>
      <c r="AJ80">
        <v>2</v>
      </c>
      <c r="AK80">
        <v>4</v>
      </c>
      <c r="AL80">
        <v>3</v>
      </c>
    </row>
    <row r="81" spans="1:38" x14ac:dyDescent="0.25">
      <c r="A81" t="s">
        <v>295</v>
      </c>
      <c r="B81" t="s">
        <v>0</v>
      </c>
      <c r="C81" t="s">
        <v>0</v>
      </c>
      <c r="D81" t="s">
        <v>0</v>
      </c>
      <c r="E81" t="s">
        <v>40</v>
      </c>
      <c r="F81">
        <v>6.5030674846599998</v>
      </c>
      <c r="G81" t="s">
        <v>132</v>
      </c>
      <c r="H81" s="1">
        <v>43208</v>
      </c>
      <c r="I81" s="2">
        <v>0.125</v>
      </c>
      <c r="J81" s="1">
        <v>43208</v>
      </c>
      <c r="K81" s="6" t="s">
        <v>196</v>
      </c>
      <c r="L81" t="s">
        <v>145</v>
      </c>
      <c r="M81" s="3">
        <v>582988</v>
      </c>
      <c r="N81" s="3">
        <v>55</v>
      </c>
      <c r="O81" s="3">
        <v>-36.916733999999998</v>
      </c>
      <c r="P81" s="3">
        <v>174.74166199999999</v>
      </c>
      <c r="Q81">
        <v>298828.43</v>
      </c>
      <c r="R81">
        <v>5911982.4500000002</v>
      </c>
      <c r="S81" t="s">
        <v>45</v>
      </c>
      <c r="T81" s="3">
        <v>1.8</v>
      </c>
      <c r="U81">
        <v>19.2</v>
      </c>
      <c r="V81">
        <v>1.5</v>
      </c>
      <c r="W81">
        <v>2.9</v>
      </c>
      <c r="X81">
        <v>57.9</v>
      </c>
      <c r="Y81" t="s">
        <v>296</v>
      </c>
      <c r="Z81" t="s">
        <v>47</v>
      </c>
      <c r="AA81" t="s">
        <v>67</v>
      </c>
      <c r="AB81" t="s">
        <v>297</v>
      </c>
      <c r="AC81">
        <f>76+76+74+60+49+17</f>
        <v>352</v>
      </c>
      <c r="AD81" s="3" t="s">
        <v>50</v>
      </c>
      <c r="AE81" t="s">
        <v>50</v>
      </c>
      <c r="AF81" t="s">
        <v>50</v>
      </c>
      <c r="AG81" t="s">
        <v>50</v>
      </c>
      <c r="AH81" t="s">
        <v>50</v>
      </c>
      <c r="AI81" s="3" t="s">
        <v>58</v>
      </c>
      <c r="AJ81">
        <v>2</v>
      </c>
    </row>
    <row r="82" spans="1:38" x14ac:dyDescent="0.25">
      <c r="A82" t="s">
        <v>298</v>
      </c>
      <c r="B82" t="s">
        <v>53</v>
      </c>
      <c r="C82" t="s">
        <v>54</v>
      </c>
      <c r="D82" t="s">
        <v>0</v>
      </c>
      <c r="E82" t="s">
        <v>40</v>
      </c>
      <c r="F82">
        <v>2.5789180145000001</v>
      </c>
      <c r="G82" t="s">
        <v>132</v>
      </c>
      <c r="H82" s="1">
        <v>43208</v>
      </c>
      <c r="I82" s="2">
        <v>0.125</v>
      </c>
      <c r="J82" s="1">
        <v>43208</v>
      </c>
      <c r="K82" s="6" t="s">
        <v>196</v>
      </c>
      <c r="L82" t="s">
        <v>145</v>
      </c>
      <c r="M82" s="3">
        <v>582988</v>
      </c>
      <c r="N82" s="3">
        <v>55</v>
      </c>
      <c r="O82" s="3">
        <v>-36.916733999999998</v>
      </c>
      <c r="P82" s="3">
        <v>174.74166199999999</v>
      </c>
      <c r="Q82">
        <v>298828.43</v>
      </c>
      <c r="R82">
        <v>5911982.4500000002</v>
      </c>
      <c r="S82" t="s">
        <v>45</v>
      </c>
      <c r="T82" s="3">
        <v>1.8</v>
      </c>
      <c r="U82" t="s">
        <v>44</v>
      </c>
      <c r="V82" t="s">
        <v>44</v>
      </c>
      <c r="W82" t="s">
        <v>44</v>
      </c>
      <c r="X82" t="s">
        <v>44</v>
      </c>
      <c r="Y82" t="s">
        <v>44</v>
      </c>
      <c r="Z82" t="s">
        <v>44</v>
      </c>
      <c r="AA82" t="s">
        <v>44</v>
      </c>
      <c r="AB82" t="s">
        <v>44</v>
      </c>
      <c r="AC82" t="s">
        <v>44</v>
      </c>
      <c r="AD82" s="3" t="s">
        <v>50</v>
      </c>
      <c r="AE82" t="s">
        <v>50</v>
      </c>
      <c r="AF82" t="s">
        <v>50</v>
      </c>
      <c r="AG82" t="s">
        <v>50</v>
      </c>
      <c r="AH82" t="s">
        <v>50</v>
      </c>
      <c r="AI82" s="3" t="s">
        <v>58</v>
      </c>
      <c r="AJ82" t="s">
        <v>44</v>
      </c>
      <c r="AK82" t="s">
        <v>44</v>
      </c>
      <c r="AL82" t="s">
        <v>44</v>
      </c>
    </row>
    <row r="83" spans="1:38" x14ac:dyDescent="0.25">
      <c r="A83" t="s">
        <v>299</v>
      </c>
      <c r="B83" t="s">
        <v>0</v>
      </c>
      <c r="C83" t="s">
        <v>0</v>
      </c>
      <c r="D83" t="s">
        <v>0</v>
      </c>
      <c r="E83" t="s">
        <v>40</v>
      </c>
      <c r="F83">
        <v>3.8906860011200002</v>
      </c>
      <c r="G83" t="s">
        <v>300</v>
      </c>
      <c r="H83" s="1">
        <v>43208</v>
      </c>
      <c r="I83" s="2">
        <v>0.16666666666666666</v>
      </c>
      <c r="J83" s="1">
        <v>43208</v>
      </c>
      <c r="K83" s="6" t="s">
        <v>196</v>
      </c>
      <c r="L83" t="s">
        <v>84</v>
      </c>
      <c r="M83" s="3">
        <v>1850000</v>
      </c>
      <c r="N83" s="3">
        <v>13</v>
      </c>
      <c r="O83" s="3">
        <v>-36.864896999999999</v>
      </c>
      <c r="P83" s="3">
        <v>174.72235900000001</v>
      </c>
      <c r="Q83">
        <v>296971.36</v>
      </c>
      <c r="R83">
        <v>5917693.1600000001</v>
      </c>
      <c r="S83" t="s">
        <v>45</v>
      </c>
      <c r="T83" s="3">
        <v>1.5</v>
      </c>
      <c r="U83">
        <v>17.8</v>
      </c>
      <c r="V83">
        <v>1.2</v>
      </c>
      <c r="W83">
        <v>1.8</v>
      </c>
      <c r="X83">
        <v>56.3</v>
      </c>
      <c r="Y83" t="s">
        <v>301</v>
      </c>
      <c r="Z83" t="s">
        <v>47</v>
      </c>
      <c r="AA83" t="s">
        <v>61</v>
      </c>
      <c r="AB83" t="s">
        <v>302</v>
      </c>
      <c r="AC83">
        <f>65+65+63+50+39+13</f>
        <v>295</v>
      </c>
      <c r="AD83" t="s">
        <v>57</v>
      </c>
      <c r="AE83" t="s">
        <v>57</v>
      </c>
      <c r="AF83" t="s">
        <v>50</v>
      </c>
      <c r="AG83" t="s">
        <v>50</v>
      </c>
      <c r="AH83" t="s">
        <v>50</v>
      </c>
      <c r="AI83" s="3" t="s">
        <v>58</v>
      </c>
      <c r="AJ83">
        <v>2</v>
      </c>
      <c r="AK83">
        <v>4</v>
      </c>
      <c r="AL83">
        <v>3</v>
      </c>
    </row>
    <row r="84" spans="1:38" x14ac:dyDescent="0.25">
      <c r="A84" t="s">
        <v>303</v>
      </c>
      <c r="B84" t="s">
        <v>53</v>
      </c>
      <c r="C84" t="s">
        <v>54</v>
      </c>
      <c r="D84" t="s">
        <v>0</v>
      </c>
      <c r="E84" t="s">
        <v>40</v>
      </c>
      <c r="F84">
        <v>1.6542108198500001</v>
      </c>
      <c r="G84" t="s">
        <v>304</v>
      </c>
      <c r="H84" s="1">
        <v>43209</v>
      </c>
      <c r="I84" s="2">
        <v>0</v>
      </c>
      <c r="J84" s="1">
        <v>43209</v>
      </c>
      <c r="K84" s="6" t="s">
        <v>196</v>
      </c>
      <c r="L84" t="s">
        <v>95</v>
      </c>
      <c r="M84" s="3">
        <v>14097</v>
      </c>
      <c r="N84" s="3">
        <v>36</v>
      </c>
      <c r="O84" s="3">
        <v>-36.883474</v>
      </c>
      <c r="P84" s="3">
        <v>174.73650000000001</v>
      </c>
      <c r="Q84">
        <v>298280.96000000002</v>
      </c>
      <c r="R84">
        <v>5915661.9299999997</v>
      </c>
      <c r="S84" t="s">
        <v>45</v>
      </c>
      <c r="T84" s="3">
        <v>4</v>
      </c>
      <c r="U84" t="s">
        <v>44</v>
      </c>
      <c r="V84" t="s">
        <v>44</v>
      </c>
      <c r="W84" t="s">
        <v>44</v>
      </c>
      <c r="X84" t="s">
        <v>44</v>
      </c>
      <c r="Y84" t="s">
        <v>44</v>
      </c>
      <c r="Z84" t="s">
        <v>44</v>
      </c>
      <c r="AA84" t="s">
        <v>44</v>
      </c>
      <c r="AB84" t="s">
        <v>44</v>
      </c>
      <c r="AC84" t="s">
        <v>44</v>
      </c>
      <c r="AD84" t="s">
        <v>50</v>
      </c>
      <c r="AE84" t="s">
        <v>50</v>
      </c>
      <c r="AF84" t="s">
        <v>50</v>
      </c>
      <c r="AG84" t="s">
        <v>50</v>
      </c>
      <c r="AH84" t="s">
        <v>50</v>
      </c>
      <c r="AI84" s="3" t="s">
        <v>63</v>
      </c>
      <c r="AJ84" t="s">
        <v>44</v>
      </c>
      <c r="AK84" t="s">
        <v>44</v>
      </c>
      <c r="AL84" t="s">
        <v>44</v>
      </c>
    </row>
    <row r="85" spans="1:38" x14ac:dyDescent="0.25">
      <c r="A85" t="s">
        <v>305</v>
      </c>
      <c r="B85" t="s">
        <v>0</v>
      </c>
      <c r="C85" t="s">
        <v>0</v>
      </c>
      <c r="D85" t="s">
        <v>0</v>
      </c>
      <c r="E85" t="s">
        <v>40</v>
      </c>
      <c r="F85">
        <v>1.4857780256599999</v>
      </c>
      <c r="G85" t="s">
        <v>304</v>
      </c>
      <c r="H85" s="1">
        <v>43209</v>
      </c>
      <c r="I85" s="2">
        <v>1</v>
      </c>
      <c r="J85" s="1">
        <v>43209</v>
      </c>
      <c r="K85" s="6" t="s">
        <v>196</v>
      </c>
      <c r="L85" t="s">
        <v>95</v>
      </c>
      <c r="M85" s="3">
        <v>14097</v>
      </c>
      <c r="N85" s="3">
        <v>36</v>
      </c>
      <c r="O85" s="3">
        <v>-36.883474</v>
      </c>
      <c r="P85" s="3">
        <v>174.73650000000001</v>
      </c>
      <c r="Q85">
        <v>298280.96000000002</v>
      </c>
      <c r="R85">
        <v>5915661.9299999997</v>
      </c>
      <c r="S85" t="s">
        <v>45</v>
      </c>
      <c r="T85" s="3">
        <v>4</v>
      </c>
      <c r="U85">
        <v>18.8</v>
      </c>
      <c r="V85">
        <v>1.8</v>
      </c>
      <c r="W85">
        <v>2.4</v>
      </c>
      <c r="X85">
        <v>59.2</v>
      </c>
      <c r="Y85" t="s">
        <v>306</v>
      </c>
      <c r="Z85" t="s">
        <v>97</v>
      </c>
      <c r="AA85" t="s">
        <v>67</v>
      </c>
      <c r="AB85" t="s">
        <v>307</v>
      </c>
      <c r="AC85">
        <f>67+67+66+57+47+18</f>
        <v>322</v>
      </c>
      <c r="AD85" t="s">
        <v>50</v>
      </c>
      <c r="AE85" t="s">
        <v>50</v>
      </c>
      <c r="AF85" t="s">
        <v>50</v>
      </c>
      <c r="AG85" t="s">
        <v>50</v>
      </c>
      <c r="AH85" t="s">
        <v>50</v>
      </c>
      <c r="AI85" s="3" t="s">
        <v>58</v>
      </c>
      <c r="AJ85">
        <v>2</v>
      </c>
      <c r="AK85">
        <v>2</v>
      </c>
      <c r="AL85">
        <v>4</v>
      </c>
    </row>
    <row r="86" spans="1:38" x14ac:dyDescent="0.25">
      <c r="A86" t="s">
        <v>308</v>
      </c>
      <c r="B86" t="s">
        <v>0</v>
      </c>
      <c r="C86" t="s">
        <v>0</v>
      </c>
      <c r="D86" t="s">
        <v>0</v>
      </c>
      <c r="E86" t="s">
        <v>40</v>
      </c>
      <c r="F86">
        <v>1.8806469604</v>
      </c>
      <c r="G86" t="s">
        <v>178</v>
      </c>
      <c r="H86" s="1">
        <v>43209</v>
      </c>
      <c r="I86" s="2">
        <v>0.125</v>
      </c>
      <c r="J86" s="1">
        <v>43209</v>
      </c>
      <c r="K86" s="6" t="s">
        <v>196</v>
      </c>
      <c r="L86" t="s">
        <v>124</v>
      </c>
      <c r="M86" s="3">
        <v>23479</v>
      </c>
      <c r="N86" s="3">
        <v>74</v>
      </c>
      <c r="O86" s="3">
        <v>-36.888378000000003</v>
      </c>
      <c r="P86" s="3">
        <v>174.765905</v>
      </c>
      <c r="Q86">
        <v>300914.59999999998</v>
      </c>
      <c r="R86">
        <v>5915179.5800000001</v>
      </c>
      <c r="S86" t="s">
        <v>45</v>
      </c>
      <c r="T86" s="3">
        <v>4.3</v>
      </c>
      <c r="U86">
        <v>22.4</v>
      </c>
      <c r="V86">
        <v>0.3</v>
      </c>
      <c r="W86">
        <v>0.7</v>
      </c>
      <c r="X86">
        <v>56.4</v>
      </c>
      <c r="Y86" t="s">
        <v>309</v>
      </c>
      <c r="Z86" t="s">
        <v>97</v>
      </c>
      <c r="AA86" t="s">
        <v>67</v>
      </c>
      <c r="AB86" t="s">
        <v>310</v>
      </c>
      <c r="AC86">
        <f>53+53+52+44+35+9</f>
        <v>246</v>
      </c>
      <c r="AD86" t="s">
        <v>50</v>
      </c>
      <c r="AE86" t="s">
        <v>50</v>
      </c>
      <c r="AF86" t="s">
        <v>50</v>
      </c>
      <c r="AG86" t="s">
        <v>50</v>
      </c>
      <c r="AH86" t="s">
        <v>57</v>
      </c>
      <c r="AI86" s="3" t="s">
        <v>58</v>
      </c>
      <c r="AJ86">
        <v>2</v>
      </c>
      <c r="AK86">
        <v>1</v>
      </c>
      <c r="AL86">
        <v>5</v>
      </c>
    </row>
    <row r="87" spans="1:38" x14ac:dyDescent="0.25">
      <c r="A87" t="s">
        <v>311</v>
      </c>
      <c r="B87" t="s">
        <v>0</v>
      </c>
      <c r="C87" t="s">
        <v>0</v>
      </c>
      <c r="D87" t="s">
        <v>0</v>
      </c>
      <c r="E87">
        <v>7.0000000000000007E-2</v>
      </c>
      <c r="F87">
        <v>3.3865030674800001</v>
      </c>
      <c r="G87" t="s">
        <v>300</v>
      </c>
      <c r="H87" s="1">
        <v>43209</v>
      </c>
      <c r="I87" s="2">
        <v>0.16666666666666666</v>
      </c>
      <c r="J87" s="1">
        <v>43209</v>
      </c>
      <c r="K87" s="6" t="s">
        <v>196</v>
      </c>
      <c r="L87" t="s">
        <v>156</v>
      </c>
      <c r="M87" s="3">
        <v>1700000</v>
      </c>
      <c r="N87" s="3">
        <v>94</v>
      </c>
      <c r="O87" s="3">
        <v>-36.898637000000001</v>
      </c>
      <c r="P87" s="3">
        <v>174.785471</v>
      </c>
      <c r="Q87">
        <v>302684.84000000003</v>
      </c>
      <c r="R87">
        <v>5914081.96</v>
      </c>
      <c r="S87" t="s">
        <v>45</v>
      </c>
      <c r="T87" s="3">
        <v>2.9</v>
      </c>
      <c r="U87">
        <v>16.3</v>
      </c>
      <c r="V87">
        <v>0.6</v>
      </c>
      <c r="W87">
        <v>0.8</v>
      </c>
      <c r="X87">
        <v>69.7</v>
      </c>
      <c r="Y87" t="s">
        <v>312</v>
      </c>
      <c r="Z87" t="s">
        <v>134</v>
      </c>
      <c r="AA87" t="s">
        <v>48</v>
      </c>
      <c r="AB87" t="s">
        <v>313</v>
      </c>
      <c r="AC87">
        <f>76+76+75+66+57+22</f>
        <v>372</v>
      </c>
      <c r="AD87" t="s">
        <v>50</v>
      </c>
      <c r="AE87" t="s">
        <v>50</v>
      </c>
      <c r="AF87" t="s">
        <v>57</v>
      </c>
      <c r="AG87" t="s">
        <v>50</v>
      </c>
      <c r="AH87" t="s">
        <v>50</v>
      </c>
      <c r="AI87" s="3" t="s">
        <v>51</v>
      </c>
      <c r="AJ87">
        <v>2</v>
      </c>
    </row>
    <row r="88" spans="1:38" x14ac:dyDescent="0.25">
      <c r="A88" t="s">
        <v>314</v>
      </c>
      <c r="B88" t="s">
        <v>0</v>
      </c>
      <c r="C88" t="s">
        <v>0</v>
      </c>
      <c r="D88" t="s">
        <v>0</v>
      </c>
      <c r="E88" t="s">
        <v>40</v>
      </c>
      <c r="F88">
        <v>0.12046848857</v>
      </c>
      <c r="G88" t="s">
        <v>132</v>
      </c>
      <c r="H88" s="1">
        <v>43208</v>
      </c>
      <c r="I88" s="2">
        <v>0.125</v>
      </c>
      <c r="J88" s="1">
        <v>43208</v>
      </c>
      <c r="K88" s="6" t="s">
        <v>196</v>
      </c>
      <c r="L88" t="s">
        <v>145</v>
      </c>
      <c r="M88" s="3">
        <v>582988</v>
      </c>
      <c r="N88" s="3">
        <v>55</v>
      </c>
      <c r="O88" s="3">
        <v>-36.916733999999998</v>
      </c>
      <c r="P88" s="3">
        <v>174.74166199999999</v>
      </c>
      <c r="Q88">
        <v>298828.43</v>
      </c>
      <c r="R88">
        <v>5911982.4500000002</v>
      </c>
      <c r="S88" t="s">
        <v>45</v>
      </c>
      <c r="T88" s="3">
        <v>1.8</v>
      </c>
      <c r="U88">
        <v>19.2</v>
      </c>
      <c r="V88">
        <v>1.5</v>
      </c>
      <c r="W88">
        <v>2.9</v>
      </c>
      <c r="X88">
        <v>57.9</v>
      </c>
      <c r="Y88" t="s">
        <v>296</v>
      </c>
      <c r="Z88" t="s">
        <v>47</v>
      </c>
      <c r="AA88" t="s">
        <v>61</v>
      </c>
      <c r="AB88" t="s">
        <v>297</v>
      </c>
      <c r="AC88">
        <f>76+76+74+60+49+17</f>
        <v>352</v>
      </c>
      <c r="AD88" t="s">
        <v>50</v>
      </c>
      <c r="AE88" t="s">
        <v>50</v>
      </c>
      <c r="AF88" t="s">
        <v>50</v>
      </c>
      <c r="AG88" t="s">
        <v>50</v>
      </c>
      <c r="AH88" t="s">
        <v>50</v>
      </c>
      <c r="AI88" s="3" t="s">
        <v>51</v>
      </c>
      <c r="AJ88">
        <v>2</v>
      </c>
      <c r="AK88">
        <v>2</v>
      </c>
      <c r="AL88">
        <v>5</v>
      </c>
    </row>
    <row r="89" spans="1:38" x14ac:dyDescent="0.25">
      <c r="A89" s="5" t="s">
        <v>315</v>
      </c>
      <c r="B89" s="5" t="s">
        <v>81</v>
      </c>
      <c r="C89" t="s">
        <v>54</v>
      </c>
      <c r="D89" t="s">
        <v>54</v>
      </c>
      <c r="E89" t="s">
        <v>40</v>
      </c>
      <c r="F89">
        <v>5.8003346349999998E-2</v>
      </c>
      <c r="G89" t="s">
        <v>44</v>
      </c>
      <c r="H89" t="s">
        <v>44</v>
      </c>
      <c r="I89" t="s">
        <v>44</v>
      </c>
      <c r="J89" t="s">
        <v>44</v>
      </c>
      <c r="K89" s="6" t="s">
        <v>44</v>
      </c>
      <c r="L89" t="s">
        <v>44</v>
      </c>
      <c r="M89" s="3" t="s">
        <v>44</v>
      </c>
      <c r="N89" s="3" t="s">
        <v>44</v>
      </c>
      <c r="O89" s="3" t="s">
        <v>44</v>
      </c>
      <c r="P89" s="3" t="s">
        <v>44</v>
      </c>
      <c r="Q89" s="3" t="s">
        <v>44</v>
      </c>
      <c r="R89" s="3" t="s">
        <v>44</v>
      </c>
      <c r="S89" s="3" t="s">
        <v>44</v>
      </c>
      <c r="T89" s="3" t="s">
        <v>44</v>
      </c>
      <c r="U89" t="s">
        <v>44</v>
      </c>
      <c r="V89" t="s">
        <v>44</v>
      </c>
      <c r="W89" t="s">
        <v>44</v>
      </c>
      <c r="X89" t="s">
        <v>44</v>
      </c>
      <c r="Y89" t="s">
        <v>44</v>
      </c>
      <c r="Z89" t="s">
        <v>44</v>
      </c>
      <c r="AA89" t="s">
        <v>44</v>
      </c>
      <c r="AB89" t="s">
        <v>44</v>
      </c>
      <c r="AC89" t="s">
        <v>44</v>
      </c>
      <c r="AD89" t="s">
        <v>50</v>
      </c>
      <c r="AE89" t="s">
        <v>50</v>
      </c>
      <c r="AF89" t="s">
        <v>50</v>
      </c>
      <c r="AG89" t="s">
        <v>50</v>
      </c>
      <c r="AH89" t="s">
        <v>50</v>
      </c>
      <c r="AI89" s="3" t="s">
        <v>63</v>
      </c>
      <c r="AJ89" t="s">
        <v>44</v>
      </c>
      <c r="AK89" t="s">
        <v>44</v>
      </c>
      <c r="AL89" t="s">
        <v>44</v>
      </c>
    </row>
    <row r="90" spans="1:38" x14ac:dyDescent="0.25">
      <c r="A90" t="s">
        <v>316</v>
      </c>
      <c r="B90" t="s">
        <v>0</v>
      </c>
      <c r="C90" t="s">
        <v>0</v>
      </c>
      <c r="D90" t="s">
        <v>0</v>
      </c>
      <c r="E90">
        <v>0.02</v>
      </c>
      <c r="F90">
        <v>19.494701617400001</v>
      </c>
      <c r="G90" t="s">
        <v>105</v>
      </c>
      <c r="H90" s="1">
        <v>42930</v>
      </c>
      <c r="I90" s="2">
        <v>0</v>
      </c>
      <c r="J90" s="1">
        <v>42930</v>
      </c>
      <c r="K90" s="1" t="s">
        <v>42</v>
      </c>
      <c r="L90" t="s">
        <v>106</v>
      </c>
      <c r="M90" s="3">
        <v>710007</v>
      </c>
      <c r="N90" s="3">
        <v>63</v>
      </c>
      <c r="O90" s="3">
        <v>-36.859202000000003</v>
      </c>
      <c r="P90" s="3">
        <v>174.77531999999999</v>
      </c>
      <c r="Q90">
        <v>301678.25</v>
      </c>
      <c r="R90">
        <v>5918436.4000000004</v>
      </c>
      <c r="S90" t="s">
        <v>45</v>
      </c>
      <c r="T90" s="3">
        <v>1.4</v>
      </c>
      <c r="U90">
        <v>9.6999999999999993</v>
      </c>
      <c r="V90" t="s">
        <v>44</v>
      </c>
      <c r="W90" t="s">
        <v>44</v>
      </c>
      <c r="X90">
        <v>85.9</v>
      </c>
      <c r="Y90" t="s">
        <v>317</v>
      </c>
      <c r="Z90" t="s">
        <v>72</v>
      </c>
      <c r="AA90" t="s">
        <v>61</v>
      </c>
      <c r="AB90" t="s">
        <v>318</v>
      </c>
      <c r="AC90">
        <f>78+78+77+64+52+18</f>
        <v>367</v>
      </c>
      <c r="AD90" t="s">
        <v>50</v>
      </c>
      <c r="AE90" t="s">
        <v>50</v>
      </c>
      <c r="AF90" t="s">
        <v>50</v>
      </c>
      <c r="AG90" t="s">
        <v>50</v>
      </c>
      <c r="AH90" t="s">
        <v>50</v>
      </c>
      <c r="AI90" s="3" t="s">
        <v>44</v>
      </c>
      <c r="AJ90">
        <v>3</v>
      </c>
    </row>
    <row r="91" spans="1:38" x14ac:dyDescent="0.25">
      <c r="A91" t="s">
        <v>319</v>
      </c>
      <c r="B91" t="s">
        <v>0</v>
      </c>
      <c r="C91" t="s">
        <v>0</v>
      </c>
      <c r="D91" t="s">
        <v>0</v>
      </c>
      <c r="E91">
        <v>0.17</v>
      </c>
      <c r="F91">
        <v>25.977691020599998</v>
      </c>
      <c r="G91" t="s">
        <v>320</v>
      </c>
      <c r="H91" s="1">
        <v>42930</v>
      </c>
      <c r="I91" s="2">
        <v>0.125</v>
      </c>
      <c r="J91" s="1">
        <v>42930</v>
      </c>
      <c r="K91" s="1" t="s">
        <v>42</v>
      </c>
      <c r="L91" t="s">
        <v>182</v>
      </c>
      <c r="M91" s="3">
        <v>14682</v>
      </c>
      <c r="N91" s="3">
        <v>16</v>
      </c>
      <c r="O91" s="3">
        <v>-36.850625000000001</v>
      </c>
      <c r="P91" s="3">
        <v>174.77347800000001</v>
      </c>
      <c r="Q91">
        <v>301491.82</v>
      </c>
      <c r="R91">
        <v>5919384.2300000004</v>
      </c>
      <c r="S91" t="s">
        <v>45</v>
      </c>
      <c r="T91" s="3">
        <v>0.8</v>
      </c>
      <c r="U91">
        <v>11.7</v>
      </c>
      <c r="V91" t="s">
        <v>44</v>
      </c>
      <c r="W91" t="s">
        <v>44</v>
      </c>
      <c r="X91">
        <v>77.599999999999994</v>
      </c>
      <c r="Y91" t="s">
        <v>321</v>
      </c>
      <c r="Z91" t="s">
        <v>50</v>
      </c>
      <c r="AA91" t="s">
        <v>48</v>
      </c>
      <c r="AB91" t="s">
        <v>322</v>
      </c>
      <c r="AC91">
        <f>88+87+85+69+57+18</f>
        <v>404</v>
      </c>
      <c r="AD91" t="s">
        <v>50</v>
      </c>
      <c r="AE91" t="s">
        <v>50</v>
      </c>
      <c r="AF91" t="s">
        <v>57</v>
      </c>
      <c r="AG91" t="s">
        <v>50</v>
      </c>
      <c r="AH91" t="s">
        <v>57</v>
      </c>
      <c r="AI91" s="3" t="s">
        <v>44</v>
      </c>
      <c r="AJ91">
        <v>3</v>
      </c>
    </row>
    <row r="92" spans="1:38" x14ac:dyDescent="0.25">
      <c r="A92" t="s">
        <v>323</v>
      </c>
      <c r="B92" t="s">
        <v>0</v>
      </c>
      <c r="C92" t="s">
        <v>0</v>
      </c>
      <c r="D92" t="s">
        <v>0</v>
      </c>
      <c r="E92">
        <v>0.05</v>
      </c>
      <c r="F92">
        <v>10.487451199100001</v>
      </c>
      <c r="G92" t="s">
        <v>123</v>
      </c>
      <c r="H92" s="1">
        <v>42944</v>
      </c>
      <c r="I92" s="2">
        <v>0</v>
      </c>
      <c r="J92" s="6">
        <v>42944</v>
      </c>
      <c r="K92" s="1" t="s">
        <v>42</v>
      </c>
      <c r="L92" t="s">
        <v>124</v>
      </c>
      <c r="M92" s="3">
        <v>23479</v>
      </c>
      <c r="N92" s="3">
        <v>74</v>
      </c>
      <c r="O92" s="3">
        <v>-36.888378000000003</v>
      </c>
      <c r="P92" s="3">
        <v>174.765905</v>
      </c>
      <c r="Q92">
        <v>300914.59999999998</v>
      </c>
      <c r="R92">
        <v>5915179.5800000001</v>
      </c>
      <c r="S92" t="s">
        <v>45</v>
      </c>
      <c r="T92" s="3">
        <v>4.3</v>
      </c>
      <c r="U92">
        <v>15.2</v>
      </c>
      <c r="V92" t="s">
        <v>44</v>
      </c>
      <c r="W92" t="s">
        <v>44</v>
      </c>
      <c r="X92">
        <v>81.599999999999994</v>
      </c>
      <c r="Y92" t="s">
        <v>324</v>
      </c>
      <c r="Z92" t="s">
        <v>50</v>
      </c>
      <c r="AA92" t="s">
        <v>48</v>
      </c>
      <c r="AB92" t="s">
        <v>325</v>
      </c>
      <c r="AC92">
        <f>55+55+54+48+40+16</f>
        <v>268</v>
      </c>
      <c r="AD92" t="s">
        <v>50</v>
      </c>
      <c r="AE92" t="s">
        <v>50</v>
      </c>
      <c r="AF92" t="s">
        <v>50</v>
      </c>
      <c r="AG92" t="s">
        <v>50</v>
      </c>
      <c r="AH92" t="s">
        <v>50</v>
      </c>
      <c r="AI92" s="3" t="s">
        <v>44</v>
      </c>
      <c r="AJ92">
        <v>4</v>
      </c>
    </row>
    <row r="93" spans="1:38" x14ac:dyDescent="0.25">
      <c r="A93" t="s">
        <v>326</v>
      </c>
      <c r="B93" t="s">
        <v>0</v>
      </c>
      <c r="C93" t="s">
        <v>0</v>
      </c>
      <c r="D93" t="s">
        <v>0</v>
      </c>
      <c r="E93">
        <v>0.14000000000000001</v>
      </c>
      <c r="F93">
        <v>24.757389849399999</v>
      </c>
      <c r="G93" t="s">
        <v>126</v>
      </c>
      <c r="H93" s="1">
        <v>42948</v>
      </c>
      <c r="I93" s="2">
        <v>4.1666666666666664E-2</v>
      </c>
      <c r="J93" s="7">
        <v>42948</v>
      </c>
      <c r="K93" s="1" t="s">
        <v>42</v>
      </c>
      <c r="L93" t="s">
        <v>95</v>
      </c>
      <c r="M93" s="3">
        <v>14097</v>
      </c>
      <c r="N93" s="3">
        <v>36</v>
      </c>
      <c r="O93" s="3">
        <v>-36.883474</v>
      </c>
      <c r="P93" s="3">
        <v>174.73650000000001</v>
      </c>
      <c r="Q93">
        <v>298280.96000000002</v>
      </c>
      <c r="R93">
        <v>5915661.9299999997</v>
      </c>
      <c r="S93" t="s">
        <v>45</v>
      </c>
      <c r="T93" s="3">
        <v>4</v>
      </c>
      <c r="U93">
        <v>15.7</v>
      </c>
      <c r="V93" t="s">
        <v>44</v>
      </c>
      <c r="W93" t="s">
        <v>44</v>
      </c>
      <c r="X93">
        <v>71.400000000000006</v>
      </c>
      <c r="Y93" t="s">
        <v>327</v>
      </c>
      <c r="Z93" t="s">
        <v>77</v>
      </c>
      <c r="AA93" t="s">
        <v>48</v>
      </c>
      <c r="AB93" t="s">
        <v>328</v>
      </c>
      <c r="AC93">
        <f>91+91+90+84+75+41</f>
        <v>472</v>
      </c>
      <c r="AD93" t="s">
        <v>50</v>
      </c>
      <c r="AE93" t="s">
        <v>50</v>
      </c>
      <c r="AF93" t="s">
        <v>50</v>
      </c>
      <c r="AG93" t="s">
        <v>50</v>
      </c>
      <c r="AH93" t="s">
        <v>50</v>
      </c>
      <c r="AI93" s="3" t="s">
        <v>44</v>
      </c>
      <c r="AJ93">
        <v>1</v>
      </c>
    </row>
    <row r="94" spans="1:38" x14ac:dyDescent="0.25">
      <c r="A94" t="s">
        <v>329</v>
      </c>
      <c r="B94" t="s">
        <v>0</v>
      </c>
      <c r="C94" t="s">
        <v>0</v>
      </c>
      <c r="D94" t="s">
        <v>0</v>
      </c>
      <c r="E94">
        <v>0.68</v>
      </c>
      <c r="F94">
        <v>21.765755716699999</v>
      </c>
      <c r="G94" t="s">
        <v>83</v>
      </c>
      <c r="H94" s="1">
        <v>42938</v>
      </c>
      <c r="I94" s="2">
        <v>0</v>
      </c>
      <c r="J94" s="1">
        <v>42938</v>
      </c>
      <c r="K94" s="1" t="s">
        <v>42</v>
      </c>
      <c r="L94" t="s">
        <v>43</v>
      </c>
      <c r="M94" t="s">
        <v>44</v>
      </c>
      <c r="N94">
        <v>100</v>
      </c>
      <c r="O94">
        <v>-36.347988000000001</v>
      </c>
      <c r="P94">
        <v>174.35324800000001</v>
      </c>
      <c r="Q94">
        <v>262481.59999999998</v>
      </c>
      <c r="R94">
        <v>5974200.6299999999</v>
      </c>
      <c r="S94" t="s">
        <v>45</v>
      </c>
      <c r="T94">
        <v>4.9000000000000004</v>
      </c>
      <c r="U94">
        <v>13.5</v>
      </c>
      <c r="V94" t="s">
        <v>44</v>
      </c>
      <c r="W94" t="s">
        <v>44</v>
      </c>
      <c r="X94">
        <v>84.4</v>
      </c>
      <c r="Y94" t="s">
        <v>330</v>
      </c>
      <c r="Z94" t="s">
        <v>47</v>
      </c>
      <c r="AA94" t="s">
        <v>48</v>
      </c>
      <c r="AB94" t="s">
        <v>331</v>
      </c>
      <c r="AC94">
        <f>74+74+73+64+53+21</f>
        <v>359</v>
      </c>
      <c r="AD94" t="s">
        <v>50</v>
      </c>
      <c r="AE94" t="s">
        <v>50</v>
      </c>
      <c r="AF94" t="s">
        <v>50</v>
      </c>
      <c r="AG94" t="s">
        <v>50</v>
      </c>
      <c r="AH94" t="s">
        <v>50</v>
      </c>
      <c r="AI94" s="3" t="s">
        <v>44</v>
      </c>
      <c r="AJ94">
        <v>5</v>
      </c>
    </row>
    <row r="95" spans="1:38" x14ac:dyDescent="0.25">
      <c r="A95" t="s">
        <v>332</v>
      </c>
      <c r="B95" t="s">
        <v>0</v>
      </c>
      <c r="C95" t="s">
        <v>0</v>
      </c>
      <c r="D95" t="s">
        <v>0</v>
      </c>
      <c r="E95">
        <v>0.02</v>
      </c>
      <c r="F95">
        <v>16.016731734499999</v>
      </c>
      <c r="G95" t="s">
        <v>333</v>
      </c>
      <c r="H95" s="1">
        <v>42947</v>
      </c>
      <c r="I95" s="2">
        <v>8.3333333333333329E-2</v>
      </c>
      <c r="J95" s="6">
        <v>42947</v>
      </c>
      <c r="K95" s="1" t="s">
        <v>42</v>
      </c>
      <c r="L95" t="s">
        <v>156</v>
      </c>
      <c r="M95" s="3">
        <v>1700000</v>
      </c>
      <c r="N95" s="3">
        <v>94</v>
      </c>
      <c r="O95" s="3">
        <v>-36.898637000000001</v>
      </c>
      <c r="P95" s="3">
        <v>174.785471</v>
      </c>
      <c r="Q95">
        <v>302684.84000000003</v>
      </c>
      <c r="R95">
        <v>5914081.96</v>
      </c>
      <c r="S95" t="s">
        <v>45</v>
      </c>
      <c r="T95" s="3">
        <v>2.9</v>
      </c>
      <c r="U95">
        <v>19.399999999999999</v>
      </c>
      <c r="V95" t="s">
        <v>44</v>
      </c>
      <c r="W95" t="s">
        <v>44</v>
      </c>
      <c r="X95">
        <v>55.5</v>
      </c>
      <c r="Y95" t="s">
        <v>334</v>
      </c>
      <c r="Z95" t="s">
        <v>44</v>
      </c>
      <c r="AA95" t="s">
        <v>67</v>
      </c>
      <c r="AB95" t="s">
        <v>335</v>
      </c>
      <c r="AC95">
        <f>28+27+27+25+22+11</f>
        <v>140</v>
      </c>
      <c r="AD95" t="s">
        <v>50</v>
      </c>
      <c r="AE95" t="s">
        <v>50</v>
      </c>
      <c r="AF95" t="s">
        <v>57</v>
      </c>
      <c r="AG95" t="s">
        <v>50</v>
      </c>
      <c r="AH95" t="s">
        <v>50</v>
      </c>
      <c r="AI95" s="3" t="s">
        <v>44</v>
      </c>
      <c r="AJ95">
        <v>1</v>
      </c>
    </row>
    <row r="96" spans="1:38" x14ac:dyDescent="0.25">
      <c r="A96" t="s">
        <v>336</v>
      </c>
      <c r="B96" t="s">
        <v>0</v>
      </c>
      <c r="C96" t="s">
        <v>0</v>
      </c>
      <c r="D96" t="s">
        <v>0</v>
      </c>
      <c r="E96">
        <v>0.01</v>
      </c>
      <c r="F96">
        <v>9.9576129392099997</v>
      </c>
      <c r="G96" t="s">
        <v>337</v>
      </c>
      <c r="H96" s="1">
        <v>43180</v>
      </c>
      <c r="I96" s="2">
        <v>0.125</v>
      </c>
      <c r="J96" s="6">
        <v>43180</v>
      </c>
      <c r="K96" s="6" t="s">
        <v>196</v>
      </c>
      <c r="L96" t="s">
        <v>95</v>
      </c>
      <c r="M96" s="3">
        <v>14097</v>
      </c>
      <c r="N96" s="3">
        <v>36</v>
      </c>
      <c r="O96" s="3">
        <v>-36.883474</v>
      </c>
      <c r="P96" s="3">
        <v>174.73650000000001</v>
      </c>
      <c r="Q96">
        <v>298280.96000000002</v>
      </c>
      <c r="R96">
        <v>5915661.9299999997</v>
      </c>
      <c r="S96" t="s">
        <v>45</v>
      </c>
      <c r="T96" s="3">
        <v>4</v>
      </c>
      <c r="U96">
        <v>25.6</v>
      </c>
      <c r="V96">
        <v>1.1000000000000001</v>
      </c>
      <c r="W96">
        <v>1.9</v>
      </c>
      <c r="X96">
        <v>56.6</v>
      </c>
      <c r="Y96" t="s">
        <v>338</v>
      </c>
      <c r="Z96" t="s">
        <v>211</v>
      </c>
      <c r="AA96" t="s">
        <v>67</v>
      </c>
      <c r="AB96" t="s">
        <v>339</v>
      </c>
      <c r="AC96">
        <f>48+48+47+40+35+17</f>
        <v>235</v>
      </c>
      <c r="AD96" t="s">
        <v>50</v>
      </c>
      <c r="AE96" t="s">
        <v>50</v>
      </c>
      <c r="AF96" t="s">
        <v>50</v>
      </c>
      <c r="AG96" t="s">
        <v>50</v>
      </c>
      <c r="AH96" t="s">
        <v>50</v>
      </c>
      <c r="AI96" s="3" t="s">
        <v>44</v>
      </c>
      <c r="AJ96">
        <v>6</v>
      </c>
    </row>
    <row r="97" spans="1:38" x14ac:dyDescent="0.25">
      <c r="A97" t="s">
        <v>340</v>
      </c>
      <c r="B97" t="s">
        <v>0</v>
      </c>
      <c r="C97" t="s">
        <v>0</v>
      </c>
      <c r="D97" t="s">
        <v>0</v>
      </c>
      <c r="E97">
        <v>0.23</v>
      </c>
      <c r="F97">
        <v>9.4511991076400008</v>
      </c>
      <c r="G97" t="s">
        <v>218</v>
      </c>
      <c r="H97" s="1">
        <v>43182</v>
      </c>
      <c r="I97" s="4">
        <v>0.95833333333333337</v>
      </c>
      <c r="J97" s="6">
        <v>43181</v>
      </c>
      <c r="K97" s="6" t="s">
        <v>196</v>
      </c>
      <c r="L97" t="s">
        <v>101</v>
      </c>
      <c r="M97" s="3">
        <v>348552</v>
      </c>
      <c r="N97" s="3">
        <v>153</v>
      </c>
      <c r="O97" s="3">
        <v>-36.874961999999996</v>
      </c>
      <c r="P97" s="3">
        <v>174.76515900000001</v>
      </c>
      <c r="Q97">
        <v>300813.24</v>
      </c>
      <c r="R97">
        <v>5916666.5999999996</v>
      </c>
      <c r="S97" t="s">
        <v>45</v>
      </c>
      <c r="T97" s="3">
        <v>2.8</v>
      </c>
      <c r="U97">
        <v>23.3</v>
      </c>
      <c r="V97">
        <v>1.9</v>
      </c>
      <c r="W97">
        <v>4.3</v>
      </c>
      <c r="X97">
        <v>73</v>
      </c>
      <c r="Y97" t="s">
        <v>341</v>
      </c>
      <c r="Z97" t="s">
        <v>134</v>
      </c>
      <c r="AA97" t="s">
        <v>67</v>
      </c>
      <c r="AB97" t="s">
        <v>342</v>
      </c>
      <c r="AC97">
        <f>57+57+56+47+40+15</f>
        <v>272</v>
      </c>
      <c r="AD97" t="s">
        <v>50</v>
      </c>
      <c r="AE97" t="s">
        <v>50</v>
      </c>
      <c r="AF97" t="s">
        <v>50</v>
      </c>
      <c r="AG97" t="s">
        <v>50</v>
      </c>
      <c r="AH97" t="s">
        <v>50</v>
      </c>
      <c r="AI97" s="3" t="s">
        <v>44</v>
      </c>
      <c r="AJ97">
        <v>6</v>
      </c>
    </row>
    <row r="98" spans="1:38" x14ac:dyDescent="0.25">
      <c r="A98" t="s">
        <v>343</v>
      </c>
      <c r="B98" t="s">
        <v>344</v>
      </c>
      <c r="C98" t="s">
        <v>0</v>
      </c>
      <c r="D98" t="s">
        <v>0</v>
      </c>
      <c r="E98" t="s">
        <v>44</v>
      </c>
      <c r="F98">
        <v>3.9765755716700002</v>
      </c>
      <c r="G98" t="s">
        <v>44</v>
      </c>
      <c r="H98" t="s">
        <v>44</v>
      </c>
      <c r="I98" t="s">
        <v>44</v>
      </c>
      <c r="J98" t="s">
        <v>44</v>
      </c>
      <c r="K98" s="6" t="s">
        <v>44</v>
      </c>
      <c r="L98" t="s">
        <v>44</v>
      </c>
      <c r="M98" s="3" t="s">
        <v>44</v>
      </c>
      <c r="N98" s="3" t="s">
        <v>44</v>
      </c>
      <c r="O98" s="3" t="s">
        <v>44</v>
      </c>
      <c r="P98" s="3" t="s">
        <v>44</v>
      </c>
      <c r="Q98" s="3" t="s">
        <v>44</v>
      </c>
      <c r="R98" s="3" t="s">
        <v>44</v>
      </c>
      <c r="S98" s="3" t="s">
        <v>44</v>
      </c>
      <c r="T98" s="3" t="s">
        <v>44</v>
      </c>
      <c r="U98" t="s">
        <v>44</v>
      </c>
      <c r="V98" t="s">
        <v>44</v>
      </c>
      <c r="W98" t="s">
        <v>44</v>
      </c>
      <c r="X98" t="s">
        <v>44</v>
      </c>
      <c r="Y98" t="s">
        <v>44</v>
      </c>
      <c r="Z98" t="s">
        <v>44</v>
      </c>
      <c r="AA98" t="s">
        <v>44</v>
      </c>
      <c r="AB98" t="s">
        <v>44</v>
      </c>
      <c r="AC98" t="s">
        <v>44</v>
      </c>
      <c r="AD98" t="s">
        <v>50</v>
      </c>
      <c r="AE98" t="s">
        <v>50</v>
      </c>
      <c r="AF98" t="s">
        <v>50</v>
      </c>
      <c r="AG98" t="s">
        <v>50</v>
      </c>
      <c r="AH98" t="s">
        <v>50</v>
      </c>
      <c r="AI98" s="3" t="s">
        <v>44</v>
      </c>
      <c r="AJ98" t="s">
        <v>44</v>
      </c>
      <c r="AK98" t="s">
        <v>44</v>
      </c>
      <c r="AL98" t="s">
        <v>44</v>
      </c>
    </row>
    <row r="99" spans="1:38" x14ac:dyDescent="0.25">
      <c r="A99" t="s">
        <v>345</v>
      </c>
      <c r="B99" t="s">
        <v>346</v>
      </c>
      <c r="C99" t="s">
        <v>54</v>
      </c>
      <c r="D99" t="s">
        <v>54</v>
      </c>
      <c r="E99" t="s">
        <v>44</v>
      </c>
      <c r="F99">
        <v>7.0273285000000005E-2</v>
      </c>
      <c r="G99" t="s">
        <v>44</v>
      </c>
      <c r="H99" t="s">
        <v>44</v>
      </c>
      <c r="I99" t="s">
        <v>44</v>
      </c>
      <c r="J99" t="s">
        <v>44</v>
      </c>
      <c r="K99" t="s">
        <v>44</v>
      </c>
      <c r="L99" t="s">
        <v>44</v>
      </c>
      <c r="M99" s="3" t="s">
        <v>44</v>
      </c>
      <c r="N99" s="3" t="s">
        <v>44</v>
      </c>
      <c r="O99" s="3" t="s">
        <v>44</v>
      </c>
      <c r="P99" s="3" t="s">
        <v>44</v>
      </c>
      <c r="Q99" s="3" t="s">
        <v>44</v>
      </c>
      <c r="R99" s="3" t="s">
        <v>44</v>
      </c>
      <c r="S99" s="3" t="s">
        <v>44</v>
      </c>
      <c r="T99" s="3" t="s">
        <v>44</v>
      </c>
      <c r="U99" t="s">
        <v>44</v>
      </c>
      <c r="V99" t="s">
        <v>44</v>
      </c>
      <c r="W99" t="s">
        <v>44</v>
      </c>
      <c r="X99" t="s">
        <v>44</v>
      </c>
      <c r="Y99" t="s">
        <v>44</v>
      </c>
      <c r="Z99" t="s">
        <v>44</v>
      </c>
      <c r="AA99" t="s">
        <v>44</v>
      </c>
      <c r="AB99" t="s">
        <v>44</v>
      </c>
      <c r="AC99" t="s">
        <v>44</v>
      </c>
      <c r="AD99" t="s">
        <v>50</v>
      </c>
      <c r="AE99" t="s">
        <v>50</v>
      </c>
      <c r="AF99" t="s">
        <v>50</v>
      </c>
      <c r="AG99" t="s">
        <v>50</v>
      </c>
      <c r="AH99" t="s">
        <v>50</v>
      </c>
      <c r="AI99" s="3" t="s">
        <v>44</v>
      </c>
      <c r="AJ99" t="s">
        <v>44</v>
      </c>
      <c r="AK99" t="s">
        <v>44</v>
      </c>
      <c r="AL99" t="s">
        <v>44</v>
      </c>
    </row>
  </sheetData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7107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Sheet1!_xlnm._FilterDatabase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249</cp:revision>
  <dcterms:created xsi:type="dcterms:W3CDTF">2017-07-24T00:46:56Z</dcterms:created>
  <dcterms:modified xsi:type="dcterms:W3CDTF">2021-08-02T05:30:55Z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