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ff.ad.griffith.edu.au\ud\fr\s5081474\Desktop\externe HD\PhD\Thesis\chapters\reliability and normative data\Submission\PeerJ\"/>
    </mc:Choice>
  </mc:AlternateContent>
  <xr:revisionPtr revIDLastSave="0" documentId="13_ncr:1_{C695EE5C-20E4-4C2A-837F-BCFC8D6BD952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2" i="1"/>
  <c r="M23" i="1"/>
  <c r="M24" i="1"/>
  <c r="M26" i="1"/>
  <c r="M27" i="1"/>
  <c r="M28" i="1"/>
  <c r="M30" i="1"/>
  <c r="F19" i="1"/>
  <c r="F20" i="1"/>
  <c r="F22" i="1"/>
  <c r="F23" i="1"/>
  <c r="F24" i="1"/>
  <c r="F26" i="1"/>
  <c r="F27" i="1"/>
  <c r="F28" i="1"/>
  <c r="F30" i="1"/>
  <c r="G12" i="1" l="1"/>
  <c r="J12" i="1"/>
  <c r="K12" i="1"/>
  <c r="L12" i="1"/>
  <c r="B28" i="1" s="1"/>
  <c r="L28" i="1" s="1"/>
  <c r="R12" i="1"/>
  <c r="R8" i="1"/>
  <c r="J8" i="1"/>
  <c r="K8" i="1"/>
  <c r="L8" i="1"/>
  <c r="B24" i="1" s="1"/>
  <c r="L24" i="1" s="1"/>
  <c r="G8" i="1"/>
  <c r="K2" i="1"/>
  <c r="G2" i="1"/>
  <c r="F18" i="1"/>
  <c r="H24" i="1" l="1"/>
  <c r="H28" i="1"/>
  <c r="S8" i="1"/>
  <c r="G28" i="1"/>
  <c r="Q28" i="1" s="1"/>
  <c r="E28" i="1"/>
  <c r="B48" i="1"/>
  <c r="E48" i="1" s="1"/>
  <c r="E24" i="1"/>
  <c r="B52" i="1"/>
  <c r="J52" i="1" s="1"/>
  <c r="M12" i="1"/>
  <c r="S12" i="1"/>
  <c r="N12" i="1"/>
  <c r="C28" i="1" s="1"/>
  <c r="M8" i="1"/>
  <c r="G24" i="1"/>
  <c r="N8" i="1"/>
  <c r="C24" i="1" s="1"/>
  <c r="R4" i="1"/>
  <c r="J4" i="1"/>
  <c r="K4" i="1"/>
  <c r="L4" i="1"/>
  <c r="B20" i="1" s="1"/>
  <c r="L20" i="1" s="1"/>
  <c r="G4" i="1"/>
  <c r="N48" i="1" l="1"/>
  <c r="G48" i="1"/>
  <c r="D28" i="1"/>
  <c r="L48" i="1"/>
  <c r="H20" i="1"/>
  <c r="D24" i="1"/>
  <c r="K48" i="1"/>
  <c r="H48" i="1"/>
  <c r="J48" i="1"/>
  <c r="D48" i="1"/>
  <c r="F48" i="1"/>
  <c r="M48" i="1"/>
  <c r="J28" i="1"/>
  <c r="K28" i="1"/>
  <c r="G52" i="1"/>
  <c r="H52" i="1"/>
  <c r="F52" i="1"/>
  <c r="E52" i="1"/>
  <c r="D52" i="1"/>
  <c r="M52" i="1"/>
  <c r="N52" i="1"/>
  <c r="K52" i="1"/>
  <c r="L52" i="1"/>
  <c r="G20" i="1"/>
  <c r="J20" i="1" s="1"/>
  <c r="B44" i="1"/>
  <c r="K24" i="1"/>
  <c r="Q24" i="1"/>
  <c r="J24" i="1"/>
  <c r="E20" i="1"/>
  <c r="M4" i="1"/>
  <c r="S4" i="1"/>
  <c r="N4" i="1"/>
  <c r="C20" i="1" s="1"/>
  <c r="D20" i="1" l="1"/>
  <c r="Q20" i="1"/>
  <c r="K20" i="1"/>
  <c r="M44" i="1"/>
  <c r="L44" i="1"/>
  <c r="K44" i="1"/>
  <c r="G44" i="1"/>
  <c r="H44" i="1"/>
  <c r="E44" i="1"/>
  <c r="F44" i="1"/>
  <c r="J44" i="1"/>
  <c r="D44" i="1"/>
  <c r="N44" i="1"/>
  <c r="R10" i="1" l="1"/>
  <c r="R11" i="1"/>
  <c r="R14" i="1"/>
  <c r="J2" i="1"/>
  <c r="L2" i="1"/>
  <c r="B42" i="1" s="1"/>
  <c r="R2" i="1"/>
  <c r="H18" i="1" s="1"/>
  <c r="G3" i="1"/>
  <c r="J3" i="1"/>
  <c r="K3" i="1"/>
  <c r="L3" i="1"/>
  <c r="E19" i="1" s="1"/>
  <c r="R3" i="1"/>
  <c r="G6" i="1"/>
  <c r="J6" i="1"/>
  <c r="K6" i="1"/>
  <c r="L6" i="1"/>
  <c r="E22" i="1" s="1"/>
  <c r="R6" i="1"/>
  <c r="G7" i="1"/>
  <c r="J7" i="1"/>
  <c r="K7" i="1"/>
  <c r="L7" i="1"/>
  <c r="B23" i="1" s="1"/>
  <c r="L23" i="1" s="1"/>
  <c r="R7" i="1"/>
  <c r="G10" i="1"/>
  <c r="J10" i="1"/>
  <c r="K10" i="1"/>
  <c r="L10" i="1"/>
  <c r="B26" i="1" s="1"/>
  <c r="L26" i="1" s="1"/>
  <c r="G11" i="1"/>
  <c r="J11" i="1"/>
  <c r="K11" i="1"/>
  <c r="L11" i="1"/>
  <c r="E27" i="1" s="1"/>
  <c r="G14" i="1"/>
  <c r="J14" i="1"/>
  <c r="K14" i="1"/>
  <c r="L14" i="1"/>
  <c r="E30" i="1" s="1"/>
  <c r="M18" i="1"/>
  <c r="H19" i="1" l="1"/>
  <c r="H30" i="1"/>
  <c r="H23" i="1"/>
  <c r="H27" i="1"/>
  <c r="H26" i="1"/>
  <c r="H22" i="1"/>
  <c r="B54" i="1"/>
  <c r="B51" i="1"/>
  <c r="J51" i="1" s="1"/>
  <c r="B47" i="1"/>
  <c r="H42" i="1"/>
  <c r="F42" i="1"/>
  <c r="G42" i="1"/>
  <c r="D42" i="1"/>
  <c r="E42" i="1"/>
  <c r="B43" i="1"/>
  <c r="B46" i="1"/>
  <c r="F46" i="1" s="1"/>
  <c r="B50" i="1"/>
  <c r="S2" i="1"/>
  <c r="N3" i="1"/>
  <c r="C19" i="1" s="1"/>
  <c r="E18" i="1"/>
  <c r="B30" i="1"/>
  <c r="L30" i="1" s="1"/>
  <c r="S14" i="1"/>
  <c r="N2" i="1"/>
  <c r="D18" i="1" s="1"/>
  <c r="G30" i="1"/>
  <c r="Q30" i="1" s="1"/>
  <c r="G26" i="1"/>
  <c r="K26" i="1" s="1"/>
  <c r="N10" i="1"/>
  <c r="C26" i="1" s="1"/>
  <c r="E26" i="1"/>
  <c r="N14" i="1"/>
  <c r="C30" i="1" s="1"/>
  <c r="G19" i="1"/>
  <c r="J19" i="1" s="1"/>
  <c r="M7" i="1"/>
  <c r="M11" i="1"/>
  <c r="N7" i="1"/>
  <c r="C23" i="1" s="1"/>
  <c r="S10" i="1"/>
  <c r="M10" i="1"/>
  <c r="G23" i="1"/>
  <c r="J23" i="1" s="1"/>
  <c r="B18" i="1"/>
  <c r="L18" i="1" s="1"/>
  <c r="E23" i="1"/>
  <c r="G18" i="1"/>
  <c r="K18" i="1" s="1"/>
  <c r="J42" i="1"/>
  <c r="S3" i="1"/>
  <c r="G22" i="1"/>
  <c r="Q22" i="1" s="1"/>
  <c r="S6" i="1"/>
  <c r="M6" i="1"/>
  <c r="M3" i="1"/>
  <c r="B19" i="1"/>
  <c r="L19" i="1" s="1"/>
  <c r="B22" i="1"/>
  <c r="L22" i="1" s="1"/>
  <c r="N6" i="1"/>
  <c r="C22" i="1" s="1"/>
  <c r="B27" i="1"/>
  <c r="L27" i="1" s="1"/>
  <c r="M2" i="1"/>
  <c r="M14" i="1"/>
  <c r="S11" i="1"/>
  <c r="S7" i="1"/>
  <c r="N11" i="1"/>
  <c r="C27" i="1" s="1"/>
  <c r="G27" i="1"/>
  <c r="D19" i="1" l="1"/>
  <c r="D27" i="1"/>
  <c r="D23" i="1"/>
  <c r="D30" i="1"/>
  <c r="D22" i="1"/>
  <c r="D26" i="1"/>
  <c r="G51" i="1"/>
  <c r="E51" i="1"/>
  <c r="F51" i="1"/>
  <c r="N51" i="1"/>
  <c r="D51" i="1"/>
  <c r="K51" i="1"/>
  <c r="H51" i="1"/>
  <c r="M51" i="1"/>
  <c r="L51" i="1"/>
  <c r="D54" i="1"/>
  <c r="J54" i="1"/>
  <c r="K54" i="1"/>
  <c r="H54" i="1"/>
  <c r="L54" i="1"/>
  <c r="N54" i="1"/>
  <c r="E54" i="1"/>
  <c r="G54" i="1"/>
  <c r="F54" i="1"/>
  <c r="M54" i="1"/>
  <c r="F47" i="1"/>
  <c r="M47" i="1"/>
  <c r="E47" i="1"/>
  <c r="N47" i="1"/>
  <c r="D47" i="1"/>
  <c r="G47" i="1"/>
  <c r="H47" i="1"/>
  <c r="L47" i="1"/>
  <c r="K47" i="1"/>
  <c r="J47" i="1"/>
  <c r="D43" i="1"/>
  <c r="E43" i="1"/>
  <c r="J43" i="1"/>
  <c r="F43" i="1"/>
  <c r="L43" i="1"/>
  <c r="M43" i="1"/>
  <c r="K43" i="1"/>
  <c r="G43" i="1"/>
  <c r="H43" i="1"/>
  <c r="N43" i="1"/>
  <c r="Q26" i="1"/>
  <c r="Q19" i="1"/>
  <c r="K19" i="1"/>
  <c r="C18" i="1"/>
  <c r="J30" i="1"/>
  <c r="K30" i="1"/>
  <c r="J26" i="1"/>
  <c r="M46" i="1"/>
  <c r="K23" i="1"/>
  <c r="J22" i="1"/>
  <c r="Q23" i="1"/>
  <c r="F50" i="1"/>
  <c r="G50" i="1"/>
  <c r="K50" i="1"/>
  <c r="D50" i="1"/>
  <c r="E50" i="1"/>
  <c r="H50" i="1"/>
  <c r="M50" i="1"/>
  <c r="J50" i="1"/>
  <c r="L50" i="1"/>
  <c r="N50" i="1"/>
  <c r="N42" i="1"/>
  <c r="K42" i="1"/>
  <c r="L42" i="1"/>
  <c r="M42" i="1"/>
  <c r="K22" i="1"/>
  <c r="D46" i="1"/>
  <c r="E46" i="1"/>
  <c r="G46" i="1"/>
  <c r="H46" i="1"/>
  <c r="J46" i="1"/>
  <c r="K46" i="1"/>
  <c r="N46" i="1"/>
  <c r="L46" i="1"/>
  <c r="Q18" i="1"/>
  <c r="J18" i="1"/>
  <c r="K27" i="1"/>
  <c r="J27" i="1"/>
  <c r="Q27" i="1"/>
</calcChain>
</file>

<file path=xl/sharedStrings.xml><?xml version="1.0" encoding="utf-8"?>
<sst xmlns="http://schemas.openxmlformats.org/spreadsheetml/2006/main" count="76" uniqueCount="54">
  <si>
    <t>SEM_C1</t>
  </si>
  <si>
    <t>SEM_AA</t>
  </si>
  <si>
    <t>number participants</t>
  </si>
  <si>
    <t>number of tests/raters</t>
  </si>
  <si>
    <t>Variance between people</t>
  </si>
  <si>
    <t>Variance between tests/obsevers</t>
  </si>
  <si>
    <t>Variance due to error</t>
  </si>
  <si>
    <t>95%CI true score</t>
  </si>
  <si>
    <t>SDC_AA</t>
  </si>
  <si>
    <t>SDC_C</t>
  </si>
  <si>
    <t>EMS (error mean square/ MS residual within people)</t>
  </si>
  <si>
    <t>OMS (observer mean square/MS within people between items)</t>
  </si>
  <si>
    <t>BMS (between people mean square/ MS between)</t>
  </si>
  <si>
    <t>SDC_B&amp;A_2</t>
  </si>
  <si>
    <t>ICC Consistency</t>
  </si>
  <si>
    <t>ICC Absolute Agreement</t>
  </si>
  <si>
    <t>SD of difference in score (same as SD from discriptive of difference between tests)</t>
  </si>
  <si>
    <t>SD test 1</t>
  </si>
  <si>
    <t>SD test 2</t>
  </si>
  <si>
    <t>Three ways of obtaining SEM's from: de Vet, When to use agreement versus reliability measures, p. 1037</t>
  </si>
  <si>
    <t>SEM_C2_1 (using denominator of ICC_C)</t>
  </si>
  <si>
    <t>SEM_C2_2 (using pooled SD)</t>
  </si>
  <si>
    <t>SEM_C3_2 (using SD of difference from discriptives)</t>
  </si>
  <si>
    <t>Calculating SDC_AA and SDC_C from: de Vet, When to use agreement versus reliability measures, p. 1038</t>
  </si>
  <si>
    <t>Pooled SD (if group sizes are equal)</t>
  </si>
  <si>
    <t>Getting ICC from ANOVA table: Streiner, Health measurement scales, p. 176 &amp; de Vet, measurement in medicine, chapter 5_5_Calculation of ICC in SPSS &amp; McGrawWong_1996_Forming Inferences About Some Intraclass Correlation Coefficients p. 34-36</t>
  </si>
  <si>
    <t>Since B&amp;A LOA are 1.96 * SD diff and SD diff = SQRT(2) * SEM_C; SDC_C are the same as the B&amp;A LOA (because SDC_C = 1,96 * SQRT(2) * SEM_C (= SQRT(EMS))</t>
  </si>
  <si>
    <t>SEM_C3_1 (using SQRT(2) * SEM_C (or SQRT(EMS)) as a replacement for SD change)</t>
  </si>
  <si>
    <t>using SQRT(2) * SEM_C (or SQRT(EMS)) as a replacement for SD difference: Terwee, Quality criteria were proposed for measurement properties of health status questionnaires, p.37 &amp; Atkinson 1998, Statistical Methods For Assessing Measurement Error (Reliability) in Variables Relevant to Sports Medicine, p, 234</t>
  </si>
  <si>
    <t>SDC_AA_95</t>
  </si>
  <si>
    <t>SDC_AA_90</t>
  </si>
  <si>
    <t>SDC_AA_75</t>
  </si>
  <si>
    <t>SDC_AA_80</t>
  </si>
  <si>
    <t>SDC_AA_85</t>
  </si>
  <si>
    <t>http://www.tribology-abc.com/calculators/t1_2b.htm</t>
  </si>
  <si>
    <t>95% CI true score</t>
  </si>
  <si>
    <t>90% CI true score</t>
  </si>
  <si>
    <t>85% CI true score</t>
  </si>
  <si>
    <t>80% CI true score</t>
  </si>
  <si>
    <t>75% CI true score</t>
  </si>
  <si>
    <t>SEM_AA_2  (using pooled SD and ICC_AA). Not a correct formula (de Vet 2006)</t>
  </si>
  <si>
    <t>Pooled SD (as the denominator of the ICC_C formula, for SEM_C2_1)</t>
  </si>
  <si>
    <t>TPDT</t>
  </si>
  <si>
    <t>Mean score</t>
  </si>
  <si>
    <t>Coefficient of variance</t>
  </si>
  <si>
    <t>Loc response time</t>
  </si>
  <si>
    <t>Ori response time</t>
  </si>
  <si>
    <t>Loc RCS (correct per min)</t>
  </si>
  <si>
    <t>Ori RCS (correct per min)</t>
  </si>
  <si>
    <t>Overall RCS (correct per min)</t>
  </si>
  <si>
    <t>Loc accuracy score</t>
  </si>
  <si>
    <t>Ori accuracy score</t>
  </si>
  <si>
    <t>Overall accuracy score</t>
  </si>
  <si>
    <t>Overall response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</si>
</sst>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0"/>
    <numFmt numFmtId="165" formatCode="0.000"/>
    <numFmt numFmtId="166" formatCode="0.0"/>
    <numFmt numFmtId="167" formatCode="0.00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1" applyFill="1"/>
    <xf numFmtId="0" fontId="4" fillId="3" borderId="0" xfId="0" applyFont="1" applyFill="1" applyBorder="1" applyAlignment="1">
      <alignment vertical="center" wrapText="1"/>
    </xf>
    <xf numFmtId="0" fontId="0" fillId="3" borderId="0" xfId="0" applyFill="1"/>
    <xf numFmtId="0" fontId="2" fillId="3" borderId="0" xfId="0" applyFont="1" applyFill="1" applyBorder="1"/>
    <xf numFmtId="165" fontId="2" fillId="2" borderId="0" xfId="0" applyNumberFormat="1" applyFont="1" applyFill="1" applyBorder="1" applyAlignment="1">
      <alignment horizontal="right" vertical="top"/>
    </xf>
    <xf numFmtId="165" fontId="2" fillId="3" borderId="0" xfId="0" applyNumberFormat="1" applyFont="1" applyFill="1" applyBorder="1" applyAlignment="1">
      <alignment horizontal="right" vertical="top"/>
    </xf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/>
    <xf numFmtId="167" fontId="2" fillId="2" borderId="0" xfId="0" applyNumberFormat="1" applyFont="1" applyFill="1" applyBorder="1" applyAlignment="1">
      <alignment horizontal="right" vertical="top"/>
    </xf>
    <xf numFmtId="166" fontId="0" fillId="0" borderId="0" xfId="0" applyNumberFormat="1" applyFill="1" applyAlignment="1">
      <alignment wrapText="1"/>
    </xf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bology-abc.com/calculators/t1_2b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zoomScale="85" zoomScaleNormal="85" workbookViewId="0">
      <selection activeCell="F17" sqref="F17"/>
    </sheetView>
  </sheetViews>
  <sheetFormatPr defaultRowHeight="13.2" x14ac:dyDescent="0.25"/>
  <cols>
    <col min="1" max="1" width="29.109375" style="1" customWidth="1"/>
    <col min="2" max="2" width="10.109375" style="1" customWidth="1"/>
    <col min="3" max="3" width="11.44140625" style="1" customWidth="1"/>
    <col min="4" max="4" width="13.88671875" style="1" customWidth="1"/>
    <col min="5" max="5" width="15.6640625" style="1" customWidth="1"/>
    <col min="6" max="6" width="15.109375" style="1" customWidth="1"/>
    <col min="7" max="8" width="11.6640625" style="1" customWidth="1"/>
    <col min="9" max="9" width="13.33203125" style="1" customWidth="1"/>
    <col min="10" max="10" width="14.109375" style="1" customWidth="1"/>
    <col min="11" max="11" width="15.88671875" style="1" customWidth="1"/>
    <col min="12" max="12" width="11.88671875" style="1" customWidth="1"/>
    <col min="13" max="13" width="15.5546875" style="1" customWidth="1"/>
    <col min="14" max="14" width="16.33203125" style="1" customWidth="1"/>
    <col min="15" max="15" width="6" style="1" customWidth="1"/>
    <col min="16" max="16" width="11" style="1" customWidth="1"/>
    <col min="17" max="17" width="10.44140625" style="1" customWidth="1"/>
    <col min="18" max="18" width="9.88671875" style="1" customWidth="1"/>
    <col min="19" max="19" width="16.88671875" style="1" customWidth="1"/>
    <col min="20" max="16384" width="8.88671875" style="1"/>
  </cols>
  <sheetData>
    <row r="1" spans="1:21" ht="52.8" x14ac:dyDescent="0.25">
      <c r="A1" s="4"/>
      <c r="B1" s="5" t="s">
        <v>3</v>
      </c>
      <c r="C1" s="5" t="s">
        <v>2</v>
      </c>
      <c r="D1" s="5" t="s">
        <v>12</v>
      </c>
      <c r="E1" s="5" t="s">
        <v>11</v>
      </c>
      <c r="F1" s="5" t="s">
        <v>10</v>
      </c>
      <c r="G1" s="5" t="s">
        <v>15</v>
      </c>
      <c r="H1" s="5"/>
      <c r="J1" s="5" t="s">
        <v>4</v>
      </c>
      <c r="K1" s="5" t="s">
        <v>5</v>
      </c>
      <c r="L1" s="5" t="s">
        <v>6</v>
      </c>
      <c r="M1" s="5" t="s">
        <v>15</v>
      </c>
      <c r="N1" s="5" t="s">
        <v>14</v>
      </c>
      <c r="P1" s="5" t="s">
        <v>17</v>
      </c>
      <c r="Q1" s="5" t="s">
        <v>18</v>
      </c>
      <c r="R1" s="5" t="s">
        <v>24</v>
      </c>
      <c r="S1" s="5" t="s">
        <v>41</v>
      </c>
      <c r="T1" s="5"/>
      <c r="U1" s="5"/>
    </row>
    <row r="2" spans="1:21" x14ac:dyDescent="0.25">
      <c r="A2" s="4" t="s">
        <v>50</v>
      </c>
      <c r="B2" s="1">
        <v>3</v>
      </c>
      <c r="C2" s="1">
        <v>40</v>
      </c>
      <c r="D2" s="16">
        <v>485.61599999999999</v>
      </c>
      <c r="E2" s="16">
        <v>295.72500000000002</v>
      </c>
      <c r="F2" s="16">
        <v>69.81</v>
      </c>
      <c r="G2" s="1">
        <f>((D2-F2)/B2)/(((D2-F2)/B2)+(E2-F2)/C2+F2)</f>
        <v>0.64749173566507967</v>
      </c>
      <c r="J2" s="1">
        <f>((D2-F2)/B2)</f>
        <v>138.602</v>
      </c>
      <c r="K2" s="1">
        <f>(E2-F2)/C2</f>
        <v>5.6478750000000009</v>
      </c>
      <c r="L2" s="1">
        <f>F2</f>
        <v>69.81</v>
      </c>
      <c r="M2" s="1">
        <f>J2/(J2+K2+L2)</f>
        <v>0.64749173566507967</v>
      </c>
      <c r="N2" s="1">
        <f>J2/(J2+L2)</f>
        <v>0.66503848146939715</v>
      </c>
      <c r="R2" s="1">
        <f>SQRT((POWER(P2,2)+POWER(Q2,2))/2)</f>
        <v>0</v>
      </c>
      <c r="S2" s="1">
        <f>SQRT(J2+L2)</f>
        <v>14.436481565810972</v>
      </c>
    </row>
    <row r="3" spans="1:21" ht="13.8" customHeight="1" x14ac:dyDescent="0.25">
      <c r="A3" s="3" t="s">
        <v>45</v>
      </c>
      <c r="B3" s="1">
        <v>3</v>
      </c>
      <c r="C3" s="1">
        <v>40</v>
      </c>
      <c r="D3" s="16">
        <v>175575.092</v>
      </c>
      <c r="E3" s="16">
        <v>73214.774999999994</v>
      </c>
      <c r="F3" s="16">
        <v>10460.331</v>
      </c>
      <c r="G3" s="1">
        <f t="shared" ref="G3" si="0">((D3-F3)/B3)/(((D3-F3)/B3)+(E3-F3)/C3+F3)</f>
        <v>0.82064037235217535</v>
      </c>
      <c r="J3" s="1">
        <f t="shared" ref="J3" si="1">((D3-F3)/B3)</f>
        <v>55038.253666666664</v>
      </c>
      <c r="K3" s="1">
        <f t="shared" ref="K3" si="2">(E3-F3)/C3</f>
        <v>1568.8610999999999</v>
      </c>
      <c r="L3" s="1">
        <f t="shared" ref="L3" si="3">F3</f>
        <v>10460.331</v>
      </c>
      <c r="M3" s="1">
        <f t="shared" ref="M3:M6" si="4">J3/(J3+K3+L3)</f>
        <v>0.82064037235217535</v>
      </c>
      <c r="N3" s="1">
        <f t="shared" ref="N3:N6" si="5">J3/(J3+L3)</f>
        <v>0.84029683918768039</v>
      </c>
      <c r="R3" s="1">
        <f t="shared" ref="R3:R6" si="6">SQRT((POWER(P3,2)+POWER(Q3,2))/2)</f>
        <v>0</v>
      </c>
      <c r="S3" s="1">
        <f t="shared" ref="S3:S6" si="7">SQRT(J3+L3)</f>
        <v>255.92691274398373</v>
      </c>
    </row>
    <row r="4" spans="1:21" ht="13.8" customHeight="1" x14ac:dyDescent="0.25">
      <c r="A4" s="3" t="s">
        <v>47</v>
      </c>
      <c r="B4" s="1">
        <v>3</v>
      </c>
      <c r="C4" s="1">
        <v>40</v>
      </c>
      <c r="D4" s="16">
        <v>166.66399999999999</v>
      </c>
      <c r="E4" s="16">
        <v>33.276000000000003</v>
      </c>
      <c r="F4" s="16">
        <v>25.006</v>
      </c>
      <c r="G4" s="1">
        <f t="shared" ref="G4" si="8">((D4-F4)/B4)/(((D4-F4)/B4)+(E4-F4)/C4+F4)</f>
        <v>0.65191184845573724</v>
      </c>
      <c r="J4" s="1">
        <f t="shared" ref="J4" si="9">((D4-F4)/B4)</f>
        <v>47.219333333333331</v>
      </c>
      <c r="K4" s="1">
        <f t="shared" ref="K4" si="10">(E4-F4)/C4</f>
        <v>0.20675000000000007</v>
      </c>
      <c r="L4" s="1">
        <f t="shared" ref="L4" si="11">F4</f>
        <v>25.006</v>
      </c>
      <c r="M4" s="1">
        <f t="shared" ref="M4" si="12">J4/(J4+K4+L4)</f>
        <v>0.65191184845573724</v>
      </c>
      <c r="N4" s="1">
        <f t="shared" ref="N4" si="13">J4/(J4+L4)</f>
        <v>0.6537779911019217</v>
      </c>
      <c r="R4" s="1">
        <f t="shared" ref="R4" si="14">SQRT((POWER(P4,2)+POWER(Q4,2))/2)</f>
        <v>0</v>
      </c>
      <c r="S4" s="1">
        <f t="shared" ref="S4" si="15">SQRT(J4+L4)</f>
        <v>8.4985488957429283</v>
      </c>
    </row>
    <row r="5" spans="1:21" ht="14.4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x14ac:dyDescent="0.25">
      <c r="A6" s="4" t="s">
        <v>51</v>
      </c>
      <c r="B6" s="1">
        <v>3</v>
      </c>
      <c r="C6" s="1">
        <v>40</v>
      </c>
      <c r="D6" s="16">
        <v>355.846</v>
      </c>
      <c r="E6" s="16">
        <v>43.107999999999997</v>
      </c>
      <c r="F6" s="16">
        <v>34.433</v>
      </c>
      <c r="G6" s="1">
        <f t="shared" ref="G6:G7" si="16">((D6-F6)/B6)/(((D6-F6)/B6)+(E6-F6)/C6+F6)</f>
        <v>0.75562115971049415</v>
      </c>
      <c r="J6" s="1">
        <f t="shared" ref="J6:J7" si="17">((D6-F6)/B6)</f>
        <v>107.13766666666668</v>
      </c>
      <c r="K6" s="1">
        <f t="shared" ref="K6:K7" si="18">(E6-F6)/C6</f>
        <v>0.21687499999999993</v>
      </c>
      <c r="L6" s="1">
        <f t="shared" ref="L6:L7" si="19">F6</f>
        <v>34.433</v>
      </c>
      <c r="M6" s="1">
        <f t="shared" si="4"/>
        <v>0.75562115971049415</v>
      </c>
      <c r="N6" s="1">
        <f t="shared" si="5"/>
        <v>0.75677871122078022</v>
      </c>
      <c r="R6" s="1">
        <f t="shared" si="6"/>
        <v>0</v>
      </c>
      <c r="S6" s="1">
        <f t="shared" si="7"/>
        <v>11.898347224159609</v>
      </c>
    </row>
    <row r="7" spans="1:21" ht="14.4" x14ac:dyDescent="0.25">
      <c r="A7" s="3" t="s">
        <v>46</v>
      </c>
      <c r="B7" s="1">
        <v>3</v>
      </c>
      <c r="C7" s="1">
        <v>40</v>
      </c>
      <c r="D7" s="16">
        <v>237994.55</v>
      </c>
      <c r="E7" s="16">
        <v>72117.3</v>
      </c>
      <c r="F7" s="16">
        <v>16562.847000000002</v>
      </c>
      <c r="G7" s="1">
        <f t="shared" si="16"/>
        <v>0.80436722900562885</v>
      </c>
      <c r="J7" s="1">
        <f t="shared" si="17"/>
        <v>73810.567666666655</v>
      </c>
      <c r="K7" s="1">
        <f t="shared" si="18"/>
        <v>1388.8613250000001</v>
      </c>
      <c r="L7" s="1">
        <f t="shared" si="19"/>
        <v>16562.847000000002</v>
      </c>
      <c r="M7" s="1">
        <f>J7/(J7+K7+L7)</f>
        <v>0.80436722900562885</v>
      </c>
      <c r="N7" s="1">
        <f>J7/(J7+L7)</f>
        <v>0.81672876850907528</v>
      </c>
      <c r="R7" s="1">
        <f>SQRT((POWER(P7,2)+POWER(Q7,2))/2)</f>
        <v>0</v>
      </c>
      <c r="S7" s="1">
        <f>SQRT(J7+L7)</f>
        <v>300.62171356484987</v>
      </c>
    </row>
    <row r="8" spans="1:21" ht="14.4" x14ac:dyDescent="0.25">
      <c r="A8" s="3" t="s">
        <v>48</v>
      </c>
      <c r="B8" s="1">
        <v>3</v>
      </c>
      <c r="C8" s="1">
        <v>40</v>
      </c>
      <c r="D8" s="16">
        <v>33.253999999999998</v>
      </c>
      <c r="E8" s="16">
        <v>0.94499999999999995</v>
      </c>
      <c r="F8" s="16">
        <v>3.4980000000000002</v>
      </c>
      <c r="G8" s="1">
        <f t="shared" ref="G8" si="20">((D8-F8)/B8)/(((D8-F8)/B8)+(E8-F8)/C8+F8)</f>
        <v>0.74281317147848047</v>
      </c>
      <c r="J8" s="1">
        <f t="shared" ref="J8" si="21">((D8-F8)/B8)</f>
        <v>9.918666666666665</v>
      </c>
      <c r="K8" s="1">
        <f t="shared" ref="K8" si="22">(E8-F8)/C8</f>
        <v>-6.3825000000000007E-2</v>
      </c>
      <c r="L8" s="1">
        <f t="shared" ref="L8" si="23">F8</f>
        <v>3.4980000000000002</v>
      </c>
      <c r="M8" s="1">
        <f>J8/(J8+K8+L8)</f>
        <v>0.74281317147848047</v>
      </c>
      <c r="N8" s="1">
        <f>J8/(J8+L8)</f>
        <v>0.7392795031055901</v>
      </c>
      <c r="R8" s="1">
        <f>SQRT((POWER(P8,2)+POWER(Q8,2))/2)</f>
        <v>0</v>
      </c>
      <c r="S8" s="1">
        <f>SQRT(J8+L8)</f>
        <v>3.6628768293059846</v>
      </c>
    </row>
    <row r="9" spans="1:21" ht="14.4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1" x14ac:dyDescent="0.25">
      <c r="A10" s="2" t="s">
        <v>52</v>
      </c>
      <c r="B10" s="1">
        <v>3</v>
      </c>
      <c r="C10" s="1">
        <v>40</v>
      </c>
      <c r="D10" s="16">
        <v>325.19600000000003</v>
      </c>
      <c r="E10" s="16">
        <v>102.377</v>
      </c>
      <c r="F10" s="16">
        <v>31.76</v>
      </c>
      <c r="G10" s="1">
        <f t="shared" ref="G10:G11" si="24">((D10-F10)/B10)/(((D10-F10)/B10)+(E10-F10)/C10+F10)</f>
        <v>0.74473821913289384</v>
      </c>
      <c r="J10" s="1">
        <f t="shared" ref="J10:J11" si="25">((D10-F10)/B10)</f>
        <v>97.812000000000012</v>
      </c>
      <c r="K10" s="1">
        <f t="shared" ref="K10:K11" si="26">(E10-F10)/C10</f>
        <v>1.7654249999999998</v>
      </c>
      <c r="L10" s="1">
        <f t="shared" ref="L10:L11" si="27">F10</f>
        <v>31.76</v>
      </c>
      <c r="M10" s="1">
        <f t="shared" ref="M10:M11" si="28">J10/(J10+K10+L10)</f>
        <v>0.74473821913289384</v>
      </c>
      <c r="N10" s="1">
        <f t="shared" ref="N10:N11" si="29">J10/(J10+L10)</f>
        <v>0.75488531472849085</v>
      </c>
      <c r="R10" s="1">
        <f t="shared" ref="R10:R14" si="30">SQRT((POWER(P10,2)+POWER(Q10,2))/2)</f>
        <v>0</v>
      </c>
      <c r="S10" s="1">
        <f t="shared" ref="S10:S11" si="31">SQRT(J10+L10)</f>
        <v>11.382969735530356</v>
      </c>
    </row>
    <row r="11" spans="1:21" x14ac:dyDescent="0.25">
      <c r="A11" s="2" t="s">
        <v>53</v>
      </c>
      <c r="B11" s="1">
        <v>3</v>
      </c>
      <c r="C11" s="1">
        <v>40</v>
      </c>
      <c r="D11" s="16">
        <v>182119.223</v>
      </c>
      <c r="E11" s="16">
        <v>71455.180999999997</v>
      </c>
      <c r="F11" s="16">
        <v>7984.348</v>
      </c>
      <c r="G11" s="1">
        <f t="shared" si="24"/>
        <v>0.85844906674210375</v>
      </c>
      <c r="J11" s="1">
        <f t="shared" si="25"/>
        <v>58044.958333333336</v>
      </c>
      <c r="K11" s="1">
        <f t="shared" si="26"/>
        <v>1586.7708250000001</v>
      </c>
      <c r="L11" s="1">
        <f t="shared" si="27"/>
        <v>7984.348</v>
      </c>
      <c r="M11" s="1">
        <f t="shared" si="28"/>
        <v>0.85844906674210375</v>
      </c>
      <c r="N11" s="1">
        <f t="shared" si="29"/>
        <v>0.87907872362473549</v>
      </c>
      <c r="R11" s="1">
        <f t="shared" si="30"/>
        <v>0</v>
      </c>
      <c r="S11" s="1">
        <f t="shared" si="31"/>
        <v>256.96168261694845</v>
      </c>
    </row>
    <row r="12" spans="1:21" ht="14.4" x14ac:dyDescent="0.25">
      <c r="A12" s="3" t="s">
        <v>49</v>
      </c>
      <c r="B12" s="1">
        <v>3</v>
      </c>
      <c r="C12" s="1">
        <v>40</v>
      </c>
      <c r="D12" s="16">
        <v>48.438000000000002</v>
      </c>
      <c r="E12" s="16">
        <v>2.4500000000000002</v>
      </c>
      <c r="F12" s="16">
        <v>5.5650000000000004</v>
      </c>
      <c r="G12" s="1">
        <f t="shared" ref="G12" si="32">((D12-F12)/B12)/(((D12-F12)/B12)+(E12-F12)/C12+F12)</f>
        <v>0.72256596618739133</v>
      </c>
      <c r="J12" s="1">
        <f t="shared" ref="J12" si="33">((D12-F12)/B12)</f>
        <v>14.291000000000002</v>
      </c>
      <c r="K12" s="1">
        <f t="shared" ref="K12" si="34">(E12-F12)/C12</f>
        <v>-7.7875E-2</v>
      </c>
      <c r="L12" s="1">
        <f t="shared" ref="L12" si="35">F12</f>
        <v>5.5650000000000004</v>
      </c>
      <c r="M12" s="1">
        <f t="shared" ref="M12" si="36">J12/(J12+K12+L12)</f>
        <v>0.72256596618739133</v>
      </c>
      <c r="N12" s="1">
        <f t="shared" ref="N12" si="37">J12/(J12+L12)</f>
        <v>0.71973207091055602</v>
      </c>
      <c r="R12" s="1">
        <f t="shared" ref="R12" si="38">SQRT((POWER(P12,2)+POWER(Q12,2))/2)</f>
        <v>0</v>
      </c>
      <c r="S12" s="1">
        <f t="shared" ref="S12" si="39">SQRT(J12+L12)</f>
        <v>4.4560071813227591</v>
      </c>
    </row>
    <row r="13" spans="1:2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1" x14ac:dyDescent="0.25">
      <c r="A14" s="1" t="s">
        <v>42</v>
      </c>
      <c r="B14" s="1">
        <v>3</v>
      </c>
      <c r="C14" s="1">
        <v>40</v>
      </c>
      <c r="D14" s="16">
        <v>1145.69</v>
      </c>
      <c r="E14" s="16">
        <v>216.976</v>
      </c>
      <c r="F14" s="16">
        <v>143.92699999999999</v>
      </c>
      <c r="G14" s="1">
        <f>((D14-F14)/B14)/(((D14-F14)/B14)+(E14-F14)/C14+F14)</f>
        <v>0.69614121959544528</v>
      </c>
      <c r="J14" s="1">
        <f t="shared" ref="J14" si="40">((D14-F14)/B14)</f>
        <v>333.92099999999999</v>
      </c>
      <c r="K14" s="1">
        <f t="shared" ref="K14" si="41">(E14-F14)/C14</f>
        <v>1.8262250000000002</v>
      </c>
      <c r="L14" s="1">
        <f t="shared" ref="L14" si="42">F14</f>
        <v>143.92699999999999</v>
      </c>
      <c r="M14" s="1">
        <f t="shared" ref="M14" si="43">J14/(J14+K14+L14)</f>
        <v>0.69614121959544528</v>
      </c>
      <c r="N14" s="1">
        <f t="shared" ref="N14" si="44">J14/(J14+L14)</f>
        <v>0.69880171100433619</v>
      </c>
      <c r="R14" s="1">
        <f t="shared" si="30"/>
        <v>0</v>
      </c>
      <c r="S14" s="1">
        <f t="shared" ref="S14" si="45">SQRT(J14+L14)</f>
        <v>21.85973467359565</v>
      </c>
    </row>
    <row r="17" spans="1:19" ht="105.6" x14ac:dyDescent="0.25">
      <c r="B17" s="5" t="s">
        <v>0</v>
      </c>
      <c r="C17" s="5" t="s">
        <v>20</v>
      </c>
      <c r="D17" s="5" t="s">
        <v>21</v>
      </c>
      <c r="E17" s="5" t="s">
        <v>27</v>
      </c>
      <c r="F17" s="5" t="s">
        <v>22</v>
      </c>
      <c r="G17" s="5" t="s">
        <v>1</v>
      </c>
      <c r="H17" s="5" t="s">
        <v>40</v>
      </c>
      <c r="I17" s="5"/>
      <c r="J17" s="5" t="s">
        <v>7</v>
      </c>
      <c r="K17" s="5" t="s">
        <v>8</v>
      </c>
      <c r="L17" s="5" t="s">
        <v>9</v>
      </c>
      <c r="M17" s="5" t="s">
        <v>13</v>
      </c>
      <c r="N17" s="5" t="s">
        <v>16</v>
      </c>
      <c r="P17" s="6" t="s">
        <v>43</v>
      </c>
      <c r="Q17" s="5" t="s">
        <v>44</v>
      </c>
      <c r="S17" s="4"/>
    </row>
    <row r="18" spans="1:19" x14ac:dyDescent="0.25">
      <c r="A18" s="4" t="s">
        <v>50</v>
      </c>
      <c r="B18" s="1">
        <f>SQRT(L2)</f>
        <v>8.3552378781217236</v>
      </c>
      <c r="C18" s="1">
        <f>SQRT(J2+L2)*SQRT(1-N2)</f>
        <v>8.3552378781217236</v>
      </c>
      <c r="D18" s="1">
        <f>R2*SQRT(1-N2)</f>
        <v>0</v>
      </c>
      <c r="E18" s="1">
        <f>(SQRT(2)*SQRT(L2))/SQRT(2)</f>
        <v>8.3552378781217236</v>
      </c>
      <c r="F18" s="1">
        <f>N18/SQRT(2)</f>
        <v>0</v>
      </c>
      <c r="G18" s="1">
        <f>SQRT(K2+L2)</f>
        <v>8.6866492389183065</v>
      </c>
      <c r="H18" s="1">
        <f>R2*SQRT(1-G2)</f>
        <v>0</v>
      </c>
      <c r="J18" s="1">
        <f>1.96*G18</f>
        <v>17.02583250827988</v>
      </c>
      <c r="K18" s="1">
        <f>1.96*SQRT(2)*G18</f>
        <v>24.078163243902139</v>
      </c>
      <c r="L18" s="1">
        <f>1.96*SQRT(2)*B18</f>
        <v>23.15953781922256</v>
      </c>
      <c r="M18" s="1">
        <f>1.96*N18</f>
        <v>0</v>
      </c>
      <c r="P18" s="12">
        <v>60.95</v>
      </c>
      <c r="Q18" s="1">
        <f>G18/P18*100</f>
        <v>14.252090629890576</v>
      </c>
      <c r="S18" s="7"/>
    </row>
    <row r="19" spans="1:19" ht="14.4" x14ac:dyDescent="0.25">
      <c r="A19" s="3" t="s">
        <v>45</v>
      </c>
      <c r="B19" s="1">
        <f>SQRT(L3)</f>
        <v>102.27575959141052</v>
      </c>
      <c r="C19" s="1">
        <f>SQRT(J3+L3)*SQRT(1-N3)</f>
        <v>102.27575959141051</v>
      </c>
      <c r="D19" s="1">
        <f t="shared" ref="D19:D30" si="46">R3*SQRT(1-N3)</f>
        <v>0</v>
      </c>
      <c r="E19" s="1">
        <f>(SQRT(2)*SQRT(L3))/SQRT(2)</f>
        <v>102.27575959141051</v>
      </c>
      <c r="F19" s="1">
        <f t="shared" ref="F19:F30" si="47">N19/SQRT(2)</f>
        <v>0</v>
      </c>
      <c r="G19" s="1">
        <f>SQRT(K3+L3)</f>
        <v>109.67767366241864</v>
      </c>
      <c r="H19" s="1">
        <f t="shared" ref="H19:H30" si="48">R3*SQRT(1-G3)</f>
        <v>0</v>
      </c>
      <c r="J19" s="1">
        <f t="shared" ref="J19:J22" si="49">1.96*G19</f>
        <v>214.96824037834054</v>
      </c>
      <c r="K19" s="1">
        <f t="shared" ref="K19:K22" si="50">1.96*SQRT(2)*G19</f>
        <v>304.01100102252877</v>
      </c>
      <c r="L19" s="1">
        <f t="shared" ref="L19:L22" si="51">1.96*SQRT(2)*B19</f>
        <v>283.4939419797185</v>
      </c>
      <c r="M19" s="1">
        <f t="shared" ref="M19:M30" si="52">1.96*N19</f>
        <v>0</v>
      </c>
      <c r="P19" s="12">
        <v>1238.5250000000001</v>
      </c>
      <c r="Q19" s="1">
        <f t="shared" ref="Q19:Q27" si="53">G19/P19*100</f>
        <v>8.8555074513973189</v>
      </c>
      <c r="S19" s="7"/>
    </row>
    <row r="20" spans="1:19" ht="14.4" x14ac:dyDescent="0.25">
      <c r="A20" s="3" t="s">
        <v>47</v>
      </c>
      <c r="B20" s="1">
        <f>SQRT(L4)</f>
        <v>5.0005999640043193</v>
      </c>
      <c r="C20" s="1">
        <f>SQRT(J4+L4)*SQRT(1-N4)</f>
        <v>5.0005999640043211</v>
      </c>
      <c r="D20" s="1">
        <f t="shared" si="46"/>
        <v>0</v>
      </c>
      <c r="E20" s="1">
        <f>(SQRT(2)*SQRT(L4))/SQRT(2)</f>
        <v>5.0005999640043193</v>
      </c>
      <c r="F20" s="1">
        <f t="shared" si="47"/>
        <v>0</v>
      </c>
      <c r="G20" s="1">
        <f>SQRT(K4+L4)</f>
        <v>5.0212299290114171</v>
      </c>
      <c r="H20" s="1">
        <f t="shared" si="48"/>
        <v>0</v>
      </c>
      <c r="J20" s="1">
        <f t="shared" ref="J20" si="54">1.96*G20</f>
        <v>9.8416106608623775</v>
      </c>
      <c r="K20" s="1">
        <f t="shared" ref="K20" si="55">1.96*SQRT(2)*G20</f>
        <v>13.918139272187213</v>
      </c>
      <c r="L20" s="1">
        <f t="shared" ref="L20" si="56">1.96*SQRT(2)*B20</f>
        <v>13.860955926630746</v>
      </c>
      <c r="M20" s="1">
        <f t="shared" si="52"/>
        <v>0</v>
      </c>
      <c r="P20" s="17">
        <v>30.4636</v>
      </c>
      <c r="Q20" s="1">
        <f t="shared" ref="Q20" si="57">G20/P20*100</f>
        <v>16.482720128321727</v>
      </c>
      <c r="S20" s="7"/>
    </row>
    <row r="21" spans="1:19" ht="14.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10"/>
      <c r="S21" s="7"/>
    </row>
    <row r="22" spans="1:19" x14ac:dyDescent="0.25">
      <c r="A22" s="4" t="s">
        <v>51</v>
      </c>
      <c r="B22" s="1">
        <f>SQRT(L6)</f>
        <v>5.86796387173609</v>
      </c>
      <c r="C22" s="1">
        <f>SQRT(J6+L6)*SQRT(1-N6)</f>
        <v>5.86796387173609</v>
      </c>
      <c r="D22" s="1">
        <f t="shared" si="46"/>
        <v>0</v>
      </c>
      <c r="E22" s="1">
        <f>(SQRT(2)*SQRT(L6))/SQRT(2)</f>
        <v>5.86796387173609</v>
      </c>
      <c r="F22" s="1">
        <f t="shared" si="47"/>
        <v>0</v>
      </c>
      <c r="G22" s="1">
        <f>SQRT(K6+L6)</f>
        <v>5.8864144434451777</v>
      </c>
      <c r="H22" s="1">
        <f t="shared" si="48"/>
        <v>0</v>
      </c>
      <c r="J22" s="1">
        <f t="shared" si="49"/>
        <v>11.537372309152548</v>
      </c>
      <c r="K22" s="1">
        <f t="shared" si="50"/>
        <v>16.316308393751328</v>
      </c>
      <c r="L22" s="1">
        <f t="shared" si="51"/>
        <v>16.265166018212049</v>
      </c>
      <c r="M22" s="1">
        <f t="shared" si="52"/>
        <v>0</v>
      </c>
      <c r="P22" s="12">
        <v>46.241999999999997</v>
      </c>
      <c r="Q22" s="1">
        <f t="shared" si="53"/>
        <v>12.729584454489808</v>
      </c>
      <c r="S22" s="7"/>
    </row>
    <row r="23" spans="1:19" ht="14.4" x14ac:dyDescent="0.25">
      <c r="A23" s="3" t="s">
        <v>46</v>
      </c>
      <c r="B23" s="1">
        <f>SQRT(L7)</f>
        <v>128.69672490005331</v>
      </c>
      <c r="C23" s="1">
        <f>SQRT(J7+L7)*SQRT(1-N7)</f>
        <v>128.69672490005328</v>
      </c>
      <c r="D23" s="1">
        <f t="shared" si="46"/>
        <v>0</v>
      </c>
      <c r="E23" s="1">
        <f>(SQRT(2)*SQRT(L7))/SQRT(2)</f>
        <v>128.69672490005331</v>
      </c>
      <c r="F23" s="1">
        <f t="shared" si="47"/>
        <v>0</v>
      </c>
      <c r="G23" s="1">
        <f>SQRT(K7+L7)</f>
        <v>133.98398533033716</v>
      </c>
      <c r="H23" s="1">
        <f t="shared" si="48"/>
        <v>0</v>
      </c>
      <c r="J23" s="1">
        <f>1.96*G23</f>
        <v>262.60861124746083</v>
      </c>
      <c r="K23" s="1">
        <f>1.96*SQRT(2)*G23</f>
        <v>371.3846596221228</v>
      </c>
      <c r="L23" s="1">
        <f>1.96*SQRT(2)*B23</f>
        <v>356.72912142184299</v>
      </c>
      <c r="M23" s="1">
        <f t="shared" si="52"/>
        <v>0</v>
      </c>
      <c r="P23" s="12">
        <v>1995.375</v>
      </c>
      <c r="Q23" s="1">
        <f t="shared" si="53"/>
        <v>6.7147270728728765</v>
      </c>
      <c r="S23" s="7"/>
    </row>
    <row r="24" spans="1:19" ht="14.4" x14ac:dyDescent="0.25">
      <c r="A24" s="3" t="s">
        <v>48</v>
      </c>
      <c r="B24" s="1">
        <f>SQRT(L8)</f>
        <v>1.8702940945209661</v>
      </c>
      <c r="C24" s="1">
        <f>SQRT(J8+L8)*SQRT(1-N8)</f>
        <v>1.8702940945209656</v>
      </c>
      <c r="D24" s="1">
        <f t="shared" si="46"/>
        <v>0</v>
      </c>
      <c r="E24" s="1">
        <f>(SQRT(2)*SQRT(L8))/SQRT(2)</f>
        <v>1.8702940945209663</v>
      </c>
      <c r="F24" s="1">
        <f t="shared" si="47"/>
        <v>0</v>
      </c>
      <c r="G24" s="1">
        <f>SQRT(K8+L8)</f>
        <v>1.853152719016973</v>
      </c>
      <c r="H24" s="1">
        <f t="shared" si="48"/>
        <v>0</v>
      </c>
      <c r="J24" s="1">
        <f>1.96*G24</f>
        <v>3.6321793292732671</v>
      </c>
      <c r="K24" s="1">
        <f>1.96*SQRT(2)*G24</f>
        <v>5.1366772684294659</v>
      </c>
      <c r="L24" s="1">
        <f>1.96*SQRT(2)*B24</f>
        <v>5.184190737231801</v>
      </c>
      <c r="M24" s="1">
        <f t="shared" si="52"/>
        <v>0</v>
      </c>
      <c r="P24" s="12">
        <v>14.031000000000001</v>
      </c>
      <c r="Q24" s="1">
        <f t="shared" ref="Q24" si="58">G24/P24*100</f>
        <v>13.207559824794904</v>
      </c>
      <c r="S24" s="7"/>
    </row>
    <row r="25" spans="1:19" ht="14.4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"/>
      <c r="Q25" s="10"/>
      <c r="S25" s="7"/>
    </row>
    <row r="26" spans="1:19" x14ac:dyDescent="0.25">
      <c r="A26" s="2" t="s">
        <v>52</v>
      </c>
      <c r="B26" s="1">
        <f>SQRT(L10)</f>
        <v>5.6356011214421482</v>
      </c>
      <c r="C26" s="1">
        <f>SQRT(J10+L10)*SQRT(1-N10)</f>
        <v>5.6356011214421473</v>
      </c>
      <c r="D26" s="1">
        <f t="shared" si="46"/>
        <v>0</v>
      </c>
      <c r="E26" s="1">
        <f>(SQRT(2)*SQRT(L10))/SQRT(2)</f>
        <v>5.6356011214421482</v>
      </c>
      <c r="F26" s="1">
        <f t="shared" si="47"/>
        <v>0</v>
      </c>
      <c r="G26" s="1">
        <f>SQRT(K10+L10)</f>
        <v>5.7901144202856649</v>
      </c>
      <c r="H26" s="1">
        <f t="shared" si="48"/>
        <v>0</v>
      </c>
      <c r="J26" s="1">
        <f t="shared" ref="J26:J27" si="59">1.96*G26</f>
        <v>11.348624263759904</v>
      </c>
      <c r="K26" s="1">
        <f t="shared" ref="K26:K27" si="60">1.96*SQRT(2)*G26</f>
        <v>16.049378348085636</v>
      </c>
      <c r="L26" s="1">
        <f t="shared" ref="L26:L27" si="61">1.96*SQRT(2)*B26</f>
        <v>15.621089334614279</v>
      </c>
      <c r="M26" s="1">
        <f t="shared" si="52"/>
        <v>0</v>
      </c>
      <c r="P26" s="12">
        <v>53.595999999999997</v>
      </c>
      <c r="Q26" s="1">
        <f t="shared" si="53"/>
        <v>10.803258489972507</v>
      </c>
      <c r="S26" s="7"/>
    </row>
    <row r="27" spans="1:19" x14ac:dyDescent="0.25">
      <c r="A27" s="2" t="s">
        <v>53</v>
      </c>
      <c r="B27" s="1">
        <f>SQRT(L11)</f>
        <v>89.355178920978048</v>
      </c>
      <c r="C27" s="1">
        <f>SQRT(J11+L11)*SQRT(1-N11)</f>
        <v>89.355178920978076</v>
      </c>
      <c r="D27" s="1">
        <f t="shared" si="46"/>
        <v>0</v>
      </c>
      <c r="E27" s="1">
        <f>(SQRT(2)*SQRT(L11))/SQRT(2)</f>
        <v>89.355178920978048</v>
      </c>
      <c r="F27" s="1">
        <f t="shared" si="47"/>
        <v>0</v>
      </c>
      <c r="G27" s="1">
        <f>SQRT(K11+L11)</f>
        <v>97.832095065985371</v>
      </c>
      <c r="H27" s="1">
        <f t="shared" si="48"/>
        <v>0</v>
      </c>
      <c r="J27" s="1">
        <f t="shared" si="59"/>
        <v>191.75090632933131</v>
      </c>
      <c r="K27" s="1">
        <f t="shared" si="60"/>
        <v>271.17673232827332</v>
      </c>
      <c r="L27" s="1">
        <f t="shared" si="61"/>
        <v>247.67991956071043</v>
      </c>
      <c r="M27" s="1">
        <f t="shared" si="52"/>
        <v>0</v>
      </c>
      <c r="P27" s="12">
        <v>1616.95</v>
      </c>
      <c r="Q27" s="1">
        <f t="shared" si="53"/>
        <v>6.0504094168641807</v>
      </c>
      <c r="S27" s="7"/>
    </row>
    <row r="28" spans="1:19" ht="14.4" x14ac:dyDescent="0.25">
      <c r="A28" s="3" t="s">
        <v>49</v>
      </c>
      <c r="B28" s="1">
        <f>SQRT(L12)</f>
        <v>2.35902522241709</v>
      </c>
      <c r="C28" s="1">
        <f>SQRT(J12+L12)*SQRT(1-N12)</f>
        <v>2.35902522241709</v>
      </c>
      <c r="D28" s="1">
        <f t="shared" si="46"/>
        <v>0</v>
      </c>
      <c r="E28" s="1">
        <f>(SQRT(2)*SQRT(L12))/SQRT(2)</f>
        <v>2.35902522241709</v>
      </c>
      <c r="F28" s="1">
        <f t="shared" si="47"/>
        <v>0</v>
      </c>
      <c r="G28" s="1">
        <f>SQRT(K12+L12)</f>
        <v>2.3424613123806335</v>
      </c>
      <c r="H28" s="1">
        <f t="shared" si="48"/>
        <v>0</v>
      </c>
      <c r="J28" s="1">
        <f t="shared" ref="J28" si="62">1.96*G28</f>
        <v>4.5912241722660418</v>
      </c>
      <c r="K28" s="1">
        <f t="shared" ref="K28" si="63">1.96*SQRT(2)*G28</f>
        <v>6.4929714923138233</v>
      </c>
      <c r="L28" s="1">
        <f t="shared" ref="L28" si="64">1.96*SQRT(2)*B28</f>
        <v>6.5388843085040129</v>
      </c>
      <c r="M28" s="1">
        <f t="shared" si="52"/>
        <v>0</v>
      </c>
      <c r="P28" s="12">
        <v>20.1617</v>
      </c>
      <c r="Q28" s="1">
        <f t="shared" ref="Q28" si="65">G28/P28*100</f>
        <v>11.618372024088412</v>
      </c>
      <c r="S28" s="7"/>
    </row>
    <row r="29" spans="1:19" x14ac:dyDescent="0.2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3"/>
      <c r="Q29" s="10"/>
      <c r="S29" s="7"/>
    </row>
    <row r="30" spans="1:19" x14ac:dyDescent="0.25">
      <c r="A30" s="1" t="s">
        <v>42</v>
      </c>
      <c r="B30" s="1">
        <f>SQRT(L14)</f>
        <v>11.996957947746587</v>
      </c>
      <c r="C30" s="1">
        <f>SQRT(J14+L14)*SQRT(1-N14)</f>
        <v>11.996957947746584</v>
      </c>
      <c r="D30" s="1">
        <f t="shared" si="46"/>
        <v>0</v>
      </c>
      <c r="E30" s="1">
        <f>(SQRT(2)*SQRT(L14))/SQRT(2)</f>
        <v>11.996957947746587</v>
      </c>
      <c r="F30" s="1">
        <f t="shared" si="47"/>
        <v>0</v>
      </c>
      <c r="G30" s="1">
        <f>SQRT(K14+L14)</f>
        <v>12.072830032763651</v>
      </c>
      <c r="H30" s="1">
        <f t="shared" si="48"/>
        <v>0</v>
      </c>
      <c r="J30" s="1">
        <f>1.96*G30</f>
        <v>23.662746864216757</v>
      </c>
      <c r="K30" s="1">
        <f>1.96*SQRT(2)*G30</f>
        <v>33.464177538376759</v>
      </c>
      <c r="L30" s="1">
        <f>1.96*SQRT(2)*B30</f>
        <v>33.253870848368912</v>
      </c>
      <c r="M30" s="1">
        <f t="shared" si="52"/>
        <v>0</v>
      </c>
      <c r="P30" s="12">
        <v>47.691000000000003</v>
      </c>
      <c r="Q30" s="1">
        <f>G30/P30*100</f>
        <v>25.314692568332912</v>
      </c>
      <c r="S30" s="7"/>
    </row>
    <row r="33" spans="1:14" x14ac:dyDescent="0.25">
      <c r="A33" s="1" t="s">
        <v>19</v>
      </c>
    </row>
    <row r="34" spans="1:14" x14ac:dyDescent="0.25">
      <c r="A34" s="1" t="s">
        <v>23</v>
      </c>
    </row>
    <row r="35" spans="1:14" x14ac:dyDescent="0.25">
      <c r="A35" s="1" t="s">
        <v>28</v>
      </c>
    </row>
    <row r="36" spans="1:14" x14ac:dyDescent="0.25">
      <c r="A36" s="1" t="s">
        <v>25</v>
      </c>
    </row>
    <row r="38" spans="1:14" x14ac:dyDescent="0.25">
      <c r="A38" s="1" t="s">
        <v>26</v>
      </c>
    </row>
    <row r="41" spans="1:14" ht="26.4" x14ac:dyDescent="0.25">
      <c r="B41" s="1" t="s">
        <v>1</v>
      </c>
      <c r="D41" s="1" t="s">
        <v>29</v>
      </c>
      <c r="E41" s="1" t="s">
        <v>30</v>
      </c>
      <c r="F41" s="1" t="s">
        <v>33</v>
      </c>
      <c r="G41" s="1" t="s">
        <v>32</v>
      </c>
      <c r="H41" s="1" t="s">
        <v>31</v>
      </c>
      <c r="J41" s="5" t="s">
        <v>35</v>
      </c>
      <c r="K41" s="5" t="s">
        <v>36</v>
      </c>
      <c r="L41" s="5" t="s">
        <v>37</v>
      </c>
      <c r="M41" s="5" t="s">
        <v>38</v>
      </c>
      <c r="N41" s="5" t="s">
        <v>39</v>
      </c>
    </row>
    <row r="42" spans="1:14" x14ac:dyDescent="0.25">
      <c r="A42" s="4" t="s">
        <v>50</v>
      </c>
      <c r="B42" s="1">
        <f>SQRT(K2+L2)</f>
        <v>8.6866492389183065</v>
      </c>
      <c r="D42" s="1">
        <f>1.96*SQRT(2)*B42</f>
        <v>24.078163243902139</v>
      </c>
      <c r="E42" s="1">
        <f>1.645*SQRT(2)*B42</f>
        <v>20.208458436846438</v>
      </c>
      <c r="F42" s="1">
        <f>1.439*SQRT(2)*B42</f>
        <v>17.677794340803665</v>
      </c>
      <c r="G42" s="1">
        <f>1.28*SQRT(2)*B42</f>
        <v>15.724514771527929</v>
      </c>
      <c r="H42" s="19">
        <f>1.149*SQRT(2)*B42</f>
        <v>14.115208962879366</v>
      </c>
      <c r="J42" s="1">
        <f>1.96*B42</f>
        <v>17.02583250827988</v>
      </c>
      <c r="K42" s="1">
        <f>1.645*B42</f>
        <v>14.289537998020615</v>
      </c>
      <c r="L42" s="1">
        <f>1.439*B42</f>
        <v>12.500088254803444</v>
      </c>
      <c r="M42" s="1">
        <f>1.28*B42</f>
        <v>11.118911025815432</v>
      </c>
      <c r="N42" s="19">
        <f>1.149*B42</f>
        <v>9.9809599755171341</v>
      </c>
    </row>
    <row r="43" spans="1:14" ht="14.4" x14ac:dyDescent="0.25">
      <c r="A43" s="3" t="s">
        <v>45</v>
      </c>
      <c r="B43" s="1">
        <f>SQRT(K3+L3)</f>
        <v>109.67767366241864</v>
      </c>
      <c r="D43" s="1">
        <f t="shared" ref="D43:D44" si="66">1.96*SQRT(2)*B43</f>
        <v>304.01100102252877</v>
      </c>
      <c r="E43" s="1">
        <f t="shared" ref="E43:E44" si="67">1.645*SQRT(2)*B43</f>
        <v>255.15209014390808</v>
      </c>
      <c r="F43" s="1">
        <f t="shared" ref="F43:F44" si="68">1.439*SQRT(2)*B43</f>
        <v>223.199913505826</v>
      </c>
      <c r="G43" s="1">
        <f t="shared" ref="G43:G44" si="69">1.28*SQRT(2)*B43</f>
        <v>198.53779658614127</v>
      </c>
      <c r="H43" s="19">
        <f t="shared" ref="H43:H44" si="70">1.149*SQRT(2)*B43</f>
        <v>178.21869396677837</v>
      </c>
      <c r="J43" s="1">
        <f t="shared" ref="J43:J44" si="71">1.96*B43</f>
        <v>214.96824037834054</v>
      </c>
      <c r="K43" s="1">
        <f t="shared" ref="K43:K44" si="72">1.645*B43</f>
        <v>180.41977317467865</v>
      </c>
      <c r="L43" s="1">
        <f t="shared" ref="L43:L44" si="73">1.439*B43</f>
        <v>157.82617240022043</v>
      </c>
      <c r="M43" s="1">
        <f t="shared" ref="M43:M44" si="74">1.28*B43</f>
        <v>140.38742228789587</v>
      </c>
      <c r="N43" s="19">
        <f t="shared" ref="N43:N44" si="75">1.149*B43</f>
        <v>126.01964703811902</v>
      </c>
    </row>
    <row r="44" spans="1:14" ht="14.4" x14ac:dyDescent="0.25">
      <c r="A44" s="3" t="s">
        <v>47</v>
      </c>
      <c r="B44" s="1">
        <f>SQRT(K4+L4)</f>
        <v>5.0212299290114171</v>
      </c>
      <c r="D44" s="1">
        <f t="shared" si="66"/>
        <v>13.918139272187213</v>
      </c>
      <c r="E44" s="1">
        <f t="shared" si="67"/>
        <v>11.681295460585696</v>
      </c>
      <c r="F44" s="1">
        <f t="shared" si="68"/>
        <v>10.21847061871296</v>
      </c>
      <c r="G44" s="1">
        <f t="shared" si="69"/>
        <v>9.0893970757140998</v>
      </c>
      <c r="H44" s="19">
        <f t="shared" si="70"/>
        <v>8.1591540937464835</v>
      </c>
      <c r="J44" s="1">
        <f t="shared" si="71"/>
        <v>9.8416106608623775</v>
      </c>
      <c r="K44" s="1">
        <f t="shared" si="72"/>
        <v>8.2599232332237804</v>
      </c>
      <c r="L44" s="1">
        <f t="shared" si="73"/>
        <v>7.2255498678474295</v>
      </c>
      <c r="M44" s="1">
        <f t="shared" si="74"/>
        <v>6.4271743091346138</v>
      </c>
      <c r="N44" s="19">
        <f t="shared" si="75"/>
        <v>5.7693931884341181</v>
      </c>
    </row>
    <row r="45" spans="1:14" ht="14.4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A46" s="4" t="s">
        <v>51</v>
      </c>
      <c r="B46" s="1">
        <f>SQRT(K6+L6)</f>
        <v>5.8864144434451777</v>
      </c>
      <c r="D46" s="1">
        <f>1.96*SQRT(2)*B46</f>
        <v>16.316308393751328</v>
      </c>
      <c r="E46" s="1">
        <f>1.645*SQRT(2)*B46</f>
        <v>13.694044544755577</v>
      </c>
      <c r="F46" s="1">
        <f>1.439*SQRT(2)*B46</f>
        <v>11.979167233983757</v>
      </c>
      <c r="G46" s="1">
        <f>1.28*SQRT(2)*B46</f>
        <v>10.655548338776379</v>
      </c>
      <c r="H46" s="19">
        <f>1.149*SQRT(2)*B46</f>
        <v>9.5650195634797317</v>
      </c>
      <c r="J46" s="1">
        <f>1.96*B46</f>
        <v>11.537372309152548</v>
      </c>
      <c r="K46" s="1">
        <f>1.645*B46</f>
        <v>9.683151759467318</v>
      </c>
      <c r="L46" s="1">
        <f>1.439*B46</f>
        <v>8.4705503841176117</v>
      </c>
      <c r="M46" s="1">
        <f>1.28*B46</f>
        <v>7.5346104876098279</v>
      </c>
      <c r="N46" s="19">
        <f>1.149*B46</f>
        <v>6.7634901955185089</v>
      </c>
    </row>
    <row r="47" spans="1:14" ht="14.4" x14ac:dyDescent="0.25">
      <c r="A47" s="3" t="s">
        <v>46</v>
      </c>
      <c r="B47" s="1">
        <f>SQRT(K7+L7)</f>
        <v>133.98398533033716</v>
      </c>
      <c r="D47" s="1">
        <f t="shared" ref="D47:D48" si="76">1.96*SQRT(2)*B47</f>
        <v>371.3846596221228</v>
      </c>
      <c r="E47" s="1">
        <f t="shared" ref="E47:E48" si="77">1.645*SQRT(2)*B47</f>
        <v>311.69783932571022</v>
      </c>
      <c r="F47" s="1">
        <f t="shared" ref="F47:F48" si="78">1.439*SQRT(2)*B47</f>
        <v>272.66455367154839</v>
      </c>
      <c r="G47" s="1">
        <f t="shared" ref="G47:G48" si="79">1.28*SQRT(2)*B47</f>
        <v>242.53692056954964</v>
      </c>
      <c r="H47" s="19">
        <f t="shared" ref="H47:H48" si="80">1.149*SQRT(2)*B47</f>
        <v>217.71478260500976</v>
      </c>
      <c r="J47" s="1">
        <f t="shared" ref="J47:J48" si="81">1.96*B47</f>
        <v>262.60861124746083</v>
      </c>
      <c r="K47" s="1">
        <f t="shared" ref="K47:K48" si="82">1.645*B47</f>
        <v>220.40365586840463</v>
      </c>
      <c r="L47" s="1">
        <f t="shared" ref="L47:L48" si="83">1.439*B47</f>
        <v>192.80295489035518</v>
      </c>
      <c r="M47" s="1">
        <f t="shared" ref="M47:M48" si="84">1.28*B47</f>
        <v>171.49950122283158</v>
      </c>
      <c r="N47" s="19">
        <f t="shared" ref="N47:N48" si="85">1.149*B47</f>
        <v>153.94759914455742</v>
      </c>
    </row>
    <row r="48" spans="1:14" ht="14.4" x14ac:dyDescent="0.25">
      <c r="A48" s="3" t="s">
        <v>48</v>
      </c>
      <c r="B48" s="1">
        <f>SQRT(K8+L8)</f>
        <v>1.853152719016973</v>
      </c>
      <c r="D48" s="1">
        <f t="shared" si="76"/>
        <v>5.1366772684294659</v>
      </c>
      <c r="E48" s="1">
        <f t="shared" si="77"/>
        <v>4.3111398502890159</v>
      </c>
      <c r="F48" s="1">
        <f t="shared" si="78"/>
        <v>3.7712645863622463</v>
      </c>
      <c r="G48" s="1">
        <f t="shared" si="79"/>
        <v>3.3545647467294475</v>
      </c>
      <c r="H48" s="19">
        <f t="shared" si="80"/>
        <v>3.0112460109313552</v>
      </c>
      <c r="J48" s="1">
        <f t="shared" si="81"/>
        <v>3.6321793292732671</v>
      </c>
      <c r="K48" s="1">
        <f t="shared" si="82"/>
        <v>3.0484362227829207</v>
      </c>
      <c r="L48" s="1">
        <f t="shared" si="83"/>
        <v>2.666686762665424</v>
      </c>
      <c r="M48" s="1">
        <f t="shared" si="84"/>
        <v>2.3720354803417254</v>
      </c>
      <c r="N48" s="19">
        <f t="shared" si="85"/>
        <v>2.1292724741505018</v>
      </c>
    </row>
    <row r="49" spans="1:14" ht="14.4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25">
      <c r="A50" s="2" t="s">
        <v>52</v>
      </c>
      <c r="B50" s="1">
        <f>SQRT(K10+L10)</f>
        <v>5.7901144202856649</v>
      </c>
      <c r="D50" s="1">
        <f>1.96*SQRT(2)*B50</f>
        <v>16.049378348085636</v>
      </c>
      <c r="E50" s="1">
        <f>1.645*SQRT(2)*B50</f>
        <v>13.47001397071473</v>
      </c>
      <c r="F50" s="1">
        <f>1.439*SQRT(2)*B50</f>
        <v>11.783191552497568</v>
      </c>
      <c r="G50" s="1">
        <f>1.28*SQRT(2)*B50</f>
        <v>10.481226676300825</v>
      </c>
      <c r="H50" s="19">
        <f>1.149*SQRT(2)*B50</f>
        <v>9.4085386336481616</v>
      </c>
      <c r="J50" s="1">
        <f>1.96*B50</f>
        <v>11.348624263759904</v>
      </c>
      <c r="K50" s="1">
        <f>1.645*B50</f>
        <v>9.524738221369919</v>
      </c>
      <c r="L50" s="1">
        <f>1.439*B50</f>
        <v>8.3319746507910715</v>
      </c>
      <c r="M50" s="1">
        <f>1.28*B50</f>
        <v>7.4113464579656512</v>
      </c>
      <c r="N50" s="19">
        <f>1.149*B50</f>
        <v>6.6528414689082291</v>
      </c>
    </row>
    <row r="51" spans="1:14" x14ac:dyDescent="0.25">
      <c r="A51" s="2" t="s">
        <v>53</v>
      </c>
      <c r="B51" s="1">
        <f>SQRT(K11+L11)</f>
        <v>97.832095065985371</v>
      </c>
      <c r="D51" s="1">
        <f t="shared" ref="D51:D52" si="86">1.96*SQRT(2)*B51</f>
        <v>271.17673232827332</v>
      </c>
      <c r="E51" s="1">
        <f t="shared" ref="E51:E52" si="87">1.645*SQRT(2)*B51</f>
        <v>227.59475748980083</v>
      </c>
      <c r="F51" s="1">
        <f t="shared" ref="F51:F52" si="88">1.439*SQRT(2)*B51</f>
        <v>199.09352950019661</v>
      </c>
      <c r="G51" s="1">
        <f t="shared" ref="G51:G52" si="89">1.28*SQRT(2)*B51</f>
        <v>177.09500886744382</v>
      </c>
      <c r="H51" s="19">
        <f t="shared" ref="H51:H52" si="90">1.149*SQRT(2)*B51</f>
        <v>158.97044155366635</v>
      </c>
      <c r="J51" s="1">
        <f t="shared" ref="J51:J52" si="91">1.96*B51</f>
        <v>191.75090632933131</v>
      </c>
      <c r="K51" s="1">
        <f t="shared" ref="K51:K52" si="92">1.645*B51</f>
        <v>160.93379638354594</v>
      </c>
      <c r="L51" s="1">
        <f t="shared" ref="L51:L52" si="93">1.439*B51</f>
        <v>140.78038479995294</v>
      </c>
      <c r="M51" s="1">
        <f t="shared" ref="M51:M52" si="94">1.28*B51</f>
        <v>125.22508168446127</v>
      </c>
      <c r="N51" s="19">
        <f t="shared" ref="N51:N52" si="95">1.149*B51</f>
        <v>112.40907723081719</v>
      </c>
    </row>
    <row r="52" spans="1:14" ht="14.4" x14ac:dyDescent="0.25">
      <c r="A52" s="3" t="s">
        <v>49</v>
      </c>
      <c r="B52" s="1">
        <f>SQRT(K12+L12)</f>
        <v>2.3424613123806335</v>
      </c>
      <c r="D52" s="1">
        <f t="shared" si="86"/>
        <v>6.4929714923138233</v>
      </c>
      <c r="E52" s="1">
        <f t="shared" si="87"/>
        <v>5.4494582167633876</v>
      </c>
      <c r="F52" s="1">
        <f t="shared" si="88"/>
        <v>4.7670336619589762</v>
      </c>
      <c r="G52" s="1">
        <f t="shared" si="89"/>
        <v>4.2403079133478032</v>
      </c>
      <c r="H52" s="19">
        <f t="shared" si="90"/>
        <v>3.8063389003411139</v>
      </c>
      <c r="J52" s="1">
        <f t="shared" si="91"/>
        <v>4.5912241722660418</v>
      </c>
      <c r="K52" s="1">
        <f t="shared" si="92"/>
        <v>3.8533488588661422</v>
      </c>
      <c r="L52" s="1">
        <f t="shared" si="93"/>
        <v>3.3708018285157317</v>
      </c>
      <c r="M52" s="1">
        <f t="shared" si="94"/>
        <v>2.9983504798472111</v>
      </c>
      <c r="N52" s="19">
        <f t="shared" si="95"/>
        <v>2.6914880479253478</v>
      </c>
    </row>
    <row r="53" spans="1:14" x14ac:dyDescent="0.2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25">
      <c r="A54" s="1" t="s">
        <v>42</v>
      </c>
      <c r="B54" s="1">
        <f>SQRT(K14+L14)</f>
        <v>12.072830032763651</v>
      </c>
      <c r="D54" s="1">
        <f t="shared" ref="D54" si="96">1.96*SQRT(2)*B54</f>
        <v>33.464177538376759</v>
      </c>
      <c r="E54" s="1">
        <f t="shared" ref="E54" si="97">1.645*SQRT(2)*B54</f>
        <v>28.086006148280497</v>
      </c>
      <c r="F54" s="1">
        <f t="shared" ref="F54" si="98">1.439*SQRT(2)*B54</f>
        <v>24.56885279475723</v>
      </c>
      <c r="G54" s="1">
        <f t="shared" ref="G54" si="99">1.28*SQRT(2)*B54</f>
        <v>21.854156759756258</v>
      </c>
      <c r="H54" s="19">
        <f t="shared" ref="H54" si="100">1.149*SQRT(2)*B54</f>
        <v>19.617520403874948</v>
      </c>
      <c r="J54" s="1">
        <f t="shared" ref="J54" si="101">1.96*B54</f>
        <v>23.662746864216757</v>
      </c>
      <c r="K54" s="1">
        <f t="shared" ref="K54" si="102">1.645*B54</f>
        <v>19.859805403896207</v>
      </c>
      <c r="L54" s="1">
        <f t="shared" ref="L54" si="103">1.439*B54</f>
        <v>17.372802417146893</v>
      </c>
      <c r="M54" s="1">
        <f t="shared" ref="M54" si="104">1.28*B54</f>
        <v>15.453222441937474</v>
      </c>
      <c r="N54" s="19">
        <f t="shared" ref="N54" si="105">1.149*B54</f>
        <v>13.871681707645436</v>
      </c>
    </row>
    <row r="56" spans="1:14" ht="40.5" customHeight="1" x14ac:dyDescent="0.25"/>
    <row r="57" spans="1:14" x14ac:dyDescent="0.25">
      <c r="B57" s="8" t="s">
        <v>34</v>
      </c>
    </row>
    <row r="60" spans="1:14" x14ac:dyDescent="0.25">
      <c r="B60" s="15"/>
      <c r="C60" s="15"/>
      <c r="D60" s="15"/>
      <c r="E60" s="15"/>
      <c r="F60" s="15"/>
      <c r="G60" s="15"/>
    </row>
    <row r="61" spans="1:14" x14ac:dyDescent="0.25">
      <c r="B61" s="14"/>
      <c r="C61" s="14"/>
      <c r="D61" s="14"/>
      <c r="E61" s="14"/>
      <c r="F61" s="14"/>
      <c r="G61" s="14"/>
    </row>
    <row r="62" spans="1:14" x14ac:dyDescent="0.25">
      <c r="B62" s="14"/>
      <c r="C62" s="14"/>
      <c r="D62" s="14"/>
      <c r="E62" s="14"/>
      <c r="F62" s="14"/>
      <c r="G62" s="14"/>
    </row>
    <row r="63" spans="1:14" x14ac:dyDescent="0.25">
      <c r="B63" s="14"/>
      <c r="C63" s="14"/>
      <c r="D63" s="14"/>
      <c r="E63" s="14"/>
      <c r="F63" s="14"/>
      <c r="G63" s="14"/>
      <c r="H63" s="14"/>
      <c r="I63" s="14"/>
    </row>
    <row r="65" spans="2:11" x14ac:dyDescent="0.25">
      <c r="F65" s="14"/>
      <c r="G65" s="14"/>
      <c r="H65" s="14"/>
      <c r="I65" s="14"/>
      <c r="J65" s="14"/>
      <c r="K65" s="14"/>
    </row>
    <row r="66" spans="2:11" x14ac:dyDescent="0.25">
      <c r="B66" s="15"/>
      <c r="C66" s="5"/>
      <c r="D66" s="5"/>
      <c r="E66" s="5"/>
      <c r="F66" s="14"/>
      <c r="G66" s="18"/>
      <c r="H66" s="14"/>
      <c r="I66" s="14"/>
      <c r="J66" s="14"/>
      <c r="K66" s="14"/>
    </row>
    <row r="67" spans="2:1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x14ac:dyDescent="0.25">
      <c r="D70" s="14"/>
      <c r="E70" s="14"/>
      <c r="F70" s="14"/>
      <c r="G70" s="14"/>
      <c r="H70" s="14"/>
      <c r="I70" s="14"/>
      <c r="J70" s="14"/>
      <c r="K70" s="14"/>
    </row>
    <row r="71" spans="2:11" x14ac:dyDescent="0.25">
      <c r="D71" s="14"/>
      <c r="E71" s="14"/>
    </row>
    <row r="72" spans="2:11" x14ac:dyDescent="0.25">
      <c r="D72" s="14"/>
      <c r="E72" s="14"/>
      <c r="F72" s="14"/>
      <c r="G72" s="14"/>
      <c r="H72" s="14"/>
    </row>
    <row r="73" spans="2:11" x14ac:dyDescent="0.25">
      <c r="D73" s="14"/>
      <c r="E73" s="14"/>
      <c r="F73" s="14"/>
      <c r="G73" s="14"/>
      <c r="H73" s="14"/>
    </row>
    <row r="74" spans="2:11" x14ac:dyDescent="0.25">
      <c r="D74" s="14"/>
      <c r="E74" s="14"/>
      <c r="F74" s="14"/>
      <c r="G74" s="14"/>
      <c r="H74" s="14"/>
    </row>
  </sheetData>
  <phoneticPr fontId="1" type="noConversion"/>
  <hyperlinks>
    <hyperlink ref="B57" r:id="rId1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Nickile Olthof</cp:lastModifiedBy>
  <dcterms:created xsi:type="dcterms:W3CDTF">2017-09-06T02:59:15Z</dcterms:created>
  <dcterms:modified xsi:type="dcterms:W3CDTF">2021-05-04T16:43:58Z</dcterms:modified>
</cp:coreProperties>
</file>