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nias\Desktop\PeerJ revision\"/>
    </mc:Choice>
  </mc:AlternateContent>
  <bookViews>
    <workbookView xWindow="0" yWindow="0" windowWidth="23040" windowHeight="9384"/>
  </bookViews>
  <sheets>
    <sheet name="MHC2" sheetId="1" r:id="rId1"/>
  </sheets>
  <calcPr calcId="152511"/>
</workbook>
</file>

<file path=xl/calcChain.xml><?xml version="1.0" encoding="utf-8"?>
<calcChain xmlns="http://schemas.openxmlformats.org/spreadsheetml/2006/main">
  <c r="C56" i="1" l="1"/>
  <c r="B56" i="1"/>
  <c r="E55" i="1"/>
  <c r="D55" i="1"/>
  <c r="AA54" i="1"/>
  <c r="Z54" i="1"/>
  <c r="AI53" i="1"/>
  <c r="AH53" i="1"/>
  <c r="AA52" i="1"/>
  <c r="Z52" i="1"/>
  <c r="C51" i="1"/>
  <c r="B51" i="1"/>
  <c r="AG50" i="1"/>
  <c r="AF50" i="1"/>
  <c r="AA49" i="1"/>
  <c r="Z49" i="1"/>
  <c r="AY48" i="1"/>
  <c r="AX48" i="1"/>
  <c r="Y47" i="1"/>
  <c r="X47" i="1"/>
  <c r="Y46" i="1"/>
  <c r="S46" i="1"/>
  <c r="X46" i="1"/>
  <c r="R46" i="1"/>
  <c r="AI45" i="1"/>
  <c r="AH45" i="1"/>
  <c r="W44" i="1"/>
  <c r="S44" i="1"/>
  <c r="V44" i="1"/>
  <c r="R44" i="1"/>
  <c r="AA43" i="1"/>
  <c r="Z43" i="1"/>
  <c r="AS42" i="1"/>
  <c r="AR42" i="1"/>
  <c r="AE41" i="1"/>
  <c r="AD41" i="1"/>
  <c r="AO40" i="1"/>
  <c r="AN40" i="1"/>
  <c r="AM39" i="1"/>
  <c r="AL39" i="1"/>
  <c r="C38" i="1"/>
  <c r="B38" i="1"/>
  <c r="AU37" i="1"/>
  <c r="AT37" i="1"/>
  <c r="AK36" i="1"/>
  <c r="AJ36" i="1"/>
  <c r="AQ35" i="1"/>
  <c r="AP35" i="1"/>
  <c r="AW34" i="1"/>
  <c r="AV34" i="1"/>
  <c r="AG33" i="1"/>
  <c r="AF33" i="1"/>
  <c r="Q32" i="1"/>
  <c r="P32" i="1"/>
  <c r="G31" i="1"/>
  <c r="F31" i="1"/>
  <c r="M30" i="1"/>
  <c r="L30" i="1"/>
  <c r="K29" i="1"/>
  <c r="J29" i="1"/>
  <c r="Q28" i="1"/>
  <c r="P28" i="1"/>
  <c r="W27" i="1"/>
  <c r="V27" i="1"/>
  <c r="AM26" i="1"/>
  <c r="U26" i="1"/>
  <c r="AL26" i="1"/>
  <c r="T26" i="1"/>
  <c r="AO25" i="1"/>
  <c r="AN25" i="1"/>
  <c r="AC24" i="1"/>
  <c r="AB24" i="1"/>
  <c r="AC23" i="1"/>
  <c r="Q23" i="1"/>
  <c r="AB23" i="1"/>
  <c r="P23" i="1"/>
  <c r="O22" i="1"/>
  <c r="N22" i="1"/>
  <c r="AS21" i="1"/>
  <c r="O21" i="1"/>
  <c r="I21" i="1"/>
  <c r="AR21" i="1"/>
  <c r="AR4" i="1" s="1"/>
  <c r="N21" i="1"/>
  <c r="H21" i="1"/>
  <c r="K20" i="1"/>
  <c r="J20" i="1"/>
  <c r="AU19" i="1"/>
  <c r="Y19" i="1"/>
  <c r="AT19" i="1"/>
  <c r="X19" i="1"/>
  <c r="AW18" i="1"/>
  <c r="AV18" i="1"/>
  <c r="AY17" i="1"/>
  <c r="AX17" i="1"/>
  <c r="M16" i="1"/>
  <c r="G16" i="1"/>
  <c r="L16" i="1"/>
  <c r="F16" i="1"/>
  <c r="AW15" i="1"/>
  <c r="C15" i="1"/>
  <c r="AV15" i="1"/>
  <c r="B15" i="1"/>
  <c r="AE14" i="1"/>
  <c r="AD14" i="1"/>
  <c r="AQ13" i="1"/>
  <c r="U13" i="1"/>
  <c r="I13" i="1"/>
  <c r="E13" i="1"/>
  <c r="AP13" i="1"/>
  <c r="T13" i="1"/>
  <c r="H13" i="1"/>
  <c r="D13" i="1"/>
  <c r="AY12" i="1"/>
  <c r="AX12" i="1"/>
  <c r="AK11" i="1"/>
  <c r="AJ11" i="1"/>
  <c r="AM10" i="1"/>
  <c r="AL10" i="1"/>
  <c r="W9" i="1"/>
  <c r="S9" i="1"/>
  <c r="M9" i="1"/>
  <c r="G9" i="1"/>
  <c r="V9" i="1"/>
  <c r="R9" i="1"/>
  <c r="L9" i="1"/>
  <c r="F9" i="1"/>
  <c r="AQ8" i="1"/>
  <c r="AK8" i="1"/>
  <c r="AI8" i="1"/>
  <c r="AE8" i="1"/>
  <c r="Y8" i="1"/>
  <c r="S8" i="1"/>
  <c r="AP8" i="1"/>
  <c r="AJ8" i="1"/>
  <c r="AH8" i="1"/>
  <c r="AD8" i="1"/>
  <c r="X8" i="1"/>
  <c r="R8" i="1"/>
  <c r="AO7" i="1"/>
  <c r="AK7" i="1"/>
  <c r="AC7" i="1"/>
  <c r="AA7" i="1"/>
  <c r="W7" i="1"/>
  <c r="U7" i="1"/>
  <c r="I7" i="1"/>
  <c r="AN7" i="1"/>
  <c r="AJ7" i="1"/>
  <c r="AB7" i="1"/>
  <c r="Z7" i="1"/>
  <c r="V7" i="1"/>
  <c r="T7" i="1"/>
  <c r="H7" i="1"/>
  <c r="AH4" i="1" l="1"/>
  <c r="O5" i="1"/>
  <c r="G5" i="1"/>
  <c r="G4" i="1"/>
  <c r="E5" i="1"/>
  <c r="AY5" i="1"/>
  <c r="T5" i="1"/>
  <c r="AJ4" i="1"/>
  <c r="AO4" i="1"/>
  <c r="R4" i="1"/>
  <c r="H4" i="1"/>
  <c r="F4" i="1"/>
  <c r="AT5" i="1"/>
  <c r="K5" i="1"/>
  <c r="AL4" i="1"/>
  <c r="AF4" i="1"/>
  <c r="J4" i="1"/>
  <c r="P4" i="1"/>
  <c r="U4" i="1"/>
  <c r="AX5" i="1"/>
  <c r="AT4" i="1"/>
  <c r="AF5" i="1"/>
  <c r="AL5" i="1"/>
  <c r="J5" i="1"/>
  <c r="N4" i="1"/>
  <c r="E4" i="1"/>
  <c r="AI5" i="1"/>
  <c r="D5" i="1"/>
  <c r="AW4" i="1"/>
  <c r="AS4" i="1"/>
  <c r="AB4" i="1"/>
  <c r="V4" i="1"/>
  <c r="AP4" i="1"/>
  <c r="Z4" i="1"/>
  <c r="Q5" i="1"/>
  <c r="AE5" i="1"/>
  <c r="AB5" i="1"/>
  <c r="AQ4" i="1"/>
  <c r="B5" i="1"/>
  <c r="AX4" i="1"/>
  <c r="AC4" i="1"/>
  <c r="AN4" i="1"/>
  <c r="B4" i="1"/>
  <c r="T4" i="1"/>
  <c r="AD4" i="1"/>
  <c r="N5" i="1"/>
  <c r="AH5" i="1"/>
  <c r="AQ5" i="1"/>
  <c r="AM5" i="1"/>
  <c r="AV4" i="1"/>
  <c r="W4" i="1"/>
  <c r="AC5" i="1"/>
  <c r="V5" i="1"/>
  <c r="I4" i="1"/>
  <c r="D4" i="1"/>
  <c r="Q4" i="1"/>
  <c r="AD5" i="1"/>
  <c r="M4" i="1"/>
  <c r="AU4" i="1"/>
  <c r="AU5" i="1"/>
  <c r="R5" i="1"/>
  <c r="AA4" i="1"/>
  <c r="AA5" i="1"/>
  <c r="AP5" i="1"/>
  <c r="AJ5" i="1"/>
  <c r="P5" i="1"/>
  <c r="AG5" i="1"/>
  <c r="AG4" i="1"/>
  <c r="AR5" i="1"/>
  <c r="Z5" i="1"/>
  <c r="AV5" i="1"/>
  <c r="F5" i="1"/>
  <c r="W5" i="1"/>
  <c r="H5" i="1"/>
  <c r="AK4" i="1"/>
  <c r="AN5" i="1"/>
  <c r="Y4" i="1"/>
  <c r="Y5" i="1"/>
  <c r="AY4" i="1"/>
  <c r="O4" i="1"/>
  <c r="S4" i="1"/>
  <c r="AK5" i="1"/>
  <c r="I5" i="1"/>
  <c r="AW5" i="1"/>
  <c r="AI4" i="1"/>
  <c r="C4" i="1"/>
  <c r="X4" i="1"/>
  <c r="AE4" i="1"/>
  <c r="AM4" i="1"/>
  <c r="L5" i="1"/>
  <c r="C5" i="1"/>
  <c r="S5" i="1"/>
  <c r="AO5" i="1"/>
  <c r="M5" i="1"/>
  <c r="U5" i="1"/>
  <c r="AS5" i="1"/>
  <c r="L4" i="1"/>
  <c r="K4" i="1"/>
  <c r="X5" i="1"/>
</calcChain>
</file>

<file path=xl/sharedStrings.xml><?xml version="1.0" encoding="utf-8"?>
<sst xmlns="http://schemas.openxmlformats.org/spreadsheetml/2006/main" count="105" uniqueCount="80">
  <si>
    <t>DEPTH_AMPLICON</t>
  </si>
  <si>
    <t>DEPTH_ALLELES</t>
  </si>
  <si>
    <t>COUNT_ALLELES</t>
  </si>
  <si>
    <t>MHC2-00001</t>
  </si>
  <si>
    <t>MHC2-00002</t>
  </si>
  <si>
    <t>MHC2-00003</t>
  </si>
  <si>
    <t>MHC2-00004</t>
  </si>
  <si>
    <t>MHC2-00005</t>
  </si>
  <si>
    <t>MHC2-00006</t>
  </si>
  <si>
    <t>MHC2-00007</t>
  </si>
  <si>
    <t>MHC2-00008</t>
  </si>
  <si>
    <t>MHC2-00009</t>
  </si>
  <si>
    <t>MHC2-00011</t>
  </si>
  <si>
    <t>MHC2-00010</t>
  </si>
  <si>
    <t>MHC2-00012</t>
  </si>
  <si>
    <t>MHC2-00014</t>
  </si>
  <si>
    <t>MHC2-00013</t>
  </si>
  <si>
    <t>MHC2-00015</t>
  </si>
  <si>
    <t>MHC2-00016</t>
  </si>
  <si>
    <t>MHC2-00017</t>
  </si>
  <si>
    <t>MHC2-00019</t>
  </si>
  <si>
    <t>MHC2-00018</t>
  </si>
  <si>
    <t>MHC2-00020</t>
  </si>
  <si>
    <t>MHC2-00022</t>
  </si>
  <si>
    <t>MHC2-00026</t>
  </si>
  <si>
    <t>MHC2-00030</t>
  </si>
  <si>
    <t>MHC2-00031</t>
  </si>
  <si>
    <t>MHC2-00035</t>
  </si>
  <si>
    <t>MHC2-00036</t>
  </si>
  <si>
    <t>MHC2-00041</t>
  </si>
  <si>
    <t>MHC2-00039</t>
  </si>
  <si>
    <t>MHC2-00034</t>
  </si>
  <si>
    <t>MHC2-00044</t>
  </si>
  <si>
    <t>MHC2-00048</t>
  </si>
  <si>
    <t>MHC2-00051</t>
  </si>
  <si>
    <t>MHC2-00049</t>
  </si>
  <si>
    <t>MHC2-00054</t>
  </si>
  <si>
    <t>MHC2-00058</t>
  </si>
  <si>
    <t>MHC2-00047</t>
  </si>
  <si>
    <t>MHC2-00059</t>
  </si>
  <si>
    <t>MHC2-00061</t>
  </si>
  <si>
    <t>MHC2-00060</t>
  </si>
  <si>
    <t>MHC2-00068</t>
  </si>
  <si>
    <t>MHC2-00067</t>
  </si>
  <si>
    <t>MHC2-00073</t>
  </si>
  <si>
    <t>MHC2-00074</t>
  </si>
  <si>
    <t>MHC2-00076</t>
  </si>
  <si>
    <t>MHC2-00078</t>
  </si>
  <si>
    <t>MHC2-00072</t>
  </si>
  <si>
    <t>MHC2-00091</t>
  </si>
  <si>
    <t>MHC2-00101</t>
  </si>
  <si>
    <t>MHC2-00112</t>
  </si>
  <si>
    <t>MHC2-00113</t>
  </si>
  <si>
    <t>BIRD_ID</t>
  </si>
  <si>
    <t>ID_1</t>
  </si>
  <si>
    <t>ID_2</t>
  </si>
  <si>
    <t>ID_3</t>
  </si>
  <si>
    <t>ID_4</t>
  </si>
  <si>
    <t>ID_5</t>
  </si>
  <si>
    <t>ID_6</t>
  </si>
  <si>
    <t>ID_7</t>
  </si>
  <si>
    <t>ID_8</t>
  </si>
  <si>
    <t>ID_9</t>
  </si>
  <si>
    <t>ID_10</t>
  </si>
  <si>
    <t>ID_11</t>
  </si>
  <si>
    <t>ID_12</t>
  </si>
  <si>
    <t>ID_13</t>
  </si>
  <si>
    <t>ID_14</t>
  </si>
  <si>
    <t>ID_15</t>
  </si>
  <si>
    <t>ID_16</t>
  </si>
  <si>
    <t>ID_17</t>
  </si>
  <si>
    <t>ID_18</t>
  </si>
  <si>
    <t>ID_19</t>
  </si>
  <si>
    <t>ID_20</t>
  </si>
  <si>
    <t>ID_21</t>
  </si>
  <si>
    <t>ID_22</t>
  </si>
  <si>
    <t>ID_23</t>
  </si>
  <si>
    <t>ID_24</t>
  </si>
  <si>
    <t>ID_25</t>
  </si>
  <si>
    <r>
      <t>Supplementary File 2.</t>
    </r>
    <r>
      <rPr>
        <sz val="11"/>
        <color theme="1"/>
        <rFont val="Calibri"/>
        <family val="2"/>
        <charset val="238"/>
        <scheme val="minor"/>
      </rPr>
      <t xml:space="preserve"> AmpliSAS results for techincal replicates, showing the number of Illumina reads per allele (after processing).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</si>
</sst>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abSelected="1" workbookViewId="0">
      <selection activeCell="A2" sqref="A2"/>
    </sheetView>
  </sheetViews>
  <sheetFormatPr defaultRowHeight="14.4" x14ac:dyDescent="0.3"/>
  <cols>
    <col min="1" max="1" width="17" style="1" bestFit="1" customWidth="1"/>
    <col min="2" max="51" width="8.88671875" style="3"/>
  </cols>
  <sheetData>
    <row r="1" spans="1:51" x14ac:dyDescent="0.3">
      <c r="A1" s="1" t="s">
        <v>79</v>
      </c>
    </row>
    <row r="3" spans="1:51" x14ac:dyDescent="0.3">
      <c r="A3" s="1" t="s">
        <v>0</v>
      </c>
      <c r="B3" s="3">
        <v>2173</v>
      </c>
      <c r="C3" s="3">
        <v>2388</v>
      </c>
      <c r="D3" s="3">
        <v>817</v>
      </c>
      <c r="E3" s="3">
        <v>670</v>
      </c>
      <c r="F3" s="3">
        <v>1994</v>
      </c>
      <c r="G3" s="3">
        <v>1869</v>
      </c>
      <c r="H3" s="3">
        <v>2774</v>
      </c>
      <c r="I3" s="3">
        <v>1344</v>
      </c>
      <c r="J3" s="3">
        <v>1490</v>
      </c>
      <c r="K3" s="3">
        <v>1439</v>
      </c>
      <c r="L3" s="3">
        <v>1468</v>
      </c>
      <c r="M3" s="3">
        <v>2658</v>
      </c>
      <c r="N3" s="3">
        <v>1235</v>
      </c>
      <c r="O3" s="3">
        <v>1599</v>
      </c>
      <c r="P3" s="3">
        <v>2101</v>
      </c>
      <c r="Q3" s="3">
        <v>2620</v>
      </c>
      <c r="R3" s="3">
        <v>1866</v>
      </c>
      <c r="S3" s="3">
        <v>1805</v>
      </c>
      <c r="T3" s="3">
        <v>2245</v>
      </c>
      <c r="U3" s="3">
        <v>2938</v>
      </c>
      <c r="V3" s="3">
        <v>2757</v>
      </c>
      <c r="W3" s="3">
        <v>2814</v>
      </c>
      <c r="X3" s="3">
        <v>2773</v>
      </c>
      <c r="Y3" s="3">
        <v>1427</v>
      </c>
      <c r="Z3" s="3">
        <v>2933</v>
      </c>
      <c r="AA3" s="3">
        <v>1280</v>
      </c>
      <c r="AB3" s="3">
        <v>2348</v>
      </c>
      <c r="AC3" s="3">
        <v>1036</v>
      </c>
      <c r="AD3" s="3">
        <v>3313</v>
      </c>
      <c r="AE3" s="3">
        <v>1710</v>
      </c>
      <c r="AF3" s="3">
        <v>1327</v>
      </c>
      <c r="AG3" s="3">
        <v>823</v>
      </c>
      <c r="AH3" s="3">
        <v>1531</v>
      </c>
      <c r="AI3" s="3">
        <v>895</v>
      </c>
      <c r="AJ3" s="3">
        <v>2200</v>
      </c>
      <c r="AK3" s="3">
        <v>1280</v>
      </c>
      <c r="AL3" s="3">
        <v>2770</v>
      </c>
      <c r="AM3" s="3">
        <v>1182</v>
      </c>
      <c r="AN3" s="3">
        <v>1936</v>
      </c>
      <c r="AO3" s="3">
        <v>923</v>
      </c>
      <c r="AP3" s="3">
        <v>1299</v>
      </c>
      <c r="AQ3" s="3">
        <v>1244</v>
      </c>
      <c r="AR3" s="3">
        <v>1916</v>
      </c>
      <c r="AS3" s="3">
        <v>1510</v>
      </c>
      <c r="AT3" s="3">
        <v>1739</v>
      </c>
      <c r="AU3" s="3">
        <v>1837</v>
      </c>
      <c r="AV3" s="3">
        <v>1632</v>
      </c>
      <c r="AW3" s="3">
        <v>1650</v>
      </c>
      <c r="AX3" s="3">
        <v>2479</v>
      </c>
      <c r="AY3" s="3">
        <v>1925</v>
      </c>
    </row>
    <row r="4" spans="1:51" x14ac:dyDescent="0.3">
      <c r="A4" s="1" t="s">
        <v>1</v>
      </c>
      <c r="B4" s="3">
        <f t="shared" ref="B4:AG4" si="0">SUM(B7:B56)</f>
        <v>1815</v>
      </c>
      <c r="C4" s="3">
        <f t="shared" si="0"/>
        <v>2108</v>
      </c>
      <c r="D4" s="3">
        <f t="shared" si="0"/>
        <v>529</v>
      </c>
      <c r="E4" s="3">
        <f t="shared" si="0"/>
        <v>463</v>
      </c>
      <c r="F4" s="3">
        <f t="shared" si="0"/>
        <v>1636</v>
      </c>
      <c r="G4" s="3">
        <f t="shared" si="0"/>
        <v>1612</v>
      </c>
      <c r="H4" s="3">
        <f t="shared" si="0"/>
        <v>2235</v>
      </c>
      <c r="I4" s="3">
        <f t="shared" si="0"/>
        <v>1084</v>
      </c>
      <c r="J4" s="3">
        <f t="shared" si="0"/>
        <v>1097</v>
      </c>
      <c r="K4" s="3">
        <f t="shared" si="0"/>
        <v>1194</v>
      </c>
      <c r="L4" s="3">
        <f t="shared" si="0"/>
        <v>1231</v>
      </c>
      <c r="M4" s="3">
        <f t="shared" si="0"/>
        <v>2335</v>
      </c>
      <c r="N4" s="3">
        <f t="shared" si="0"/>
        <v>897</v>
      </c>
      <c r="O4" s="3">
        <f t="shared" si="0"/>
        <v>1230</v>
      </c>
      <c r="P4" s="3">
        <f t="shared" si="0"/>
        <v>1769</v>
      </c>
      <c r="Q4" s="3">
        <f t="shared" si="0"/>
        <v>2134</v>
      </c>
      <c r="R4" s="3">
        <f t="shared" si="0"/>
        <v>1550</v>
      </c>
      <c r="S4" s="3">
        <f t="shared" si="0"/>
        <v>1374</v>
      </c>
      <c r="T4" s="3">
        <f t="shared" si="0"/>
        <v>1863</v>
      </c>
      <c r="U4" s="3">
        <f t="shared" si="0"/>
        <v>2497</v>
      </c>
      <c r="V4" s="3">
        <f t="shared" si="0"/>
        <v>2310</v>
      </c>
      <c r="W4" s="3">
        <f t="shared" si="0"/>
        <v>2368</v>
      </c>
      <c r="X4" s="3">
        <f t="shared" si="0"/>
        <v>2179</v>
      </c>
      <c r="Y4" s="3">
        <f t="shared" si="0"/>
        <v>1170</v>
      </c>
      <c r="Z4" s="3">
        <f t="shared" si="0"/>
        <v>2437</v>
      </c>
      <c r="AA4" s="3">
        <f t="shared" si="0"/>
        <v>1137</v>
      </c>
      <c r="AB4" s="3">
        <f t="shared" si="0"/>
        <v>1810</v>
      </c>
      <c r="AC4" s="3">
        <f t="shared" si="0"/>
        <v>817</v>
      </c>
      <c r="AD4" s="3">
        <f t="shared" si="0"/>
        <v>2745</v>
      </c>
      <c r="AE4" s="3">
        <f t="shared" si="0"/>
        <v>1389</v>
      </c>
      <c r="AF4" s="3">
        <f t="shared" si="0"/>
        <v>939</v>
      </c>
      <c r="AG4" s="3">
        <f t="shared" si="0"/>
        <v>589</v>
      </c>
      <c r="AH4" s="3">
        <f t="shared" ref="AH4:AY4" si="1">SUM(AH7:AH56)</f>
        <v>1278</v>
      </c>
      <c r="AI4" s="3">
        <f t="shared" si="1"/>
        <v>724</v>
      </c>
      <c r="AJ4" s="3">
        <f t="shared" si="1"/>
        <v>1882</v>
      </c>
      <c r="AK4" s="3">
        <f t="shared" si="1"/>
        <v>1121</v>
      </c>
      <c r="AL4" s="3">
        <f t="shared" si="1"/>
        <v>2212</v>
      </c>
      <c r="AM4" s="3">
        <f t="shared" si="1"/>
        <v>1002</v>
      </c>
      <c r="AN4" s="3">
        <f t="shared" si="1"/>
        <v>1595</v>
      </c>
      <c r="AO4" s="3">
        <f t="shared" si="1"/>
        <v>779</v>
      </c>
      <c r="AP4" s="3">
        <f t="shared" si="1"/>
        <v>1073</v>
      </c>
      <c r="AQ4" s="3">
        <f t="shared" si="1"/>
        <v>999</v>
      </c>
      <c r="AR4" s="3">
        <f t="shared" si="1"/>
        <v>1592</v>
      </c>
      <c r="AS4" s="3">
        <f t="shared" si="1"/>
        <v>1252</v>
      </c>
      <c r="AT4" s="3">
        <f t="shared" si="1"/>
        <v>1377</v>
      </c>
      <c r="AU4" s="3">
        <f t="shared" si="1"/>
        <v>1422</v>
      </c>
      <c r="AV4" s="3">
        <f t="shared" si="1"/>
        <v>1362</v>
      </c>
      <c r="AW4" s="3">
        <f t="shared" si="1"/>
        <v>1352</v>
      </c>
      <c r="AX4" s="3">
        <f t="shared" si="1"/>
        <v>2097</v>
      </c>
      <c r="AY4" s="3">
        <f t="shared" si="1"/>
        <v>1624</v>
      </c>
    </row>
    <row r="5" spans="1:51" x14ac:dyDescent="0.3">
      <c r="A5" s="1" t="s">
        <v>2</v>
      </c>
      <c r="B5" s="3">
        <f t="shared" ref="B5:AG5" si="2">COUNT(B7:B56)</f>
        <v>4</v>
      </c>
      <c r="C5" s="3">
        <f t="shared" si="2"/>
        <v>4</v>
      </c>
      <c r="D5" s="3">
        <f t="shared" si="2"/>
        <v>2</v>
      </c>
      <c r="E5" s="3">
        <f t="shared" si="2"/>
        <v>2</v>
      </c>
      <c r="F5" s="3">
        <f t="shared" si="2"/>
        <v>3</v>
      </c>
      <c r="G5" s="3">
        <f t="shared" si="2"/>
        <v>3</v>
      </c>
      <c r="H5" s="3">
        <f t="shared" si="2"/>
        <v>3</v>
      </c>
      <c r="I5" s="3">
        <f t="shared" si="2"/>
        <v>3</v>
      </c>
      <c r="J5" s="3">
        <f t="shared" si="2"/>
        <v>2</v>
      </c>
      <c r="K5" s="3">
        <f t="shared" si="2"/>
        <v>2</v>
      </c>
      <c r="L5" s="3">
        <f t="shared" si="2"/>
        <v>3</v>
      </c>
      <c r="M5" s="3">
        <f t="shared" si="2"/>
        <v>3</v>
      </c>
      <c r="N5" s="3">
        <f t="shared" si="2"/>
        <v>2</v>
      </c>
      <c r="O5" s="3">
        <f t="shared" si="2"/>
        <v>2</v>
      </c>
      <c r="P5" s="3">
        <f t="shared" si="2"/>
        <v>3</v>
      </c>
      <c r="Q5" s="3">
        <f t="shared" si="2"/>
        <v>3</v>
      </c>
      <c r="R5" s="3">
        <f t="shared" si="2"/>
        <v>4</v>
      </c>
      <c r="S5" s="3">
        <f t="shared" si="2"/>
        <v>4</v>
      </c>
      <c r="T5" s="3">
        <f t="shared" si="2"/>
        <v>3</v>
      </c>
      <c r="U5" s="3">
        <f t="shared" si="2"/>
        <v>3</v>
      </c>
      <c r="V5" s="3">
        <f t="shared" si="2"/>
        <v>4</v>
      </c>
      <c r="W5" s="3">
        <f t="shared" si="2"/>
        <v>4</v>
      </c>
      <c r="X5" s="3">
        <f t="shared" si="2"/>
        <v>4</v>
      </c>
      <c r="Y5" s="3">
        <f t="shared" si="2"/>
        <v>4</v>
      </c>
      <c r="Z5" s="3">
        <f t="shared" si="2"/>
        <v>5</v>
      </c>
      <c r="AA5" s="3">
        <f t="shared" si="2"/>
        <v>5</v>
      </c>
      <c r="AB5" s="3">
        <f t="shared" si="2"/>
        <v>3</v>
      </c>
      <c r="AC5" s="3">
        <f t="shared" si="2"/>
        <v>3</v>
      </c>
      <c r="AD5" s="3">
        <f t="shared" si="2"/>
        <v>3</v>
      </c>
      <c r="AE5" s="3">
        <f t="shared" si="2"/>
        <v>3</v>
      </c>
      <c r="AF5" s="3">
        <f t="shared" si="2"/>
        <v>2</v>
      </c>
      <c r="AG5" s="3">
        <f t="shared" si="2"/>
        <v>2</v>
      </c>
      <c r="AH5" s="3">
        <f t="shared" ref="AH5:AY5" si="3">COUNT(AH7:AH56)</f>
        <v>3</v>
      </c>
      <c r="AI5" s="3">
        <f t="shared" si="3"/>
        <v>3</v>
      </c>
      <c r="AJ5" s="3">
        <f t="shared" si="3"/>
        <v>4</v>
      </c>
      <c r="AK5" s="3">
        <f t="shared" si="3"/>
        <v>4</v>
      </c>
      <c r="AL5" s="3">
        <f t="shared" si="3"/>
        <v>3</v>
      </c>
      <c r="AM5" s="3">
        <f t="shared" si="3"/>
        <v>3</v>
      </c>
      <c r="AN5" s="3">
        <f t="shared" si="3"/>
        <v>3</v>
      </c>
      <c r="AO5" s="3">
        <f t="shared" si="3"/>
        <v>3</v>
      </c>
      <c r="AP5" s="3">
        <f t="shared" si="3"/>
        <v>3</v>
      </c>
      <c r="AQ5" s="3">
        <f t="shared" si="3"/>
        <v>3</v>
      </c>
      <c r="AR5" s="3">
        <f t="shared" si="3"/>
        <v>2</v>
      </c>
      <c r="AS5" s="3">
        <f t="shared" si="3"/>
        <v>2</v>
      </c>
      <c r="AT5" s="3">
        <f t="shared" si="3"/>
        <v>2</v>
      </c>
      <c r="AU5" s="3">
        <f t="shared" si="3"/>
        <v>2</v>
      </c>
      <c r="AV5" s="3">
        <f t="shared" si="3"/>
        <v>3</v>
      </c>
      <c r="AW5" s="3">
        <f t="shared" si="3"/>
        <v>3</v>
      </c>
      <c r="AX5" s="3">
        <f t="shared" si="3"/>
        <v>3</v>
      </c>
      <c r="AY5" s="3">
        <f t="shared" si="3"/>
        <v>3</v>
      </c>
    </row>
    <row r="6" spans="1:51" s="2" customFormat="1" x14ac:dyDescent="0.3">
      <c r="A6" s="2" t="s">
        <v>53</v>
      </c>
      <c r="B6" s="4" t="s">
        <v>54</v>
      </c>
      <c r="C6" s="4" t="s">
        <v>54</v>
      </c>
      <c r="D6" s="4" t="s">
        <v>55</v>
      </c>
      <c r="E6" s="4" t="s">
        <v>55</v>
      </c>
      <c r="F6" s="4" t="s">
        <v>56</v>
      </c>
      <c r="G6" s="4" t="s">
        <v>56</v>
      </c>
      <c r="H6" s="4" t="s">
        <v>57</v>
      </c>
      <c r="I6" s="4" t="s">
        <v>57</v>
      </c>
      <c r="J6" s="4" t="s">
        <v>58</v>
      </c>
      <c r="K6" s="4" t="s">
        <v>58</v>
      </c>
      <c r="L6" s="4" t="s">
        <v>59</v>
      </c>
      <c r="M6" s="4" t="s">
        <v>59</v>
      </c>
      <c r="N6" s="4" t="s">
        <v>60</v>
      </c>
      <c r="O6" s="4" t="s">
        <v>60</v>
      </c>
      <c r="P6" s="4" t="s">
        <v>61</v>
      </c>
      <c r="Q6" s="4" t="s">
        <v>61</v>
      </c>
      <c r="R6" s="4" t="s">
        <v>62</v>
      </c>
      <c r="S6" s="4" t="s">
        <v>62</v>
      </c>
      <c r="T6" s="4" t="s">
        <v>63</v>
      </c>
      <c r="U6" s="4" t="s">
        <v>63</v>
      </c>
      <c r="V6" s="4" t="s">
        <v>64</v>
      </c>
      <c r="W6" s="4" t="s">
        <v>64</v>
      </c>
      <c r="X6" s="4" t="s">
        <v>65</v>
      </c>
      <c r="Y6" s="4" t="s">
        <v>65</v>
      </c>
      <c r="Z6" s="4" t="s">
        <v>66</v>
      </c>
      <c r="AA6" s="4" t="s">
        <v>66</v>
      </c>
      <c r="AB6" s="4" t="s">
        <v>67</v>
      </c>
      <c r="AC6" s="4" t="s">
        <v>67</v>
      </c>
      <c r="AD6" s="4" t="s">
        <v>68</v>
      </c>
      <c r="AE6" s="4" t="s">
        <v>68</v>
      </c>
      <c r="AF6" s="4" t="s">
        <v>69</v>
      </c>
      <c r="AG6" s="4" t="s">
        <v>69</v>
      </c>
      <c r="AH6" s="4" t="s">
        <v>70</v>
      </c>
      <c r="AI6" s="4" t="s">
        <v>70</v>
      </c>
      <c r="AJ6" s="4" t="s">
        <v>71</v>
      </c>
      <c r="AK6" s="4" t="s">
        <v>71</v>
      </c>
      <c r="AL6" s="4" t="s">
        <v>72</v>
      </c>
      <c r="AM6" s="4" t="s">
        <v>72</v>
      </c>
      <c r="AN6" s="4" t="s">
        <v>73</v>
      </c>
      <c r="AO6" s="4" t="s">
        <v>73</v>
      </c>
      <c r="AP6" s="4" t="s">
        <v>74</v>
      </c>
      <c r="AQ6" s="4" t="s">
        <v>74</v>
      </c>
      <c r="AR6" s="4" t="s">
        <v>75</v>
      </c>
      <c r="AS6" s="4" t="s">
        <v>75</v>
      </c>
      <c r="AT6" s="4" t="s">
        <v>76</v>
      </c>
      <c r="AU6" s="4" t="s">
        <v>76</v>
      </c>
      <c r="AV6" s="4" t="s">
        <v>77</v>
      </c>
      <c r="AW6" s="4" t="s">
        <v>77</v>
      </c>
      <c r="AX6" s="4" t="s">
        <v>78</v>
      </c>
      <c r="AY6" s="4" t="s">
        <v>78</v>
      </c>
    </row>
    <row r="7" spans="1:51" x14ac:dyDescent="0.3">
      <c r="A7" s="1" t="s">
        <v>3</v>
      </c>
      <c r="H7" s="3">
        <f>532+252</f>
        <v>784</v>
      </c>
      <c r="I7" s="3">
        <f>276+136</f>
        <v>412</v>
      </c>
      <c r="T7" s="3">
        <f>444+236</f>
        <v>680</v>
      </c>
      <c r="U7" s="3">
        <f>621+273</f>
        <v>894</v>
      </c>
      <c r="V7" s="3">
        <f>442+216</f>
        <v>658</v>
      </c>
      <c r="W7" s="3">
        <f>468+235</f>
        <v>703</v>
      </c>
      <c r="Z7" s="3">
        <f>352+123</f>
        <v>475</v>
      </c>
      <c r="AA7" s="3">
        <f>140+59</f>
        <v>199</v>
      </c>
      <c r="AB7" s="3">
        <f>400+203</f>
        <v>603</v>
      </c>
      <c r="AC7" s="3">
        <f>218+81</f>
        <v>299</v>
      </c>
      <c r="AJ7" s="3">
        <f>287+158</f>
        <v>445</v>
      </c>
      <c r="AK7" s="3">
        <f>201+78</f>
        <v>279</v>
      </c>
      <c r="AN7" s="3">
        <f>376+218</f>
        <v>594</v>
      </c>
      <c r="AO7" s="3">
        <f>176+88</f>
        <v>264</v>
      </c>
    </row>
    <row r="8" spans="1:51" x14ac:dyDescent="0.3">
      <c r="A8" s="1" t="s">
        <v>4</v>
      </c>
      <c r="R8" s="3">
        <f>356+151</f>
        <v>507</v>
      </c>
      <c r="S8" s="3">
        <f>380+170</f>
        <v>550</v>
      </c>
      <c r="X8" s="3">
        <f>446+181</f>
        <v>627</v>
      </c>
      <c r="Y8" s="3">
        <f>245+101</f>
        <v>346</v>
      </c>
      <c r="AD8" s="3">
        <f>696+365</f>
        <v>1061</v>
      </c>
      <c r="AE8" s="3">
        <f>399+176</f>
        <v>575</v>
      </c>
      <c r="AH8" s="3">
        <f>308+156</f>
        <v>464</v>
      </c>
      <c r="AI8" s="3">
        <f>168+90</f>
        <v>258</v>
      </c>
      <c r="AJ8" s="3">
        <f>316+124</f>
        <v>440</v>
      </c>
      <c r="AK8" s="3">
        <f>189+90</f>
        <v>279</v>
      </c>
      <c r="AP8" s="3">
        <f>234+144</f>
        <v>378</v>
      </c>
      <c r="AQ8" s="3">
        <f>233+94</f>
        <v>327</v>
      </c>
    </row>
    <row r="9" spans="1:51" x14ac:dyDescent="0.3">
      <c r="A9" s="1" t="s">
        <v>5</v>
      </c>
      <c r="F9" s="3">
        <f>336+158</f>
        <v>494</v>
      </c>
      <c r="G9" s="3">
        <f>334+184</f>
        <v>518</v>
      </c>
      <c r="L9" s="3">
        <f>252+99</f>
        <v>351</v>
      </c>
      <c r="M9" s="3">
        <f>480+229</f>
        <v>709</v>
      </c>
      <c r="R9" s="3">
        <f>317+137</f>
        <v>454</v>
      </c>
      <c r="S9" s="3">
        <f>308+165</f>
        <v>473</v>
      </c>
      <c r="V9" s="3">
        <f>417+174</f>
        <v>591</v>
      </c>
      <c r="W9" s="3">
        <f>461+245</f>
        <v>706</v>
      </c>
    </row>
    <row r="10" spans="1:51" x14ac:dyDescent="0.3">
      <c r="A10" s="1" t="s">
        <v>6</v>
      </c>
      <c r="AL10" s="3">
        <f>502+256</f>
        <v>758</v>
      </c>
      <c r="AM10" s="3">
        <f>235+113</f>
        <v>348</v>
      </c>
    </row>
    <row r="11" spans="1:51" x14ac:dyDescent="0.3">
      <c r="A11" s="1" t="s">
        <v>7</v>
      </c>
      <c r="AJ11" s="3">
        <f>340+157</f>
        <v>497</v>
      </c>
      <c r="AK11" s="3">
        <f>186+82</f>
        <v>268</v>
      </c>
    </row>
    <row r="12" spans="1:51" x14ac:dyDescent="0.3">
      <c r="A12" s="1" t="s">
        <v>8</v>
      </c>
      <c r="AX12" s="3">
        <f>531+268</f>
        <v>799</v>
      </c>
      <c r="AY12" s="3">
        <f>459+248</f>
        <v>707</v>
      </c>
    </row>
    <row r="13" spans="1:51" x14ac:dyDescent="0.3">
      <c r="A13" s="1" t="s">
        <v>9</v>
      </c>
      <c r="D13" s="3">
        <f>178+86</f>
        <v>264</v>
      </c>
      <c r="E13" s="3">
        <f>193+79</f>
        <v>272</v>
      </c>
      <c r="H13" s="3">
        <f>598+268</f>
        <v>866</v>
      </c>
      <c r="I13" s="3">
        <f>252+120</f>
        <v>372</v>
      </c>
      <c r="T13" s="3">
        <f>431+164</f>
        <v>595</v>
      </c>
      <c r="U13" s="3">
        <f>627+315</f>
        <v>942</v>
      </c>
      <c r="AP13" s="3">
        <f>277+100</f>
        <v>377</v>
      </c>
      <c r="AQ13" s="3">
        <f>273+100</f>
        <v>373</v>
      </c>
    </row>
    <row r="14" spans="1:51" x14ac:dyDescent="0.3">
      <c r="A14" s="1" t="s">
        <v>10</v>
      </c>
      <c r="AD14" s="3">
        <f>577+312</f>
        <v>889</v>
      </c>
      <c r="AE14" s="3">
        <f>273+132</f>
        <v>405</v>
      </c>
    </row>
    <row r="15" spans="1:51" x14ac:dyDescent="0.3">
      <c r="A15" s="1" t="s">
        <v>11</v>
      </c>
      <c r="B15" s="3">
        <f>317+109</f>
        <v>426</v>
      </c>
      <c r="C15" s="3">
        <f>351+164</f>
        <v>515</v>
      </c>
      <c r="AV15" s="3">
        <f>304+130</f>
        <v>434</v>
      </c>
      <c r="AW15" s="3">
        <f>294+127</f>
        <v>421</v>
      </c>
    </row>
    <row r="16" spans="1:51" x14ac:dyDescent="0.3">
      <c r="A16" s="1" t="s">
        <v>12</v>
      </c>
      <c r="F16" s="3">
        <f>400+183</f>
        <v>583</v>
      </c>
      <c r="G16" s="3">
        <f>405+182</f>
        <v>587</v>
      </c>
      <c r="L16" s="3">
        <f>359+134</f>
        <v>493</v>
      </c>
      <c r="M16" s="3">
        <f>588+271</f>
        <v>859</v>
      </c>
    </row>
    <row r="17" spans="1:51" x14ac:dyDescent="0.3">
      <c r="A17" s="1" t="s">
        <v>13</v>
      </c>
      <c r="AX17" s="3">
        <f>455+216</f>
        <v>671</v>
      </c>
      <c r="AY17" s="3">
        <f>348+145</f>
        <v>493</v>
      </c>
    </row>
    <row r="18" spans="1:51" x14ac:dyDescent="0.3">
      <c r="A18" s="1" t="s">
        <v>14</v>
      </c>
      <c r="AV18" s="3">
        <f>331+129</f>
        <v>460</v>
      </c>
      <c r="AW18" s="3">
        <f>328+170</f>
        <v>498</v>
      </c>
    </row>
    <row r="19" spans="1:51" x14ac:dyDescent="0.3">
      <c r="A19" s="1" t="s">
        <v>15</v>
      </c>
      <c r="X19" s="3">
        <f>508+222</f>
        <v>730</v>
      </c>
      <c r="Y19" s="3">
        <f>314+129</f>
        <v>443</v>
      </c>
      <c r="AT19" s="3">
        <f>587+225</f>
        <v>812</v>
      </c>
      <c r="AU19" s="3">
        <f>598+246</f>
        <v>844</v>
      </c>
    </row>
    <row r="20" spans="1:51" x14ac:dyDescent="0.3">
      <c r="A20" s="1" t="s">
        <v>16</v>
      </c>
      <c r="J20" s="3">
        <f>363+153</f>
        <v>516</v>
      </c>
      <c r="K20" s="3">
        <f>403+164</f>
        <v>567</v>
      </c>
    </row>
    <row r="21" spans="1:51" x14ac:dyDescent="0.3">
      <c r="A21" s="1" t="s">
        <v>17</v>
      </c>
      <c r="H21" s="3">
        <f>405+180</f>
        <v>585</v>
      </c>
      <c r="I21" s="3">
        <f>217+83</f>
        <v>300</v>
      </c>
      <c r="N21" s="3">
        <f>284+124</f>
        <v>408</v>
      </c>
      <c r="O21" s="3">
        <f>370+216</f>
        <v>586</v>
      </c>
      <c r="AR21" s="3">
        <f>589+276</f>
        <v>865</v>
      </c>
      <c r="AS21" s="3">
        <f>448+183</f>
        <v>631</v>
      </c>
    </row>
    <row r="22" spans="1:51" x14ac:dyDescent="0.3">
      <c r="A22" s="1" t="s">
        <v>18</v>
      </c>
      <c r="N22" s="3">
        <f>317+172</f>
        <v>489</v>
      </c>
      <c r="O22" s="3">
        <f>428+216</f>
        <v>644</v>
      </c>
    </row>
    <row r="23" spans="1:51" x14ac:dyDescent="0.3">
      <c r="A23" s="1" t="s">
        <v>19</v>
      </c>
      <c r="P23" s="3">
        <f>369+176</f>
        <v>545</v>
      </c>
      <c r="Q23" s="3">
        <f>459+210</f>
        <v>669</v>
      </c>
      <c r="AB23" s="3">
        <f>369+195</f>
        <v>564</v>
      </c>
      <c r="AC23" s="3">
        <f>176+84</f>
        <v>260</v>
      </c>
    </row>
    <row r="24" spans="1:51" x14ac:dyDescent="0.3">
      <c r="A24" s="1" t="s">
        <v>20</v>
      </c>
      <c r="AB24" s="3">
        <f>437+206</f>
        <v>643</v>
      </c>
      <c r="AC24" s="3">
        <f>182+76</f>
        <v>258</v>
      </c>
    </row>
    <row r="25" spans="1:51" x14ac:dyDescent="0.3">
      <c r="A25" s="1" t="s">
        <v>21</v>
      </c>
      <c r="AN25" s="3">
        <f>358+177</f>
        <v>535</v>
      </c>
      <c r="AO25" s="3">
        <f>201+71</f>
        <v>272</v>
      </c>
    </row>
    <row r="26" spans="1:51" x14ac:dyDescent="0.3">
      <c r="A26" s="1" t="s">
        <v>22</v>
      </c>
      <c r="T26" s="3">
        <f>426+162</f>
        <v>588</v>
      </c>
      <c r="U26" s="3">
        <f>452+209</f>
        <v>661</v>
      </c>
      <c r="AL26" s="3">
        <f>416+206</f>
        <v>622</v>
      </c>
      <c r="AM26" s="3">
        <f>210+91</f>
        <v>301</v>
      </c>
    </row>
    <row r="27" spans="1:51" x14ac:dyDescent="0.3">
      <c r="A27" s="1" t="s">
        <v>23</v>
      </c>
      <c r="V27" s="3">
        <f>552+241</f>
        <v>793</v>
      </c>
      <c r="W27" s="3">
        <f>495+209</f>
        <v>704</v>
      </c>
    </row>
    <row r="28" spans="1:51" x14ac:dyDescent="0.3">
      <c r="A28" s="1" t="s">
        <v>24</v>
      </c>
      <c r="P28" s="3">
        <f>470+224</f>
        <v>694</v>
      </c>
      <c r="Q28" s="3">
        <f>536+261</f>
        <v>797</v>
      </c>
    </row>
    <row r="29" spans="1:51" x14ac:dyDescent="0.3">
      <c r="A29" s="1" t="s">
        <v>25</v>
      </c>
      <c r="J29" s="3">
        <f>386+195</f>
        <v>581</v>
      </c>
      <c r="K29" s="3">
        <f>430+197</f>
        <v>627</v>
      </c>
    </row>
    <row r="30" spans="1:51" x14ac:dyDescent="0.3">
      <c r="A30" s="1" t="s">
        <v>26</v>
      </c>
      <c r="L30" s="3">
        <f>270+117</f>
        <v>387</v>
      </c>
      <c r="M30" s="3">
        <f>524+243</f>
        <v>767</v>
      </c>
    </row>
    <row r="31" spans="1:51" x14ac:dyDescent="0.3">
      <c r="A31" s="1" t="s">
        <v>27</v>
      </c>
      <c r="F31" s="3">
        <f>363+196</f>
        <v>559</v>
      </c>
      <c r="G31" s="3">
        <f>352+155</f>
        <v>507</v>
      </c>
    </row>
    <row r="32" spans="1:51" x14ac:dyDescent="0.3">
      <c r="A32" s="1" t="s">
        <v>28</v>
      </c>
      <c r="P32" s="3">
        <f>379+151</f>
        <v>530</v>
      </c>
      <c r="Q32" s="3">
        <f>456+212</f>
        <v>668</v>
      </c>
    </row>
    <row r="33" spans="1:51" x14ac:dyDescent="0.3">
      <c r="A33" s="1" t="s">
        <v>29</v>
      </c>
      <c r="AF33" s="3">
        <f>342+178</f>
        <v>520</v>
      </c>
      <c r="AG33" s="3">
        <f>198+109</f>
        <v>307</v>
      </c>
    </row>
    <row r="34" spans="1:51" x14ac:dyDescent="0.3">
      <c r="A34" s="1" t="s">
        <v>30</v>
      </c>
      <c r="AV34" s="3">
        <f>307+161</f>
        <v>468</v>
      </c>
      <c r="AW34" s="3">
        <f>306+127</f>
        <v>433</v>
      </c>
    </row>
    <row r="35" spans="1:51" x14ac:dyDescent="0.3">
      <c r="A35" s="1" t="s">
        <v>31</v>
      </c>
      <c r="AP35" s="3">
        <f>228+90</f>
        <v>318</v>
      </c>
      <c r="AQ35" s="3">
        <f>224+75</f>
        <v>299</v>
      </c>
    </row>
    <row r="36" spans="1:51" x14ac:dyDescent="0.3">
      <c r="A36" s="1" t="s">
        <v>32</v>
      </c>
      <c r="AJ36" s="3">
        <f>326+174</f>
        <v>500</v>
      </c>
      <c r="AK36" s="3">
        <f>196+99</f>
        <v>295</v>
      </c>
    </row>
    <row r="37" spans="1:51" x14ac:dyDescent="0.3">
      <c r="A37" s="1" t="s">
        <v>33</v>
      </c>
      <c r="AT37" s="3">
        <f>370+195</f>
        <v>565</v>
      </c>
      <c r="AU37" s="3">
        <f>384+194</f>
        <v>578</v>
      </c>
    </row>
    <row r="38" spans="1:51" x14ac:dyDescent="0.3">
      <c r="A38" s="1" t="s">
        <v>34</v>
      </c>
      <c r="B38" s="3">
        <f>497+290</f>
        <v>787</v>
      </c>
      <c r="C38" s="3">
        <f>535+272</f>
        <v>807</v>
      </c>
    </row>
    <row r="39" spans="1:51" x14ac:dyDescent="0.3">
      <c r="A39" s="1" t="s">
        <v>35</v>
      </c>
      <c r="AL39" s="3">
        <f>566+266</f>
        <v>832</v>
      </c>
      <c r="AM39" s="3">
        <f>256+97</f>
        <v>353</v>
      </c>
    </row>
    <row r="40" spans="1:51" x14ac:dyDescent="0.3">
      <c r="A40" s="1" t="s">
        <v>36</v>
      </c>
      <c r="AN40" s="3">
        <f>312+154</f>
        <v>466</v>
      </c>
      <c r="AO40" s="3">
        <f>159+84</f>
        <v>243</v>
      </c>
    </row>
    <row r="41" spans="1:51" x14ac:dyDescent="0.3">
      <c r="A41" s="1" t="s">
        <v>37</v>
      </c>
      <c r="AD41" s="3">
        <f>543+252</f>
        <v>795</v>
      </c>
      <c r="AE41" s="3">
        <f>290+119</f>
        <v>409</v>
      </c>
    </row>
    <row r="42" spans="1:51" x14ac:dyDescent="0.3">
      <c r="A42" s="1" t="s">
        <v>38</v>
      </c>
      <c r="AR42" s="3">
        <f>492+235</f>
        <v>727</v>
      </c>
      <c r="AS42" s="3">
        <f>442+179</f>
        <v>621</v>
      </c>
    </row>
    <row r="43" spans="1:51" x14ac:dyDescent="0.3">
      <c r="A43" s="1" t="s">
        <v>39</v>
      </c>
      <c r="Z43" s="3">
        <f>330+164</f>
        <v>494</v>
      </c>
      <c r="AA43" s="3">
        <f>143+69</f>
        <v>212</v>
      </c>
    </row>
    <row r="44" spans="1:51" x14ac:dyDescent="0.3">
      <c r="A44" s="1" t="s">
        <v>40</v>
      </c>
      <c r="R44" s="3">
        <f>210+78</f>
        <v>288</v>
      </c>
      <c r="S44" s="3">
        <f>129+37</f>
        <v>166</v>
      </c>
      <c r="V44" s="3">
        <f>185+83</f>
        <v>268</v>
      </c>
      <c r="W44" s="3">
        <f>169+86</f>
        <v>255</v>
      </c>
    </row>
    <row r="45" spans="1:51" x14ac:dyDescent="0.3">
      <c r="A45" s="1" t="s">
        <v>41</v>
      </c>
      <c r="AH45" s="3">
        <f>255+112</f>
        <v>367</v>
      </c>
      <c r="AI45" s="3">
        <f>154+66</f>
        <v>220</v>
      </c>
    </row>
    <row r="46" spans="1:51" x14ac:dyDescent="0.3">
      <c r="A46" s="1" t="s">
        <v>42</v>
      </c>
      <c r="R46" s="3">
        <f>207+94</f>
        <v>301</v>
      </c>
      <c r="S46" s="3">
        <f>129+56</f>
        <v>185</v>
      </c>
      <c r="X46" s="3">
        <f>175+75</f>
        <v>250</v>
      </c>
      <c r="Y46" s="3">
        <f>58+13</f>
        <v>71</v>
      </c>
    </row>
    <row r="47" spans="1:51" x14ac:dyDescent="0.3">
      <c r="A47" s="1" t="s">
        <v>43</v>
      </c>
      <c r="X47" s="3">
        <f>389+183</f>
        <v>572</v>
      </c>
      <c r="Y47" s="3">
        <f>222+88</f>
        <v>310</v>
      </c>
    </row>
    <row r="48" spans="1:51" x14ac:dyDescent="0.3">
      <c r="A48" s="1" t="s">
        <v>44</v>
      </c>
      <c r="AX48" s="3">
        <f>413+214</f>
        <v>627</v>
      </c>
      <c r="AY48" s="3">
        <f>304+120</f>
        <v>424</v>
      </c>
    </row>
    <row r="49" spans="1:35" x14ac:dyDescent="0.3">
      <c r="A49" s="1" t="s">
        <v>45</v>
      </c>
      <c r="Z49" s="3">
        <f>435+249</f>
        <v>684</v>
      </c>
      <c r="AA49" s="3">
        <f>247+112</f>
        <v>359</v>
      </c>
    </row>
    <row r="50" spans="1:35" x14ac:dyDescent="0.3">
      <c r="A50" s="1" t="s">
        <v>46</v>
      </c>
      <c r="AF50" s="3">
        <f>276+143</f>
        <v>419</v>
      </c>
      <c r="AG50" s="3">
        <f>188+94</f>
        <v>282</v>
      </c>
    </row>
    <row r="51" spans="1:35" x14ac:dyDescent="0.3">
      <c r="A51" s="1" t="s">
        <v>47</v>
      </c>
      <c r="B51" s="3">
        <f>289+132</f>
        <v>421</v>
      </c>
      <c r="C51" s="3">
        <f>377+188</f>
        <v>565</v>
      </c>
    </row>
    <row r="52" spans="1:35" x14ac:dyDescent="0.3">
      <c r="A52" s="1" t="s">
        <v>48</v>
      </c>
      <c r="Z52" s="3">
        <f>255+121</f>
        <v>376</v>
      </c>
      <c r="AA52" s="3">
        <f>124+46</f>
        <v>170</v>
      </c>
    </row>
    <row r="53" spans="1:35" x14ac:dyDescent="0.3">
      <c r="A53" s="1" t="s">
        <v>49</v>
      </c>
      <c r="AH53" s="3">
        <f>310+137</f>
        <v>447</v>
      </c>
      <c r="AI53" s="3">
        <f>163+83</f>
        <v>246</v>
      </c>
    </row>
    <row r="54" spans="1:35" x14ac:dyDescent="0.3">
      <c r="A54" s="1" t="s">
        <v>50</v>
      </c>
      <c r="Z54" s="3">
        <f>286+122</f>
        <v>408</v>
      </c>
      <c r="AA54" s="3">
        <f>127+70</f>
        <v>197</v>
      </c>
    </row>
    <row r="55" spans="1:35" x14ac:dyDescent="0.3">
      <c r="A55" s="1" t="s">
        <v>51</v>
      </c>
      <c r="D55" s="3">
        <f>187+78</f>
        <v>265</v>
      </c>
      <c r="E55" s="3">
        <f>116+75</f>
        <v>191</v>
      </c>
    </row>
    <row r="56" spans="1:35" x14ac:dyDescent="0.3">
      <c r="A56" s="1" t="s">
        <v>52</v>
      </c>
      <c r="B56" s="3">
        <f>130+51</f>
        <v>181</v>
      </c>
      <c r="C56" s="3">
        <f>160+61</f>
        <v>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MHC2</vt:lpstr>
    </vt:vector>
  </TitlesOfParts>
  <Company>Evolutionary Biology Group, Adam Mickiewicz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AmpliSAT results</dc:title>
  <dc:creator>Alvaro Sebastian</dc:creator>
  <dc:description>AmpliSAT results</dc:description>
  <cp:lastModifiedBy>pminias</cp:lastModifiedBy>
  <dcterms:created xsi:type="dcterms:W3CDTF">2018-04-04T12:50:26Z</dcterms:created>
  <dcterms:modified xsi:type="dcterms:W3CDTF">2021-07-01T14:36:58Z</dcterms:modified>
</cp:coreProperties>
</file>