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10005" firstSheet="2" activeTab="5"/>
  </bookViews>
  <sheets>
    <sheet name="Raw MPN Data" sheetId="1" r:id="rId1"/>
    <sheet name="Data in Chart forms" sheetId="2" r:id="rId2"/>
    <sheet name="Normal Shedder Charts" sheetId="3" r:id="rId3"/>
    <sheet name="High Shedder Strain Charts" sheetId="4" r:id="rId4"/>
    <sheet name="Dose vs. Time Graphs" sheetId="5" r:id="rId5"/>
    <sheet name="Tissue MPN Graphs" sheetId="6" r:id="rId6"/>
    <sheet name="Virulence" sheetId="7" r:id="rId7"/>
    <sheet name="Sheet2" sheetId="8" r:id="rId8"/>
  </sheets>
  <definedNames>
    <definedName name="_xlnm._FilterDatabase" localSheetId="0" hidden="1">'Raw MPN Data'!$A$1:$A$254</definedName>
  </definedNames>
  <calcPr calcId="124519"/>
</workbook>
</file>

<file path=xl/calcChain.xml><?xml version="1.0" encoding="utf-8"?>
<calcChain xmlns="http://schemas.openxmlformats.org/spreadsheetml/2006/main">
  <c r="F6" i="6"/>
  <c r="F5"/>
  <c r="F4"/>
  <c r="F3"/>
  <c r="F2"/>
  <c r="AK131" i="2"/>
  <c r="E254" i="1"/>
  <c r="AK127" i="2"/>
  <c r="AK124"/>
  <c r="AK122"/>
  <c r="O99"/>
  <c r="E252" i="1"/>
  <c r="E250"/>
  <c r="E248"/>
  <c r="AK120" i="2"/>
  <c r="E246" i="1"/>
  <c r="I2" i="2"/>
  <c r="L2"/>
  <c r="M2"/>
  <c r="W2"/>
  <c r="X2"/>
  <c r="Y2"/>
  <c r="Z2"/>
  <c r="K4"/>
  <c r="L4"/>
  <c r="M4"/>
  <c r="W4"/>
  <c r="Y4"/>
  <c r="Z4"/>
  <c r="L8"/>
  <c r="M8"/>
  <c r="Y8"/>
  <c r="Z8"/>
  <c r="L10"/>
  <c r="M10"/>
  <c r="W10"/>
  <c r="Y10"/>
  <c r="Z10"/>
  <c r="L12"/>
  <c r="M12"/>
  <c r="Y12"/>
  <c r="Z12"/>
  <c r="K15"/>
  <c r="M15"/>
  <c r="Y15"/>
  <c r="Z15"/>
  <c r="K17"/>
  <c r="M17"/>
  <c r="Y17"/>
  <c r="Z17"/>
  <c r="L19"/>
  <c r="M19"/>
  <c r="Y19"/>
  <c r="Z19"/>
  <c r="M22"/>
  <c r="Y22"/>
  <c r="M24"/>
  <c r="Y24"/>
  <c r="Z24"/>
  <c r="M26"/>
  <c r="Y26"/>
  <c r="Y29"/>
  <c r="Z29"/>
  <c r="AM103"/>
  <c r="AM101"/>
  <c r="AM99"/>
  <c r="AM96"/>
  <c r="AM94"/>
  <c r="AM92"/>
  <c r="AM90"/>
  <c r="AL94"/>
  <c r="AL92"/>
  <c r="AL90"/>
  <c r="AK117"/>
  <c r="AK115"/>
  <c r="AK113"/>
  <c r="AK110"/>
  <c r="AK108"/>
  <c r="AK106"/>
  <c r="AK103"/>
  <c r="AK101"/>
  <c r="AK99"/>
  <c r="AK96"/>
  <c r="AK94"/>
  <c r="AK92"/>
  <c r="AK85"/>
  <c r="AK89"/>
  <c r="AK87"/>
  <c r="AK82"/>
  <c r="AK80"/>
  <c r="AK78"/>
  <c r="AK75"/>
  <c r="AK73"/>
  <c r="AK71"/>
  <c r="AK68"/>
  <c r="AK66"/>
  <c r="AJ68"/>
  <c r="AJ66"/>
  <c r="AI68"/>
  <c r="AF82"/>
  <c r="AF75"/>
  <c r="AF73"/>
  <c r="AF71"/>
  <c r="AF68"/>
  <c r="AF66"/>
  <c r="AE92"/>
  <c r="AE73"/>
  <c r="AE71"/>
  <c r="AE68"/>
  <c r="AE66"/>
  <c r="AD80"/>
  <c r="AD78"/>
  <c r="AD75"/>
  <c r="AD73"/>
  <c r="AD71"/>
  <c r="AD68"/>
  <c r="AD66"/>
  <c r="AB101"/>
  <c r="AB99"/>
  <c r="AB96"/>
  <c r="AB94"/>
  <c r="AB92"/>
  <c r="AB89"/>
  <c r="AB80"/>
  <c r="AB78"/>
  <c r="AB75"/>
  <c r="AB73"/>
  <c r="AB66"/>
  <c r="Z40"/>
  <c r="Z36"/>
  <c r="Z33"/>
  <c r="Z31"/>
  <c r="Y75"/>
  <c r="Y73"/>
  <c r="Y68"/>
  <c r="Y66"/>
  <c r="Y64"/>
  <c r="Y61"/>
  <c r="Y59"/>
  <c r="Y57"/>
  <c r="Y54"/>
  <c r="Y52"/>
  <c r="Y47"/>
  <c r="Y45"/>
  <c r="Y43"/>
  <c r="Y40"/>
  <c r="Y38"/>
  <c r="Y36"/>
  <c r="Y33"/>
  <c r="Y31"/>
  <c r="S115"/>
  <c r="S110"/>
  <c r="S108"/>
  <c r="S106"/>
  <c r="S103"/>
  <c r="S101"/>
  <c r="S99"/>
  <c r="S97"/>
  <c r="R99"/>
  <c r="R97"/>
  <c r="Q101"/>
  <c r="Q99"/>
  <c r="Q97"/>
  <c r="P97"/>
  <c r="O97"/>
  <c r="M73"/>
  <c r="M71"/>
  <c r="M66"/>
  <c r="M61"/>
  <c r="M59"/>
  <c r="M57"/>
  <c r="M54"/>
  <c r="M52"/>
  <c r="M50"/>
  <c r="M47"/>
  <c r="M45"/>
  <c r="M43"/>
  <c r="M40"/>
  <c r="M38"/>
  <c r="M36"/>
  <c r="M33"/>
  <c r="M31"/>
  <c r="G103"/>
  <c r="G99"/>
  <c r="G94"/>
  <c r="G92"/>
  <c r="G82"/>
  <c r="G80"/>
  <c r="G78"/>
  <c r="G75"/>
  <c r="G73"/>
  <c r="G71"/>
  <c r="G68"/>
  <c r="G64"/>
  <c r="G61"/>
  <c r="G59"/>
  <c r="G57"/>
  <c r="G54"/>
  <c r="G52"/>
  <c r="G47"/>
  <c r="G45"/>
  <c r="G43"/>
  <c r="G40"/>
  <c r="G38"/>
  <c r="G36"/>
  <c r="G33"/>
  <c r="G31"/>
  <c r="F45"/>
  <c r="F40"/>
  <c r="F38"/>
  <c r="F36"/>
  <c r="F33"/>
  <c r="F31"/>
  <c r="E36"/>
  <c r="E33"/>
  <c r="E244" i="1"/>
  <c r="E242"/>
  <c r="E241"/>
  <c r="E239"/>
  <c r="E237"/>
  <c r="E236"/>
  <c r="E234"/>
  <c r="E233"/>
  <c r="E231"/>
  <c r="E230"/>
  <c r="M6"/>
  <c r="E226"/>
  <c r="E227"/>
  <c r="E228"/>
  <c r="E225"/>
  <c r="E220"/>
  <c r="E221"/>
  <c r="E222"/>
  <c r="E223"/>
  <c r="E219"/>
  <c r="E211"/>
  <c r="E212"/>
  <c r="E213"/>
  <c r="E214"/>
  <c r="E215"/>
  <c r="E216"/>
  <c r="E217"/>
  <c r="E210"/>
  <c r="M14"/>
  <c r="M15"/>
  <c r="M16"/>
  <c r="M17"/>
  <c r="M13"/>
  <c r="E207"/>
  <c r="E208"/>
  <c r="E206"/>
  <c r="E201"/>
  <c r="E202"/>
  <c r="E203"/>
  <c r="E204"/>
  <c r="E200"/>
  <c r="E194"/>
  <c r="E195"/>
  <c r="E196"/>
  <c r="E197"/>
  <c r="E198"/>
  <c r="E193"/>
  <c r="M11"/>
  <c r="M10"/>
  <c r="E191"/>
  <c r="E190"/>
  <c r="E188"/>
  <c r="E186"/>
  <c r="E183"/>
  <c r="E184"/>
  <c r="E182"/>
  <c r="E178"/>
  <c r="E179"/>
  <c r="E180"/>
  <c r="E177"/>
  <c r="E173"/>
  <c r="E174"/>
  <c r="E175"/>
  <c r="E172"/>
  <c r="M4"/>
  <c r="M5"/>
  <c r="M3"/>
  <c r="M2"/>
  <c r="E166"/>
  <c r="E167"/>
  <c r="E168"/>
  <c r="E169"/>
  <c r="E170"/>
  <c r="E165"/>
  <c r="E157"/>
  <c r="E158"/>
  <c r="E159"/>
  <c r="E160"/>
  <c r="E161"/>
  <c r="E162"/>
  <c r="E163"/>
  <c r="E156"/>
  <c r="E150"/>
  <c r="E151"/>
  <c r="E152"/>
  <c r="E153"/>
  <c r="E154"/>
  <c r="E149"/>
  <c r="E141"/>
  <c r="E142"/>
  <c r="E143"/>
  <c r="E144"/>
  <c r="E145"/>
  <c r="E146"/>
  <c r="E147"/>
  <c r="E140"/>
  <c r="E132"/>
  <c r="E133"/>
  <c r="E134"/>
  <c r="E135"/>
  <c r="E136"/>
  <c r="E137"/>
  <c r="E138"/>
  <c r="E131"/>
  <c r="E129"/>
  <c r="E128"/>
  <c r="E125"/>
  <c r="E126"/>
  <c r="E124"/>
  <c r="E121"/>
  <c r="E122"/>
  <c r="E120"/>
  <c r="E117"/>
  <c r="E118"/>
  <c r="E116"/>
  <c r="E113"/>
  <c r="E114"/>
  <c r="E112"/>
  <c r="E109"/>
  <c r="E110"/>
  <c r="E108"/>
  <c r="E106"/>
  <c r="E103"/>
  <c r="E104"/>
  <c r="E102"/>
  <c r="E98"/>
  <c r="E99"/>
  <c r="E100"/>
  <c r="E97"/>
  <c r="E94"/>
  <c r="E95"/>
  <c r="E93"/>
  <c r="E88"/>
  <c r="E89"/>
  <c r="E90"/>
  <c r="E91"/>
  <c r="E87"/>
  <c r="E83"/>
  <c r="E84"/>
  <c r="E85"/>
  <c r="E82"/>
  <c r="E76"/>
  <c r="E77"/>
  <c r="E78"/>
  <c r="E79"/>
  <c r="E80"/>
  <c r="E75"/>
  <c r="E69"/>
  <c r="E70"/>
  <c r="E71"/>
  <c r="E72"/>
  <c r="E73"/>
  <c r="E68"/>
  <c r="E62"/>
  <c r="E63"/>
  <c r="E64"/>
  <c r="E65"/>
  <c r="E66"/>
  <c r="E61"/>
  <c r="E59"/>
  <c r="E58"/>
  <c r="E56"/>
  <c r="E55"/>
  <c r="E52"/>
  <c r="E53"/>
  <c r="E51"/>
  <c r="E49"/>
  <c r="E48"/>
  <c r="E44"/>
  <c r="E45"/>
  <c r="E46"/>
  <c r="E43"/>
  <c r="E39"/>
  <c r="E40"/>
  <c r="E41"/>
  <c r="E38"/>
  <c r="E34"/>
  <c r="E35"/>
  <c r="E36"/>
  <c r="E33"/>
  <c r="E29"/>
  <c r="E30"/>
  <c r="E31"/>
  <c r="E28"/>
  <c r="E23"/>
  <c r="E24"/>
  <c r="E25"/>
  <c r="E26"/>
  <c r="E22"/>
  <c r="E18"/>
  <c r="E19"/>
  <c r="E20"/>
  <c r="E17"/>
  <c r="E11"/>
  <c r="E12"/>
  <c r="E13"/>
  <c r="E14"/>
  <c r="E15"/>
  <c r="E10"/>
  <c r="E3"/>
  <c r="E4"/>
  <c r="E5"/>
  <c r="E6"/>
  <c r="E7"/>
  <c r="E8"/>
  <c r="E2"/>
</calcChain>
</file>

<file path=xl/sharedStrings.xml><?xml version="1.0" encoding="utf-8"?>
<sst xmlns="http://schemas.openxmlformats.org/spreadsheetml/2006/main" count="185" uniqueCount="79">
  <si>
    <t>Steer ID</t>
  </si>
  <si>
    <t>Date</t>
  </si>
  <si>
    <t>Pen number</t>
  </si>
  <si>
    <t>MPN per Gram</t>
  </si>
  <si>
    <t>Log MPN</t>
  </si>
  <si>
    <t>Tissue</t>
  </si>
  <si>
    <t>Pen Number</t>
  </si>
  <si>
    <t>Jejunum</t>
  </si>
  <si>
    <t>Cecum</t>
  </si>
  <si>
    <t>Spiral Colon</t>
  </si>
  <si>
    <t>Rectum</t>
  </si>
  <si>
    <t>24 HR p.i.</t>
  </si>
  <si>
    <t>Tissue Culture</t>
  </si>
  <si>
    <t>Days p.i.</t>
  </si>
  <si>
    <t>206-A9 10^2</t>
  </si>
  <si>
    <t>267-W1 10^2</t>
  </si>
  <si>
    <t>243-W1 10^4</t>
  </si>
  <si>
    <t>225-W1 10^6</t>
  </si>
  <si>
    <t>257-W1 10^8</t>
  </si>
  <si>
    <t>217-W1 10^10</t>
  </si>
  <si>
    <t>226-14A 10^2</t>
  </si>
  <si>
    <t>253-14A 10^4</t>
  </si>
  <si>
    <t>215-14A 10^6</t>
  </si>
  <si>
    <t>234-14A 10^8</t>
  </si>
  <si>
    <t>252-14A 10^10</t>
  </si>
  <si>
    <t>241-A9 10^4</t>
  </si>
  <si>
    <t>270-A9 10^6</t>
  </si>
  <si>
    <t>212-A9 10^8</t>
  </si>
  <si>
    <t>268-A9 10^10</t>
  </si>
  <si>
    <t>274-Tx3800 10^2</t>
  </si>
  <si>
    <t>284-Tx3800 10^4</t>
  </si>
  <si>
    <t>291-Tx3800 10^6</t>
  </si>
  <si>
    <t>286-Tx3800 10^8</t>
  </si>
  <si>
    <t>289-Tx3800 10^10</t>
  </si>
  <si>
    <t>271-Tx1686 10^2</t>
  </si>
  <si>
    <t>295-Tx1686 10^4</t>
  </si>
  <si>
    <t>280-Tx1686 10^6</t>
  </si>
  <si>
    <t>292-Tx1686 10^8</t>
  </si>
  <si>
    <t>294-Tx1686 10^10</t>
  </si>
  <si>
    <t>283-#8055 10^2</t>
  </si>
  <si>
    <t>276-#8055 10^4</t>
  </si>
  <si>
    <t>281-#8055 10^6</t>
  </si>
  <si>
    <t>275-#8055 10^8</t>
  </si>
  <si>
    <t>285-#8055 10^10</t>
  </si>
  <si>
    <t>Euthanized</t>
  </si>
  <si>
    <t>10^2</t>
  </si>
  <si>
    <t>10^4</t>
  </si>
  <si>
    <t xml:space="preserve"> 10^6</t>
  </si>
  <si>
    <r>
      <t>10</t>
    </r>
    <r>
      <rPr>
        <sz val="11"/>
        <color rgb="FF006100"/>
        <rFont val="Calibri"/>
        <family val="2"/>
      </rPr>
      <t>⁶</t>
    </r>
  </si>
  <si>
    <r>
      <t>10</t>
    </r>
    <r>
      <rPr>
        <sz val="11"/>
        <color rgb="FF006100"/>
        <rFont val="Calibri"/>
        <family val="2"/>
      </rPr>
      <t>⁸</t>
    </r>
  </si>
  <si>
    <r>
      <t>10</t>
    </r>
    <r>
      <rPr>
        <sz val="11"/>
        <color rgb="FF006100"/>
        <rFont val="Calibri"/>
        <family val="2"/>
      </rPr>
      <t>¹⁰</t>
    </r>
  </si>
  <si>
    <r>
      <t xml:space="preserve"> 10</t>
    </r>
    <r>
      <rPr>
        <sz val="11"/>
        <color rgb="FF006100"/>
        <rFont val="Calibri"/>
        <family val="2"/>
      </rPr>
      <t>²</t>
    </r>
  </si>
  <si>
    <r>
      <t>10</t>
    </r>
    <r>
      <rPr>
        <sz val="11"/>
        <color rgb="FF006100"/>
        <rFont val="Calibri"/>
        <family val="2"/>
      </rPr>
      <t>⁴</t>
    </r>
  </si>
  <si>
    <r>
      <t>W1 at 10</t>
    </r>
    <r>
      <rPr>
        <sz val="11"/>
        <color theme="1"/>
        <rFont val="Calibri"/>
        <family val="2"/>
      </rPr>
      <t>¹⁰</t>
    </r>
  </si>
  <si>
    <r>
      <t>14A 10</t>
    </r>
    <r>
      <rPr>
        <sz val="11"/>
        <color theme="1"/>
        <rFont val="Calibri"/>
        <family val="2"/>
      </rPr>
      <t>⁸</t>
    </r>
  </si>
  <si>
    <r>
      <t>Tx1686 10</t>
    </r>
    <r>
      <rPr>
        <sz val="11"/>
        <color theme="1"/>
        <rFont val="Calibri"/>
        <family val="2"/>
      </rPr>
      <t>⁸</t>
    </r>
  </si>
  <si>
    <t>Strain ID</t>
  </si>
  <si>
    <t>Location (State) collected</t>
  </si>
  <si>
    <t>Date Collected</t>
  </si>
  <si>
    <t>Type of shedding</t>
  </si>
  <si>
    <t>Concentrations in feces (MPN/g)</t>
  </si>
  <si>
    <t>Toxins</t>
  </si>
  <si>
    <t>A9</t>
  </si>
  <si>
    <t>W1</t>
  </si>
  <si>
    <t>14A</t>
  </si>
  <si>
    <t>Tx 3800</t>
  </si>
  <si>
    <t>Tx 1686</t>
  </si>
  <si>
    <t>TX</t>
  </si>
  <si>
    <t>CA</t>
  </si>
  <si>
    <t>Normal</t>
  </si>
  <si>
    <t>Super</t>
  </si>
  <si>
    <t>Stx 2</t>
  </si>
  <si>
    <t>Stx 1 and Stx 2</t>
  </si>
  <si>
    <r>
      <t>2.1 x 10</t>
    </r>
    <r>
      <rPr>
        <sz val="12"/>
        <color theme="1"/>
        <rFont val="Calibri"/>
        <family val="2"/>
      </rPr>
      <t>⁴</t>
    </r>
  </si>
  <si>
    <r>
      <t>3.9 x 10</t>
    </r>
    <r>
      <rPr>
        <sz val="12"/>
        <color theme="1"/>
        <rFont val="Calibri"/>
        <family val="2"/>
      </rPr>
      <t>⁵</t>
    </r>
  </si>
  <si>
    <r>
      <t>4.7 x 10</t>
    </r>
    <r>
      <rPr>
        <sz val="12"/>
        <color theme="1"/>
        <rFont val="Calibri"/>
        <family val="2"/>
      </rPr>
      <t>⁴</t>
    </r>
  </si>
  <si>
    <r>
      <t>10</t>
    </r>
    <r>
      <rPr>
        <sz val="11"/>
        <color rgb="FF006100"/>
        <rFont val="Calibri"/>
        <family val="2"/>
      </rPr>
      <t>²</t>
    </r>
  </si>
  <si>
    <r>
      <t xml:space="preserve"> 10</t>
    </r>
    <r>
      <rPr>
        <sz val="11"/>
        <color rgb="FF006100"/>
        <rFont val="Calibri"/>
        <family val="2"/>
      </rPr>
      <t>⁴</t>
    </r>
  </si>
  <si>
    <r>
      <t xml:space="preserve"> 10</t>
    </r>
    <r>
      <rPr>
        <sz val="11"/>
        <color rgb="FF006100"/>
        <rFont val="Calibri"/>
        <family val="2"/>
      </rPr>
      <t>⁸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</si>
</sst>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1" applyAlignment="1">
      <alignment horizontal="center"/>
    </xf>
    <xf numFmtId="14" fontId="0" fillId="0" borderId="0" xfId="0" applyNumberFormat="1"/>
    <xf numFmtId="0" fontId="2" fillId="2" borderId="0" xfId="1"/>
    <xf numFmtId="0" fontId="1" fillId="0" borderId="0" xfId="0" applyFont="1"/>
    <xf numFmtId="0" fontId="3" fillId="3" borderId="0" xfId="2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3" xfId="2" applyBorder="1" applyAlignment="1">
      <alignment horizontal="center"/>
    </xf>
    <xf numFmtId="0" fontId="3" fillId="3" borderId="4" xfId="2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14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 wrapText="1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>
        <c:manualLayout>
          <c:layoutTarget val="inner"/>
          <c:xMode val="edge"/>
          <c:yMode val="edge"/>
          <c:x val="0.13021909753500391"/>
          <c:y val="8.4878937488952991E-2"/>
          <c:w val="0.82597841116257054"/>
          <c:h val="0.75390656167979009"/>
        </c:manualLayout>
      </c:layout>
      <c:scatterChart>
        <c:scatterStyle val="lineMarker"/>
        <c:ser>
          <c:idx val="3"/>
          <c:order val="0"/>
          <c:tx>
            <c:strRef>
              <c:f>'Normal Shedder Charts'!$D$1</c:f>
              <c:strCache>
                <c:ptCount val="1"/>
                <c:pt idx="0">
                  <c:v>10⁶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dLbl>
              <c:idx val="121"/>
              <c:dLblPos val="r"/>
              <c:showVal val="1"/>
              <c:showCatName val="1"/>
            </c:dLbl>
            <c:delete val="1"/>
          </c:dLbls>
          <c:yVal>
            <c:numRef>
              <c:f>'Normal Shedder Charts'!$D$2:$D$104</c:f>
              <c:numCache>
                <c:formatCode>General</c:formatCode>
                <c:ptCount val="103"/>
                <c:pt idx="0">
                  <c:v>0</c:v>
                </c:pt>
                <c:pt idx="2">
                  <c:v>4.3968546550000003</c:v>
                </c:pt>
                <c:pt idx="5">
                  <c:v>3.5123641590000001</c:v>
                </c:pt>
                <c:pt idx="7">
                  <c:v>0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</c:numCache>
            </c:numRef>
          </c:yVal>
        </c:ser>
        <c:ser>
          <c:idx val="4"/>
          <c:order val="1"/>
          <c:tx>
            <c:strRef>
              <c:f>'Normal Shedder Charts'!$E$1</c:f>
              <c:strCache>
                <c:ptCount val="1"/>
                <c:pt idx="0">
                  <c:v>10⁸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121"/>
              <c:dLblPos val="r"/>
              <c:showVal val="1"/>
              <c:showCatName val="1"/>
            </c:dLbl>
            <c:delete val="1"/>
          </c:dLbls>
          <c:yVal>
            <c:numRef>
              <c:f>'Normal Shedder Charts'!$E$2:$E$104</c:f>
              <c:numCache>
                <c:formatCode>General</c:formatCode>
                <c:ptCount val="103"/>
                <c:pt idx="0">
                  <c:v>10.40873465</c:v>
                </c:pt>
                <c:pt idx="2">
                  <c:v>8.0208013670000007</c:v>
                </c:pt>
                <c:pt idx="5">
                  <c:v>7.9208535009999999</c:v>
                </c:pt>
                <c:pt idx="7">
                  <c:v>8.0209410640000005</c:v>
                </c:pt>
                <c:pt idx="9">
                  <c:v>5.6815813019999997</c:v>
                </c:pt>
                <c:pt idx="12">
                  <c:v>0</c:v>
                </c:pt>
                <c:pt idx="14">
                  <c:v>4.6846299560000002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</c:numCache>
            </c:numRef>
          </c:yVal>
        </c:ser>
        <c:ser>
          <c:idx val="5"/>
          <c:order val="2"/>
          <c:tx>
            <c:strRef>
              <c:f>'Normal Shedder Charts'!$F$1</c:f>
              <c:strCache>
                <c:ptCount val="1"/>
                <c:pt idx="0">
                  <c:v>10¹⁰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121"/>
              <c:dLblPos val="r"/>
              <c:showVal val="1"/>
              <c:showCatName val="1"/>
            </c:dLbl>
            <c:delete val="1"/>
          </c:dLbls>
          <c:yVal>
            <c:numRef>
              <c:f>'Normal Shedder Charts'!$F$2:$F$104</c:f>
              <c:numCache>
                <c:formatCode>General</c:formatCode>
                <c:ptCount val="103"/>
                <c:pt idx="0">
                  <c:v>11.97355482</c:v>
                </c:pt>
                <c:pt idx="2">
                  <c:v>11.215132369999999</c:v>
                </c:pt>
                <c:pt idx="5">
                  <c:v>9.4453853999999993</c:v>
                </c:pt>
                <c:pt idx="7">
                  <c:v>8.4500226999999999</c:v>
                </c:pt>
                <c:pt idx="9">
                  <c:v>8.4501314300000008</c:v>
                </c:pt>
                <c:pt idx="12">
                  <c:v>10.470852989999999</c:v>
                </c:pt>
                <c:pt idx="14">
                  <c:v>7.7012325290000003</c:v>
                </c:pt>
                <c:pt idx="16">
                  <c:v>6.5268656710000004</c:v>
                </c:pt>
                <c:pt idx="19">
                  <c:v>0</c:v>
                </c:pt>
                <c:pt idx="21">
                  <c:v>8.4499502</c:v>
                </c:pt>
                <c:pt idx="23">
                  <c:v>8.7009279399999997</c:v>
                </c:pt>
                <c:pt idx="26">
                  <c:v>4.4156233089999999</c:v>
                </c:pt>
                <c:pt idx="28">
                  <c:v>7.0402894549999999</c:v>
                </c:pt>
                <c:pt idx="30">
                  <c:v>6.2374980789999999</c:v>
                </c:pt>
                <c:pt idx="33">
                  <c:v>7.0402875969999998</c:v>
                </c:pt>
                <c:pt idx="35">
                  <c:v>0</c:v>
                </c:pt>
                <c:pt idx="37">
                  <c:v>6.7012175989999996</c:v>
                </c:pt>
                <c:pt idx="40">
                  <c:v>5.0338983529999997</c:v>
                </c:pt>
                <c:pt idx="42">
                  <c:v>6.450329934</c:v>
                </c:pt>
                <c:pt idx="44">
                  <c:v>4.5261369340000002</c:v>
                </c:pt>
                <c:pt idx="47">
                  <c:v>4.7883876499999998</c:v>
                </c:pt>
                <c:pt idx="49">
                  <c:v>4.697082752</c:v>
                </c:pt>
                <c:pt idx="51">
                  <c:v>4.7137010420000003</c:v>
                </c:pt>
                <c:pt idx="54">
                  <c:v>0</c:v>
                </c:pt>
                <c:pt idx="56">
                  <c:v>0</c:v>
                </c:pt>
                <c:pt idx="58">
                  <c:v>0</c:v>
                </c:pt>
                <c:pt idx="61">
                  <c:v>3.6281211299999998</c:v>
                </c:pt>
                <c:pt idx="63">
                  <c:v>5.4503311569999999</c:v>
                </c:pt>
                <c:pt idx="65">
                  <c:v>0</c:v>
                </c:pt>
                <c:pt idx="68">
                  <c:v>5.9401666359999998</c:v>
                </c:pt>
                <c:pt idx="70">
                  <c:v>0</c:v>
                </c:pt>
                <c:pt idx="72">
                  <c:v>3.6281211299999998</c:v>
                </c:pt>
              </c:numCache>
            </c:numRef>
          </c:yVal>
        </c:ser>
        <c:dLbls/>
        <c:axId val="72740864"/>
        <c:axId val="72742784"/>
      </c:scatterChart>
      <c:valAx>
        <c:axId val="72740864"/>
        <c:scaling>
          <c:orientation val="minMax"/>
          <c:max val="80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Days Post-Inoculation</a:t>
                </a:r>
              </a:p>
            </c:rich>
          </c:tx>
          <c:layout>
            <c:manualLayout>
              <c:xMode val="edge"/>
              <c:yMode val="edge"/>
              <c:x val="0.4047910335015521"/>
              <c:y val="0.93354460408850426"/>
            </c:manualLayout>
          </c:layout>
        </c:title>
        <c:majorTickMark val="none"/>
        <c:tickLblPos val="nextTo"/>
        <c:crossAx val="72742784"/>
        <c:crosses val="autoZero"/>
        <c:crossBetween val="midCat"/>
      </c:valAx>
      <c:valAx>
        <c:axId val="72742784"/>
        <c:scaling>
          <c:orientation val="minMax"/>
          <c:max val="12"/>
        </c:scaling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Log₁₀ (MPN </a:t>
                </a:r>
                <a:r>
                  <a:rPr lang="en-US" b="0" i="1"/>
                  <a:t>E. coli </a:t>
                </a:r>
                <a:r>
                  <a:rPr lang="en-US" b="0"/>
                  <a:t>O157:H7/g of feces) </a:t>
                </a:r>
              </a:p>
            </c:rich>
          </c:tx>
          <c:layout>
            <c:manualLayout>
              <c:xMode val="edge"/>
              <c:yMode val="edge"/>
              <c:x val="1.5648657138102477E-2"/>
              <c:y val="0.1001232384413487"/>
            </c:manualLayout>
          </c:layout>
        </c:title>
        <c:numFmt formatCode="General" sourceLinked="1"/>
        <c:majorTickMark val="none"/>
        <c:tickLblPos val="nextTo"/>
        <c:crossAx val="72740864"/>
        <c:crosses val="autoZero"/>
        <c:crossBetween val="midCat"/>
      </c:valAx>
      <c:spPr>
        <a:noFill/>
      </c:spPr>
    </c:plotArea>
    <c:legend>
      <c:legendPos val="t"/>
      <c:legendEntry>
        <c:idx val="0"/>
      </c:legendEntry>
      <c:layout>
        <c:manualLayout>
          <c:xMode val="edge"/>
          <c:yMode val="edge"/>
          <c:x val="0.61916161612380383"/>
          <c:y val="0.11160847970926711"/>
          <c:w val="0.30285952213793405"/>
          <c:h val="9.1382192610539037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 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'Dose vs. Time Graphs'!$B$161</c:f>
              <c:strCache>
                <c:ptCount val="1"/>
                <c:pt idx="0">
                  <c:v>212-A9 10^8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Graphs'!$A$162:$A$236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Graphs'!$B$162:$B$236</c:f>
              <c:numCache>
                <c:formatCode>General</c:formatCode>
                <c:ptCount val="75"/>
                <c:pt idx="0">
                  <c:v>10.40873465</c:v>
                </c:pt>
                <c:pt idx="2">
                  <c:v>8.0208013670000007</c:v>
                </c:pt>
                <c:pt idx="5">
                  <c:v>7.9208535009999999</c:v>
                </c:pt>
                <c:pt idx="7">
                  <c:v>8.0209410640000005</c:v>
                </c:pt>
                <c:pt idx="9">
                  <c:v>5.6815813019999997</c:v>
                </c:pt>
                <c:pt idx="12">
                  <c:v>0</c:v>
                </c:pt>
                <c:pt idx="14">
                  <c:v>4.6846299560000002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6">
                  <c:v>0</c:v>
                </c:pt>
                <c:pt idx="28">
                  <c:v>0</c:v>
                </c:pt>
                <c:pt idx="30">
                  <c:v>0</c:v>
                </c:pt>
              </c:numCache>
            </c:numRef>
          </c:yVal>
        </c:ser>
        <c:ser>
          <c:idx val="1"/>
          <c:order val="1"/>
          <c:tx>
            <c:strRef>
              <c:f>'Dose vs. Time Graphs'!$C$161</c:f>
              <c:strCache>
                <c:ptCount val="1"/>
                <c:pt idx="0">
                  <c:v>257-W1 10^8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Graphs'!$A$162:$A$236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Graphs'!$C$162:$C$236</c:f>
              <c:numCache>
                <c:formatCode>General</c:formatCode>
                <c:ptCount val="75"/>
                <c:pt idx="0">
                  <c:v>9.0794620300000002</c:v>
                </c:pt>
                <c:pt idx="2">
                  <c:v>8.1839211600000006</c:v>
                </c:pt>
                <c:pt idx="6">
                  <c:v>8.6782209100000003</c:v>
                </c:pt>
                <c:pt idx="8">
                  <c:v>8.0578871000000003</c:v>
                </c:pt>
                <c:pt idx="10">
                  <c:v>7.6817588700000003</c:v>
                </c:pt>
                <c:pt idx="13">
                  <c:v>0</c:v>
                </c:pt>
                <c:pt idx="15">
                  <c:v>0</c:v>
                </c:pt>
                <c:pt idx="17">
                  <c:v>7.986717466</c:v>
                </c:pt>
                <c:pt idx="20">
                  <c:v>0</c:v>
                </c:pt>
              </c:numCache>
            </c:numRef>
          </c:yVal>
        </c:ser>
        <c:ser>
          <c:idx val="2"/>
          <c:order val="2"/>
          <c:tx>
            <c:strRef>
              <c:f>'Dose vs. Time Graphs'!$D$161</c:f>
              <c:strCache>
                <c:ptCount val="1"/>
                <c:pt idx="0">
                  <c:v>275-#8055 10^8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Graphs'!$A$162:$A$236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Graphs'!$D$162:$D$236</c:f>
              <c:numCache>
                <c:formatCode>General</c:formatCode>
                <c:ptCount val="75"/>
                <c:pt idx="0">
                  <c:v>6.9046777029999999</c:v>
                </c:pt>
                <c:pt idx="2">
                  <c:v>3.5674063280000001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</c:ser>
        <c:ser>
          <c:idx val="3"/>
          <c:order val="3"/>
          <c:tx>
            <c:strRef>
              <c:f>'Dose vs. Time Graphs'!$E$161</c:f>
              <c:strCache>
                <c:ptCount val="1"/>
                <c:pt idx="0">
                  <c:v>234-14A 10^8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Graphs'!$A$162:$A$236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Graphs'!$E$162:$E$236</c:f>
              <c:numCache>
                <c:formatCode>General</c:formatCode>
                <c:ptCount val="75"/>
                <c:pt idx="0">
                  <c:v>10.03751209</c:v>
                </c:pt>
                <c:pt idx="2">
                  <c:v>7.9772026010000001</c:v>
                </c:pt>
                <c:pt idx="6">
                  <c:v>6.6377489279999997</c:v>
                </c:pt>
                <c:pt idx="8">
                  <c:v>6.1746385779999997</c:v>
                </c:pt>
                <c:pt idx="10">
                  <c:v>4.9021960499999997</c:v>
                </c:pt>
                <c:pt idx="13">
                  <c:v>5.6507746000000001</c:v>
                </c:pt>
                <c:pt idx="15">
                  <c:v>6.3871703100000001</c:v>
                </c:pt>
                <c:pt idx="17">
                  <c:v>5.9758043609999998</c:v>
                </c:pt>
                <c:pt idx="20">
                  <c:v>4.3169720529999998</c:v>
                </c:pt>
                <c:pt idx="22">
                  <c:v>3.8766103759999999</c:v>
                </c:pt>
                <c:pt idx="24">
                  <c:v>3.5637420579999999</c:v>
                </c:pt>
                <c:pt idx="27">
                  <c:v>6.6377489279999997</c:v>
                </c:pt>
                <c:pt idx="29">
                  <c:v>9.9735148000000002</c:v>
                </c:pt>
                <c:pt idx="31">
                  <c:v>9.3036284699999996</c:v>
                </c:pt>
                <c:pt idx="34">
                  <c:v>7.638053846</c:v>
                </c:pt>
                <c:pt idx="36">
                  <c:v>6.6507737259999997</c:v>
                </c:pt>
                <c:pt idx="38">
                  <c:v>7.1743427779999998</c:v>
                </c:pt>
                <c:pt idx="41">
                  <c:v>10.36235138</c:v>
                </c:pt>
                <c:pt idx="43">
                  <c:v>7.3713088009999996</c:v>
                </c:pt>
                <c:pt idx="45">
                  <c:v>8.3871339099999993</c:v>
                </c:pt>
                <c:pt idx="48">
                  <c:v>0</c:v>
                </c:pt>
                <c:pt idx="50">
                  <c:v>4.5871157870000001</c:v>
                </c:pt>
                <c:pt idx="52">
                  <c:v>8.3867990470000002</c:v>
                </c:pt>
                <c:pt idx="55">
                  <c:v>6.9771077579999998</c:v>
                </c:pt>
                <c:pt idx="57">
                  <c:v>7.1743139820000001</c:v>
                </c:pt>
                <c:pt idx="59">
                  <c:v>6.6380404070000001</c:v>
                </c:pt>
                <c:pt idx="62">
                  <c:v>3.785680852</c:v>
                </c:pt>
                <c:pt idx="64">
                  <c:v>7.1743184189999996</c:v>
                </c:pt>
                <c:pt idx="66">
                  <c:v>7.064961329</c:v>
                </c:pt>
                <c:pt idx="69">
                  <c:v>0</c:v>
                </c:pt>
                <c:pt idx="71">
                  <c:v>5.977111345</c:v>
                </c:pt>
                <c:pt idx="73">
                  <c:v>6.6137150650000001</c:v>
                </c:pt>
              </c:numCache>
            </c:numRef>
          </c:yVal>
        </c:ser>
        <c:ser>
          <c:idx val="5"/>
          <c:order val="5"/>
          <c:tx>
            <c:strRef>
              <c:f>'Dose vs. Time Graphs'!$G$161</c:f>
              <c:strCache>
                <c:ptCount val="1"/>
                <c:pt idx="0">
                  <c:v>292-Tx1686 10^8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Graphs'!$A$162:$A$236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Graphs'!$G$162:$G$236</c:f>
              <c:numCache>
                <c:formatCode>General</c:formatCode>
                <c:ptCount val="75"/>
                <c:pt idx="0">
                  <c:v>8.9029316220000005</c:v>
                </c:pt>
                <c:pt idx="2">
                  <c:v>4.8414445160000001</c:v>
                </c:pt>
                <c:pt idx="4">
                  <c:v>4.1003140030000003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yVal>
        </c:ser>
        <c:ser>
          <c:idx val="4"/>
          <c:order val="4"/>
          <c:tx>
            <c:strRef>
              <c:f>'Dose vs. Time Graphs'!$F$161</c:f>
              <c:strCache>
                <c:ptCount val="1"/>
                <c:pt idx="0">
                  <c:v>286-Tx3800 10^8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Graphs'!$A$162:$A$236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Graphs'!$F$162:$F$236</c:f>
              <c:numCache>
                <c:formatCode>General</c:formatCode>
                <c:ptCount val="75"/>
                <c:pt idx="0">
                  <c:v>9.3827385000000003</c:v>
                </c:pt>
                <c:pt idx="2">
                  <c:v>5.1545886090000002</c:v>
                </c:pt>
                <c:pt idx="5">
                  <c:v>9.1696523980000002</c:v>
                </c:pt>
                <c:pt idx="7">
                  <c:v>3.9605265119999999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6">
                  <c:v>3.9741154660000002</c:v>
                </c:pt>
                <c:pt idx="27">
                  <c:v>0</c:v>
                </c:pt>
              </c:numCache>
            </c:numRef>
          </c:yVal>
        </c:ser>
        <c:dLbls/>
        <c:axId val="75590272"/>
        <c:axId val="75608832"/>
      </c:scatterChart>
      <c:valAx>
        <c:axId val="7559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  <a:r>
                  <a:rPr lang="en-US" baseline="0"/>
                  <a:t> Post-Inoculation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608832"/>
        <c:crosses val="autoZero"/>
        <c:crossBetween val="midCat"/>
      </c:valAx>
      <c:valAx>
        <c:axId val="75608832"/>
        <c:scaling>
          <c:orientation val="minMax"/>
          <c:max val="12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10</a:t>
                </a:r>
                <a:r>
                  <a:rPr lang="en-US" baseline="0"/>
                  <a:t> MPN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590272"/>
        <c:crosses val="autoZero"/>
        <c:crossBetween val="midCat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'Dose vs. Time Graphs'!$B$240</c:f>
              <c:strCache>
                <c:ptCount val="1"/>
                <c:pt idx="0">
                  <c:v>268-A9 10^10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Graphs'!$A$241:$A$316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Graphs'!$B$241:$B$316</c:f>
              <c:numCache>
                <c:formatCode>General</c:formatCode>
                <c:ptCount val="76"/>
                <c:pt idx="0">
                  <c:v>11.97355482</c:v>
                </c:pt>
                <c:pt idx="2">
                  <c:v>11.215132369999999</c:v>
                </c:pt>
                <c:pt idx="5">
                  <c:v>9.4453853999999993</c:v>
                </c:pt>
                <c:pt idx="7">
                  <c:v>8.4500226999999999</c:v>
                </c:pt>
                <c:pt idx="9">
                  <c:v>8.4501314300000008</c:v>
                </c:pt>
                <c:pt idx="12">
                  <c:v>10.470852989999999</c:v>
                </c:pt>
                <c:pt idx="14">
                  <c:v>7.7012325290000003</c:v>
                </c:pt>
                <c:pt idx="16">
                  <c:v>6.5268656710000004</c:v>
                </c:pt>
                <c:pt idx="19">
                  <c:v>0</c:v>
                </c:pt>
                <c:pt idx="21">
                  <c:v>8.4499502</c:v>
                </c:pt>
                <c:pt idx="23">
                  <c:v>8.7009279399999997</c:v>
                </c:pt>
                <c:pt idx="26">
                  <c:v>4.4156233089999999</c:v>
                </c:pt>
                <c:pt idx="28">
                  <c:v>7.0402894549999999</c:v>
                </c:pt>
                <c:pt idx="30">
                  <c:v>6.2374980789999999</c:v>
                </c:pt>
                <c:pt idx="33">
                  <c:v>7.0402875969999998</c:v>
                </c:pt>
                <c:pt idx="35">
                  <c:v>0</c:v>
                </c:pt>
                <c:pt idx="37">
                  <c:v>6.7012175989999996</c:v>
                </c:pt>
                <c:pt idx="40">
                  <c:v>5.0338983529999997</c:v>
                </c:pt>
                <c:pt idx="42">
                  <c:v>6.450329934</c:v>
                </c:pt>
                <c:pt idx="44">
                  <c:v>4.5261369340000002</c:v>
                </c:pt>
                <c:pt idx="47">
                  <c:v>4.7883876499999998</c:v>
                </c:pt>
                <c:pt idx="49">
                  <c:v>4.697082752</c:v>
                </c:pt>
                <c:pt idx="51">
                  <c:v>4.7137010420000003</c:v>
                </c:pt>
                <c:pt idx="54">
                  <c:v>0</c:v>
                </c:pt>
                <c:pt idx="56">
                  <c:v>0</c:v>
                </c:pt>
                <c:pt idx="58">
                  <c:v>0</c:v>
                </c:pt>
                <c:pt idx="61">
                  <c:v>3.6281211299999998</c:v>
                </c:pt>
                <c:pt idx="63">
                  <c:v>5.4503311569999999</c:v>
                </c:pt>
                <c:pt idx="65">
                  <c:v>0</c:v>
                </c:pt>
                <c:pt idx="68">
                  <c:v>5.9401666359999998</c:v>
                </c:pt>
                <c:pt idx="70">
                  <c:v>0</c:v>
                </c:pt>
                <c:pt idx="72">
                  <c:v>3.6281211299999998</c:v>
                </c:pt>
              </c:numCache>
            </c:numRef>
          </c:yVal>
        </c:ser>
        <c:ser>
          <c:idx val="2"/>
          <c:order val="2"/>
          <c:tx>
            <c:strRef>
              <c:f>'Dose vs. Time Graphs'!$D$240</c:f>
              <c:strCache>
                <c:ptCount val="1"/>
                <c:pt idx="0">
                  <c:v>285-#8055 10^10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Graphs'!$A$241:$A$316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Graphs'!$D$241:$D$316</c:f>
              <c:numCache>
                <c:formatCode>General</c:formatCode>
                <c:ptCount val="76"/>
                <c:pt idx="0">
                  <c:v>11.2848176</c:v>
                </c:pt>
                <c:pt idx="2">
                  <c:v>9.0005028800000009</c:v>
                </c:pt>
                <c:pt idx="4">
                  <c:v>7.4107330640000004</c:v>
                </c:pt>
                <c:pt idx="6">
                  <c:v>5.7505524689999996</c:v>
                </c:pt>
                <c:pt idx="9">
                  <c:v>7.0006912640000003</c:v>
                </c:pt>
                <c:pt idx="11">
                  <c:v>4.3289312119999996</c:v>
                </c:pt>
                <c:pt idx="13">
                  <c:v>4.4868746929999999</c:v>
                </c:pt>
                <c:pt idx="16">
                  <c:v>0</c:v>
                </c:pt>
                <c:pt idx="18">
                  <c:v>3.8229326619999999</c:v>
                </c:pt>
                <c:pt idx="20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30">
                  <c:v>0</c:v>
                </c:pt>
                <c:pt idx="32">
                  <c:v>0</c:v>
                </c:pt>
              </c:numCache>
            </c:numRef>
          </c:yVal>
        </c:ser>
        <c:ser>
          <c:idx val="3"/>
          <c:order val="3"/>
          <c:tx>
            <c:strRef>
              <c:f>'Dose vs. Time Graphs'!$E$240</c:f>
              <c:strCache>
                <c:ptCount val="1"/>
                <c:pt idx="0">
                  <c:v>252-14A 10^10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Graphs'!$A$241:$A$316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Graphs'!$E$241:$E$316</c:f>
              <c:numCache>
                <c:formatCode>General</c:formatCode>
                <c:ptCount val="76"/>
                <c:pt idx="0">
                  <c:v>11.51807039</c:v>
                </c:pt>
                <c:pt idx="2">
                  <c:v>9.0757943799999996</c:v>
                </c:pt>
                <c:pt idx="6">
                  <c:v>7.6804739030000002</c:v>
                </c:pt>
                <c:pt idx="8">
                  <c:v>8.0602822100000004</c:v>
                </c:pt>
                <c:pt idx="10">
                  <c:v>7.6841539870000002</c:v>
                </c:pt>
                <c:pt idx="13">
                  <c:v>5.8025134129999998</c:v>
                </c:pt>
                <c:pt idx="15">
                  <c:v>4.6497616400000004</c:v>
                </c:pt>
                <c:pt idx="17">
                  <c:v>5.8606841059999999</c:v>
                </c:pt>
                <c:pt idx="20">
                  <c:v>0</c:v>
                </c:pt>
                <c:pt idx="22">
                  <c:v>4.3995525869999996</c:v>
                </c:pt>
                <c:pt idx="24">
                  <c:v>0</c:v>
                </c:pt>
                <c:pt idx="27">
                  <c:v>6.6497520090000002</c:v>
                </c:pt>
                <c:pt idx="29">
                  <c:v>5.6446374720000003</c:v>
                </c:pt>
                <c:pt idx="31">
                  <c:v>3.987851649</c:v>
                </c:pt>
                <c:pt idx="34">
                  <c:v>3.987851649</c:v>
                </c:pt>
                <c:pt idx="36">
                  <c:v>0</c:v>
                </c:pt>
                <c:pt idx="38">
                  <c:v>3.9831570140000001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8">
                  <c:v>0</c:v>
                </c:pt>
                <c:pt idx="50">
                  <c:v>0</c:v>
                </c:pt>
              </c:numCache>
            </c:numRef>
          </c:yVal>
        </c:ser>
        <c:ser>
          <c:idx val="4"/>
          <c:order val="4"/>
          <c:tx>
            <c:strRef>
              <c:f>'Dose vs. Time Graphs'!$F$240</c:f>
              <c:strCache>
                <c:ptCount val="1"/>
                <c:pt idx="0">
                  <c:v>289-Tx3800 10^10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Graphs'!$A$241:$A$316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Graphs'!$F$241:$F$316</c:f>
              <c:numCache>
                <c:formatCode>General</c:formatCode>
                <c:ptCount val="76"/>
                <c:pt idx="0">
                  <c:v>4.8852581260000001</c:v>
                </c:pt>
                <c:pt idx="2">
                  <c:v>6.1767171090000001</c:v>
                </c:pt>
                <c:pt idx="5">
                  <c:v>5.5377788160000003</c:v>
                </c:pt>
                <c:pt idx="7">
                  <c:v>7.0853204109999997</c:v>
                </c:pt>
                <c:pt idx="9">
                  <c:v>5.1637165420000004</c:v>
                </c:pt>
                <c:pt idx="12">
                  <c:v>0</c:v>
                </c:pt>
                <c:pt idx="14">
                  <c:v>0</c:v>
                </c:pt>
                <c:pt idx="16">
                  <c:v>4.6854033529999999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</c:ser>
        <c:ser>
          <c:idx val="5"/>
          <c:order val="5"/>
          <c:tx>
            <c:strRef>
              <c:f>'Dose vs. Time Graphs'!$G$240</c:f>
              <c:strCache>
                <c:ptCount val="1"/>
                <c:pt idx="0">
                  <c:v>294-Tx1686 10^10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Graphs'!$A$241:$A$316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Graphs'!$G$241:$G$316</c:f>
              <c:numCache>
                <c:formatCode>General</c:formatCode>
                <c:ptCount val="76"/>
                <c:pt idx="0">
                  <c:v>11.704402050000001</c:v>
                </c:pt>
                <c:pt idx="2">
                  <c:v>11.20711017</c:v>
                </c:pt>
                <c:pt idx="4">
                  <c:v>8.700387697</c:v>
                </c:pt>
                <c:pt idx="6">
                  <c:v>7.701225268</c:v>
                </c:pt>
                <c:pt idx="9">
                  <c:v>4.509493451</c:v>
                </c:pt>
                <c:pt idx="11">
                  <c:v>8.0401750080000003</c:v>
                </c:pt>
                <c:pt idx="13">
                  <c:v>3.929364546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yVal>
        </c:ser>
        <c:ser>
          <c:idx val="1"/>
          <c:order val="1"/>
          <c:tx>
            <c:strRef>
              <c:f>'Dose vs. Time Graphs'!$C$240</c:f>
              <c:strCache>
                <c:ptCount val="1"/>
                <c:pt idx="0">
                  <c:v>217-W1 10^10</c:v>
                </c:pt>
              </c:strCache>
            </c:strRef>
          </c:tx>
          <c:spPr>
            <a:ln w="28575">
              <a:noFill/>
            </a:ln>
          </c:spPr>
          <c:xVal>
            <c:numRef>
              <c:f>'Dose vs. Time Graphs'!$A$241:$A$316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'Dose vs. Time Graphs'!$C$241:$C$316</c:f>
              <c:numCache>
                <c:formatCode>General</c:formatCode>
                <c:ptCount val="76"/>
                <c:pt idx="0">
                  <c:v>11.5012364</c:v>
                </c:pt>
                <c:pt idx="2">
                  <c:v>10.329398299999999</c:v>
                </c:pt>
                <c:pt idx="6">
                  <c:v>8.6663417000000003</c:v>
                </c:pt>
                <c:pt idx="8">
                  <c:v>6.9723716900000001</c:v>
                </c:pt>
                <c:pt idx="10">
                  <c:v>6.9723716900000001</c:v>
                </c:pt>
                <c:pt idx="13">
                  <c:v>5.3247113920000002</c:v>
                </c:pt>
                <c:pt idx="15">
                  <c:v>4.8973651990000002</c:v>
                </c:pt>
                <c:pt idx="17">
                  <c:v>7.9721388800000001</c:v>
                </c:pt>
                <c:pt idx="20">
                  <c:v>7.3823392200000004</c:v>
                </c:pt>
                <c:pt idx="22">
                  <c:v>5.97190596</c:v>
                </c:pt>
                <c:pt idx="24">
                  <c:v>4.625749613</c:v>
                </c:pt>
                <c:pt idx="27">
                  <c:v>0</c:v>
                </c:pt>
                <c:pt idx="29">
                  <c:v>5.6439651380000004</c:v>
                </c:pt>
                <c:pt idx="31">
                  <c:v>6.6332229399999996</c:v>
                </c:pt>
                <c:pt idx="34">
                  <c:v>4.8646273520000003</c:v>
                </c:pt>
                <c:pt idx="36">
                  <c:v>4.0439219800000004</c:v>
                </c:pt>
                <c:pt idx="38">
                  <c:v>5.9723721479999998</c:v>
                </c:pt>
                <c:pt idx="41">
                  <c:v>8.6330705000000005</c:v>
                </c:pt>
                <c:pt idx="43">
                  <c:v>8.3821037</c:v>
                </c:pt>
                <c:pt idx="45">
                  <c:v>7.9721388800000001</c:v>
                </c:pt>
                <c:pt idx="48">
                  <c:v>6.6329180169999997</c:v>
                </c:pt>
                <c:pt idx="50">
                  <c:v>9.5417945</c:v>
                </c:pt>
                <c:pt idx="52">
                  <c:v>4.7857788469999996</c:v>
                </c:pt>
                <c:pt idx="55">
                  <c:v>4.3260678800000001</c:v>
                </c:pt>
                <c:pt idx="57">
                  <c:v>3.8613636140000001</c:v>
                </c:pt>
                <c:pt idx="59">
                  <c:v>5.6332119509999998</c:v>
                </c:pt>
                <c:pt idx="62">
                  <c:v>0</c:v>
                </c:pt>
                <c:pt idx="64">
                  <c:v>3.4797552089999999</c:v>
                </c:pt>
                <c:pt idx="66">
                  <c:v>0</c:v>
                </c:pt>
                <c:pt idx="69">
                  <c:v>3.7880472360000002</c:v>
                </c:pt>
                <c:pt idx="71">
                  <c:v>4.4430369699999996</c:v>
                </c:pt>
                <c:pt idx="73">
                  <c:v>0</c:v>
                </c:pt>
              </c:numCache>
            </c:numRef>
          </c:yVal>
        </c:ser>
        <c:dLbls/>
        <c:axId val="75549312"/>
        <c:axId val="75559680"/>
      </c:scatterChart>
      <c:valAx>
        <c:axId val="75549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  <a:r>
                  <a:rPr lang="en-US" baseline="0"/>
                  <a:t> Post-Inoculation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559680"/>
        <c:crosses val="autoZero"/>
        <c:crossBetween val="midCat"/>
      </c:valAx>
      <c:valAx>
        <c:axId val="75559680"/>
        <c:scaling>
          <c:orientation val="minMax"/>
          <c:max val="12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10</a:t>
                </a:r>
                <a:r>
                  <a:rPr lang="en-US" baseline="0"/>
                  <a:t> MPN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549312"/>
        <c:crosses val="autoZero"/>
        <c:crossBetween val="midCat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>
        <c:manualLayout>
          <c:layoutTarget val="inner"/>
          <c:xMode val="edge"/>
          <c:yMode val="edge"/>
          <c:x val="0.14795607972584215"/>
          <c:y val="3.950690624744907E-2"/>
          <c:w val="0.83603227544155234"/>
          <c:h val="0.87430077577026133"/>
        </c:manualLayout>
      </c:layout>
      <c:barChart>
        <c:barDir val="col"/>
        <c:grouping val="clustered"/>
        <c:ser>
          <c:idx val="0"/>
          <c:order val="0"/>
          <c:tx>
            <c:strRef>
              <c:f>'Tissue MPN Graphs'!$B$9</c:f>
              <c:strCache>
                <c:ptCount val="1"/>
                <c:pt idx="0">
                  <c:v>W1 at 10¹⁰</c:v>
                </c:pt>
              </c:strCache>
            </c:strRef>
          </c:tx>
          <c:spPr>
            <a:solidFill>
              <a:sysClr val="window" lastClr="FFFFFF">
                <a:lumMod val="75000"/>
                <a:alpha val="53000"/>
              </a:sysClr>
            </a:solidFill>
            <a:ln>
              <a:solidFill>
                <a:schemeClr val="tx1"/>
              </a:solidFill>
              <a:prstDash val="solid"/>
            </a:ln>
          </c:spPr>
          <c:cat>
            <c:strRef>
              <c:f>'Tissue MPN Graphs'!$A$10:$A$13</c:f>
              <c:strCache>
                <c:ptCount val="4"/>
                <c:pt idx="0">
                  <c:v>Jejunum</c:v>
                </c:pt>
                <c:pt idx="1">
                  <c:v>Cecum</c:v>
                </c:pt>
                <c:pt idx="2">
                  <c:v>Spiral Colon</c:v>
                </c:pt>
                <c:pt idx="3">
                  <c:v>Rectum</c:v>
                </c:pt>
              </c:strCache>
            </c:strRef>
          </c:cat>
          <c:val>
            <c:numRef>
              <c:f>'Tissue MPN Graphs'!$B$10:$B$13</c:f>
              <c:numCache>
                <c:formatCode>General</c:formatCode>
                <c:ptCount val="4"/>
                <c:pt idx="0">
                  <c:v>3.8682143000000002E-2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'Tissue MPN Graphs'!$C$9</c:f>
              <c:strCache>
                <c:ptCount val="1"/>
                <c:pt idx="0">
                  <c:v>14A 10⁸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dPt>
            <c:idx val="1"/>
            <c:spPr>
              <a:solidFill>
                <a:schemeClr val="tx1"/>
              </a:solidFill>
            </c:spPr>
          </c:dPt>
          <c:dPt>
            <c:idx val="2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tx1"/>
              </a:solidFill>
            </c:spPr>
          </c:dPt>
          <c:cat>
            <c:strRef>
              <c:f>'Tissue MPN Graphs'!$A$10:$A$13</c:f>
              <c:strCache>
                <c:ptCount val="4"/>
                <c:pt idx="0">
                  <c:v>Jejunum</c:v>
                </c:pt>
                <c:pt idx="1">
                  <c:v>Cecum</c:v>
                </c:pt>
                <c:pt idx="2">
                  <c:v>Spiral Colon</c:v>
                </c:pt>
                <c:pt idx="3">
                  <c:v>Rectum</c:v>
                </c:pt>
              </c:strCache>
            </c:strRef>
          </c:cat>
          <c:val>
            <c:numRef>
              <c:f>'Tissue MPN Graphs'!$C$10:$C$13</c:f>
              <c:numCache>
                <c:formatCode>General</c:formatCode>
                <c:ptCount val="4"/>
                <c:pt idx="0">
                  <c:v>0</c:v>
                </c:pt>
                <c:pt idx="1">
                  <c:v>1.6198060430000001</c:v>
                </c:pt>
                <c:pt idx="2">
                  <c:v>0.65025865000000005</c:v>
                </c:pt>
                <c:pt idx="3">
                  <c:v>1.652958648</c:v>
                </c:pt>
              </c:numCache>
            </c:numRef>
          </c:val>
        </c:ser>
        <c:ser>
          <c:idx val="2"/>
          <c:order val="2"/>
          <c:tx>
            <c:strRef>
              <c:f>'Tissue MPN Graphs'!$D$9</c:f>
              <c:strCache>
                <c:ptCount val="1"/>
                <c:pt idx="0">
                  <c:v>Tx1686 10⁸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cat>
            <c:strRef>
              <c:f>'Tissue MPN Graphs'!$A$10:$A$13</c:f>
              <c:strCache>
                <c:ptCount val="4"/>
                <c:pt idx="0">
                  <c:v>Jejunum</c:v>
                </c:pt>
                <c:pt idx="1">
                  <c:v>Cecum</c:v>
                </c:pt>
                <c:pt idx="2">
                  <c:v>Spiral Colon</c:v>
                </c:pt>
                <c:pt idx="3">
                  <c:v>Rectum</c:v>
                </c:pt>
              </c:strCache>
            </c:strRef>
          </c:cat>
          <c:val>
            <c:numRef>
              <c:f>'Tissue MPN Graphs'!$D$10:$D$13</c:f>
              <c:numCache>
                <c:formatCode>General</c:formatCode>
                <c:ptCount val="4"/>
                <c:pt idx="0">
                  <c:v>0</c:v>
                </c:pt>
                <c:pt idx="1">
                  <c:v>3.8682143000000002E-2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axId val="76784768"/>
        <c:axId val="76786304"/>
      </c:barChart>
      <c:catAx>
        <c:axId val="76784768"/>
        <c:scaling>
          <c:orientation val="minMax"/>
        </c:scaling>
        <c:axPos val="b"/>
        <c:majorTickMark val="none"/>
        <c:tickLblPos val="nextTo"/>
        <c:crossAx val="76786304"/>
        <c:crosses val="autoZero"/>
        <c:auto val="1"/>
        <c:lblAlgn val="ctr"/>
        <c:lblOffset val="100"/>
      </c:catAx>
      <c:valAx>
        <c:axId val="76786304"/>
        <c:scaling>
          <c:orientation val="minMax"/>
          <c:max val="1.8"/>
        </c:scaling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Log₁₀(MPN </a:t>
                </a:r>
                <a:r>
                  <a:rPr lang="en-US" b="0" i="1"/>
                  <a:t>E. coli </a:t>
                </a:r>
                <a:r>
                  <a:rPr lang="en-US" b="0"/>
                  <a:t>O157:H7/g of tissue)</a:t>
                </a:r>
              </a:p>
            </c:rich>
          </c:tx>
          <c:layout>
            <c:manualLayout>
              <c:xMode val="edge"/>
              <c:yMode val="edge"/>
              <c:x val="7.8931678300037819E-2"/>
              <c:y val="0.13889288651558312"/>
            </c:manualLayout>
          </c:layout>
        </c:title>
        <c:numFmt formatCode="General" sourceLinked="1"/>
        <c:tickLblPos val="nextTo"/>
        <c:crossAx val="76784768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54489896732340781"/>
          <c:y val="3.3701959078248474E-2"/>
          <c:w val="0.42548602276243874"/>
          <c:h val="6.2301165842641816E-2"/>
        </c:manualLayout>
      </c:layout>
      <c:spPr>
        <a:noFill/>
      </c:spPr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 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/>
      <c:scatterChart>
        <c:scatterStyle val="lineMarker"/>
        <c:ser>
          <c:idx val="2"/>
          <c:order val="0"/>
          <c:tx>
            <c:strRef>
              <c:f>'Normal Shedder Charts'!$D$107</c:f>
              <c:strCache>
                <c:ptCount val="1"/>
                <c:pt idx="0">
                  <c:v>10⁶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marker>
          <c:xVal>
            <c:numRef>
              <c:f>'Normal Shedder Charts'!$A$108:$A$182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'Normal Shedder Charts'!$D$108:$D$182</c:f>
              <c:numCache>
                <c:formatCode>General</c:formatCode>
                <c:ptCount val="75"/>
                <c:pt idx="0">
                  <c:v>0</c:v>
                </c:pt>
                <c:pt idx="2">
                  <c:v>3.5661899269999999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3">
                  <c:v>4.6532318149999998</c:v>
                </c:pt>
                <c:pt idx="15">
                  <c:v>3.9782980939999999</c:v>
                </c:pt>
              </c:numCache>
            </c:numRef>
          </c:yVal>
        </c:ser>
        <c:ser>
          <c:idx val="3"/>
          <c:order val="1"/>
          <c:tx>
            <c:strRef>
              <c:f>'Normal Shedder Charts'!$E$107</c:f>
              <c:strCache>
                <c:ptCount val="1"/>
                <c:pt idx="0">
                  <c:v>10⁸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'Normal Shedder Charts'!$A$108:$A$182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'Normal Shedder Charts'!$E$108:$E$182</c:f>
              <c:numCache>
                <c:formatCode>General</c:formatCode>
                <c:ptCount val="75"/>
                <c:pt idx="0">
                  <c:v>9.0794620300000002</c:v>
                </c:pt>
                <c:pt idx="2">
                  <c:v>8.1839211600000006</c:v>
                </c:pt>
                <c:pt idx="6">
                  <c:v>8.6782209100000003</c:v>
                </c:pt>
                <c:pt idx="8">
                  <c:v>8.0578871000000003</c:v>
                </c:pt>
                <c:pt idx="10">
                  <c:v>7.6817588700000003</c:v>
                </c:pt>
                <c:pt idx="13">
                  <c:v>0</c:v>
                </c:pt>
                <c:pt idx="15">
                  <c:v>0</c:v>
                </c:pt>
                <c:pt idx="17">
                  <c:v>7.986717466</c:v>
                </c:pt>
                <c:pt idx="20">
                  <c:v>0</c:v>
                </c:pt>
              </c:numCache>
            </c:numRef>
          </c:yVal>
        </c:ser>
        <c:ser>
          <c:idx val="4"/>
          <c:order val="2"/>
          <c:tx>
            <c:strRef>
              <c:f>'Normal Shedder Charts'!$F$107</c:f>
              <c:strCache>
                <c:ptCount val="1"/>
                <c:pt idx="0">
                  <c:v>10¹⁰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</c:spPr>
          </c:marker>
          <c:xVal>
            <c:numRef>
              <c:f>'Normal Shedder Charts'!$A$108:$A$182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'Normal Shedder Charts'!$F$108:$F$182</c:f>
              <c:numCache>
                <c:formatCode>General</c:formatCode>
                <c:ptCount val="75"/>
                <c:pt idx="0">
                  <c:v>11.5012364</c:v>
                </c:pt>
                <c:pt idx="2">
                  <c:v>10.329398299999999</c:v>
                </c:pt>
                <c:pt idx="6">
                  <c:v>8.6663417000000003</c:v>
                </c:pt>
                <c:pt idx="8">
                  <c:v>6.9723716900000001</c:v>
                </c:pt>
                <c:pt idx="10">
                  <c:v>6.9723716900000001</c:v>
                </c:pt>
                <c:pt idx="13">
                  <c:v>5.3247113920000002</c:v>
                </c:pt>
                <c:pt idx="15">
                  <c:v>4.8973651990000002</c:v>
                </c:pt>
                <c:pt idx="17">
                  <c:v>7.9721388800000001</c:v>
                </c:pt>
                <c:pt idx="20">
                  <c:v>7.3823392200000004</c:v>
                </c:pt>
                <c:pt idx="22">
                  <c:v>5.97190596</c:v>
                </c:pt>
                <c:pt idx="24">
                  <c:v>4.625749613</c:v>
                </c:pt>
                <c:pt idx="27">
                  <c:v>0</c:v>
                </c:pt>
                <c:pt idx="29">
                  <c:v>5.6439651380000004</c:v>
                </c:pt>
                <c:pt idx="31">
                  <c:v>6.6332229399999996</c:v>
                </c:pt>
                <c:pt idx="34">
                  <c:v>4.8646273520000003</c:v>
                </c:pt>
                <c:pt idx="36">
                  <c:v>4.0439219800000004</c:v>
                </c:pt>
                <c:pt idx="38">
                  <c:v>5.9723721479999998</c:v>
                </c:pt>
                <c:pt idx="41">
                  <c:v>8.6330705000000005</c:v>
                </c:pt>
                <c:pt idx="43">
                  <c:v>8.3821037</c:v>
                </c:pt>
                <c:pt idx="45">
                  <c:v>7.9721388800000001</c:v>
                </c:pt>
                <c:pt idx="48">
                  <c:v>6.6329180169999997</c:v>
                </c:pt>
                <c:pt idx="50">
                  <c:v>9.5417945</c:v>
                </c:pt>
                <c:pt idx="52">
                  <c:v>4.7857788469999996</c:v>
                </c:pt>
                <c:pt idx="55">
                  <c:v>4.3260678800000001</c:v>
                </c:pt>
                <c:pt idx="57">
                  <c:v>3.8613636140000001</c:v>
                </c:pt>
                <c:pt idx="59">
                  <c:v>5.6332119509999998</c:v>
                </c:pt>
                <c:pt idx="62">
                  <c:v>0</c:v>
                </c:pt>
                <c:pt idx="64">
                  <c:v>3.4797552089999999</c:v>
                </c:pt>
                <c:pt idx="66">
                  <c:v>0</c:v>
                </c:pt>
                <c:pt idx="69">
                  <c:v>3.7880472360000002</c:v>
                </c:pt>
                <c:pt idx="71">
                  <c:v>4.4430369699999996</c:v>
                </c:pt>
                <c:pt idx="73">
                  <c:v>0</c:v>
                </c:pt>
              </c:numCache>
            </c:numRef>
          </c:yVal>
        </c:ser>
        <c:dLbls/>
        <c:axId val="72270592"/>
        <c:axId val="72272512"/>
      </c:scatterChart>
      <c:valAx>
        <c:axId val="72270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Days Post-Inoculation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2272512"/>
        <c:crosses val="autoZero"/>
        <c:crossBetween val="midCat"/>
      </c:valAx>
      <c:valAx>
        <c:axId val="72272512"/>
        <c:scaling>
          <c:orientation val="minMax"/>
          <c:max val="12"/>
        </c:scaling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Log₁₀ (MPN </a:t>
                </a:r>
                <a:r>
                  <a:rPr lang="en-US" b="0" i="1"/>
                  <a:t>E. coli </a:t>
                </a:r>
                <a:r>
                  <a:rPr lang="en-US" b="0"/>
                  <a:t>O157:H7/g</a:t>
                </a:r>
                <a:r>
                  <a:rPr lang="en-US" b="0" baseline="0"/>
                  <a:t> of feces)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1.346801168270478E-2"/>
              <c:y val="0.21533492204833654"/>
            </c:manualLayout>
          </c:layout>
        </c:title>
        <c:numFmt formatCode="General" sourceLinked="1"/>
        <c:majorTickMark val="none"/>
        <c:tickLblPos val="nextTo"/>
        <c:crossAx val="72270592"/>
        <c:crosses val="autoZero"/>
        <c:crossBetween val="midCat"/>
      </c:valAx>
      <c:spPr>
        <a:noFill/>
      </c:spPr>
    </c:plotArea>
    <c:legend>
      <c:legendPos val="t"/>
      <c:layout>
        <c:manualLayout>
          <c:xMode val="edge"/>
          <c:yMode val="edge"/>
          <c:x val="0.65526571527713762"/>
          <c:y val="0.1141020344675709"/>
          <c:w val="0.21159906269896556"/>
          <c:h val="5.9301630188479872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 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'Normal Shedder Charts'!$B$187</c:f>
              <c:strCache>
                <c:ptCount val="1"/>
                <c:pt idx="0">
                  <c:v>10²</c:v>
                </c:pt>
              </c:strCache>
            </c:strRef>
          </c:tx>
          <c:spPr>
            <a:ln w="28575">
              <a:noFill/>
            </a:ln>
          </c:spPr>
          <c:xVal>
            <c:numRef>
              <c:f>'Normal Shedder Charts'!$A$188:$A$220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xVal>
          <c:yVal>
            <c:numRef>
              <c:f>'Normal Shedder Charts'!$B$188:$B$220</c:f>
              <c:numCache>
                <c:formatCode>General</c:formatCode>
                <c:ptCount val="33"/>
                <c:pt idx="0">
                  <c:v>3.6681180320000002</c:v>
                </c:pt>
                <c:pt idx="2">
                  <c:v>5.4903371029999999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</c:ser>
        <c:ser>
          <c:idx val="2"/>
          <c:order val="1"/>
          <c:tx>
            <c:strRef>
              <c:f>'Normal Shedder Charts'!$D$187</c:f>
              <c:strCache>
                <c:ptCount val="1"/>
                <c:pt idx="0">
                  <c:v>10⁶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marker>
          <c:xVal>
            <c:numRef>
              <c:f>'Normal Shedder Charts'!$A$188:$A$220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xVal>
          <c:yVal>
            <c:numRef>
              <c:f>'Normal Shedder Charts'!$D$188:$D$220</c:f>
              <c:numCache>
                <c:formatCode>General</c:formatCode>
                <c:ptCount val="33"/>
                <c:pt idx="0">
                  <c:v>4.3808261699999997</c:v>
                </c:pt>
                <c:pt idx="2">
                  <c:v>3.5839613789999998</c:v>
                </c:pt>
                <c:pt idx="4">
                  <c:v>4.1818089430000001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</c:ser>
        <c:ser>
          <c:idx val="3"/>
          <c:order val="2"/>
          <c:tx>
            <c:strRef>
              <c:f>'Normal Shedder Charts'!$E$187</c:f>
              <c:strCache>
                <c:ptCount val="1"/>
                <c:pt idx="0">
                  <c:v>10⁸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'Normal Shedder Charts'!$A$188:$A$220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xVal>
          <c:yVal>
            <c:numRef>
              <c:f>'Normal Shedder Charts'!$E$188:$E$220</c:f>
              <c:numCache>
                <c:formatCode>General</c:formatCode>
                <c:ptCount val="33"/>
                <c:pt idx="0">
                  <c:v>6.9046777029999999</c:v>
                </c:pt>
                <c:pt idx="2">
                  <c:v>3.5674063280000001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</c:ser>
        <c:ser>
          <c:idx val="4"/>
          <c:order val="3"/>
          <c:tx>
            <c:strRef>
              <c:f>'Normal Shedder Charts'!$F$187</c:f>
              <c:strCache>
                <c:ptCount val="1"/>
                <c:pt idx="0">
                  <c:v>10¹⁰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bg1">
                  <a:lumMod val="75000"/>
                </a:schemeClr>
              </a:solidFill>
            </c:spPr>
          </c:marker>
          <c:xVal>
            <c:numRef>
              <c:f>'Normal Shedder Charts'!$A$188:$A$220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xVal>
          <c:yVal>
            <c:numRef>
              <c:f>'Normal Shedder Charts'!$F$188:$F$220</c:f>
              <c:numCache>
                <c:formatCode>General</c:formatCode>
                <c:ptCount val="33"/>
                <c:pt idx="0">
                  <c:v>11.2848176</c:v>
                </c:pt>
                <c:pt idx="2">
                  <c:v>9.0005028800000009</c:v>
                </c:pt>
                <c:pt idx="4">
                  <c:v>7.4107330640000004</c:v>
                </c:pt>
                <c:pt idx="6">
                  <c:v>5.7505524689999996</c:v>
                </c:pt>
                <c:pt idx="9">
                  <c:v>7.0006912640000003</c:v>
                </c:pt>
                <c:pt idx="11">
                  <c:v>4.3289312119999996</c:v>
                </c:pt>
                <c:pt idx="13">
                  <c:v>4.4868746929999999</c:v>
                </c:pt>
                <c:pt idx="16">
                  <c:v>0</c:v>
                </c:pt>
                <c:pt idx="18">
                  <c:v>3.8229326619999999</c:v>
                </c:pt>
                <c:pt idx="20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30">
                  <c:v>0</c:v>
                </c:pt>
                <c:pt idx="32">
                  <c:v>0</c:v>
                </c:pt>
              </c:numCache>
            </c:numRef>
          </c:yVal>
        </c:ser>
        <c:dLbls/>
        <c:axId val="72792320"/>
        <c:axId val="72884608"/>
      </c:scatterChart>
      <c:valAx>
        <c:axId val="72792320"/>
        <c:scaling>
          <c:orientation val="minMax"/>
          <c:max val="80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Days Post-Inoculation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2884608"/>
        <c:crosses val="autoZero"/>
        <c:crossBetween val="midCat"/>
      </c:valAx>
      <c:valAx>
        <c:axId val="72884608"/>
        <c:scaling>
          <c:orientation val="minMax"/>
          <c:max val="12"/>
        </c:scaling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Log₁₀ (MPN </a:t>
                </a:r>
                <a:r>
                  <a:rPr lang="en-US" b="0" i="1"/>
                  <a:t>E. coli </a:t>
                </a:r>
                <a:r>
                  <a:rPr lang="en-US" b="0"/>
                  <a:t>O157:H7/g of feces)</a:t>
                </a:r>
              </a:p>
            </c:rich>
          </c:tx>
          <c:layout>
            <c:manualLayout>
              <c:xMode val="edge"/>
              <c:yMode val="edge"/>
              <c:x val="1.2089808373137455E-2"/>
              <c:y val="0.23528244650770036"/>
            </c:manualLayout>
          </c:layout>
        </c:title>
        <c:numFmt formatCode="General" sourceLinked="1"/>
        <c:majorTickMark val="none"/>
        <c:tickLblPos val="nextTo"/>
        <c:crossAx val="72792320"/>
        <c:crosses val="autoZero"/>
        <c:crossBetween val="midCat"/>
      </c:valAx>
      <c:spPr>
        <a:noFill/>
      </c:spPr>
    </c:plotArea>
    <c:legend>
      <c:legendPos val="t"/>
      <c:layout>
        <c:manualLayout>
          <c:xMode val="edge"/>
          <c:yMode val="edge"/>
          <c:x val="0.49851338874880824"/>
          <c:y val="0.16126713519999894"/>
          <c:w val="0.40728211724231067"/>
          <c:h val="5.9045494474695884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 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/>
      <c:scatterChart>
        <c:scatterStyle val="lineMarker"/>
        <c:ser>
          <c:idx val="1"/>
          <c:order val="0"/>
          <c:tx>
            <c:strRef>
              <c:f>'High Shedder Strain Charts'!$C$1</c:f>
              <c:strCache>
                <c:ptCount val="1"/>
                <c:pt idx="0">
                  <c:v> 10⁴</c:v>
                </c:pt>
              </c:strCache>
            </c:strRef>
          </c:tx>
          <c:spPr>
            <a:ln w="28575">
              <a:noFill/>
            </a:ln>
          </c:spPr>
          <c:xVal>
            <c:numRef>
              <c:f>'High Shedder Strain Charts'!$A$2:$A$76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'High Shedder Strain Charts'!$C$2:$C$76</c:f>
              <c:numCache>
                <c:formatCode>General</c:formatCode>
                <c:ptCount val="75"/>
                <c:pt idx="0">
                  <c:v>4.9540446190000003</c:v>
                </c:pt>
                <c:pt idx="2">
                  <c:v>3.5709396940000002</c:v>
                </c:pt>
                <c:pt idx="6">
                  <c:v>0</c:v>
                </c:pt>
                <c:pt idx="8">
                  <c:v>4.071462232</c:v>
                </c:pt>
                <c:pt idx="10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20">
                  <c:v>0</c:v>
                </c:pt>
              </c:numCache>
            </c:numRef>
          </c:yVal>
        </c:ser>
        <c:ser>
          <c:idx val="3"/>
          <c:order val="1"/>
          <c:tx>
            <c:strRef>
              <c:f>'High Shedder Strain Charts'!$E$1</c:f>
              <c:strCache>
                <c:ptCount val="1"/>
                <c:pt idx="0">
                  <c:v> 10⁸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gradFill>
                <a:gsLst>
                  <a:gs pos="0">
                    <a:sysClr val="window" lastClr="FFFFFF">
                      <a:lumMod val="50000"/>
                    </a:sys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ysClr val="window" lastClr="FFFFFF">
                    <a:lumMod val="50000"/>
                  </a:sysClr>
                </a:solidFill>
              </a:ln>
            </c:spPr>
          </c:marker>
          <c:xVal>
            <c:numRef>
              <c:f>'High Shedder Strain Charts'!$A$2:$A$76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'High Shedder Strain Charts'!$E$2:$E$76</c:f>
              <c:numCache>
                <c:formatCode>General</c:formatCode>
                <c:ptCount val="75"/>
                <c:pt idx="0">
                  <c:v>10.03751209</c:v>
                </c:pt>
                <c:pt idx="2">
                  <c:v>7.9772026010000001</c:v>
                </c:pt>
                <c:pt idx="6">
                  <c:v>6.6377489279999997</c:v>
                </c:pt>
                <c:pt idx="8">
                  <c:v>6.1746385779999997</c:v>
                </c:pt>
                <c:pt idx="10">
                  <c:v>4.9021960499999997</c:v>
                </c:pt>
                <c:pt idx="13">
                  <c:v>5.6507746000000001</c:v>
                </c:pt>
                <c:pt idx="15">
                  <c:v>6.3871703100000001</c:v>
                </c:pt>
                <c:pt idx="17">
                  <c:v>5.9758043609999998</c:v>
                </c:pt>
                <c:pt idx="20">
                  <c:v>4.3169720529999998</c:v>
                </c:pt>
                <c:pt idx="22">
                  <c:v>3.8766103759999999</c:v>
                </c:pt>
                <c:pt idx="24">
                  <c:v>3.5637420579999999</c:v>
                </c:pt>
                <c:pt idx="27">
                  <c:v>6.6377489279999997</c:v>
                </c:pt>
                <c:pt idx="29">
                  <c:v>9.9735148000000002</c:v>
                </c:pt>
                <c:pt idx="31">
                  <c:v>9.3036284699999996</c:v>
                </c:pt>
                <c:pt idx="34">
                  <c:v>7.638053846</c:v>
                </c:pt>
                <c:pt idx="36">
                  <c:v>6.6507737259999997</c:v>
                </c:pt>
                <c:pt idx="38">
                  <c:v>7.1743427779999998</c:v>
                </c:pt>
                <c:pt idx="41">
                  <c:v>10.36235138</c:v>
                </c:pt>
                <c:pt idx="43">
                  <c:v>7.3713088009999996</c:v>
                </c:pt>
                <c:pt idx="45">
                  <c:v>8.3871339099999993</c:v>
                </c:pt>
                <c:pt idx="48">
                  <c:v>0</c:v>
                </c:pt>
                <c:pt idx="50">
                  <c:v>4.5871157870000001</c:v>
                </c:pt>
                <c:pt idx="52">
                  <c:v>8.3867990470000002</c:v>
                </c:pt>
                <c:pt idx="55">
                  <c:v>6.9771077579999998</c:v>
                </c:pt>
                <c:pt idx="57">
                  <c:v>7.1743139820000001</c:v>
                </c:pt>
                <c:pt idx="59">
                  <c:v>6.6380404070000001</c:v>
                </c:pt>
                <c:pt idx="62">
                  <c:v>3.785680852</c:v>
                </c:pt>
                <c:pt idx="64">
                  <c:v>7.1743184189999996</c:v>
                </c:pt>
                <c:pt idx="66">
                  <c:v>7.064961329</c:v>
                </c:pt>
                <c:pt idx="69">
                  <c:v>0</c:v>
                </c:pt>
                <c:pt idx="71">
                  <c:v>5.977111345</c:v>
                </c:pt>
                <c:pt idx="73">
                  <c:v>6.6137150650000001</c:v>
                </c:pt>
              </c:numCache>
            </c:numRef>
          </c:yVal>
        </c:ser>
        <c:ser>
          <c:idx val="4"/>
          <c:order val="2"/>
          <c:tx>
            <c:strRef>
              <c:f>'High Shedder Strain Charts'!$F$1</c:f>
              <c:strCache>
                <c:ptCount val="1"/>
                <c:pt idx="0">
                  <c:v>10¹⁰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ysClr val="window" lastClr="FFFFFF">
                  <a:lumMod val="75000"/>
                </a:sysClr>
              </a:solidFill>
              <a:ln>
                <a:gradFill>
                  <a:gsLst>
                    <a:gs pos="0">
                      <a:schemeClr val="bg1">
                        <a:lumMod val="75000"/>
                      </a:schemeClr>
                    </a:gs>
                    <a:gs pos="50000">
                      <a:srgbClr val="4F81BD">
                        <a:tint val="44500"/>
                        <a:satMod val="160000"/>
                      </a:srgbClr>
                    </a:gs>
                    <a:gs pos="100000">
                      <a:srgbClr val="4F81BD">
                        <a:tint val="23500"/>
                        <a:satMod val="160000"/>
                      </a:srgbClr>
                    </a:gs>
                  </a:gsLst>
                  <a:lin ang="5400000" scaled="0"/>
                </a:gradFill>
              </a:ln>
            </c:spPr>
          </c:marker>
          <c:xVal>
            <c:numRef>
              <c:f>'High Shedder Strain Charts'!$A$2:$A$76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'High Shedder Strain Charts'!$F$2:$F$76</c:f>
              <c:numCache>
                <c:formatCode>General</c:formatCode>
                <c:ptCount val="75"/>
                <c:pt idx="0">
                  <c:v>11.51807039</c:v>
                </c:pt>
                <c:pt idx="2">
                  <c:v>9.0757943799999996</c:v>
                </c:pt>
                <c:pt idx="6">
                  <c:v>7.6804739030000002</c:v>
                </c:pt>
                <c:pt idx="8">
                  <c:v>8.0602822100000004</c:v>
                </c:pt>
                <c:pt idx="10">
                  <c:v>7.6841539870000002</c:v>
                </c:pt>
                <c:pt idx="13">
                  <c:v>5.8025134129999998</c:v>
                </c:pt>
                <c:pt idx="15">
                  <c:v>4.6497616400000004</c:v>
                </c:pt>
                <c:pt idx="17">
                  <c:v>5.8606841059999999</c:v>
                </c:pt>
                <c:pt idx="20">
                  <c:v>0</c:v>
                </c:pt>
                <c:pt idx="22">
                  <c:v>4.3995525869999996</c:v>
                </c:pt>
                <c:pt idx="24">
                  <c:v>0</c:v>
                </c:pt>
                <c:pt idx="27">
                  <c:v>6.6497520090000002</c:v>
                </c:pt>
                <c:pt idx="29">
                  <c:v>5.6446374720000003</c:v>
                </c:pt>
                <c:pt idx="31">
                  <c:v>3.987851649</c:v>
                </c:pt>
                <c:pt idx="34">
                  <c:v>3.987851649</c:v>
                </c:pt>
                <c:pt idx="36">
                  <c:v>0</c:v>
                </c:pt>
                <c:pt idx="38">
                  <c:v>3.9831570140000001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8">
                  <c:v>0</c:v>
                </c:pt>
                <c:pt idx="50">
                  <c:v>0</c:v>
                </c:pt>
              </c:numCache>
            </c:numRef>
          </c:yVal>
        </c:ser>
        <c:dLbls/>
        <c:axId val="74001408"/>
        <c:axId val="74032256"/>
      </c:scatterChart>
      <c:valAx>
        <c:axId val="74001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Days Post-Inoculation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4032256"/>
        <c:crosses val="autoZero"/>
        <c:crossBetween val="midCat"/>
      </c:valAx>
      <c:valAx>
        <c:axId val="74032256"/>
        <c:scaling>
          <c:orientation val="minMax"/>
          <c:max val="12"/>
        </c:scaling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Log₁₀ (MPN </a:t>
                </a:r>
                <a:r>
                  <a:rPr lang="en-US" b="0" i="1"/>
                  <a:t>E. coli </a:t>
                </a:r>
                <a:r>
                  <a:rPr lang="en-US" b="0"/>
                  <a:t>O157:H7/g of feces)</a:t>
                </a:r>
              </a:p>
            </c:rich>
          </c:tx>
          <c:layout>
            <c:manualLayout>
              <c:xMode val="edge"/>
              <c:yMode val="edge"/>
              <c:x val="9.840097130281597E-3"/>
              <c:y val="0.2040303339428538"/>
            </c:manualLayout>
          </c:layout>
        </c:title>
        <c:numFmt formatCode="General" sourceLinked="1"/>
        <c:majorTickMark val="none"/>
        <c:tickLblPos val="nextTo"/>
        <c:crossAx val="74001408"/>
        <c:crosses val="autoZero"/>
        <c:crossBetween val="midCat"/>
      </c:valAx>
      <c:spPr>
        <a:noFill/>
      </c:spPr>
    </c:plotArea>
    <c:legend>
      <c:legendPos val="t"/>
      <c:layout>
        <c:manualLayout>
          <c:xMode val="edge"/>
          <c:yMode val="edge"/>
          <c:x val="0.59491676108565494"/>
          <c:y val="0.1075268003352743"/>
          <c:w val="0.31539472984697503"/>
          <c:h val="6.3576862948943921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 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autoTitleDeleted val="1"/>
    <c:plotArea>
      <c:layout>
        <c:manualLayout>
          <c:layoutTarget val="inner"/>
          <c:xMode val="edge"/>
          <c:yMode val="edge"/>
          <c:x val="0.13654363766326566"/>
          <c:y val="8.6527628555473329E-2"/>
          <c:w val="0.82076566792958716"/>
          <c:h val="0.74816820370403103"/>
        </c:manualLayout>
      </c:layout>
      <c:scatterChart>
        <c:scatterStyle val="lineMarker"/>
        <c:ser>
          <c:idx val="0"/>
          <c:order val="0"/>
          <c:tx>
            <c:strRef>
              <c:f>'High Shedder Strain Charts'!$B$80</c:f>
              <c:strCache>
                <c:ptCount val="1"/>
                <c:pt idx="0">
                  <c:v> 10²</c:v>
                </c:pt>
              </c:strCache>
            </c:strRef>
          </c:tx>
          <c:spPr>
            <a:ln w="28575">
              <a:noFill/>
            </a:ln>
          </c:spPr>
          <c:xVal>
            <c:numRef>
              <c:f>'High Shedder Strain Charts'!$A$81:$A$130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'High Shedder Strain Charts'!$B$81:$B$130</c:f>
              <c:numCache>
                <c:formatCode>General</c:formatCode>
                <c:ptCount val="50"/>
                <c:pt idx="0">
                  <c:v>4.0351665680000002</c:v>
                </c:pt>
                <c:pt idx="2">
                  <c:v>0</c:v>
                </c:pt>
                <c:pt idx="5">
                  <c:v>0</c:v>
                </c:pt>
                <c:pt idx="7">
                  <c:v>4.391239466</c:v>
                </c:pt>
                <c:pt idx="9">
                  <c:v>4.6597865580000004</c:v>
                </c:pt>
                <c:pt idx="12">
                  <c:v>3.9396705160000001</c:v>
                </c:pt>
                <c:pt idx="14">
                  <c:v>3.9475388589999998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4.3793614510000003</c:v>
                </c:pt>
                <c:pt idx="26">
                  <c:v>4.0500563400000003</c:v>
                </c:pt>
                <c:pt idx="28">
                  <c:v>5.6445907579999997</c:v>
                </c:pt>
                <c:pt idx="30">
                  <c:v>4.4606529080000001</c:v>
                </c:pt>
                <c:pt idx="33">
                  <c:v>7.0505965819999998</c:v>
                </c:pt>
                <c:pt idx="35">
                  <c:v>4.5364437989999997</c:v>
                </c:pt>
                <c:pt idx="37">
                  <c:v>0</c:v>
                </c:pt>
                <c:pt idx="40">
                  <c:v>0</c:v>
                </c:pt>
                <c:pt idx="42">
                  <c:v>0</c:v>
                </c:pt>
                <c:pt idx="44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</c:ser>
        <c:ser>
          <c:idx val="2"/>
          <c:order val="1"/>
          <c:tx>
            <c:strRef>
              <c:f>'High Shedder Strain Charts'!$D$80</c:f>
              <c:strCache>
                <c:ptCount val="1"/>
                <c:pt idx="0">
                  <c:v>10⁶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marker>
          <c:xVal>
            <c:numRef>
              <c:f>'High Shedder Strain Charts'!$A$81:$A$130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'High Shedder Strain Charts'!$D$81:$D$130</c:f>
              <c:numCache>
                <c:formatCode>General</c:formatCode>
                <c:ptCount val="50"/>
                <c:pt idx="0">
                  <c:v>9.8400330199999999</c:v>
                </c:pt>
                <c:pt idx="2">
                  <c:v>5.1747717489999996</c:v>
                </c:pt>
                <c:pt idx="5">
                  <c:v>6.9244347270000004</c:v>
                </c:pt>
                <c:pt idx="7">
                  <c:v>9.9111958110000007</c:v>
                </c:pt>
                <c:pt idx="9">
                  <c:v>9.2201575400000007</c:v>
                </c:pt>
                <c:pt idx="12">
                  <c:v>9.0211675499999995</c:v>
                </c:pt>
                <c:pt idx="14">
                  <c:v>4.4900171029999996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</c:ser>
        <c:ser>
          <c:idx val="3"/>
          <c:order val="2"/>
          <c:tx>
            <c:strRef>
              <c:f>'High Shedder Strain Charts'!$E$80</c:f>
              <c:strCache>
                <c:ptCount val="1"/>
                <c:pt idx="0">
                  <c:v>10⁸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'High Shedder Strain Charts'!$A$81:$A$130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'High Shedder Strain Charts'!$E$81:$E$130</c:f>
              <c:numCache>
                <c:formatCode>General</c:formatCode>
                <c:ptCount val="50"/>
                <c:pt idx="0">
                  <c:v>9.3827385000000003</c:v>
                </c:pt>
                <c:pt idx="2">
                  <c:v>5.1545886090000002</c:v>
                </c:pt>
                <c:pt idx="5">
                  <c:v>9.1696523980000002</c:v>
                </c:pt>
                <c:pt idx="7">
                  <c:v>3.9605265119999999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6">
                  <c:v>3.9741154660000002</c:v>
                </c:pt>
                <c:pt idx="27">
                  <c:v>0</c:v>
                </c:pt>
              </c:numCache>
            </c:numRef>
          </c:yVal>
        </c:ser>
        <c:ser>
          <c:idx val="4"/>
          <c:order val="3"/>
          <c:tx>
            <c:strRef>
              <c:f>'High Shedder Strain Charts'!$F$80</c:f>
              <c:strCache>
                <c:ptCount val="1"/>
                <c:pt idx="0">
                  <c:v>10¹⁰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</c:marker>
          <c:xVal>
            <c:numRef>
              <c:f>'High Shedder Strain Charts'!$A$81:$A$130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'High Shedder Strain Charts'!$F$81:$F$130</c:f>
              <c:numCache>
                <c:formatCode>General</c:formatCode>
                <c:ptCount val="50"/>
                <c:pt idx="0">
                  <c:v>4.8852581260000001</c:v>
                </c:pt>
                <c:pt idx="2">
                  <c:v>6.1767171090000001</c:v>
                </c:pt>
                <c:pt idx="5">
                  <c:v>5.5377788160000003</c:v>
                </c:pt>
                <c:pt idx="7">
                  <c:v>7.0853204109999997</c:v>
                </c:pt>
                <c:pt idx="9">
                  <c:v>5.1637165420000004</c:v>
                </c:pt>
                <c:pt idx="12">
                  <c:v>0</c:v>
                </c:pt>
                <c:pt idx="14">
                  <c:v>0</c:v>
                </c:pt>
                <c:pt idx="16">
                  <c:v>4.6854033529999999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</c:ser>
        <c:dLbls/>
        <c:axId val="74068736"/>
        <c:axId val="74070656"/>
      </c:scatterChart>
      <c:valAx>
        <c:axId val="74068736"/>
        <c:scaling>
          <c:orientation val="minMax"/>
          <c:max val="80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Days Post-Inoculation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4070656"/>
        <c:crosses val="autoZero"/>
        <c:crossBetween val="midCat"/>
      </c:valAx>
      <c:valAx>
        <c:axId val="74070656"/>
        <c:scaling>
          <c:orientation val="minMax"/>
          <c:max val="12"/>
        </c:scaling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Log₁₀ (MPN</a:t>
                </a:r>
                <a:r>
                  <a:rPr lang="en-US" b="0" baseline="0"/>
                  <a:t> </a:t>
                </a:r>
                <a:r>
                  <a:rPr lang="en-US" b="0" i="1"/>
                  <a:t>E. coli </a:t>
                </a:r>
                <a:r>
                  <a:rPr lang="en-US" b="0"/>
                  <a:t>O157:H7/g of feces)</a:t>
                </a:r>
              </a:p>
            </c:rich>
          </c:tx>
          <c:layout>
            <c:manualLayout>
              <c:xMode val="edge"/>
              <c:yMode val="edge"/>
              <c:x val="2.4096382494212129E-2"/>
              <c:y val="0.22000627283233151"/>
            </c:manualLayout>
          </c:layout>
        </c:title>
        <c:numFmt formatCode="General" sourceLinked="1"/>
        <c:majorTickMark val="none"/>
        <c:tickLblPos val="nextTo"/>
        <c:crossAx val="74068736"/>
        <c:crosses val="autoZero"/>
        <c:crossBetween val="midCat"/>
      </c:valAx>
      <c:spPr>
        <a:noFill/>
      </c:spPr>
    </c:plotArea>
    <c:legend>
      <c:legendPos val="t"/>
      <c:layout>
        <c:manualLayout>
          <c:xMode val="edge"/>
          <c:yMode val="edge"/>
          <c:x val="0.53820592123379563"/>
          <c:y val="0.16080397768264482"/>
          <c:w val="0.38141929843224265"/>
          <c:h val="6.057925834441015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 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plotArea>
      <c:layout>
        <c:manualLayout>
          <c:layoutTarget val="inner"/>
          <c:xMode val="edge"/>
          <c:yMode val="edge"/>
          <c:x val="0.14380719803040101"/>
          <c:y val="4.4030471800781033E-2"/>
          <c:w val="0.82754752165670442"/>
          <c:h val="0.76514151178257206"/>
        </c:manualLayout>
      </c:layout>
      <c:scatterChart>
        <c:scatterStyle val="lineMarker"/>
        <c:ser>
          <c:idx val="0"/>
          <c:order val="0"/>
          <c:tx>
            <c:strRef>
              <c:f>'High Shedder Strain Charts'!$B$133</c:f>
              <c:strCache>
                <c:ptCount val="1"/>
                <c:pt idx="0">
                  <c:v> 10²</c:v>
                </c:pt>
              </c:strCache>
            </c:strRef>
          </c:tx>
          <c:spPr>
            <a:ln w="28575">
              <a:noFill/>
            </a:ln>
          </c:spPr>
          <c:xVal>
            <c:numRef>
              <c:f>'High Shedder Strain Charts'!$A$134:$A$205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'High Shedder Strain Charts'!$B$134:$B$205</c:f>
              <c:numCache>
                <c:formatCode>General</c:formatCode>
                <c:ptCount val="72"/>
                <c:pt idx="0">
                  <c:v>0</c:v>
                </c:pt>
                <c:pt idx="2">
                  <c:v>4.0738956990000004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'High Shedder Strain Charts'!$C$133</c:f>
              <c:strCache>
                <c:ptCount val="1"/>
                <c:pt idx="0">
                  <c:v>10⁴</c:v>
                </c:pt>
              </c:strCache>
            </c:strRef>
          </c:tx>
          <c:spPr>
            <a:ln w="28575">
              <a:noFill/>
            </a:ln>
          </c:spPr>
          <c:xVal>
            <c:numRef>
              <c:f>'High Shedder Strain Charts'!$A$134:$A$205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'High Shedder Strain Charts'!$C$134:$C$205</c:f>
              <c:numCache>
                <c:formatCode>General</c:formatCode>
                <c:ptCount val="72"/>
                <c:pt idx="0">
                  <c:v>6.4158476220000002</c:v>
                </c:pt>
                <c:pt idx="2">
                  <c:v>4.4255137619999996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'High Shedder Strain Charts'!$D$133</c:f>
              <c:strCache>
                <c:ptCount val="1"/>
                <c:pt idx="0">
                  <c:v>10⁶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c:spPr>
          </c:marker>
          <c:xVal>
            <c:numRef>
              <c:f>'High Shedder Strain Charts'!$A$134:$A$205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'High Shedder Strain Charts'!$D$134:$D$205</c:f>
              <c:numCache>
                <c:formatCode>General</c:formatCode>
                <c:ptCount val="72"/>
                <c:pt idx="0">
                  <c:v>5.2966003979999998</c:v>
                </c:pt>
                <c:pt idx="2">
                  <c:v>10.602255939999999</c:v>
                </c:pt>
                <c:pt idx="5">
                  <c:v>9.9869714300000005</c:v>
                </c:pt>
                <c:pt idx="7">
                  <c:v>6.0016695779999996</c:v>
                </c:pt>
                <c:pt idx="9">
                  <c:v>6.6695222190000001</c:v>
                </c:pt>
                <c:pt idx="12">
                  <c:v>4.1129784819999999</c:v>
                </c:pt>
                <c:pt idx="14">
                  <c:v>4.2180939950000003</c:v>
                </c:pt>
                <c:pt idx="16">
                  <c:v>4.4390404339999998</c:v>
                </c:pt>
                <c:pt idx="19">
                  <c:v>4.5251843100000002</c:v>
                </c:pt>
                <c:pt idx="21">
                  <c:v>3.9947717800000002</c:v>
                </c:pt>
                <c:pt idx="23">
                  <c:v>6.4061567180000001</c:v>
                </c:pt>
                <c:pt idx="26">
                  <c:v>6.6570441000000002</c:v>
                </c:pt>
                <c:pt idx="28">
                  <c:v>7.4819425349999999</c:v>
                </c:pt>
                <c:pt idx="30">
                  <c:v>8.8944778820000003</c:v>
                </c:pt>
                <c:pt idx="33">
                  <c:v>7.4061583249999998</c:v>
                </c:pt>
                <c:pt idx="35">
                  <c:v>7.4061526500000001</c:v>
                </c:pt>
                <c:pt idx="37">
                  <c:v>7.9961077310000004</c:v>
                </c:pt>
                <c:pt idx="40">
                  <c:v>8.4057124349999999</c:v>
                </c:pt>
                <c:pt idx="42">
                  <c:v>8.8957389750000004</c:v>
                </c:pt>
                <c:pt idx="44">
                  <c:v>7.6570457420000002</c:v>
                </c:pt>
                <c:pt idx="47">
                  <c:v>8.4059867439999998</c:v>
                </c:pt>
                <c:pt idx="49">
                  <c:v>6.6570441000000002</c:v>
                </c:pt>
                <c:pt idx="51">
                  <c:v>5.9961193579999996</c:v>
                </c:pt>
                <c:pt idx="54">
                  <c:v>6.9961187210000002</c:v>
                </c:pt>
                <c:pt idx="56">
                  <c:v>4.5335618010000003</c:v>
                </c:pt>
                <c:pt idx="58">
                  <c:v>6.9961153920000001</c:v>
                </c:pt>
                <c:pt idx="61">
                  <c:v>4.6092911240000003</c:v>
                </c:pt>
                <c:pt idx="63">
                  <c:v>0</c:v>
                </c:pt>
                <c:pt idx="65">
                  <c:v>3.5106204019999998</c:v>
                </c:pt>
                <c:pt idx="68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yVal>
        </c:ser>
        <c:ser>
          <c:idx val="3"/>
          <c:order val="3"/>
          <c:tx>
            <c:strRef>
              <c:f>'High Shedder Strain Charts'!$E$133</c:f>
              <c:strCache>
                <c:ptCount val="1"/>
                <c:pt idx="0">
                  <c:v>10⁸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'High Shedder Strain Charts'!$A$134:$A$205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'High Shedder Strain Charts'!$E$134:$E$205</c:f>
              <c:numCache>
                <c:formatCode>General</c:formatCode>
                <c:ptCount val="72"/>
                <c:pt idx="0">
                  <c:v>8.9029316220000005</c:v>
                </c:pt>
                <c:pt idx="2">
                  <c:v>4.8414445160000001</c:v>
                </c:pt>
                <c:pt idx="4">
                  <c:v>4.1003140030000003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yVal>
        </c:ser>
        <c:ser>
          <c:idx val="4"/>
          <c:order val="4"/>
          <c:tx>
            <c:strRef>
              <c:f>'High Shedder Strain Charts'!$F$133</c:f>
              <c:strCache>
                <c:ptCount val="1"/>
                <c:pt idx="0">
                  <c:v>10¹⁰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ysClr val="window" lastClr="FFFFFF">
                  <a:lumMod val="75000"/>
                </a:sysClr>
              </a:solidFill>
              <a:ln>
                <a:gradFill>
                  <a:gsLst>
                    <a:gs pos="0">
                      <a:schemeClr val="bg1">
                        <a:lumMod val="65000"/>
                      </a:schemeClr>
                    </a:gs>
                    <a:gs pos="50000">
                      <a:srgbClr val="4F81BD">
                        <a:tint val="44500"/>
                        <a:satMod val="160000"/>
                      </a:srgbClr>
                    </a:gs>
                    <a:gs pos="100000">
                      <a:srgbClr val="4F81BD">
                        <a:tint val="23500"/>
                        <a:satMod val="160000"/>
                      </a:srgbClr>
                    </a:gs>
                  </a:gsLst>
                  <a:lin ang="5400000" scaled="0"/>
                </a:gradFill>
              </a:ln>
            </c:spPr>
          </c:marker>
          <c:xVal>
            <c:numRef>
              <c:f>'High Shedder Strain Charts'!$A$134:$A$205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'High Shedder Strain Charts'!$F$134:$F$205</c:f>
              <c:numCache>
                <c:formatCode>General</c:formatCode>
                <c:ptCount val="72"/>
                <c:pt idx="0">
                  <c:v>11.704402050000001</c:v>
                </c:pt>
                <c:pt idx="2">
                  <c:v>11.20711017</c:v>
                </c:pt>
                <c:pt idx="4">
                  <c:v>8.700387697</c:v>
                </c:pt>
                <c:pt idx="6">
                  <c:v>7.701225268</c:v>
                </c:pt>
                <c:pt idx="9">
                  <c:v>4.509493451</c:v>
                </c:pt>
                <c:pt idx="11">
                  <c:v>8.0401750080000003</c:v>
                </c:pt>
                <c:pt idx="13">
                  <c:v>3.929364546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yVal>
        </c:ser>
        <c:dLbls/>
        <c:axId val="75255168"/>
        <c:axId val="75265536"/>
      </c:scatterChart>
      <c:valAx>
        <c:axId val="75255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Days Post-Inoculation</a:t>
                </a:r>
              </a:p>
            </c:rich>
          </c:tx>
          <c:layout/>
        </c:title>
        <c:numFmt formatCode="General" sourceLinked="1"/>
        <c:tickLblPos val="nextTo"/>
        <c:crossAx val="75265536"/>
        <c:crosses val="autoZero"/>
        <c:crossBetween val="midCat"/>
      </c:valAx>
      <c:valAx>
        <c:axId val="75265536"/>
        <c:scaling>
          <c:orientation val="minMax"/>
          <c:max val="12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Log₁₀ (MPN </a:t>
                </a:r>
                <a:r>
                  <a:rPr lang="en-US" b="0" i="1"/>
                  <a:t>E.coli </a:t>
                </a:r>
                <a:r>
                  <a:rPr lang="en-US" b="0"/>
                  <a:t>O157:H7/g of feces)</a:t>
                </a:r>
              </a:p>
            </c:rich>
          </c:tx>
          <c:layout>
            <c:manualLayout>
              <c:xMode val="edge"/>
              <c:yMode val="edge"/>
              <c:x val="6.0606069112533738E-2"/>
              <c:y val="7.8814416490621597E-2"/>
            </c:manualLayout>
          </c:layout>
        </c:title>
        <c:numFmt formatCode="General" sourceLinked="1"/>
        <c:tickLblPos val="nextTo"/>
        <c:crossAx val="75255168"/>
        <c:crosses val="autoZero"/>
        <c:crossBetween val="midCat"/>
      </c:valAx>
      <c:spPr>
        <a:noFill/>
      </c:spPr>
    </c:plotArea>
    <c:legend>
      <c:legendPos val="t"/>
      <c:layout>
        <c:manualLayout>
          <c:xMode val="edge"/>
          <c:yMode val="edge"/>
          <c:x val="0.44844659402453352"/>
          <c:y val="0.10478771454381212"/>
          <c:w val="0.47387335240408052"/>
          <c:h val="6.5340247103258434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Times  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'Dose vs. Time Graphs'!$B$1</c:f>
              <c:strCache>
                <c:ptCount val="1"/>
                <c:pt idx="0">
                  <c:v>206-A9 10^2</c:v>
                </c:pt>
              </c:strCache>
            </c:strRef>
          </c:tx>
          <c:xVal>
            <c:numRef>
              <c:f>'Dose vs. Time Graphs'!$A$2:$A$51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'Dose vs. Time Graphs'!$B$2:$B$51</c:f>
              <c:numCache>
                <c:formatCode>General</c:formatCode>
                <c:ptCount val="50"/>
                <c:pt idx="0">
                  <c:v>0</c:v>
                </c:pt>
                <c:pt idx="2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'Dose vs. Time Graphs'!$C$1</c:f>
              <c:strCache>
                <c:ptCount val="1"/>
                <c:pt idx="0">
                  <c:v>267-W1 10^2</c:v>
                </c:pt>
              </c:strCache>
            </c:strRef>
          </c:tx>
          <c:xVal>
            <c:numRef>
              <c:f>'Dose vs. Time Graphs'!$A$2:$A$51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'Dose vs. Time Graphs'!$C$2:$C$51</c:f>
              <c:numCache>
                <c:formatCode>General</c:formatCode>
                <c:ptCount val="50"/>
                <c:pt idx="0">
                  <c:v>6.3665865569999998</c:v>
                </c:pt>
                <c:pt idx="2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'Dose vs. Time Graphs'!$D$1</c:f>
              <c:strCache>
                <c:ptCount val="1"/>
                <c:pt idx="0">
                  <c:v>283-#8055 10^2</c:v>
                </c:pt>
              </c:strCache>
            </c:strRef>
          </c:tx>
          <c:xVal>
            <c:numRef>
              <c:f>'Dose vs. Time Graphs'!$A$2:$A$51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'Dose vs. Time Graphs'!$D$2:$D$51</c:f>
              <c:numCache>
                <c:formatCode>General</c:formatCode>
                <c:ptCount val="50"/>
                <c:pt idx="0">
                  <c:v>3.6681180320000002</c:v>
                </c:pt>
                <c:pt idx="2">
                  <c:v>5.4903371029999999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'Dose vs. Time Graphs'!$E$1</c:f>
              <c:strCache>
                <c:ptCount val="1"/>
                <c:pt idx="0">
                  <c:v>226-14A 10^2</c:v>
                </c:pt>
              </c:strCache>
            </c:strRef>
          </c:tx>
          <c:xVal>
            <c:numRef>
              <c:f>'Dose vs. Time Graphs'!$A$2:$A$51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'Dose vs. Time Graphs'!$E$2:$E$51</c:f>
              <c:numCache>
                <c:formatCode>General</c:formatCode>
                <c:ptCount val="50"/>
                <c:pt idx="0">
                  <c:v>0</c:v>
                </c:pt>
                <c:pt idx="2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'Dose vs. Time Graphs'!$F$1</c:f>
              <c:strCache>
                <c:ptCount val="1"/>
                <c:pt idx="0">
                  <c:v>274-Tx3800 10^2</c:v>
                </c:pt>
              </c:strCache>
            </c:strRef>
          </c:tx>
          <c:xVal>
            <c:numRef>
              <c:f>'Dose vs. Time Graphs'!$A$2:$A$51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'Dose vs. Time Graphs'!$F$2:$F$51</c:f>
              <c:numCache>
                <c:formatCode>General</c:formatCode>
                <c:ptCount val="50"/>
                <c:pt idx="0">
                  <c:v>4.0351665680000002</c:v>
                </c:pt>
                <c:pt idx="2">
                  <c:v>0</c:v>
                </c:pt>
                <c:pt idx="5">
                  <c:v>0</c:v>
                </c:pt>
                <c:pt idx="7">
                  <c:v>4.391239466</c:v>
                </c:pt>
                <c:pt idx="9">
                  <c:v>4.6597865580000004</c:v>
                </c:pt>
                <c:pt idx="12">
                  <c:v>3.9396705160000001</c:v>
                </c:pt>
                <c:pt idx="14">
                  <c:v>3.9475388589999998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4.3793614510000003</c:v>
                </c:pt>
                <c:pt idx="26">
                  <c:v>4.0500563400000003</c:v>
                </c:pt>
                <c:pt idx="28">
                  <c:v>5.6445907579999997</c:v>
                </c:pt>
                <c:pt idx="30">
                  <c:v>4.4606529080000001</c:v>
                </c:pt>
                <c:pt idx="33">
                  <c:v>7.0505965819999998</c:v>
                </c:pt>
                <c:pt idx="35">
                  <c:v>4.5364437989999997</c:v>
                </c:pt>
                <c:pt idx="37">
                  <c:v>0</c:v>
                </c:pt>
                <c:pt idx="40">
                  <c:v>0</c:v>
                </c:pt>
                <c:pt idx="42">
                  <c:v>0</c:v>
                </c:pt>
                <c:pt idx="44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'Dose vs. Time Graphs'!$G$1</c:f>
              <c:strCache>
                <c:ptCount val="1"/>
                <c:pt idx="0">
                  <c:v>271-Tx1686 10^2</c:v>
                </c:pt>
              </c:strCache>
            </c:strRef>
          </c:tx>
          <c:xVal>
            <c:numRef>
              <c:f>'Dose vs. Time Graphs'!$A$2:$A$51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'Dose vs. Time Graphs'!$G$2:$G$51</c:f>
              <c:numCache>
                <c:formatCode>General</c:formatCode>
                <c:ptCount val="50"/>
                <c:pt idx="0">
                  <c:v>0</c:v>
                </c:pt>
                <c:pt idx="2">
                  <c:v>4.0738956990000004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</c:ser>
        <c:dLbls/>
        <c:axId val="75336320"/>
        <c:axId val="75346688"/>
      </c:scatterChart>
      <c:valAx>
        <c:axId val="75336320"/>
        <c:scaling>
          <c:orientation val="minMax"/>
          <c:max val="8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  <a:r>
                  <a:rPr lang="en-US" baseline="0"/>
                  <a:t> Post-Inoculatio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346688"/>
        <c:crosses val="autoZero"/>
        <c:crossBetween val="midCat"/>
      </c:valAx>
      <c:valAx>
        <c:axId val="75346688"/>
        <c:scaling>
          <c:orientation val="minMax"/>
          <c:max val="8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10</a:t>
                </a:r>
                <a:r>
                  <a:rPr lang="en-US" baseline="0"/>
                  <a:t> MPN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336320"/>
        <c:crosses val="autoZero"/>
        <c:crossBetween val="midCat"/>
        <c:majorUnit val="2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'Dose vs. Time Graphs'!$B$54</c:f>
              <c:strCache>
                <c:ptCount val="1"/>
                <c:pt idx="0">
                  <c:v>241-A9 10^4</c:v>
                </c:pt>
              </c:strCache>
            </c:strRef>
          </c:tx>
          <c:xVal>
            <c:numRef>
              <c:f>'Dose vs. Time Graphs'!$A$55:$A$82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'Dose vs. Time Graphs'!$B$55:$B$82</c:f>
              <c:numCache>
                <c:formatCode>General</c:formatCode>
                <c:ptCount val="28"/>
                <c:pt idx="0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'Dose vs. Time Graphs'!$C$54</c:f>
              <c:strCache>
                <c:ptCount val="1"/>
                <c:pt idx="0">
                  <c:v>243-W1 10^4</c:v>
                </c:pt>
              </c:strCache>
            </c:strRef>
          </c:tx>
          <c:xVal>
            <c:numRef>
              <c:f>'Dose vs. Time Graphs'!$A$55:$A$82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'Dose vs. Time Graphs'!$C$55:$C$82</c:f>
              <c:numCache>
                <c:formatCode>General</c:formatCode>
                <c:ptCount val="28"/>
                <c:pt idx="0">
                  <c:v>0</c:v>
                </c:pt>
                <c:pt idx="2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'Dose vs. Time Graphs'!$D$54</c:f>
              <c:strCache>
                <c:ptCount val="1"/>
                <c:pt idx="0">
                  <c:v>276-#8055 10^4</c:v>
                </c:pt>
              </c:strCache>
            </c:strRef>
          </c:tx>
          <c:xVal>
            <c:numRef>
              <c:f>'Dose vs. Time Graphs'!$A$55:$A$82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'Dose vs. Time Graphs'!$D$55:$D$82</c:f>
              <c:numCache>
                <c:formatCode>General</c:formatCode>
                <c:ptCount val="28"/>
                <c:pt idx="0">
                  <c:v>3.7807204909999998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'Dose vs. Time Graphs'!$E$54</c:f>
              <c:strCache>
                <c:ptCount val="1"/>
                <c:pt idx="0">
                  <c:v>253-14A 10^4</c:v>
                </c:pt>
              </c:strCache>
            </c:strRef>
          </c:tx>
          <c:xVal>
            <c:numRef>
              <c:f>'Dose vs. Time Graphs'!$A$55:$A$82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'Dose vs. Time Graphs'!$E$55:$E$82</c:f>
              <c:numCache>
                <c:formatCode>General</c:formatCode>
                <c:ptCount val="28"/>
                <c:pt idx="0">
                  <c:v>4.9540446190000003</c:v>
                </c:pt>
                <c:pt idx="2">
                  <c:v>3.5709396940000002</c:v>
                </c:pt>
                <c:pt idx="6">
                  <c:v>0</c:v>
                </c:pt>
                <c:pt idx="8">
                  <c:v>4.071462232</c:v>
                </c:pt>
                <c:pt idx="10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'Dose vs. Time Graphs'!$F$54</c:f>
              <c:strCache>
                <c:ptCount val="1"/>
                <c:pt idx="0">
                  <c:v>284-Tx3800 10^4</c:v>
                </c:pt>
              </c:strCache>
            </c:strRef>
          </c:tx>
          <c:xVal>
            <c:numRef>
              <c:f>'Dose vs. Time Graphs'!$A$55:$A$82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'Dose vs. Time Graphs'!$F$55:$F$82</c:f>
              <c:numCache>
                <c:formatCode>General</c:formatCode>
                <c:ptCount val="28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'Dose vs. Time Graphs'!$G$54</c:f>
              <c:strCache>
                <c:ptCount val="1"/>
                <c:pt idx="0">
                  <c:v>295-Tx1686 10^4</c:v>
                </c:pt>
              </c:strCache>
            </c:strRef>
          </c:tx>
          <c:xVal>
            <c:numRef>
              <c:f>'Dose vs. Time Graphs'!$A$55:$A$82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'Dose vs. Time Graphs'!$G$55:$G$82</c:f>
              <c:numCache>
                <c:formatCode>General</c:formatCode>
                <c:ptCount val="28"/>
                <c:pt idx="0">
                  <c:v>6.4158476220000002</c:v>
                </c:pt>
                <c:pt idx="2">
                  <c:v>4.4255137619999996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1"/>
        </c:ser>
        <c:dLbls/>
        <c:axId val="75225728"/>
        <c:axId val="75375360"/>
      </c:scatterChart>
      <c:valAx>
        <c:axId val="75225728"/>
        <c:scaling>
          <c:orientation val="minMax"/>
          <c:max val="8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  <a:r>
                  <a:rPr lang="en-US" baseline="0"/>
                  <a:t> Post-Inoculation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375360"/>
        <c:crosses val="autoZero"/>
        <c:crossBetween val="midCat"/>
      </c:valAx>
      <c:valAx>
        <c:axId val="75375360"/>
        <c:scaling>
          <c:orientation val="minMax"/>
          <c:max val="8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10</a:t>
                </a:r>
                <a:r>
                  <a:rPr lang="en-US" baseline="0"/>
                  <a:t> MPN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225728"/>
        <c:crosses val="autoZero"/>
        <c:crossBetween val="midCat"/>
        <c:majorUnit val="2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'Dose vs. Time Graphs'!$B$86</c:f>
              <c:strCache>
                <c:ptCount val="1"/>
                <c:pt idx="0">
                  <c:v>270-A9 10^6</c:v>
                </c:pt>
              </c:strCache>
            </c:strRef>
          </c:tx>
          <c:xVal>
            <c:numRef>
              <c:f>'Dose vs. Time Graphs'!$A$87:$A$158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'Dose vs. Time Graphs'!$B$87:$B$158</c:f>
              <c:numCache>
                <c:formatCode>General</c:formatCode>
                <c:ptCount val="72"/>
                <c:pt idx="0">
                  <c:v>0</c:v>
                </c:pt>
                <c:pt idx="2">
                  <c:v>4.3968546550000003</c:v>
                </c:pt>
                <c:pt idx="5">
                  <c:v>3.5123641590000001</c:v>
                </c:pt>
                <c:pt idx="7">
                  <c:v>0</c:v>
                </c:pt>
                <c:pt idx="9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'Dose vs. Time Graphs'!$C$86</c:f>
              <c:strCache>
                <c:ptCount val="1"/>
                <c:pt idx="0">
                  <c:v>225-W1 10^6</c:v>
                </c:pt>
              </c:strCache>
            </c:strRef>
          </c:tx>
          <c:xVal>
            <c:numRef>
              <c:f>'Dose vs. Time Graphs'!$A$87:$A$158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'Dose vs. Time Graphs'!$C$87:$C$158</c:f>
              <c:numCache>
                <c:formatCode>General</c:formatCode>
                <c:ptCount val="72"/>
                <c:pt idx="0">
                  <c:v>0</c:v>
                </c:pt>
                <c:pt idx="2">
                  <c:v>3.5661899269999999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3">
                  <c:v>4.6532318149999998</c:v>
                </c:pt>
                <c:pt idx="15">
                  <c:v>3.9782980939999999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'Dose vs. Time Graphs'!$D$86</c:f>
              <c:strCache>
                <c:ptCount val="1"/>
                <c:pt idx="0">
                  <c:v>281-#8055 10^6</c:v>
                </c:pt>
              </c:strCache>
            </c:strRef>
          </c:tx>
          <c:xVal>
            <c:numRef>
              <c:f>'Dose vs. Time Graphs'!$A$87:$A$158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'Dose vs. Time Graphs'!$D$87:$D$158</c:f>
              <c:numCache>
                <c:formatCode>General</c:formatCode>
                <c:ptCount val="72"/>
                <c:pt idx="0">
                  <c:v>4.3808261699999997</c:v>
                </c:pt>
                <c:pt idx="2">
                  <c:v>3.5839613789999998</c:v>
                </c:pt>
                <c:pt idx="4">
                  <c:v>4.1818089430000001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'Dose vs. Time Graphs'!$E$86</c:f>
              <c:strCache>
                <c:ptCount val="1"/>
                <c:pt idx="0">
                  <c:v>215-14A 10^6</c:v>
                </c:pt>
              </c:strCache>
            </c:strRef>
          </c:tx>
          <c:xVal>
            <c:numRef>
              <c:f>'Dose vs. Time Graphs'!$A$87:$A$158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'Dose vs. Time Graphs'!$E$87:$E$158</c:f>
              <c:numCache>
                <c:formatCode>General</c:formatCode>
                <c:ptCount val="72"/>
                <c:pt idx="0">
                  <c:v>6.644948512</c:v>
                </c:pt>
                <c:pt idx="2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20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'Dose vs. Time Graphs'!$F$86</c:f>
              <c:strCache>
                <c:ptCount val="1"/>
                <c:pt idx="0">
                  <c:v>291-Tx3800 10^6</c:v>
                </c:pt>
              </c:strCache>
            </c:strRef>
          </c:tx>
          <c:xVal>
            <c:numRef>
              <c:f>'Dose vs. Time Graphs'!$A$87:$A$158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'Dose vs. Time Graphs'!$F$87:$F$158</c:f>
              <c:numCache>
                <c:formatCode>General</c:formatCode>
                <c:ptCount val="72"/>
                <c:pt idx="0">
                  <c:v>9.8400330199999999</c:v>
                </c:pt>
                <c:pt idx="2">
                  <c:v>5.1747717489999996</c:v>
                </c:pt>
                <c:pt idx="5">
                  <c:v>6.9244347270000004</c:v>
                </c:pt>
                <c:pt idx="7">
                  <c:v>9.9111958110000007</c:v>
                </c:pt>
                <c:pt idx="9">
                  <c:v>9.2201575400000007</c:v>
                </c:pt>
                <c:pt idx="12">
                  <c:v>9.0211675499999995</c:v>
                </c:pt>
                <c:pt idx="14">
                  <c:v>4.4900171029999996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'Dose vs. Time Graphs'!$G$86</c:f>
              <c:strCache>
                <c:ptCount val="1"/>
                <c:pt idx="0">
                  <c:v>280-Tx1686 10^6</c:v>
                </c:pt>
              </c:strCache>
            </c:strRef>
          </c:tx>
          <c:xVal>
            <c:numRef>
              <c:f>'Dose vs. Time Graphs'!$A$87:$A$158</c:f>
              <c:numCache>
                <c:formatCode>General</c:formatCode>
                <c:ptCount val="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</c:numCache>
            </c:numRef>
          </c:xVal>
          <c:yVal>
            <c:numRef>
              <c:f>'Dose vs. Time Graphs'!$G$87:$G$158</c:f>
              <c:numCache>
                <c:formatCode>General</c:formatCode>
                <c:ptCount val="72"/>
                <c:pt idx="0">
                  <c:v>5.2966003979999998</c:v>
                </c:pt>
                <c:pt idx="2">
                  <c:v>10.602255939999999</c:v>
                </c:pt>
                <c:pt idx="5">
                  <c:v>9.9869714300000005</c:v>
                </c:pt>
                <c:pt idx="7">
                  <c:v>6.0016695779999996</c:v>
                </c:pt>
                <c:pt idx="9">
                  <c:v>6.6695222190000001</c:v>
                </c:pt>
                <c:pt idx="12">
                  <c:v>4.1129784819999999</c:v>
                </c:pt>
                <c:pt idx="14">
                  <c:v>4.2180939950000003</c:v>
                </c:pt>
                <c:pt idx="16">
                  <c:v>4.4390404339999998</c:v>
                </c:pt>
                <c:pt idx="19">
                  <c:v>4.5251843100000002</c:v>
                </c:pt>
                <c:pt idx="21">
                  <c:v>3.9947717800000002</c:v>
                </c:pt>
                <c:pt idx="23">
                  <c:v>6.4061567180000001</c:v>
                </c:pt>
                <c:pt idx="26">
                  <c:v>6.6570441000000002</c:v>
                </c:pt>
                <c:pt idx="28">
                  <c:v>7.4819425349999999</c:v>
                </c:pt>
                <c:pt idx="30">
                  <c:v>8.8944778820000003</c:v>
                </c:pt>
                <c:pt idx="33">
                  <c:v>7.4061583249999998</c:v>
                </c:pt>
                <c:pt idx="35">
                  <c:v>7.4061526500000001</c:v>
                </c:pt>
                <c:pt idx="37">
                  <c:v>7.9961077310000004</c:v>
                </c:pt>
                <c:pt idx="40">
                  <c:v>8.4057124349999999</c:v>
                </c:pt>
                <c:pt idx="42">
                  <c:v>8.8957389750000004</c:v>
                </c:pt>
                <c:pt idx="44">
                  <c:v>7.6570457420000002</c:v>
                </c:pt>
                <c:pt idx="47">
                  <c:v>8.4059867439999998</c:v>
                </c:pt>
                <c:pt idx="49">
                  <c:v>6.6570441000000002</c:v>
                </c:pt>
                <c:pt idx="51">
                  <c:v>5.9961193579999996</c:v>
                </c:pt>
                <c:pt idx="54">
                  <c:v>6.9961187210000002</c:v>
                </c:pt>
                <c:pt idx="56">
                  <c:v>4.5335618010000003</c:v>
                </c:pt>
                <c:pt idx="58">
                  <c:v>6.9961153920000001</c:v>
                </c:pt>
                <c:pt idx="61">
                  <c:v>4.6092911240000003</c:v>
                </c:pt>
                <c:pt idx="63">
                  <c:v>0</c:v>
                </c:pt>
                <c:pt idx="65">
                  <c:v>3.5106204019999998</c:v>
                </c:pt>
                <c:pt idx="68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yVal>
          <c:smooth val="1"/>
        </c:ser>
        <c:dLbls/>
        <c:axId val="75451008"/>
        <c:axId val="75465472"/>
      </c:scatterChart>
      <c:valAx>
        <c:axId val="75451008"/>
        <c:scaling>
          <c:orientation val="minMax"/>
          <c:max val="8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  <a:r>
                  <a:rPr lang="en-US" baseline="0"/>
                  <a:t> Post-Inoculation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465472"/>
        <c:crosses val="autoZero"/>
        <c:crossBetween val="midCat"/>
      </c:valAx>
      <c:valAx>
        <c:axId val="75465472"/>
        <c:scaling>
          <c:orientation val="minMax"/>
          <c:max val="12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10</a:t>
                </a:r>
                <a:r>
                  <a:rPr lang="en-US" baseline="0"/>
                  <a:t> MPN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75451008"/>
        <c:crosses val="autoZero"/>
        <c:crossBetween val="midCat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4</xdr:row>
      <xdr:rowOff>180975</xdr:rowOff>
    </xdr:from>
    <xdr:to>
      <xdr:col>19</xdr:col>
      <xdr:colOff>571501</xdr:colOff>
      <xdr:row>21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</xdr:colOff>
      <xdr:row>117</xdr:row>
      <xdr:rowOff>66675</xdr:rowOff>
    </xdr:from>
    <xdr:to>
      <xdr:col>17</xdr:col>
      <xdr:colOff>533400</xdr:colOff>
      <xdr:row>140</xdr:row>
      <xdr:rowOff>76201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9524</xdr:colOff>
      <xdr:row>186</xdr:row>
      <xdr:rowOff>9526</xdr:rowOff>
    </xdr:from>
    <xdr:to>
      <xdr:col>18</xdr:col>
      <xdr:colOff>590550</xdr:colOff>
      <xdr:row>209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</xdr:row>
      <xdr:rowOff>9524</xdr:rowOff>
    </xdr:from>
    <xdr:to>
      <xdr:col>19</xdr:col>
      <xdr:colOff>161925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80</xdr:row>
      <xdr:rowOff>152399</xdr:rowOff>
    </xdr:from>
    <xdr:to>
      <xdr:col>20</xdr:col>
      <xdr:colOff>0</xdr:colOff>
      <xdr:row>100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135</xdr:row>
      <xdr:rowOff>133349</xdr:rowOff>
    </xdr:from>
    <xdr:to>
      <xdr:col>18</xdr:col>
      <xdr:colOff>457199</xdr:colOff>
      <xdr:row>154</xdr:row>
      <xdr:rowOff>28574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609598</xdr:colOff>
      <xdr:row>0</xdr:row>
      <xdr:rowOff>190499</xdr:rowOff>
    </xdr:from>
    <xdr:to>
      <xdr:col>23</xdr:col>
      <xdr:colOff>28575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54</xdr:row>
      <xdr:rowOff>133350</xdr:rowOff>
    </xdr:from>
    <xdr:to>
      <xdr:col>21</xdr:col>
      <xdr:colOff>514350</xdr:colOff>
      <xdr:row>81</xdr:row>
      <xdr:rowOff>190500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94</xdr:row>
      <xdr:rowOff>171449</xdr:rowOff>
    </xdr:from>
    <xdr:to>
      <xdr:col>18</xdr:col>
      <xdr:colOff>352425</xdr:colOff>
      <xdr:row>119</xdr:row>
      <xdr:rowOff>47624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170</xdr:row>
      <xdr:rowOff>85725</xdr:rowOff>
    </xdr:from>
    <xdr:to>
      <xdr:col>19</xdr:col>
      <xdr:colOff>400051</xdr:colOff>
      <xdr:row>193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19050</xdr:colOff>
      <xdr:row>255</xdr:row>
      <xdr:rowOff>76199</xdr:rowOff>
    </xdr:from>
    <xdr:to>
      <xdr:col>21</xdr:col>
      <xdr:colOff>523875</xdr:colOff>
      <xdr:row>284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14</xdr:row>
      <xdr:rowOff>28574</xdr:rowOff>
    </xdr:from>
    <xdr:to>
      <xdr:col>11</xdr:col>
      <xdr:colOff>485775</xdr:colOff>
      <xdr:row>36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54"/>
  <sheetViews>
    <sheetView workbookViewId="0">
      <selection activeCell="G33" sqref="G33"/>
    </sheetView>
  </sheetViews>
  <sheetFormatPr defaultRowHeight="15"/>
  <cols>
    <col min="2" max="2" width="12.85546875" customWidth="1"/>
    <col min="3" max="3" width="12.7109375" customWidth="1"/>
    <col min="4" max="4" width="19.7109375" customWidth="1"/>
    <col min="5" max="5" width="17.5703125" customWidth="1"/>
    <col min="7" max="7" width="14.85546875" customWidth="1"/>
    <col min="8" max="8" width="11.5703125" customWidth="1"/>
    <col min="9" max="9" width="13" customWidth="1"/>
    <col min="10" max="10" width="12" customWidth="1"/>
    <col min="11" max="11" width="11.5703125" customWidth="1"/>
    <col min="12" max="12" width="16.7109375" customWidth="1"/>
    <col min="13" max="13" width="15.140625" customWidth="1"/>
    <col min="14" max="14" width="12.5703125" customWidth="1"/>
    <col min="15" max="15" width="12.42578125" customWidth="1"/>
    <col min="16" max="16" width="12.5703125" customWidth="1"/>
    <col min="17" max="17" width="13.5703125" customWidth="1"/>
    <col min="18" max="18" width="13.85546875" customWidth="1"/>
    <col min="19" max="19" width="12.5703125" customWidth="1"/>
    <col min="20" max="20" width="12.85546875" customWidth="1"/>
    <col min="21" max="21" width="12.42578125" customWidth="1"/>
    <col min="22" max="22" width="12.7109375" customWidth="1"/>
    <col min="23" max="23" width="14.28515625" customWidth="1"/>
  </cols>
  <sheetData>
    <row r="1" spans="1:13">
      <c r="A1" s="5" t="s">
        <v>0</v>
      </c>
      <c r="B1" s="5" t="s">
        <v>2</v>
      </c>
      <c r="C1" s="5" t="s">
        <v>1</v>
      </c>
      <c r="D1" s="5" t="s">
        <v>3</v>
      </c>
      <c r="E1" s="5" t="s">
        <v>4</v>
      </c>
      <c r="G1" s="6" t="s">
        <v>12</v>
      </c>
      <c r="H1" s="5" t="s">
        <v>0</v>
      </c>
      <c r="I1" s="5" t="s">
        <v>6</v>
      </c>
      <c r="J1" s="5" t="s">
        <v>5</v>
      </c>
      <c r="K1" s="5" t="s">
        <v>1</v>
      </c>
      <c r="L1" s="5" t="s">
        <v>3</v>
      </c>
      <c r="M1" s="5" t="s">
        <v>4</v>
      </c>
    </row>
    <row r="2" spans="1:13">
      <c r="A2" s="1">
        <v>217</v>
      </c>
      <c r="B2" s="1">
        <v>1</v>
      </c>
      <c r="C2" s="2">
        <v>40918</v>
      </c>
      <c r="D2" s="1">
        <v>3153162.5</v>
      </c>
      <c r="E2" s="1">
        <f>LOG10(D2)</f>
        <v>6.4987463529346385</v>
      </c>
      <c r="H2" s="1">
        <v>217</v>
      </c>
      <c r="I2" s="1">
        <v>1</v>
      </c>
      <c r="J2" s="1" t="s">
        <v>7</v>
      </c>
      <c r="K2" s="2">
        <v>40991</v>
      </c>
      <c r="L2" s="1">
        <v>9.3156000000000003E-2</v>
      </c>
      <c r="M2" s="1">
        <f>LOG10(L2)</f>
        <v>-1.0307891677889582</v>
      </c>
    </row>
    <row r="3" spans="1:13">
      <c r="A3" s="1">
        <v>252</v>
      </c>
      <c r="B3" s="1">
        <v>2</v>
      </c>
      <c r="C3" s="2">
        <v>40918</v>
      </c>
      <c r="D3" s="1">
        <v>3153162.5</v>
      </c>
      <c r="E3" s="1">
        <f t="shared" ref="E3:E8" si="0">LOG10(D3)</f>
        <v>6.4987463529346385</v>
      </c>
      <c r="H3" s="1">
        <v>234</v>
      </c>
      <c r="I3" s="1">
        <v>4</v>
      </c>
      <c r="J3" s="1" t="s">
        <v>8</v>
      </c>
      <c r="K3" s="2">
        <v>40991</v>
      </c>
      <c r="L3" s="1">
        <v>40.668325000000003</v>
      </c>
      <c r="M3" s="1">
        <f>LOG10(L3)</f>
        <v>1.6092562855534067</v>
      </c>
    </row>
    <row r="4" spans="1:13">
      <c r="A4" s="1">
        <v>257</v>
      </c>
      <c r="B4" s="1">
        <v>3</v>
      </c>
      <c r="C4" s="2">
        <v>40918</v>
      </c>
      <c r="D4" s="1">
        <v>11548.7</v>
      </c>
      <c r="E4" s="1">
        <f t="shared" si="0"/>
        <v>4.0625330998470446</v>
      </c>
      <c r="H4" s="1">
        <v>234</v>
      </c>
      <c r="I4" s="1">
        <v>4</v>
      </c>
      <c r="J4" s="1" t="s">
        <v>9</v>
      </c>
      <c r="K4" s="2">
        <v>40991</v>
      </c>
      <c r="L4" s="1">
        <v>3.4694970000000001</v>
      </c>
      <c r="M4" s="1">
        <f>LOG10(L4)</f>
        <v>0.54026651630129452</v>
      </c>
    </row>
    <row r="5" spans="1:13">
      <c r="A5" s="1">
        <v>234</v>
      </c>
      <c r="B5" s="1">
        <v>4</v>
      </c>
      <c r="C5" s="2">
        <v>40918</v>
      </c>
      <c r="D5" s="1">
        <v>107199.1</v>
      </c>
      <c r="E5" s="1">
        <f t="shared" si="0"/>
        <v>5.0301911392124001</v>
      </c>
      <c r="H5" s="1">
        <v>234</v>
      </c>
      <c r="I5" s="1">
        <v>4</v>
      </c>
      <c r="J5" s="1" t="s">
        <v>10</v>
      </c>
      <c r="K5" s="2">
        <v>40991</v>
      </c>
      <c r="L5" s="1">
        <v>43.973703</v>
      </c>
      <c r="M5" s="1">
        <f>LOG10(L5)</f>
        <v>1.6431930388458176</v>
      </c>
    </row>
    <row r="6" spans="1:13">
      <c r="A6" s="1">
        <v>215</v>
      </c>
      <c r="B6" s="1">
        <v>6</v>
      </c>
      <c r="C6" s="2">
        <v>40918</v>
      </c>
      <c r="D6" s="1">
        <v>42.7</v>
      </c>
      <c r="E6" s="1">
        <f t="shared" si="0"/>
        <v>1.6304278750250238</v>
      </c>
      <c r="H6" s="1">
        <v>292</v>
      </c>
      <c r="I6" s="1">
        <v>9</v>
      </c>
      <c r="J6" s="1" t="s">
        <v>8</v>
      </c>
      <c r="K6" s="7">
        <v>41019</v>
      </c>
      <c r="L6" s="1">
        <v>9.3156000000000003E-2</v>
      </c>
      <c r="M6" s="1">
        <f>LOG10(L6)</f>
        <v>-1.0307891677889582</v>
      </c>
    </row>
    <row r="7" spans="1:13">
      <c r="A7" s="1">
        <v>253</v>
      </c>
      <c r="B7" s="1">
        <v>8</v>
      </c>
      <c r="C7" s="2">
        <v>40918</v>
      </c>
      <c r="D7" s="1">
        <v>0.87</v>
      </c>
      <c r="E7" s="1">
        <f t="shared" si="0"/>
        <v>-6.0480747381381476E-2</v>
      </c>
    </row>
    <row r="8" spans="1:13">
      <c r="A8" s="1">
        <v>267</v>
      </c>
      <c r="B8" s="1">
        <v>9</v>
      </c>
      <c r="C8" s="2">
        <v>40918</v>
      </c>
      <c r="D8" s="3">
        <v>23</v>
      </c>
      <c r="E8" s="1">
        <f t="shared" si="0"/>
        <v>1.3617278360175928</v>
      </c>
    </row>
    <row r="9" spans="1:13">
      <c r="A9" s="1"/>
      <c r="B9" s="1"/>
      <c r="C9" s="1"/>
      <c r="D9" s="1"/>
      <c r="E9" s="1"/>
      <c r="H9" s="6" t="s">
        <v>11</v>
      </c>
      <c r="I9" s="5" t="s">
        <v>0</v>
      </c>
      <c r="J9" s="5" t="s">
        <v>6</v>
      </c>
      <c r="K9" s="5" t="s">
        <v>1</v>
      </c>
      <c r="L9" s="5" t="s">
        <v>3</v>
      </c>
      <c r="M9" s="5" t="s">
        <v>4</v>
      </c>
    </row>
    <row r="10" spans="1:13">
      <c r="A10" s="1">
        <v>217</v>
      </c>
      <c r="B10" s="1">
        <v>1</v>
      </c>
      <c r="C10" s="2">
        <v>40920</v>
      </c>
      <c r="D10" s="1">
        <v>2120279.6</v>
      </c>
      <c r="E10" s="1">
        <f t="shared" ref="E10:E15" si="1">LOG10(D10)</f>
        <v>6.3263931348581952</v>
      </c>
      <c r="H10" s="1"/>
      <c r="I10" s="1">
        <v>292</v>
      </c>
      <c r="J10" s="1">
        <v>9</v>
      </c>
      <c r="K10" s="2">
        <v>41006</v>
      </c>
      <c r="L10" s="1">
        <v>6967.6177980000002</v>
      </c>
      <c r="M10" s="1">
        <f>LOG10(L10)</f>
        <v>3.8430843198451794</v>
      </c>
    </row>
    <row r="11" spans="1:13">
      <c r="A11" s="1">
        <v>252</v>
      </c>
      <c r="B11" s="1">
        <v>2</v>
      </c>
      <c r="C11" s="2">
        <v>40920</v>
      </c>
      <c r="D11" s="1">
        <v>11388.6</v>
      </c>
      <c r="E11" s="1">
        <f t="shared" si="1"/>
        <v>4.0564703395624546</v>
      </c>
      <c r="H11" s="1"/>
      <c r="I11" s="1">
        <v>294</v>
      </c>
      <c r="J11" s="1">
        <v>11</v>
      </c>
      <c r="K11" s="2">
        <v>41006</v>
      </c>
      <c r="L11" s="1">
        <v>4304298.8379819999</v>
      </c>
      <c r="M11" s="1">
        <f>LOG10(L11)</f>
        <v>6.6339024158138074</v>
      </c>
    </row>
    <row r="12" spans="1:13">
      <c r="A12" s="1">
        <v>257</v>
      </c>
      <c r="B12" s="1">
        <v>3</v>
      </c>
      <c r="C12" s="2">
        <v>40920</v>
      </c>
      <c r="D12" s="1">
        <v>1468.9</v>
      </c>
      <c r="E12" s="1">
        <f t="shared" si="1"/>
        <v>3.1669922308301102</v>
      </c>
    </row>
    <row r="13" spans="1:13">
      <c r="A13" s="1">
        <v>234</v>
      </c>
      <c r="B13" s="1">
        <v>4</v>
      </c>
      <c r="C13" s="2">
        <v>40920</v>
      </c>
      <c r="D13" s="3">
        <v>933</v>
      </c>
      <c r="E13" s="1">
        <f t="shared" si="1"/>
        <v>2.9698816437465001</v>
      </c>
      <c r="I13" s="1">
        <v>285</v>
      </c>
      <c r="J13" s="1">
        <v>2</v>
      </c>
      <c r="K13" s="2">
        <v>41013</v>
      </c>
      <c r="L13" s="1">
        <v>1794380.3051100001</v>
      </c>
      <c r="M13" s="1">
        <f>LOG10(L13)</f>
        <v>6.2539144938400755</v>
      </c>
    </row>
    <row r="14" spans="1:13">
      <c r="A14" s="1">
        <v>225</v>
      </c>
      <c r="B14" s="1">
        <v>5</v>
      </c>
      <c r="C14" s="2">
        <v>40920</v>
      </c>
      <c r="D14" s="1">
        <v>3.5999999999999997E-2</v>
      </c>
      <c r="E14" s="1">
        <f t="shared" si="1"/>
        <v>-1.4436974992327127</v>
      </c>
      <c r="I14" s="1">
        <v>275</v>
      </c>
      <c r="J14" s="1">
        <v>4</v>
      </c>
      <c r="K14" s="2">
        <v>41013</v>
      </c>
      <c r="L14" s="1">
        <v>78.506960000000007</v>
      </c>
      <c r="M14" s="1">
        <f>LOG10(L14)</f>
        <v>1.8949081606382778</v>
      </c>
    </row>
    <row r="15" spans="1:13">
      <c r="A15" s="1">
        <v>253</v>
      </c>
      <c r="B15" s="1">
        <v>8</v>
      </c>
      <c r="C15" s="2">
        <v>40920</v>
      </c>
      <c r="D15" s="1">
        <v>3.5999999999999997E-2</v>
      </c>
      <c r="E15" s="1">
        <f t="shared" si="1"/>
        <v>-1.4436974992327127</v>
      </c>
      <c r="I15" s="1">
        <v>281</v>
      </c>
      <c r="J15" s="1">
        <v>6</v>
      </c>
      <c r="K15" s="2">
        <v>41013</v>
      </c>
      <c r="L15" s="1">
        <v>0.22619300000000001</v>
      </c>
      <c r="M15" s="1">
        <f>LOG10(L15)</f>
        <v>-0.64552083932397319</v>
      </c>
    </row>
    <row r="16" spans="1:13">
      <c r="A16" s="1"/>
      <c r="B16" s="1"/>
      <c r="C16" s="1"/>
      <c r="D16" s="1"/>
      <c r="E16" s="1"/>
      <c r="I16" s="1">
        <v>276</v>
      </c>
      <c r="J16" s="1">
        <v>8</v>
      </c>
      <c r="K16" s="2">
        <v>41013</v>
      </c>
      <c r="L16" s="1">
        <v>6.0000999999999999E-2</v>
      </c>
      <c r="M16" s="1">
        <f>LOG10(L16)</f>
        <v>-1.2218415114353094</v>
      </c>
    </row>
    <row r="17" spans="1:23">
      <c r="A17" s="1">
        <v>217</v>
      </c>
      <c r="B17" s="1">
        <v>1</v>
      </c>
      <c r="C17" s="2">
        <v>40924</v>
      </c>
      <c r="D17" s="1">
        <v>4611.6000000000004</v>
      </c>
      <c r="E17" s="1">
        <f>LOG10(D17)</f>
        <v>3.6638516305119735</v>
      </c>
      <c r="I17" s="1">
        <v>283</v>
      </c>
      <c r="J17" s="1">
        <v>10</v>
      </c>
      <c r="K17" s="2">
        <v>41013</v>
      </c>
      <c r="L17" s="1">
        <v>3.6101000000000001E-2</v>
      </c>
      <c r="M17" s="1">
        <f>LOG10(L17)</f>
        <v>-1.4424807679429057</v>
      </c>
    </row>
    <row r="18" spans="1:23">
      <c r="A18" s="1">
        <v>252</v>
      </c>
      <c r="B18" s="1">
        <v>2</v>
      </c>
      <c r="C18" s="2">
        <v>40924</v>
      </c>
      <c r="D18" s="1">
        <v>458.3</v>
      </c>
      <c r="E18" s="1">
        <f>LOG10(D18)</f>
        <v>2.6611498572447867</v>
      </c>
    </row>
    <row r="19" spans="1:23">
      <c r="A19" s="1">
        <v>257</v>
      </c>
      <c r="B19" s="1">
        <v>3</v>
      </c>
      <c r="C19" s="2">
        <v>40924</v>
      </c>
      <c r="D19" s="1">
        <v>4584.5</v>
      </c>
      <c r="E19" s="1">
        <f>LOG10(D19)</f>
        <v>3.6612919770656034</v>
      </c>
    </row>
    <row r="20" spans="1:23">
      <c r="A20" s="1">
        <v>234</v>
      </c>
      <c r="B20" s="1">
        <v>4</v>
      </c>
      <c r="C20" s="2">
        <v>40924</v>
      </c>
      <c r="D20" s="1">
        <v>42.7</v>
      </c>
      <c r="E20" s="1">
        <f>LOG10(D20)</f>
        <v>1.6304278750250238</v>
      </c>
      <c r="G20" s="1"/>
      <c r="H20" s="1"/>
      <c r="J20" s="1"/>
      <c r="K20" s="1"/>
      <c r="L20" s="1"/>
      <c r="M20" s="1"/>
      <c r="N20" s="1"/>
      <c r="P20" s="1"/>
      <c r="Q20" s="1"/>
      <c r="R20" s="1"/>
      <c r="S20" s="1"/>
      <c r="T20" s="1"/>
      <c r="U20" s="1"/>
      <c r="V20" s="1"/>
      <c r="W20" s="1"/>
    </row>
    <row r="21" spans="1:23">
      <c r="A21" s="1"/>
      <c r="B21" s="1"/>
      <c r="C21" s="1"/>
      <c r="D21" s="1"/>
      <c r="E21" s="1"/>
      <c r="G21" s="1"/>
      <c r="H21" s="2"/>
    </row>
    <row r="22" spans="1:23">
      <c r="A22" s="1">
        <v>217</v>
      </c>
      <c r="B22" s="1">
        <v>1</v>
      </c>
      <c r="C22" s="2">
        <v>40926</v>
      </c>
      <c r="D22" s="1">
        <v>93.3</v>
      </c>
      <c r="E22" s="1">
        <f>LOG10(D22)</f>
        <v>1.9698816437464999</v>
      </c>
      <c r="G22" s="1"/>
      <c r="H22" s="2"/>
    </row>
    <row r="23" spans="1:23">
      <c r="A23" s="1">
        <v>252</v>
      </c>
      <c r="B23" s="1">
        <v>2</v>
      </c>
      <c r="C23" s="2">
        <v>40926</v>
      </c>
      <c r="D23" s="1">
        <v>1098.9000000000001</v>
      </c>
      <c r="E23" s="1">
        <f>LOG10(D23)</f>
        <v>3.0409581733842073</v>
      </c>
      <c r="G23" s="1"/>
      <c r="H23" s="2"/>
    </row>
    <row r="24" spans="1:23">
      <c r="A24" s="1">
        <v>257</v>
      </c>
      <c r="B24" s="1">
        <v>3</v>
      </c>
      <c r="C24" s="2">
        <v>40926</v>
      </c>
      <c r="D24" s="1">
        <v>1098.9000000000001</v>
      </c>
      <c r="E24" s="1">
        <f>LOG10(D24)</f>
        <v>3.0409581733842073</v>
      </c>
      <c r="G24" s="1"/>
      <c r="H24" s="2"/>
    </row>
    <row r="25" spans="1:23">
      <c r="A25" s="1">
        <v>234</v>
      </c>
      <c r="B25" s="1">
        <v>4</v>
      </c>
      <c r="C25" s="2">
        <v>40926</v>
      </c>
      <c r="D25" s="1">
        <v>14.7</v>
      </c>
      <c r="E25" s="1">
        <f>LOG10(D25)</f>
        <v>1.167317334748176</v>
      </c>
      <c r="G25" s="1"/>
      <c r="H25" s="2"/>
    </row>
    <row r="26" spans="1:23">
      <c r="A26" s="1">
        <v>253</v>
      </c>
      <c r="B26" s="1">
        <v>8</v>
      </c>
      <c r="C26" s="2">
        <v>40926</v>
      </c>
      <c r="D26" s="1">
        <v>0.114</v>
      </c>
      <c r="E26" s="1">
        <f>LOG10(D26)</f>
        <v>-0.94309514866352739</v>
      </c>
      <c r="G26" s="1"/>
      <c r="H26" s="2"/>
    </row>
    <row r="27" spans="1:23">
      <c r="A27" s="1"/>
      <c r="B27" s="1"/>
      <c r="C27" s="2"/>
      <c r="D27" s="1"/>
      <c r="E27" s="1"/>
      <c r="G27" s="1"/>
      <c r="H27" s="2"/>
    </row>
    <row r="28" spans="1:23">
      <c r="A28" s="1">
        <v>217</v>
      </c>
      <c r="B28" s="1">
        <v>1</v>
      </c>
      <c r="C28" s="2">
        <v>40928</v>
      </c>
      <c r="D28" s="1">
        <v>93.3</v>
      </c>
      <c r="E28" s="1">
        <f>LOG10(D28)</f>
        <v>1.9698816437464999</v>
      </c>
      <c r="G28" s="1"/>
      <c r="H28" s="2"/>
    </row>
    <row r="29" spans="1:23">
      <c r="A29" s="1">
        <v>252</v>
      </c>
      <c r="B29" s="1">
        <v>2</v>
      </c>
      <c r="C29" s="2">
        <v>40928</v>
      </c>
      <c r="D29" s="1">
        <v>462.2</v>
      </c>
      <c r="E29" s="1">
        <f>LOG10(D29)</f>
        <v>2.6648299411430907</v>
      </c>
      <c r="G29" s="1"/>
      <c r="H29" s="2"/>
    </row>
    <row r="30" spans="1:23">
      <c r="A30" s="1">
        <v>257</v>
      </c>
      <c r="B30" s="1">
        <v>3</v>
      </c>
      <c r="C30" s="2">
        <v>40928</v>
      </c>
      <c r="D30" s="1">
        <v>462.2</v>
      </c>
      <c r="E30" s="1">
        <f>LOG10(D30)</f>
        <v>2.6648299411430907</v>
      </c>
      <c r="G30" s="1"/>
      <c r="H30" s="2"/>
    </row>
    <row r="31" spans="1:23">
      <c r="A31" s="1">
        <v>234</v>
      </c>
      <c r="B31" s="1">
        <v>4</v>
      </c>
      <c r="C31" s="2">
        <v>40928</v>
      </c>
      <c r="D31" s="1">
        <v>0.78500000000000003</v>
      </c>
      <c r="E31" s="1">
        <f>LOG10(D31)</f>
        <v>-0.10513034325474745</v>
      </c>
      <c r="G31" s="1"/>
      <c r="H31" s="2"/>
    </row>
    <row r="32" spans="1:23">
      <c r="A32" s="1"/>
      <c r="B32" s="1"/>
      <c r="C32" s="1"/>
      <c r="D32" s="1"/>
      <c r="E32" s="1"/>
      <c r="G32" s="1"/>
      <c r="H32" s="2"/>
    </row>
    <row r="33" spans="1:8">
      <c r="A33" s="1">
        <v>217</v>
      </c>
      <c r="B33" s="1">
        <v>1</v>
      </c>
      <c r="C33" s="2">
        <v>40931</v>
      </c>
      <c r="D33" s="4">
        <v>2.1</v>
      </c>
      <c r="E33" s="1">
        <f>LOG10(D33)</f>
        <v>0.3222192947339193</v>
      </c>
      <c r="G33" s="1"/>
      <c r="H33" s="2"/>
    </row>
    <row r="34" spans="1:8">
      <c r="A34" s="1">
        <v>252</v>
      </c>
      <c r="B34" s="1">
        <v>2</v>
      </c>
      <c r="C34" s="2">
        <v>40931</v>
      </c>
      <c r="D34" s="1">
        <v>6.07</v>
      </c>
      <c r="E34" s="1">
        <f>LOG10(D34)</f>
        <v>0.78318869107525757</v>
      </c>
      <c r="G34" s="1"/>
      <c r="H34" s="2"/>
    </row>
    <row r="35" spans="1:8">
      <c r="A35" s="1">
        <v>234</v>
      </c>
      <c r="B35" s="1">
        <v>4</v>
      </c>
      <c r="C35" s="2">
        <v>40931</v>
      </c>
      <c r="D35" s="1">
        <v>4.4000000000000004</v>
      </c>
      <c r="E35" s="1">
        <f>LOG10(D35)</f>
        <v>0.64345267648618742</v>
      </c>
      <c r="G35" s="1"/>
      <c r="H35" s="2"/>
    </row>
    <row r="36" spans="1:8">
      <c r="A36" s="1">
        <v>225</v>
      </c>
      <c r="B36" s="1">
        <v>5</v>
      </c>
      <c r="C36" s="2">
        <v>40931</v>
      </c>
      <c r="D36" s="1">
        <v>0.44</v>
      </c>
      <c r="E36" s="1">
        <f>LOG10(D36)</f>
        <v>-0.35654732351381258</v>
      </c>
      <c r="G36" s="1"/>
      <c r="H36" s="2"/>
    </row>
    <row r="37" spans="1:8">
      <c r="A37" s="1"/>
      <c r="B37" s="1"/>
      <c r="C37" s="1"/>
      <c r="D37" s="1"/>
      <c r="E37" s="1"/>
      <c r="G37" s="1"/>
      <c r="H37" s="2"/>
    </row>
    <row r="38" spans="1:8">
      <c r="A38" s="1">
        <v>217</v>
      </c>
      <c r="B38" s="1">
        <v>1</v>
      </c>
      <c r="C38" s="2">
        <v>40933</v>
      </c>
      <c r="D38" s="1">
        <v>0.78500000000000003</v>
      </c>
      <c r="E38" s="1">
        <f>LOG10(D38)</f>
        <v>-0.10513034325474745</v>
      </c>
      <c r="G38" s="1"/>
      <c r="H38" s="2"/>
    </row>
    <row r="39" spans="1:8">
      <c r="A39" s="1">
        <v>252</v>
      </c>
      <c r="B39" s="1">
        <v>2</v>
      </c>
      <c r="C39" s="2">
        <v>40933</v>
      </c>
      <c r="D39" s="1">
        <v>0.42699999999999999</v>
      </c>
      <c r="E39" s="1">
        <f>LOG10(D39)</f>
        <v>-0.36957212497497616</v>
      </c>
      <c r="G39" s="1"/>
      <c r="H39" s="2"/>
    </row>
    <row r="40" spans="1:8">
      <c r="A40" s="1">
        <v>234</v>
      </c>
      <c r="B40" s="1">
        <v>4</v>
      </c>
      <c r="C40" s="2">
        <v>40933</v>
      </c>
      <c r="D40" s="1">
        <v>23.98</v>
      </c>
      <c r="E40" s="1">
        <f>LOG10(D40)</f>
        <v>1.37984917876283</v>
      </c>
      <c r="G40" s="1"/>
      <c r="H40" s="2"/>
    </row>
    <row r="41" spans="1:8">
      <c r="A41" s="1">
        <v>225</v>
      </c>
      <c r="B41" s="1">
        <v>5</v>
      </c>
      <c r="C41" s="2">
        <v>40933</v>
      </c>
      <c r="D41" s="1">
        <v>9.2999999999999999E-2</v>
      </c>
      <c r="E41" s="1">
        <f>LOG10(D41)</f>
        <v>-1.031517051446065</v>
      </c>
      <c r="G41" s="1"/>
      <c r="H41" s="2"/>
    </row>
    <row r="42" spans="1:8">
      <c r="A42" s="1"/>
      <c r="B42" s="1"/>
      <c r="C42" s="1"/>
      <c r="D42" s="1"/>
      <c r="E42" s="1"/>
      <c r="G42" s="1"/>
      <c r="H42" s="2"/>
    </row>
    <row r="43" spans="1:8">
      <c r="A43" s="1">
        <v>217</v>
      </c>
      <c r="B43" s="1">
        <v>1</v>
      </c>
      <c r="C43" s="2">
        <v>40935</v>
      </c>
      <c r="D43" s="1">
        <v>932.5</v>
      </c>
      <c r="E43" s="1">
        <f>LOG10(D43)</f>
        <v>2.9696488404807253</v>
      </c>
      <c r="G43" s="1"/>
      <c r="H43" s="2"/>
    </row>
    <row r="44" spans="1:8">
      <c r="A44" s="1">
        <v>252</v>
      </c>
      <c r="B44" s="1">
        <v>2</v>
      </c>
      <c r="C44" s="2">
        <v>40935</v>
      </c>
      <c r="D44" s="1">
        <v>6.94</v>
      </c>
      <c r="E44" s="1">
        <f>LOG10(D44)</f>
        <v>0.84135947045485493</v>
      </c>
      <c r="G44" s="1"/>
      <c r="H44" s="2"/>
    </row>
    <row r="45" spans="1:8">
      <c r="A45" s="1">
        <v>257</v>
      </c>
      <c r="B45" s="1">
        <v>3</v>
      </c>
      <c r="C45" s="2">
        <v>40935</v>
      </c>
      <c r="D45" s="1">
        <v>932.8</v>
      </c>
      <c r="E45" s="1">
        <f>LOG10(D45)</f>
        <v>2.9697885374149386</v>
      </c>
      <c r="G45" s="1"/>
      <c r="H45" s="2"/>
    </row>
    <row r="46" spans="1:8">
      <c r="A46" s="1">
        <v>234</v>
      </c>
      <c r="B46" s="1">
        <v>4</v>
      </c>
      <c r="C46" s="2">
        <v>40935</v>
      </c>
      <c r="D46" s="1">
        <v>9.3000000000000007</v>
      </c>
      <c r="E46" s="1">
        <f>LOG10(D46)</f>
        <v>0.96848294855393513</v>
      </c>
      <c r="G46" s="1"/>
      <c r="H46" s="2"/>
    </row>
    <row r="47" spans="1:8">
      <c r="A47" s="1"/>
      <c r="B47" s="1"/>
      <c r="C47" s="1"/>
      <c r="D47" s="1"/>
      <c r="E47" s="1"/>
      <c r="G47" s="1"/>
      <c r="H47" s="2"/>
    </row>
    <row r="48" spans="1:8">
      <c r="A48" s="1">
        <v>217</v>
      </c>
      <c r="B48" s="1">
        <v>1</v>
      </c>
      <c r="C48" s="2">
        <v>40938</v>
      </c>
      <c r="D48" s="1">
        <v>239.8</v>
      </c>
      <c r="E48" s="1">
        <f>LOG10(D48)</f>
        <v>2.37984917876283</v>
      </c>
      <c r="G48" s="1"/>
      <c r="H48" s="2"/>
    </row>
    <row r="49" spans="1:8">
      <c r="A49" s="1">
        <v>234</v>
      </c>
      <c r="B49" s="1">
        <v>4</v>
      </c>
      <c r="C49" s="2">
        <v>40938</v>
      </c>
      <c r="D49" s="1">
        <v>0.20399999999999999</v>
      </c>
      <c r="E49" s="1">
        <f>LOG10(D49)</f>
        <v>-0.69036983257410123</v>
      </c>
      <c r="G49" s="1"/>
      <c r="H49" s="2"/>
    </row>
    <row r="50" spans="1:8">
      <c r="A50" s="1"/>
      <c r="B50" s="1"/>
      <c r="C50" s="1"/>
      <c r="D50" s="1"/>
      <c r="E50" s="1"/>
      <c r="G50" s="1"/>
      <c r="H50" s="2"/>
    </row>
    <row r="51" spans="1:8">
      <c r="A51" s="1">
        <v>217</v>
      </c>
      <c r="B51" s="1">
        <v>1</v>
      </c>
      <c r="C51" s="2">
        <v>40940</v>
      </c>
      <c r="D51" s="1">
        <v>9.32</v>
      </c>
      <c r="E51" s="1">
        <f>LOG10(D51)</f>
        <v>0.96941591235398139</v>
      </c>
      <c r="G51" s="1"/>
      <c r="H51" s="2"/>
    </row>
    <row r="52" spans="1:8">
      <c r="A52" s="1">
        <v>252</v>
      </c>
      <c r="B52" s="1">
        <v>2</v>
      </c>
      <c r="C52" s="2">
        <v>40940</v>
      </c>
      <c r="D52" s="1">
        <v>0.24</v>
      </c>
      <c r="E52" s="1">
        <f>LOG10(D52)</f>
        <v>-0.61978875828839397</v>
      </c>
      <c r="G52" s="1"/>
      <c r="H52" s="2"/>
    </row>
    <row r="53" spans="1:8">
      <c r="A53" s="1">
        <v>234</v>
      </c>
      <c r="B53" s="1">
        <v>4</v>
      </c>
      <c r="C53" s="2">
        <v>40940</v>
      </c>
      <c r="D53" s="1">
        <v>7.3999999999999996E-2</v>
      </c>
      <c r="E53" s="1">
        <f>LOG10(D53)</f>
        <v>-1.1307682802690238</v>
      </c>
      <c r="G53" s="1"/>
      <c r="H53" s="2"/>
    </row>
    <row r="54" spans="1:8">
      <c r="A54" s="1"/>
      <c r="B54" s="1"/>
      <c r="C54" s="1"/>
      <c r="D54" s="1"/>
      <c r="E54" s="1"/>
      <c r="G54" s="1"/>
      <c r="H54" s="2"/>
    </row>
    <row r="55" spans="1:8">
      <c r="A55" s="1">
        <v>217</v>
      </c>
      <c r="B55" s="1">
        <v>1</v>
      </c>
      <c r="C55" s="2">
        <v>40942</v>
      </c>
      <c r="D55" s="1">
        <v>0.42</v>
      </c>
      <c r="E55" s="1">
        <f>LOG10(D55)</f>
        <v>-0.37675070960209955</v>
      </c>
      <c r="G55" s="1"/>
      <c r="H55" s="2"/>
    </row>
    <row r="56" spans="1:8">
      <c r="A56" s="1">
        <v>234</v>
      </c>
      <c r="B56" s="1">
        <v>4</v>
      </c>
      <c r="C56" s="2">
        <v>40942</v>
      </c>
      <c r="D56" s="1">
        <v>3.5999999999999997E-2</v>
      </c>
      <c r="E56" s="1">
        <f>LOG10(D56)</f>
        <v>-1.4436974992327127</v>
      </c>
      <c r="G56" s="1"/>
      <c r="H56" s="2"/>
    </row>
    <row r="57" spans="1:8">
      <c r="A57" s="1"/>
      <c r="B57" s="1"/>
      <c r="C57" s="1"/>
      <c r="D57" s="1"/>
      <c r="E57" s="1"/>
      <c r="G57" s="1"/>
      <c r="H57" s="2"/>
    </row>
    <row r="58" spans="1:8">
      <c r="A58" s="1">
        <v>252</v>
      </c>
      <c r="B58" s="1">
        <v>2</v>
      </c>
      <c r="C58" s="2">
        <v>40945</v>
      </c>
      <c r="D58" s="1">
        <v>2396.6999999999998</v>
      </c>
      <c r="E58" s="1">
        <f>LOG10(D58)</f>
        <v>3.3796136758782662</v>
      </c>
      <c r="G58" s="1"/>
      <c r="H58" s="2"/>
    </row>
    <row r="59" spans="1:8">
      <c r="A59" s="1">
        <v>234</v>
      </c>
      <c r="B59" s="1">
        <v>4</v>
      </c>
      <c r="C59" s="2">
        <v>40945</v>
      </c>
      <c r="D59" s="1">
        <v>42.7</v>
      </c>
      <c r="E59" s="1">
        <f>LOG10(D59)</f>
        <v>1.6304278750250238</v>
      </c>
      <c r="G59" s="1"/>
      <c r="H59" s="2"/>
    </row>
    <row r="60" spans="1:8">
      <c r="A60" s="1"/>
      <c r="B60" s="1"/>
      <c r="C60" s="1"/>
      <c r="D60" s="1"/>
      <c r="E60" s="1"/>
      <c r="G60" s="1"/>
      <c r="H60" s="2"/>
    </row>
    <row r="61" spans="1:8">
      <c r="A61" s="1">
        <v>217</v>
      </c>
      <c r="B61" s="1">
        <v>1</v>
      </c>
      <c r="C61" s="2">
        <v>40947</v>
      </c>
      <c r="D61" s="1">
        <v>4.38</v>
      </c>
      <c r="E61" s="1">
        <f t="shared" ref="E61:E66" si="2">LOG10(D61)</f>
        <v>0.64147411050409953</v>
      </c>
      <c r="G61" s="1"/>
      <c r="H61" s="2"/>
    </row>
    <row r="62" spans="1:8">
      <c r="A62" s="1">
        <v>252</v>
      </c>
      <c r="B62" s="1">
        <v>2</v>
      </c>
      <c r="C62" s="2">
        <v>40947</v>
      </c>
      <c r="D62" s="1">
        <v>4.22</v>
      </c>
      <c r="E62" s="1">
        <f t="shared" si="2"/>
        <v>0.62531245096167387</v>
      </c>
      <c r="G62" s="1"/>
      <c r="H62" s="2"/>
    </row>
    <row r="63" spans="1:8">
      <c r="A63" s="1">
        <v>234</v>
      </c>
      <c r="B63" s="1">
        <v>4</v>
      </c>
      <c r="C63" s="2">
        <v>40947</v>
      </c>
      <c r="D63" s="1">
        <v>92511.1</v>
      </c>
      <c r="E63" s="1">
        <f t="shared" si="2"/>
        <v>4.9661938449501912</v>
      </c>
      <c r="G63" s="1"/>
      <c r="H63" s="2"/>
    </row>
    <row r="64" spans="1:8">
      <c r="A64" s="1">
        <v>268</v>
      </c>
      <c r="B64" s="1">
        <v>5</v>
      </c>
      <c r="C64" s="2">
        <v>40947</v>
      </c>
      <c r="D64" s="3">
        <v>7999359</v>
      </c>
      <c r="E64" s="1">
        <f t="shared" si="2"/>
        <v>6.9030551877524182</v>
      </c>
      <c r="G64" s="1"/>
      <c r="H64" s="2"/>
    </row>
    <row r="65" spans="1:8">
      <c r="A65" s="1">
        <v>212</v>
      </c>
      <c r="B65" s="1">
        <v>7</v>
      </c>
      <c r="C65" s="2">
        <v>40947</v>
      </c>
      <c r="D65" s="1">
        <v>227814.9</v>
      </c>
      <c r="E65" s="1">
        <f t="shared" si="2"/>
        <v>5.357582125257399</v>
      </c>
      <c r="G65" s="1"/>
      <c r="H65" s="2"/>
    </row>
    <row r="66" spans="1:8">
      <c r="A66" s="1">
        <v>269</v>
      </c>
      <c r="B66" s="1">
        <v>11</v>
      </c>
      <c r="C66" s="2">
        <v>40947</v>
      </c>
      <c r="D66" s="1">
        <v>0.03</v>
      </c>
      <c r="E66" s="1">
        <f t="shared" si="2"/>
        <v>-1.5228787452803376</v>
      </c>
      <c r="G66" s="1"/>
      <c r="H66" s="2"/>
    </row>
    <row r="67" spans="1:8">
      <c r="A67" s="1"/>
      <c r="B67" s="1"/>
      <c r="C67" s="1"/>
      <c r="D67" s="1"/>
      <c r="E67" s="1"/>
      <c r="G67" s="1"/>
      <c r="H67" s="2"/>
    </row>
    <row r="68" spans="1:8">
      <c r="A68" s="1">
        <v>217</v>
      </c>
      <c r="B68" s="1">
        <v>1</v>
      </c>
      <c r="C68" s="2">
        <v>40949</v>
      </c>
      <c r="D68" s="1">
        <v>42.73</v>
      </c>
      <c r="E68" s="1">
        <f t="shared" ref="E68:E73" si="3">LOG10(D68)</f>
        <v>1.6307328928171965</v>
      </c>
      <c r="G68" s="1"/>
      <c r="H68" s="2"/>
    </row>
    <row r="69" spans="1:8">
      <c r="A69" s="1">
        <v>252</v>
      </c>
      <c r="B69" s="1">
        <v>2</v>
      </c>
      <c r="C69" s="2">
        <v>40949</v>
      </c>
      <c r="D69" s="1">
        <v>9.2999999999999999E-2</v>
      </c>
      <c r="E69" s="1">
        <f t="shared" si="3"/>
        <v>-1.031517051446065</v>
      </c>
      <c r="G69" s="1"/>
      <c r="H69" s="2"/>
    </row>
    <row r="70" spans="1:8">
      <c r="A70" s="1">
        <v>234</v>
      </c>
      <c r="B70" s="1">
        <v>4</v>
      </c>
      <c r="C70" s="2">
        <v>40949</v>
      </c>
      <c r="D70" s="1">
        <v>19783.7</v>
      </c>
      <c r="E70" s="1">
        <f t="shared" si="3"/>
        <v>4.2963075177622372</v>
      </c>
      <c r="G70" s="1"/>
      <c r="H70" s="2"/>
    </row>
    <row r="71" spans="1:8">
      <c r="A71" s="1">
        <v>268</v>
      </c>
      <c r="B71" s="1">
        <v>5</v>
      </c>
      <c r="C71" s="2">
        <v>40949</v>
      </c>
      <c r="D71" s="3">
        <v>1395188</v>
      </c>
      <c r="E71" s="1">
        <f t="shared" si="3"/>
        <v>6.1446327322414485</v>
      </c>
      <c r="G71" s="1"/>
      <c r="H71" s="2"/>
    </row>
    <row r="72" spans="1:8">
      <c r="A72" s="1">
        <v>212</v>
      </c>
      <c r="B72" s="1">
        <v>7</v>
      </c>
      <c r="C72" s="2">
        <v>40949</v>
      </c>
      <c r="D72" s="1">
        <v>932.5</v>
      </c>
      <c r="E72" s="1">
        <f t="shared" si="3"/>
        <v>2.9696488404807253</v>
      </c>
      <c r="G72" s="1"/>
      <c r="H72" s="2"/>
    </row>
    <row r="73" spans="1:8">
      <c r="A73" s="1">
        <v>270</v>
      </c>
      <c r="B73" s="1">
        <v>9</v>
      </c>
      <c r="C73" s="2">
        <v>40949</v>
      </c>
      <c r="D73" s="1">
        <v>0.27600000000000002</v>
      </c>
      <c r="E73" s="1">
        <f t="shared" si="3"/>
        <v>-0.55909091793478227</v>
      </c>
      <c r="G73" s="1"/>
      <c r="H73" s="2"/>
    </row>
    <row r="74" spans="1:8">
      <c r="A74" s="1"/>
      <c r="B74" s="1"/>
      <c r="C74" s="1"/>
      <c r="D74" s="1"/>
      <c r="E74" s="1"/>
      <c r="G74" s="1"/>
      <c r="H74" s="2"/>
    </row>
    <row r="75" spans="1:8">
      <c r="A75" s="1">
        <v>217</v>
      </c>
      <c r="B75" s="1">
        <v>1</v>
      </c>
      <c r="C75" s="2">
        <v>40952</v>
      </c>
      <c r="D75" s="1">
        <v>0.72799999999999998</v>
      </c>
      <c r="E75" s="1">
        <f t="shared" ref="E75:E80" si="4">LOG10(D75)</f>
        <v>-0.13786862068696282</v>
      </c>
      <c r="G75" s="1"/>
      <c r="H75" s="2"/>
    </row>
    <row r="76" spans="1:8">
      <c r="A76" s="1">
        <v>252</v>
      </c>
      <c r="B76" s="1">
        <v>2</v>
      </c>
      <c r="C76" s="2">
        <v>40952</v>
      </c>
      <c r="D76" s="1">
        <v>9.2999999999999999E-2</v>
      </c>
      <c r="E76" s="1">
        <f t="shared" si="4"/>
        <v>-1.031517051446065</v>
      </c>
      <c r="G76" s="1"/>
      <c r="H76" s="2"/>
    </row>
    <row r="77" spans="1:8">
      <c r="A77" s="1">
        <v>234</v>
      </c>
      <c r="B77" s="1">
        <v>4</v>
      </c>
      <c r="C77" s="2">
        <v>40952</v>
      </c>
      <c r="D77" s="1">
        <v>427.3</v>
      </c>
      <c r="E77" s="1">
        <f t="shared" si="4"/>
        <v>2.6307328928171967</v>
      </c>
      <c r="G77" s="1"/>
      <c r="H77" s="2"/>
    </row>
    <row r="78" spans="1:8">
      <c r="A78" s="1">
        <v>268</v>
      </c>
      <c r="B78" s="1">
        <v>5</v>
      </c>
      <c r="C78" s="2">
        <v>40952</v>
      </c>
      <c r="D78" s="1">
        <v>23707.5</v>
      </c>
      <c r="E78" s="1">
        <f t="shared" si="4"/>
        <v>4.3748857592312795</v>
      </c>
      <c r="G78" s="1"/>
      <c r="H78" s="2"/>
    </row>
    <row r="79" spans="1:8">
      <c r="A79" s="1">
        <v>212</v>
      </c>
      <c r="B79" s="1">
        <v>7</v>
      </c>
      <c r="C79" s="2">
        <v>40952</v>
      </c>
      <c r="D79" s="1">
        <v>740.8</v>
      </c>
      <c r="E79" s="1">
        <f t="shared" si="4"/>
        <v>2.8697009736738779</v>
      </c>
      <c r="G79" s="1"/>
      <c r="H79" s="2"/>
    </row>
    <row r="80" spans="1:8">
      <c r="A80" s="1">
        <v>270</v>
      </c>
      <c r="B80" s="1">
        <v>9</v>
      </c>
      <c r="C80" s="2">
        <v>40952</v>
      </c>
      <c r="D80" s="1">
        <v>3.5999999999999997E-2</v>
      </c>
      <c r="E80" s="1">
        <f t="shared" si="4"/>
        <v>-1.4436974992327127</v>
      </c>
      <c r="G80" s="1"/>
      <c r="H80" s="2"/>
    </row>
    <row r="81" spans="1:8">
      <c r="A81" s="1"/>
      <c r="B81" s="1"/>
      <c r="C81" s="1"/>
      <c r="D81" s="1"/>
      <c r="E81" s="1"/>
      <c r="G81" s="1"/>
      <c r="H81" s="2"/>
    </row>
    <row r="82" spans="1:8">
      <c r="A82" s="1">
        <v>217</v>
      </c>
      <c r="B82" s="1">
        <v>1</v>
      </c>
      <c r="C82" s="2">
        <v>40954</v>
      </c>
      <c r="D82" s="1">
        <v>0.11</v>
      </c>
      <c r="E82" s="1">
        <f>LOG10(D82)</f>
        <v>-0.95860731484177497</v>
      </c>
      <c r="G82" s="1"/>
      <c r="H82" s="2"/>
    </row>
    <row r="83" spans="1:8">
      <c r="A83" s="1">
        <v>234</v>
      </c>
      <c r="B83" s="1">
        <v>4</v>
      </c>
      <c r="C83" s="2">
        <v>40954</v>
      </c>
      <c r="D83" s="3">
        <v>44</v>
      </c>
      <c r="E83" s="1">
        <f>LOG10(D83)</f>
        <v>1.6434526764861874</v>
      </c>
      <c r="G83" s="1"/>
      <c r="H83" s="2"/>
    </row>
    <row r="84" spans="1:8">
      <c r="A84" s="1">
        <v>268</v>
      </c>
      <c r="B84" s="1">
        <v>5</v>
      </c>
      <c r="C84" s="2">
        <v>40954</v>
      </c>
      <c r="D84" s="1">
        <v>2396.1999999999998</v>
      </c>
      <c r="E84" s="1">
        <f>LOG10(D84)</f>
        <v>3.379523063830554</v>
      </c>
      <c r="G84" s="1"/>
      <c r="H84" s="2"/>
    </row>
    <row r="85" spans="1:8">
      <c r="A85" s="1">
        <v>212</v>
      </c>
      <c r="B85" s="1">
        <v>7</v>
      </c>
      <c r="C85" s="2">
        <v>40954</v>
      </c>
      <c r="D85" s="1">
        <v>932.8</v>
      </c>
      <c r="E85" s="1">
        <f>LOG10(D85)</f>
        <v>2.9697885374149386</v>
      </c>
      <c r="G85" s="1"/>
      <c r="H85" s="2"/>
    </row>
    <row r="86" spans="1:8">
      <c r="A86" s="1"/>
      <c r="B86" s="1"/>
      <c r="C86" s="1"/>
      <c r="D86" s="1"/>
      <c r="E86" s="1"/>
      <c r="G86" s="1"/>
      <c r="H86" s="2"/>
    </row>
    <row r="87" spans="1:8">
      <c r="A87" s="1">
        <v>217</v>
      </c>
      <c r="B87" s="1">
        <v>1</v>
      </c>
      <c r="C87" s="2">
        <v>40956</v>
      </c>
      <c r="D87" s="1">
        <v>9.33</v>
      </c>
      <c r="E87" s="1">
        <f>LOG10(D87)</f>
        <v>0.96988164374649999</v>
      </c>
      <c r="G87" s="1"/>
      <c r="H87" s="2"/>
    </row>
    <row r="88" spans="1:8">
      <c r="A88" s="1">
        <v>252</v>
      </c>
      <c r="B88" s="1">
        <v>2</v>
      </c>
      <c r="C88" s="2">
        <v>40956</v>
      </c>
      <c r="D88" s="1">
        <v>9.1999999999999998E-2</v>
      </c>
      <c r="E88" s="1">
        <f>LOG10(D88)</f>
        <v>-1.0362121726544447</v>
      </c>
      <c r="G88" s="1"/>
      <c r="H88" s="2"/>
    </row>
    <row r="89" spans="1:8">
      <c r="A89" s="1">
        <v>234</v>
      </c>
      <c r="B89" s="1">
        <v>4</v>
      </c>
      <c r="C89" s="2">
        <v>40956</v>
      </c>
      <c r="D89" s="1">
        <v>146.9</v>
      </c>
      <c r="E89" s="1">
        <f>LOG10(D89)</f>
        <v>2.1670217957902564</v>
      </c>
      <c r="G89" s="1"/>
      <c r="H89" s="2"/>
    </row>
    <row r="90" spans="1:8">
      <c r="A90" s="1">
        <v>268</v>
      </c>
      <c r="B90" s="1">
        <v>5</v>
      </c>
      <c r="C90" s="2">
        <v>40956</v>
      </c>
      <c r="D90" s="1">
        <v>2396.8000000000002</v>
      </c>
      <c r="E90" s="1">
        <f>LOG10(D90)</f>
        <v>3.3796317960193725</v>
      </c>
      <c r="G90" s="1"/>
      <c r="H90" s="2"/>
    </row>
    <row r="91" spans="1:8">
      <c r="A91" s="1">
        <v>212</v>
      </c>
      <c r="B91" s="1">
        <v>7</v>
      </c>
      <c r="C91" s="2">
        <v>40956</v>
      </c>
      <c r="D91" s="1">
        <v>4.2699999999999996</v>
      </c>
      <c r="E91" s="1">
        <f>LOG10(D91)</f>
        <v>0.63042787502502384</v>
      </c>
      <c r="G91" s="1"/>
      <c r="H91" s="2"/>
    </row>
    <row r="92" spans="1:8">
      <c r="A92" s="1"/>
      <c r="B92" s="1"/>
      <c r="C92" s="1"/>
      <c r="D92" s="1"/>
      <c r="E92" s="1"/>
      <c r="G92" s="1"/>
      <c r="H92" s="2"/>
    </row>
    <row r="93" spans="1:8">
      <c r="A93" s="1">
        <v>217</v>
      </c>
      <c r="B93" s="1">
        <v>1</v>
      </c>
      <c r="C93" s="2">
        <v>40959</v>
      </c>
      <c r="D93" s="1">
        <v>4271.5</v>
      </c>
      <c r="E93" s="1">
        <f>LOG10(D93)</f>
        <v>3.6305804106989807</v>
      </c>
      <c r="G93" s="1"/>
      <c r="H93" s="2"/>
    </row>
    <row r="94" spans="1:8">
      <c r="A94" s="1">
        <v>234</v>
      </c>
      <c r="B94" s="1">
        <v>4</v>
      </c>
      <c r="C94" s="2">
        <v>40959</v>
      </c>
      <c r="D94" s="1">
        <v>226480.3</v>
      </c>
      <c r="E94" s="1">
        <f>LOG10(D94)</f>
        <v>5.3550304316319419</v>
      </c>
      <c r="G94" s="1"/>
      <c r="H94" s="2"/>
    </row>
    <row r="95" spans="1:8">
      <c r="A95" s="1">
        <v>268</v>
      </c>
      <c r="B95" s="1">
        <v>5</v>
      </c>
      <c r="C95" s="2">
        <v>40959</v>
      </c>
      <c r="D95" s="1">
        <v>251393.1</v>
      </c>
      <c r="E95" s="1">
        <f>LOG10(D95)</f>
        <v>5.4003533534094093</v>
      </c>
      <c r="G95" s="1"/>
      <c r="H95" s="2"/>
    </row>
    <row r="96" spans="1:8">
      <c r="A96" s="1"/>
      <c r="B96" s="1"/>
      <c r="C96" s="1"/>
      <c r="D96" s="1"/>
      <c r="E96" s="1"/>
      <c r="G96" s="1"/>
      <c r="H96" s="2"/>
    </row>
    <row r="97" spans="1:8">
      <c r="A97" s="1">
        <v>217</v>
      </c>
      <c r="B97" s="1">
        <v>1</v>
      </c>
      <c r="C97" s="2">
        <v>40961</v>
      </c>
      <c r="D97" s="1">
        <v>2396.6999999999998</v>
      </c>
      <c r="E97" s="1">
        <f>LOG10(D97)</f>
        <v>3.3796136758782662</v>
      </c>
      <c r="G97" s="1"/>
      <c r="H97" s="2"/>
    </row>
    <row r="98" spans="1:8">
      <c r="A98" s="1">
        <v>234</v>
      </c>
      <c r="B98" s="1">
        <v>4</v>
      </c>
      <c r="C98" s="2">
        <v>40961</v>
      </c>
      <c r="D98" s="1">
        <v>231.2</v>
      </c>
      <c r="E98" s="1">
        <f>LOG10(D98)</f>
        <v>2.3639878297484915</v>
      </c>
      <c r="G98" s="1"/>
      <c r="H98" s="2"/>
    </row>
    <row r="99" spans="1:8">
      <c r="A99" s="1">
        <v>268</v>
      </c>
      <c r="B99" s="1">
        <v>5</v>
      </c>
      <c r="C99" s="2">
        <v>40961</v>
      </c>
      <c r="D99" s="1">
        <v>427.3</v>
      </c>
      <c r="E99" s="1">
        <f>LOG10(D99)</f>
        <v>2.6307328928171967</v>
      </c>
      <c r="G99" s="1"/>
      <c r="H99" s="2"/>
    </row>
    <row r="100" spans="1:8">
      <c r="A100" s="1">
        <v>212</v>
      </c>
      <c r="B100" s="1">
        <v>7</v>
      </c>
      <c r="C100" s="2">
        <v>40961</v>
      </c>
      <c r="D100" s="1">
        <v>0.43</v>
      </c>
      <c r="E100" s="1">
        <f>LOG10(D100)</f>
        <v>-0.36653154442041347</v>
      </c>
      <c r="G100" s="1"/>
      <c r="H100" s="2"/>
    </row>
    <row r="101" spans="1:8">
      <c r="A101" s="1"/>
      <c r="B101" s="1"/>
      <c r="C101" s="1"/>
      <c r="D101" s="1"/>
      <c r="E101" s="1"/>
      <c r="G101" s="1"/>
      <c r="H101" s="2"/>
    </row>
    <row r="102" spans="1:8">
      <c r="A102" s="1">
        <v>217</v>
      </c>
      <c r="B102" s="1">
        <v>1</v>
      </c>
      <c r="C102" s="2">
        <v>40963</v>
      </c>
      <c r="D102" s="1">
        <v>932.5</v>
      </c>
      <c r="E102" s="1">
        <f>LOG10(D102)</f>
        <v>2.9696488404807253</v>
      </c>
      <c r="G102" s="1"/>
      <c r="H102" s="2"/>
    </row>
    <row r="103" spans="1:8">
      <c r="A103" s="1">
        <v>234</v>
      </c>
      <c r="B103" s="1">
        <v>4</v>
      </c>
      <c r="C103" s="2">
        <v>40963</v>
      </c>
      <c r="D103" s="1">
        <v>2397.8000000000002</v>
      </c>
      <c r="E103" s="1">
        <f>LOG10(D103)</f>
        <v>3.3798129558609444</v>
      </c>
      <c r="G103" s="1"/>
      <c r="H103" s="2"/>
    </row>
    <row r="104" spans="1:8">
      <c r="A104" s="1">
        <v>268</v>
      </c>
      <c r="B104" s="1">
        <v>5</v>
      </c>
      <c r="C104" s="2">
        <v>40963</v>
      </c>
      <c r="D104" s="1">
        <v>28.6</v>
      </c>
      <c r="E104" s="1">
        <f>LOG10(D104)</f>
        <v>1.4563660331290431</v>
      </c>
      <c r="G104" s="1"/>
      <c r="H104" s="2"/>
    </row>
    <row r="105" spans="1:8">
      <c r="A105" s="1"/>
      <c r="B105" s="1"/>
      <c r="C105" s="1"/>
      <c r="D105" s="1"/>
      <c r="E105" s="1"/>
      <c r="G105" s="1"/>
      <c r="H105" s="2"/>
    </row>
    <row r="106" spans="1:8">
      <c r="A106" s="1">
        <v>217</v>
      </c>
      <c r="B106" s="1">
        <v>1</v>
      </c>
      <c r="C106" s="2">
        <v>40966</v>
      </c>
      <c r="D106" s="1">
        <v>42.7</v>
      </c>
      <c r="E106" s="1">
        <f>LOG10(D106)</f>
        <v>1.6304278750250238</v>
      </c>
      <c r="G106" s="1"/>
      <c r="H106" s="2"/>
    </row>
    <row r="107" spans="1:8">
      <c r="A107" s="1"/>
      <c r="B107" s="1"/>
      <c r="C107" s="1"/>
      <c r="D107" s="1"/>
      <c r="E107" s="1"/>
      <c r="G107" s="1"/>
      <c r="H107" s="2"/>
    </row>
    <row r="108" spans="1:8">
      <c r="A108" s="1">
        <v>217</v>
      </c>
      <c r="B108" s="1">
        <v>1</v>
      </c>
      <c r="C108" s="2">
        <v>40968</v>
      </c>
      <c r="D108" s="1">
        <v>34618.199999999997</v>
      </c>
      <c r="E108" s="1">
        <f>LOG10(D108)</f>
        <v>4.5393044826499933</v>
      </c>
      <c r="G108" s="1"/>
      <c r="H108" s="2"/>
    </row>
    <row r="109" spans="1:8">
      <c r="A109" s="1">
        <v>234</v>
      </c>
      <c r="B109" s="1">
        <v>4</v>
      </c>
      <c r="C109" s="2">
        <v>40968</v>
      </c>
      <c r="D109" s="1">
        <v>0.38</v>
      </c>
      <c r="E109" s="1">
        <f>LOG10(D109)</f>
        <v>-0.42021640338318983</v>
      </c>
      <c r="G109" s="1"/>
      <c r="H109" s="2"/>
    </row>
    <row r="110" spans="1:8">
      <c r="A110" s="1">
        <v>268</v>
      </c>
      <c r="B110" s="1">
        <v>5</v>
      </c>
      <c r="C110" s="2">
        <v>40968</v>
      </c>
      <c r="D110" s="1">
        <v>2395.8000000000002</v>
      </c>
      <c r="E110" s="1">
        <f>LOG10(D110)</f>
        <v>3.3794505605779812</v>
      </c>
      <c r="G110" s="1"/>
      <c r="H110" s="2"/>
    </row>
    <row r="111" spans="1:8">
      <c r="G111" s="1"/>
      <c r="H111" s="2"/>
    </row>
    <row r="112" spans="1:8">
      <c r="A112" s="1">
        <v>217</v>
      </c>
      <c r="B112" s="1">
        <v>1</v>
      </c>
      <c r="C112" s="2">
        <v>40970</v>
      </c>
      <c r="D112" s="1">
        <v>0.60712999999999995</v>
      </c>
      <c r="E112" s="1">
        <f>LOG10(D112)</f>
        <v>-0.2167183068856475</v>
      </c>
      <c r="G112" s="1"/>
      <c r="H112" s="2"/>
    </row>
    <row r="113" spans="1:8">
      <c r="A113" s="1">
        <v>234</v>
      </c>
      <c r="B113" s="1">
        <v>4</v>
      </c>
      <c r="C113" s="2">
        <v>40970</v>
      </c>
      <c r="D113" s="1">
        <v>2395.9518859999998</v>
      </c>
      <c r="E113" s="1">
        <f>LOG10(D113)</f>
        <v>3.3794780925759933</v>
      </c>
      <c r="G113" s="1"/>
      <c r="H113" s="2"/>
    </row>
    <row r="114" spans="1:8">
      <c r="A114" s="1">
        <v>268</v>
      </c>
      <c r="B114" s="1">
        <v>5</v>
      </c>
      <c r="C114" s="2">
        <v>40970</v>
      </c>
      <c r="D114" s="1">
        <v>4270.0042210000001</v>
      </c>
      <c r="E114" s="1">
        <f>LOG10(D114)</f>
        <v>3.6304283043355863</v>
      </c>
      <c r="G114" s="1"/>
      <c r="H114" s="2"/>
    </row>
    <row r="115" spans="1:8">
      <c r="C115" s="1"/>
      <c r="D115" s="1"/>
      <c r="E115" s="1"/>
      <c r="G115" s="1"/>
      <c r="H115" s="2"/>
    </row>
    <row r="116" spans="1:8">
      <c r="A116" s="1">
        <v>217</v>
      </c>
      <c r="B116" s="1">
        <v>1</v>
      </c>
      <c r="C116" s="2">
        <v>40973</v>
      </c>
      <c r="D116" s="1">
        <v>0.210648</v>
      </c>
      <c r="E116" s="1">
        <f>LOG10(D116)</f>
        <v>-0.6764426599318033</v>
      </c>
      <c r="G116" s="1"/>
      <c r="H116" s="2"/>
    </row>
    <row r="117" spans="1:8">
      <c r="A117" s="1">
        <v>234</v>
      </c>
      <c r="B117" s="1">
        <v>4</v>
      </c>
      <c r="C117" s="2">
        <v>40973</v>
      </c>
      <c r="D117" s="1">
        <v>93.279617999999999</v>
      </c>
      <c r="E117" s="1">
        <f>LOG10(D117)</f>
        <v>1.9697867588897267</v>
      </c>
      <c r="G117" s="1"/>
      <c r="H117" s="2"/>
    </row>
    <row r="118" spans="1:8">
      <c r="A118" s="1">
        <v>268</v>
      </c>
      <c r="B118" s="1">
        <v>5</v>
      </c>
      <c r="C118" s="2">
        <v>40973</v>
      </c>
      <c r="D118" s="1">
        <v>0.22136400000000001</v>
      </c>
      <c r="E118" s="1">
        <f>LOG10(D118)</f>
        <v>-0.65489300618806434</v>
      </c>
      <c r="G118" s="1"/>
      <c r="H118" s="2"/>
    </row>
    <row r="119" spans="1:8">
      <c r="C119" s="1"/>
      <c r="D119" s="1"/>
      <c r="E119" s="1"/>
      <c r="G119" s="1"/>
      <c r="H119" s="2"/>
    </row>
    <row r="120" spans="1:8">
      <c r="A120" s="1">
        <v>217</v>
      </c>
      <c r="B120" s="1">
        <v>1</v>
      </c>
      <c r="C120" s="2">
        <v>40975</v>
      </c>
      <c r="D120" s="1">
        <v>7.2246000000000005E-2</v>
      </c>
      <c r="E120" s="1">
        <f>LOG10(D120)</f>
        <v>-1.1411861932221739</v>
      </c>
      <c r="G120" s="1"/>
      <c r="H120" s="2"/>
    </row>
    <row r="121" spans="1:8">
      <c r="A121" s="1">
        <v>234</v>
      </c>
      <c r="B121" s="1">
        <v>4</v>
      </c>
      <c r="C121" s="2">
        <v>40975</v>
      </c>
      <c r="D121" s="1">
        <v>146.89026000000001</v>
      </c>
      <c r="E121" s="1">
        <f>LOG10(D121)</f>
        <v>2.1669929995445587</v>
      </c>
      <c r="G121" s="1"/>
      <c r="H121" s="2"/>
    </row>
    <row r="122" spans="1:8">
      <c r="A122" s="1">
        <v>268</v>
      </c>
      <c r="B122" s="1">
        <v>5</v>
      </c>
      <c r="C122" s="2">
        <v>40975</v>
      </c>
      <c r="D122" s="1">
        <v>93.280275000000003</v>
      </c>
      <c r="E122" s="1">
        <f>LOG10(D122)</f>
        <v>1.9697898177623496</v>
      </c>
      <c r="G122" s="1"/>
      <c r="H122" s="2"/>
    </row>
    <row r="123" spans="1:8">
      <c r="C123" s="1"/>
      <c r="D123" s="1"/>
      <c r="E123" s="1"/>
      <c r="G123" s="1"/>
      <c r="H123" s="2"/>
    </row>
    <row r="124" spans="1:8">
      <c r="A124" s="1">
        <v>217</v>
      </c>
      <c r="B124" s="1">
        <v>1</v>
      </c>
      <c r="C124" s="2">
        <v>40977</v>
      </c>
      <c r="D124" s="1">
        <v>4.2728820000000001</v>
      </c>
      <c r="E124" s="1">
        <f>LOG10(D124)</f>
        <v>0.63072089949716992</v>
      </c>
      <c r="G124" s="1"/>
      <c r="H124" s="2"/>
    </row>
    <row r="125" spans="1:8">
      <c r="A125" s="1">
        <v>234</v>
      </c>
      <c r="B125" s="1">
        <v>4</v>
      </c>
      <c r="C125" s="2">
        <v>40977</v>
      </c>
      <c r="D125" s="1">
        <v>42.728667999999999</v>
      </c>
      <c r="E125" s="1">
        <f>LOG10(D125)</f>
        <v>1.6307193545708494</v>
      </c>
      <c r="G125" s="1"/>
      <c r="H125" s="2"/>
    </row>
    <row r="126" spans="1:8">
      <c r="A126" s="1">
        <v>268</v>
      </c>
      <c r="B126" s="1">
        <v>5</v>
      </c>
      <c r="C126" s="2">
        <v>40977</v>
      </c>
      <c r="D126" s="1">
        <v>14.689209999999999</v>
      </c>
      <c r="E126" s="1">
        <f>LOG10(D126)</f>
        <v>1.166998439638693</v>
      </c>
      <c r="G126" s="1"/>
      <c r="H126" s="2"/>
    </row>
    <row r="127" spans="1:8">
      <c r="G127" s="1"/>
      <c r="H127" s="2"/>
    </row>
    <row r="128" spans="1:8">
      <c r="A128" s="1">
        <v>234</v>
      </c>
      <c r="B128" s="1">
        <v>4</v>
      </c>
      <c r="C128" s="2">
        <v>40980</v>
      </c>
      <c r="D128" s="1">
        <v>6.0019000000000003E-2</v>
      </c>
      <c r="E128" s="1">
        <f>LOG10(D128)</f>
        <v>-1.2217112448008671</v>
      </c>
      <c r="G128" s="1"/>
      <c r="H128" s="2"/>
    </row>
    <row r="129" spans="1:8">
      <c r="A129" s="1">
        <v>268</v>
      </c>
      <c r="B129" s="1">
        <v>5</v>
      </c>
      <c r="C129" s="2">
        <v>40980</v>
      </c>
      <c r="D129" s="1">
        <v>93.279876000000002</v>
      </c>
      <c r="E129" s="1">
        <f>LOG10(D129)</f>
        <v>1.9697879600934172</v>
      </c>
      <c r="G129" s="1"/>
      <c r="H129" s="2"/>
    </row>
    <row r="130" spans="1:8">
      <c r="C130" s="1"/>
      <c r="D130" s="1"/>
      <c r="E130" s="1"/>
      <c r="G130" s="1"/>
      <c r="H130" s="2"/>
    </row>
    <row r="131" spans="1:8">
      <c r="A131" s="1">
        <v>217</v>
      </c>
      <c r="B131" s="1">
        <v>1</v>
      </c>
      <c r="C131" s="2">
        <v>40982</v>
      </c>
      <c r="D131" s="1">
        <v>0.03</v>
      </c>
      <c r="E131" s="1">
        <f>LOG10(D131)</f>
        <v>-1.5228787452803376</v>
      </c>
      <c r="G131" s="1"/>
      <c r="H131" s="2"/>
    </row>
    <row r="132" spans="1:8">
      <c r="A132" s="1">
        <v>289</v>
      </c>
      <c r="B132" s="1">
        <v>2</v>
      </c>
      <c r="C132" s="2">
        <v>40982</v>
      </c>
      <c r="D132" s="1">
        <v>0.79483199999999998</v>
      </c>
      <c r="E132" s="1">
        <f t="shared" ref="E132:E138" si="5">LOG10(D132)</f>
        <v>-9.9724656479608653E-2</v>
      </c>
      <c r="G132" s="1"/>
      <c r="H132" s="2"/>
    </row>
    <row r="133" spans="1:8">
      <c r="A133" s="1">
        <v>274</v>
      </c>
      <c r="B133" s="1">
        <v>3</v>
      </c>
      <c r="C133" s="2">
        <v>40982</v>
      </c>
      <c r="D133" s="1">
        <v>9.0015999999999999E-2</v>
      </c>
      <c r="E133" s="1">
        <f t="shared" si="5"/>
        <v>-1.0456802895148931</v>
      </c>
      <c r="G133" s="1"/>
      <c r="H133" s="2"/>
    </row>
    <row r="134" spans="1:8">
      <c r="A134" s="1">
        <v>234</v>
      </c>
      <c r="B134" s="1">
        <v>4</v>
      </c>
      <c r="C134" s="2">
        <v>40982</v>
      </c>
      <c r="D134" s="1">
        <v>146.891761</v>
      </c>
      <c r="E134" s="1">
        <f t="shared" si="5"/>
        <v>2.1669974373656014</v>
      </c>
      <c r="G134" s="1"/>
      <c r="H134" s="2"/>
    </row>
    <row r="135" spans="1:8">
      <c r="A135" s="1">
        <v>286</v>
      </c>
      <c r="B135" s="1">
        <v>6</v>
      </c>
      <c r="C135" s="2">
        <v>40982</v>
      </c>
      <c r="D135" s="1">
        <v>23871.514039000002</v>
      </c>
      <c r="E135" s="1">
        <f t="shared" si="5"/>
        <v>4.377879964793542</v>
      </c>
      <c r="G135" s="1"/>
      <c r="H135" s="2"/>
    </row>
    <row r="136" spans="1:8">
      <c r="A136" s="1">
        <v>280</v>
      </c>
      <c r="B136" s="1">
        <v>7</v>
      </c>
      <c r="C136" s="2">
        <v>40982</v>
      </c>
      <c r="D136" s="1">
        <v>1.8632420000000001</v>
      </c>
      <c r="E136" s="1">
        <f t="shared" si="5"/>
        <v>0.2702692652231985</v>
      </c>
      <c r="G136" s="1"/>
      <c r="H136" s="2"/>
    </row>
    <row r="137" spans="1:8">
      <c r="A137" s="1">
        <v>291</v>
      </c>
      <c r="B137" s="1">
        <v>8</v>
      </c>
      <c r="C137" s="2">
        <v>40982</v>
      </c>
      <c r="D137" s="1">
        <v>61188.023466999999</v>
      </c>
      <c r="E137" s="1">
        <f t="shared" si="5"/>
        <v>4.7866664245769517</v>
      </c>
      <c r="G137" s="1"/>
      <c r="H137" s="2"/>
    </row>
    <row r="138" spans="1:8">
      <c r="A138" s="1">
        <v>295</v>
      </c>
      <c r="B138" s="1">
        <v>9</v>
      </c>
      <c r="C138" s="2">
        <v>40982</v>
      </c>
      <c r="D138" s="1">
        <v>23.635639000000001</v>
      </c>
      <c r="E138" s="1">
        <f t="shared" si="5"/>
        <v>1.3735673481418962</v>
      </c>
      <c r="G138" s="1"/>
      <c r="H138" s="2"/>
    </row>
    <row r="139" spans="1:8">
      <c r="C139" s="1"/>
      <c r="D139" s="1"/>
      <c r="E139" s="1"/>
      <c r="G139" s="1"/>
      <c r="H139" s="2"/>
    </row>
    <row r="140" spans="1:8">
      <c r="A140" s="1">
        <v>289</v>
      </c>
      <c r="B140" s="1">
        <v>2</v>
      </c>
      <c r="C140" s="2">
        <v>40984</v>
      </c>
      <c r="D140" s="1">
        <v>15.550333</v>
      </c>
      <c r="E140" s="1">
        <f>LOG10(D140)</f>
        <v>1.1917396935888365</v>
      </c>
      <c r="G140" s="1"/>
      <c r="H140" s="2"/>
    </row>
    <row r="141" spans="1:8">
      <c r="A141" s="1">
        <v>234</v>
      </c>
      <c r="B141" s="1">
        <v>4</v>
      </c>
      <c r="C141" s="2">
        <v>40984</v>
      </c>
      <c r="D141" s="1">
        <v>114.193225</v>
      </c>
      <c r="E141" s="1">
        <f t="shared" ref="E141:E147" si="6">LOG10(D141)</f>
        <v>2.0576403383021518</v>
      </c>
      <c r="G141" s="1"/>
      <c r="H141" s="2"/>
    </row>
    <row r="142" spans="1:8">
      <c r="A142" s="1">
        <v>268</v>
      </c>
      <c r="B142" s="1">
        <v>5</v>
      </c>
      <c r="C142" s="2">
        <v>40984</v>
      </c>
      <c r="D142" s="1">
        <v>42.728530999999997</v>
      </c>
      <c r="E142" s="1">
        <f t="shared" si="6"/>
        <v>1.6307179620996539</v>
      </c>
    </row>
    <row r="143" spans="1:8">
      <c r="A143" s="1">
        <v>286</v>
      </c>
      <c r="B143" s="1">
        <v>6</v>
      </c>
      <c r="C143" s="2">
        <v>40984</v>
      </c>
      <c r="D143" s="1">
        <v>1.4116500000000001</v>
      </c>
      <c r="E143" s="1">
        <f t="shared" si="6"/>
        <v>0.14972703247308874</v>
      </c>
    </row>
    <row r="144" spans="1:8">
      <c r="A144" s="1">
        <v>280</v>
      </c>
      <c r="B144" s="1">
        <v>7</v>
      </c>
      <c r="C144" s="2">
        <v>40984</v>
      </c>
      <c r="D144" s="1">
        <v>376640.48308899999</v>
      </c>
      <c r="E144" s="1">
        <f t="shared" si="6"/>
        <v>5.5759269982012345</v>
      </c>
    </row>
    <row r="145" spans="1:5">
      <c r="A145" s="1">
        <v>291</v>
      </c>
      <c r="B145" s="1">
        <v>8</v>
      </c>
      <c r="C145" s="2">
        <v>40984</v>
      </c>
      <c r="D145" s="1">
        <v>1.3225199999999999</v>
      </c>
      <c r="E145" s="1">
        <f t="shared" si="6"/>
        <v>0.12140224843800665</v>
      </c>
    </row>
    <row r="146" spans="1:5">
      <c r="A146" s="1">
        <v>295</v>
      </c>
      <c r="B146" s="1">
        <v>9</v>
      </c>
      <c r="C146" s="2">
        <v>40984</v>
      </c>
      <c r="D146" s="1">
        <v>0.24166699999999999</v>
      </c>
      <c r="E146" s="1">
        <f t="shared" si="6"/>
        <v>-0.61678264912221026</v>
      </c>
    </row>
    <row r="147" spans="1:5">
      <c r="A147" s="1">
        <v>271</v>
      </c>
      <c r="B147" s="1">
        <v>11</v>
      </c>
      <c r="C147" s="2">
        <v>40984</v>
      </c>
      <c r="D147" s="1">
        <v>0.12418899999999999</v>
      </c>
      <c r="E147" s="1">
        <f t="shared" si="6"/>
        <v>-0.90591686994740883</v>
      </c>
    </row>
    <row r="149" spans="1:5">
      <c r="A149" s="1">
        <v>217</v>
      </c>
      <c r="B149" s="1">
        <v>1</v>
      </c>
      <c r="C149" s="2">
        <v>40987</v>
      </c>
      <c r="D149" s="1">
        <v>6.1022E-2</v>
      </c>
      <c r="E149" s="1">
        <f t="shared" ref="E149:E154" si="7">LOG10(D149)</f>
        <v>-1.2145135624305894</v>
      </c>
    </row>
    <row r="150" spans="1:5">
      <c r="A150" s="1">
        <v>289</v>
      </c>
      <c r="B150" s="1">
        <v>2</v>
      </c>
      <c r="C150" s="2">
        <v>40987</v>
      </c>
      <c r="D150" s="1">
        <v>3.5710869999999999</v>
      </c>
      <c r="E150" s="1">
        <f t="shared" si="7"/>
        <v>0.55280043074715701</v>
      </c>
    </row>
    <row r="151" spans="1:5">
      <c r="A151" s="1">
        <v>268</v>
      </c>
      <c r="B151" s="1">
        <v>5</v>
      </c>
      <c r="C151" s="2">
        <v>40987</v>
      </c>
      <c r="D151" s="1">
        <v>0.91917599999999999</v>
      </c>
      <c r="E151" s="1">
        <f t="shared" si="7"/>
        <v>-3.660132374931805E-2</v>
      </c>
    </row>
    <row r="152" spans="1:5">
      <c r="A152" s="1">
        <v>286</v>
      </c>
      <c r="B152" s="1">
        <v>6</v>
      </c>
      <c r="C152" s="2">
        <v>40987</v>
      </c>
      <c r="D152" s="1">
        <v>14614.833186</v>
      </c>
      <c r="E152" s="1">
        <f t="shared" si="7"/>
        <v>4.1647938626757917</v>
      </c>
    </row>
    <row r="153" spans="1:5">
      <c r="A153" s="1">
        <v>280</v>
      </c>
      <c r="B153" s="1">
        <v>7</v>
      </c>
      <c r="C153" s="2">
        <v>40987</v>
      </c>
      <c r="D153" s="1">
        <v>91336.105188000001</v>
      </c>
      <c r="E153" s="1">
        <f t="shared" si="7"/>
        <v>4.9606424882056865</v>
      </c>
    </row>
    <row r="154" spans="1:5">
      <c r="A154" s="1">
        <v>291</v>
      </c>
      <c r="B154" s="1">
        <v>8</v>
      </c>
      <c r="C154" s="2">
        <v>40987</v>
      </c>
      <c r="D154" s="1">
        <v>74.313562000000005</v>
      </c>
      <c r="E154" s="1">
        <f t="shared" si="7"/>
        <v>1.8710680784212248</v>
      </c>
    </row>
    <row r="155" spans="1:5">
      <c r="C155" s="1"/>
      <c r="D155" s="1"/>
      <c r="E155" s="1"/>
    </row>
    <row r="156" spans="1:5">
      <c r="A156" s="1">
        <v>217</v>
      </c>
      <c r="B156" s="1">
        <v>1</v>
      </c>
      <c r="C156" s="2">
        <v>40989</v>
      </c>
      <c r="D156" s="1">
        <v>0.27576000000000001</v>
      </c>
      <c r="E156" s="1">
        <f>LOG10(D156)</f>
        <v>-0.55946872960010874</v>
      </c>
    </row>
    <row r="157" spans="1:5">
      <c r="A157" s="1">
        <v>289</v>
      </c>
      <c r="B157" s="1">
        <v>2</v>
      </c>
      <c r="C157" s="2">
        <v>40989</v>
      </c>
      <c r="D157" s="1">
        <v>125.992081</v>
      </c>
      <c r="E157" s="1">
        <f t="shared" ref="E157:E163" si="8">LOG10(D157)</f>
        <v>2.100343249196281</v>
      </c>
    </row>
    <row r="158" spans="1:5">
      <c r="A158" s="1">
        <v>274</v>
      </c>
      <c r="B158" s="1">
        <v>3</v>
      </c>
      <c r="C158" s="2">
        <v>40989</v>
      </c>
      <c r="D158" s="1">
        <v>0.204369</v>
      </c>
      <c r="E158" s="1">
        <f t="shared" si="8"/>
        <v>-0.68958498011254121</v>
      </c>
    </row>
    <row r="159" spans="1:5">
      <c r="A159" s="1">
        <v>234</v>
      </c>
      <c r="B159" s="1">
        <v>4</v>
      </c>
      <c r="C159" s="2">
        <v>40989</v>
      </c>
      <c r="D159" s="1">
        <v>9.32803</v>
      </c>
      <c r="E159" s="1">
        <f t="shared" si="8"/>
        <v>0.96978993415738157</v>
      </c>
    </row>
    <row r="160" spans="1:5">
      <c r="A160" s="1">
        <v>268</v>
      </c>
      <c r="B160" s="1">
        <v>5</v>
      </c>
      <c r="C160" s="2">
        <v>40989</v>
      </c>
      <c r="D160" s="1">
        <v>23.978949</v>
      </c>
      <c r="E160" s="1">
        <f t="shared" si="8"/>
        <v>1.3798301440045597</v>
      </c>
    </row>
    <row r="161" spans="1:5">
      <c r="A161" s="1">
        <v>286</v>
      </c>
      <c r="B161" s="1">
        <v>6</v>
      </c>
      <c r="C161" s="2">
        <v>40989</v>
      </c>
      <c r="D161" s="1">
        <v>9.0286000000000005E-2</v>
      </c>
      <c r="E161" s="1">
        <f t="shared" si="8"/>
        <v>-1.0443795873844202</v>
      </c>
    </row>
    <row r="162" spans="1:5">
      <c r="A162" s="1">
        <v>280</v>
      </c>
      <c r="B162" s="1">
        <v>7</v>
      </c>
      <c r="C162" s="2">
        <v>40989</v>
      </c>
      <c r="D162" s="1">
        <v>9.4480070000000005</v>
      </c>
      <c r="E162" s="1">
        <f t="shared" si="8"/>
        <v>0.97534020637305441</v>
      </c>
    </row>
    <row r="163" spans="1:5">
      <c r="A163" s="1">
        <v>291</v>
      </c>
      <c r="B163" s="1">
        <v>8</v>
      </c>
      <c r="C163" s="2">
        <v>40989</v>
      </c>
      <c r="D163" s="1">
        <v>72082.396089999995</v>
      </c>
      <c r="E163" s="1">
        <f t="shared" si="8"/>
        <v>4.8578292145882305</v>
      </c>
    </row>
    <row r="164" spans="1:5">
      <c r="C164" s="1"/>
      <c r="D164" s="1"/>
      <c r="E164" s="1"/>
    </row>
    <row r="165" spans="1:5">
      <c r="A165" s="1">
        <v>289</v>
      </c>
      <c r="B165" s="1">
        <v>2</v>
      </c>
      <c r="C165" s="2">
        <v>40991</v>
      </c>
      <c r="D165" s="1">
        <v>1.5091639999999999</v>
      </c>
      <c r="E165" s="1">
        <f t="shared" ref="E165:E170" si="9">LOG10(D165)</f>
        <v>0.17873643687627899</v>
      </c>
    </row>
    <row r="166" spans="1:5">
      <c r="A166" s="1">
        <v>274</v>
      </c>
      <c r="B166" s="1">
        <v>3</v>
      </c>
      <c r="C166" s="2">
        <v>40991</v>
      </c>
      <c r="D166" s="1">
        <v>0.37928899999999999</v>
      </c>
      <c r="E166" s="1">
        <f t="shared" si="9"/>
        <v>-0.4210297523633158</v>
      </c>
    </row>
    <row r="167" spans="1:5">
      <c r="A167" s="1">
        <v>234</v>
      </c>
      <c r="B167" s="1">
        <v>4</v>
      </c>
      <c r="C167" s="2">
        <v>40991</v>
      </c>
      <c r="D167" s="1">
        <v>40.401176</v>
      </c>
      <c r="E167" s="1">
        <f t="shared" si="9"/>
        <v>1.6063940067659876</v>
      </c>
    </row>
    <row r="168" spans="1:5">
      <c r="A168" s="1">
        <v>268</v>
      </c>
      <c r="B168" s="1">
        <v>5</v>
      </c>
      <c r="C168" s="2">
        <v>40991</v>
      </c>
      <c r="D168" s="1">
        <v>0.28551199999999999</v>
      </c>
      <c r="E168" s="1">
        <f t="shared" si="9"/>
        <v>-0.54437563374296138</v>
      </c>
    </row>
    <row r="169" spans="1:5">
      <c r="A169" s="1">
        <v>280</v>
      </c>
      <c r="B169" s="1">
        <v>7</v>
      </c>
      <c r="C169" s="2">
        <v>40991</v>
      </c>
      <c r="D169" s="1">
        <v>43.973717999999998</v>
      </c>
      <c r="E169" s="1">
        <f t="shared" si="9"/>
        <v>1.6431931869892684</v>
      </c>
    </row>
    <row r="170" spans="1:5">
      <c r="A170" s="1">
        <v>291</v>
      </c>
      <c r="B170" s="1">
        <v>8</v>
      </c>
      <c r="C170" s="2">
        <v>40991</v>
      </c>
      <c r="D170" s="1">
        <v>14682.193338999999</v>
      </c>
      <c r="E170" s="1">
        <f t="shared" si="9"/>
        <v>4.1667909386775381</v>
      </c>
    </row>
    <row r="172" spans="1:5">
      <c r="A172" s="1">
        <v>274</v>
      </c>
      <c r="B172" s="1">
        <v>3</v>
      </c>
      <c r="C172" s="2">
        <v>40994</v>
      </c>
      <c r="D172" s="1">
        <v>7.2246000000000005E-2</v>
      </c>
      <c r="E172" s="1">
        <f>LOG10(D172)</f>
        <v>-1.1411861932221739</v>
      </c>
    </row>
    <row r="173" spans="1:5">
      <c r="A173" s="1">
        <v>268</v>
      </c>
      <c r="B173" s="1">
        <v>5</v>
      </c>
      <c r="C173" s="2">
        <v>40994</v>
      </c>
      <c r="D173" s="1">
        <v>0.52225299999999997</v>
      </c>
      <c r="E173" s="1">
        <f>LOG10(D173)</f>
        <v>-0.28211905660432479</v>
      </c>
    </row>
    <row r="174" spans="1:5">
      <c r="A174" s="1">
        <v>280</v>
      </c>
      <c r="B174" s="1">
        <v>7</v>
      </c>
      <c r="C174" s="2">
        <v>40994</v>
      </c>
      <c r="D174" s="1">
        <v>0.122072</v>
      </c>
      <c r="E174" s="1">
        <f>LOG10(D174)</f>
        <v>-0.91338393998633483</v>
      </c>
    </row>
    <row r="175" spans="1:5">
      <c r="A175" s="1">
        <v>291</v>
      </c>
      <c r="B175" s="1">
        <v>8</v>
      </c>
      <c r="C175" s="2">
        <v>40994</v>
      </c>
      <c r="D175" s="1">
        <v>9285.4070859999993</v>
      </c>
      <c r="E175" s="1">
        <f>LOG10(D175)</f>
        <v>3.9678009486065391</v>
      </c>
    </row>
    <row r="176" spans="1:5">
      <c r="A176" s="1"/>
      <c r="B176" s="1"/>
      <c r="C176" s="1"/>
      <c r="D176" s="1"/>
      <c r="E176" s="1"/>
    </row>
    <row r="177" spans="1:5">
      <c r="A177" s="1">
        <v>274</v>
      </c>
      <c r="B177" s="1">
        <v>3</v>
      </c>
      <c r="C177" s="2">
        <v>40996</v>
      </c>
      <c r="D177" s="1">
        <v>7.3566999999999994E-2</v>
      </c>
      <c r="E177" s="1">
        <f>LOG10(D177)</f>
        <v>-1.1333169537578351</v>
      </c>
    </row>
    <row r="178" spans="1:5">
      <c r="A178" s="1">
        <v>268</v>
      </c>
      <c r="B178" s="1">
        <v>5</v>
      </c>
      <c r="C178" s="2">
        <v>40996</v>
      </c>
      <c r="D178" s="1">
        <v>0.42322799999999999</v>
      </c>
      <c r="E178" s="1">
        <f>LOG10(D178)</f>
        <v>-0.3734256078839423</v>
      </c>
    </row>
    <row r="179" spans="1:5">
      <c r="A179" s="1">
        <v>280</v>
      </c>
      <c r="B179" s="1">
        <v>7</v>
      </c>
      <c r="C179" s="2">
        <v>40996</v>
      </c>
      <c r="D179" s="1">
        <v>0.155503</v>
      </c>
      <c r="E179" s="1">
        <f>LOG10(D179)</f>
        <v>-0.8082612280462893</v>
      </c>
    </row>
    <row r="180" spans="1:5">
      <c r="A180" s="1">
        <v>291</v>
      </c>
      <c r="B180" s="1">
        <v>8</v>
      </c>
      <c r="C180" s="2">
        <v>40996</v>
      </c>
      <c r="D180" s="1">
        <v>0.27329799999999999</v>
      </c>
      <c r="E180" s="1">
        <f>LOG10(D180)</f>
        <v>-0.56336354647104947</v>
      </c>
    </row>
    <row r="181" spans="1:5">
      <c r="A181" s="1"/>
      <c r="B181" s="1"/>
      <c r="C181" s="1"/>
      <c r="D181" s="1"/>
      <c r="E181" s="1"/>
    </row>
    <row r="182" spans="1:5">
      <c r="A182" s="1">
        <v>289</v>
      </c>
      <c r="B182" s="1">
        <v>2</v>
      </c>
      <c r="C182" s="2">
        <v>40998</v>
      </c>
      <c r="D182" s="1">
        <v>0.50166900000000003</v>
      </c>
      <c r="E182" s="1">
        <f>LOG10(D182)</f>
        <v>-0.2995827348201634</v>
      </c>
    </row>
    <row r="183" spans="1:5">
      <c r="A183" s="1">
        <v>268</v>
      </c>
      <c r="B183" s="1">
        <v>5</v>
      </c>
      <c r="C183" s="2">
        <v>40998</v>
      </c>
      <c r="D183" s="1">
        <v>0.43973699999999999</v>
      </c>
      <c r="E183" s="1">
        <f>LOG10(D183)</f>
        <v>-0.35680699078287881</v>
      </c>
    </row>
    <row r="184" spans="1:5">
      <c r="A184" s="1">
        <v>280</v>
      </c>
      <c r="B184" s="1">
        <v>7</v>
      </c>
      <c r="C184" s="2">
        <v>40998</v>
      </c>
      <c r="D184" s="1">
        <v>0.25863999999999998</v>
      </c>
      <c r="E184" s="1">
        <f>LOG10(D184)</f>
        <v>-0.58730430839650039</v>
      </c>
    </row>
    <row r="185" spans="1:5">
      <c r="A185" s="1"/>
      <c r="B185" s="1"/>
      <c r="C185" s="2"/>
      <c r="D185" s="1"/>
      <c r="E185" s="1"/>
    </row>
    <row r="186" spans="1:5">
      <c r="A186" s="1">
        <v>280</v>
      </c>
      <c r="B186" s="1">
        <v>7</v>
      </c>
      <c r="C186" s="2">
        <v>41001</v>
      </c>
      <c r="D186" s="1">
        <v>0.315386</v>
      </c>
      <c r="E186" s="1">
        <f>LOG10(D186)</f>
        <v>-0.50115758893258555</v>
      </c>
    </row>
    <row r="187" spans="1:5">
      <c r="A187" s="1"/>
      <c r="B187" s="1"/>
      <c r="C187" s="1"/>
      <c r="D187" s="1"/>
      <c r="E187" s="1"/>
    </row>
    <row r="188" spans="1:5">
      <c r="A188" s="1">
        <v>280</v>
      </c>
      <c r="B188" s="1">
        <v>7</v>
      </c>
      <c r="C188" s="2">
        <v>41003</v>
      </c>
      <c r="D188" s="1">
        <v>9.2981999999999995E-2</v>
      </c>
      <c r="E188" s="1">
        <f>LOG10(D188)</f>
        <v>-1.0316011165781602</v>
      </c>
    </row>
    <row r="189" spans="1:5">
      <c r="A189" s="1"/>
      <c r="B189" s="1"/>
      <c r="C189" s="1"/>
      <c r="D189" s="1"/>
      <c r="E189" s="1"/>
    </row>
    <row r="190" spans="1:5">
      <c r="A190" s="1">
        <v>274</v>
      </c>
      <c r="B190" s="1">
        <v>3</v>
      </c>
      <c r="C190" s="2">
        <v>41005</v>
      </c>
      <c r="D190" s="1">
        <v>0.198855</v>
      </c>
      <c r="E190" s="1">
        <f>LOG10(D190)</f>
        <v>-0.70146348466236297</v>
      </c>
    </row>
    <row r="191" spans="1:5">
      <c r="A191" s="1">
        <v>280</v>
      </c>
      <c r="B191" s="1">
        <v>7</v>
      </c>
      <c r="C191" s="2">
        <v>41005</v>
      </c>
      <c r="D191" s="1">
        <v>23.978808999999998</v>
      </c>
      <c r="E191" s="1">
        <f>LOG10(D191)</f>
        <v>1.3798276083886343</v>
      </c>
    </row>
    <row r="193" spans="1:5">
      <c r="A193" s="1">
        <v>274</v>
      </c>
      <c r="B193" s="1">
        <v>3</v>
      </c>
      <c r="C193" s="2">
        <v>41008</v>
      </c>
      <c r="D193" s="1">
        <v>9.3156000000000003E-2</v>
      </c>
      <c r="E193" s="1">
        <f t="shared" ref="E193:E198" si="10">LOG10(D193)</f>
        <v>-1.0307891677889582</v>
      </c>
    </row>
    <row r="194" spans="1:5">
      <c r="A194" s="1">
        <v>268</v>
      </c>
      <c r="B194" s="1">
        <v>5</v>
      </c>
      <c r="C194" s="2">
        <v>41008</v>
      </c>
      <c r="D194" s="1">
        <v>3.6101000000000001E-2</v>
      </c>
      <c r="E194" s="1">
        <f t="shared" si="10"/>
        <v>-1.4424807679429057</v>
      </c>
    </row>
    <row r="195" spans="1:5">
      <c r="A195" s="1">
        <v>286</v>
      </c>
      <c r="B195" s="1">
        <v>6</v>
      </c>
      <c r="C195" s="2">
        <v>41008</v>
      </c>
      <c r="D195" s="1">
        <v>9.3156000000000003E-2</v>
      </c>
      <c r="E195" s="1">
        <f t="shared" si="10"/>
        <v>-1.0307891677889582</v>
      </c>
    </row>
    <row r="196" spans="1:5">
      <c r="A196" s="1">
        <v>280</v>
      </c>
      <c r="B196" s="1">
        <v>7</v>
      </c>
      <c r="C196" s="2">
        <v>41008</v>
      </c>
      <c r="D196" s="1">
        <v>42.728245999999999</v>
      </c>
      <c r="E196" s="1">
        <f t="shared" si="10"/>
        <v>1.6307150653387021</v>
      </c>
    </row>
    <row r="197" spans="1:5">
      <c r="A197" s="1">
        <v>292</v>
      </c>
      <c r="B197" s="1">
        <v>9</v>
      </c>
      <c r="C197" s="2">
        <v>41008</v>
      </c>
      <c r="D197" s="1">
        <v>0.60477099999999995</v>
      </c>
      <c r="E197" s="1">
        <f t="shared" si="10"/>
        <v>-0.21840904231164038</v>
      </c>
    </row>
    <row r="198" spans="1:5">
      <c r="A198" s="1">
        <v>294</v>
      </c>
      <c r="B198" s="1">
        <v>11</v>
      </c>
      <c r="C198" s="2">
        <v>41008</v>
      </c>
      <c r="D198" s="1">
        <v>1369652.9389559999</v>
      </c>
      <c r="E198" s="1">
        <f t="shared" si="10"/>
        <v>6.1366105337321315</v>
      </c>
    </row>
    <row r="199" spans="1:5">
      <c r="A199" s="1"/>
      <c r="B199" s="1"/>
      <c r="C199" s="1"/>
      <c r="D199" s="1"/>
      <c r="E199" s="1"/>
    </row>
    <row r="200" spans="1:5">
      <c r="A200" s="1">
        <v>274</v>
      </c>
      <c r="B200" s="1">
        <v>3</v>
      </c>
      <c r="C200" s="2">
        <v>41010</v>
      </c>
      <c r="D200" s="1">
        <v>3.6625450000000002</v>
      </c>
      <c r="E200" s="1">
        <f>LOG10(D200)</f>
        <v>0.56378296937080086</v>
      </c>
    </row>
    <row r="201" spans="1:5">
      <c r="A201" s="1">
        <v>268</v>
      </c>
      <c r="B201" s="1">
        <v>5</v>
      </c>
      <c r="C201" s="2">
        <v>41010</v>
      </c>
      <c r="D201" s="1">
        <v>2.397894</v>
      </c>
      <c r="E201" s="1">
        <f>LOG10(D201)</f>
        <v>0.37982998100112403</v>
      </c>
    </row>
    <row r="202" spans="1:5">
      <c r="A202" s="1">
        <v>280</v>
      </c>
      <c r="B202" s="1">
        <v>7</v>
      </c>
      <c r="C202" s="2">
        <v>41010</v>
      </c>
      <c r="D202" s="1">
        <v>285.50491</v>
      </c>
      <c r="E202" s="1">
        <f>LOG10(D202)</f>
        <v>2.4556135814700282</v>
      </c>
    </row>
    <row r="203" spans="1:5">
      <c r="A203" s="1">
        <v>292</v>
      </c>
      <c r="B203" s="1">
        <v>9</v>
      </c>
      <c r="C203" s="2">
        <v>41010</v>
      </c>
      <c r="D203" s="1">
        <v>0.10975699999999999</v>
      </c>
      <c r="E203" s="1">
        <f>LOG10(D203)</f>
        <v>-0.95956777209333188</v>
      </c>
    </row>
    <row r="204" spans="1:5">
      <c r="A204" s="1">
        <v>294</v>
      </c>
      <c r="B204" s="1">
        <v>11</v>
      </c>
      <c r="C204" s="2">
        <v>41010</v>
      </c>
      <c r="D204" s="1">
        <v>4264.6958130000003</v>
      </c>
      <c r="E204" s="1">
        <f>LOG10(D204)</f>
        <v>3.6298880597833008</v>
      </c>
    </row>
    <row r="205" spans="1:5">
      <c r="A205" s="1"/>
      <c r="B205" s="1"/>
      <c r="C205" s="1"/>
      <c r="D205" s="1"/>
      <c r="E205" s="1"/>
    </row>
    <row r="206" spans="1:5">
      <c r="A206" s="1">
        <v>274</v>
      </c>
      <c r="B206" s="1">
        <v>3</v>
      </c>
      <c r="C206" s="2">
        <v>41012</v>
      </c>
      <c r="D206" s="1">
        <v>0.23979</v>
      </c>
      <c r="E206" s="1">
        <f>LOG10(D206)</f>
        <v>-0.62016893231046044</v>
      </c>
    </row>
    <row r="207" spans="1:5">
      <c r="A207" s="1">
        <v>280</v>
      </c>
      <c r="B207" s="1">
        <v>7</v>
      </c>
      <c r="C207" s="2">
        <v>41012</v>
      </c>
      <c r="D207" s="1">
        <v>7381.5734000000002</v>
      </c>
      <c r="E207" s="1">
        <f>LOG10(D207)</f>
        <v>3.8681489425963642</v>
      </c>
    </row>
    <row r="208" spans="1:5">
      <c r="A208" s="1">
        <v>294</v>
      </c>
      <c r="B208" s="1">
        <v>11</v>
      </c>
      <c r="C208" s="2">
        <v>41012</v>
      </c>
      <c r="D208" s="1">
        <v>427.29284699999999</v>
      </c>
      <c r="E208" s="1">
        <f>LOG10(D208)</f>
        <v>2.6307256226687508</v>
      </c>
    </row>
    <row r="210" spans="1:5">
      <c r="A210" s="1">
        <v>285</v>
      </c>
      <c r="B210" s="1">
        <v>2</v>
      </c>
      <c r="C210" s="2">
        <v>41015</v>
      </c>
      <c r="D210" s="1">
        <v>9323.9449590000004</v>
      </c>
      <c r="E210" s="1">
        <f>LOG10(D210)</f>
        <v>3.9695997011341317</v>
      </c>
    </row>
    <row r="211" spans="1:5">
      <c r="A211" s="1">
        <v>274</v>
      </c>
      <c r="B211" s="1">
        <v>3</v>
      </c>
      <c r="C211" s="2">
        <v>41015</v>
      </c>
      <c r="D211" s="1">
        <v>93.280258000000003</v>
      </c>
      <c r="E211" s="1">
        <f t="shared" ref="E211:E217" si="11">LOG10(D211)</f>
        <v>1.96978973861371</v>
      </c>
    </row>
    <row r="212" spans="1:5">
      <c r="A212" s="1">
        <v>275</v>
      </c>
      <c r="B212" s="1">
        <v>4</v>
      </c>
      <c r="C212" s="2">
        <v>41015</v>
      </c>
      <c r="D212" s="1">
        <v>3.6101000000000001E-2</v>
      </c>
      <c r="E212" s="1">
        <f t="shared" si="11"/>
        <v>-1.4424807679429057</v>
      </c>
    </row>
    <row r="213" spans="1:5">
      <c r="A213" s="1">
        <v>268</v>
      </c>
      <c r="B213" s="1">
        <v>5</v>
      </c>
      <c r="C213" s="2">
        <v>41015</v>
      </c>
      <c r="D213" s="1">
        <v>7.4074119999999999</v>
      </c>
      <c r="E213" s="1">
        <f t="shared" si="11"/>
        <v>0.86966650076748919</v>
      </c>
    </row>
    <row r="214" spans="1:5">
      <c r="A214" s="1">
        <v>281</v>
      </c>
      <c r="B214" s="1">
        <v>6</v>
      </c>
      <c r="C214" s="2">
        <v>41015</v>
      </c>
      <c r="D214" s="1">
        <v>3.6101000000000001E-2</v>
      </c>
      <c r="E214" s="1">
        <f t="shared" si="11"/>
        <v>-1.4424807679429057</v>
      </c>
    </row>
    <row r="215" spans="1:5">
      <c r="A215" s="1">
        <v>280</v>
      </c>
      <c r="B215" s="1">
        <v>7</v>
      </c>
      <c r="C215" s="2">
        <v>41015</v>
      </c>
      <c r="D215" s="1">
        <v>239.789062</v>
      </c>
      <c r="E215" s="1">
        <f t="shared" si="11"/>
        <v>2.3798293688321195</v>
      </c>
    </row>
    <row r="216" spans="1:5">
      <c r="A216" s="1">
        <v>283</v>
      </c>
      <c r="B216" s="1">
        <v>10</v>
      </c>
      <c r="C216" s="2">
        <v>41015</v>
      </c>
      <c r="D216" s="1">
        <v>2.3978950000000001</v>
      </c>
      <c r="E216" s="1">
        <f t="shared" si="11"/>
        <v>0.37983016211604881</v>
      </c>
    </row>
    <row r="217" spans="1:5">
      <c r="A217" s="1">
        <v>294</v>
      </c>
      <c r="B217" s="1">
        <v>11</v>
      </c>
      <c r="C217" s="2">
        <v>41015</v>
      </c>
      <c r="D217" s="1">
        <v>0.27477699999999999</v>
      </c>
      <c r="E217" s="1">
        <f t="shared" si="11"/>
        <v>-0.56101962238076752</v>
      </c>
    </row>
    <row r="218" spans="1:5">
      <c r="A218" s="1"/>
      <c r="B218" s="1"/>
      <c r="C218" s="1"/>
      <c r="D218" s="1"/>
      <c r="E218" s="1"/>
    </row>
    <row r="219" spans="1:5">
      <c r="A219" s="1">
        <v>285</v>
      </c>
      <c r="B219" s="1">
        <v>2</v>
      </c>
      <c r="C219" s="2">
        <v>41017</v>
      </c>
      <c r="D219" s="1">
        <v>239.78934799999999</v>
      </c>
      <c r="E219" s="1">
        <f>LOG10(D219)</f>
        <v>2.3798298868213332</v>
      </c>
    </row>
    <row r="220" spans="1:5">
      <c r="A220" s="1">
        <v>274</v>
      </c>
      <c r="B220" s="1">
        <v>3</v>
      </c>
      <c r="C220" s="2">
        <v>41017</v>
      </c>
      <c r="D220" s="1">
        <v>0.28551199999999999</v>
      </c>
      <c r="E220" s="1">
        <f>LOG10(D220)</f>
        <v>-0.54437563374296138</v>
      </c>
    </row>
    <row r="221" spans="1:5">
      <c r="A221" s="1">
        <v>281</v>
      </c>
      <c r="B221" s="1">
        <v>6</v>
      </c>
      <c r="C221" s="2">
        <v>41017</v>
      </c>
      <c r="D221" s="1">
        <v>0.143038</v>
      </c>
      <c r="E221" s="1">
        <f>LOG10(D221)</f>
        <v>-0.84454857094074853</v>
      </c>
    </row>
    <row r="222" spans="1:5">
      <c r="A222" s="1">
        <v>280</v>
      </c>
      <c r="B222" s="1">
        <v>7</v>
      </c>
      <c r="C222" s="2">
        <v>41017</v>
      </c>
      <c r="D222" s="1">
        <v>239.78592900000001</v>
      </c>
      <c r="E222" s="1">
        <f>LOG10(D222)</f>
        <v>2.379823694455276</v>
      </c>
    </row>
    <row r="223" spans="1:5">
      <c r="A223" s="1">
        <v>294</v>
      </c>
      <c r="B223" s="1">
        <v>11</v>
      </c>
      <c r="C223" s="2">
        <v>41017</v>
      </c>
      <c r="D223" s="1">
        <v>932.55696</v>
      </c>
      <c r="E223" s="1">
        <f>LOG10(D223)</f>
        <v>2.9696753677281258</v>
      </c>
    </row>
    <row r="224" spans="1:5">
      <c r="A224" s="1"/>
      <c r="B224" s="1"/>
      <c r="C224" s="1"/>
      <c r="D224" s="1"/>
      <c r="E224" s="1"/>
    </row>
    <row r="225" spans="1:5">
      <c r="A225" s="1">
        <v>285</v>
      </c>
      <c r="B225" s="1">
        <v>2</v>
      </c>
      <c r="C225" s="2">
        <v>41019</v>
      </c>
      <c r="D225" s="1">
        <v>5.2438289999999999</v>
      </c>
      <c r="E225" s="1">
        <f>LOG10(D225)</f>
        <v>0.71964852101055932</v>
      </c>
    </row>
    <row r="226" spans="1:5">
      <c r="A226" s="1">
        <v>268</v>
      </c>
      <c r="B226" s="1">
        <v>5</v>
      </c>
      <c r="C226" s="2">
        <v>41019</v>
      </c>
      <c r="D226" s="1">
        <v>3.6101000000000001E-2</v>
      </c>
      <c r="E226" s="1">
        <f>LOG10(D226)</f>
        <v>-1.4424807679429057</v>
      </c>
    </row>
    <row r="227" spans="1:5">
      <c r="A227" s="1">
        <v>280</v>
      </c>
      <c r="B227" s="1">
        <v>7</v>
      </c>
      <c r="C227" s="2">
        <v>41019</v>
      </c>
      <c r="D227" s="1">
        <v>932.77905899999996</v>
      </c>
      <c r="E227" s="1">
        <f>LOG10(D227)</f>
        <v>2.9697787875619888</v>
      </c>
    </row>
    <row r="228" spans="1:5">
      <c r="A228" s="1">
        <v>294</v>
      </c>
      <c r="B228" s="1">
        <v>11</v>
      </c>
      <c r="C228" s="2">
        <v>41019</v>
      </c>
      <c r="D228" s="1">
        <v>7.2246000000000005E-2</v>
      </c>
      <c r="E228" s="1">
        <f>LOG10(D228)</f>
        <v>-1.1411861932221739</v>
      </c>
    </row>
    <row r="229" spans="1:5">
      <c r="A229" s="1"/>
      <c r="B229" s="1"/>
      <c r="C229" s="1"/>
      <c r="D229" s="1"/>
      <c r="E229" s="1"/>
    </row>
    <row r="230" spans="1:5">
      <c r="A230" s="1">
        <v>285</v>
      </c>
      <c r="B230" s="1">
        <v>2</v>
      </c>
      <c r="C230" s="2">
        <v>41022</v>
      </c>
      <c r="D230" s="1">
        <v>93.279893999999999</v>
      </c>
      <c r="E230" s="1">
        <f>LOG10(D230)</f>
        <v>1.9697880438982018</v>
      </c>
    </row>
    <row r="231" spans="1:5">
      <c r="A231" s="1">
        <v>280</v>
      </c>
      <c r="B231" s="1">
        <v>7</v>
      </c>
      <c r="C231" s="2">
        <v>41022</v>
      </c>
      <c r="D231" s="1">
        <v>2395.430057</v>
      </c>
      <c r="E231" s="1">
        <f>LOG10(D231)</f>
        <v>3.3793834946254275</v>
      </c>
    </row>
    <row r="232" spans="1:5">
      <c r="A232" s="1"/>
      <c r="B232" s="1"/>
      <c r="C232" s="1"/>
      <c r="D232" s="1"/>
      <c r="E232" s="1"/>
    </row>
    <row r="233" spans="1:5">
      <c r="A233" s="1">
        <v>285</v>
      </c>
      <c r="B233" s="1">
        <v>2</v>
      </c>
      <c r="C233" s="2">
        <v>41024</v>
      </c>
      <c r="D233" s="1">
        <v>0.19861300000000001</v>
      </c>
      <c r="E233" s="1">
        <f>LOG10(D233)</f>
        <v>-0.70199232863273275</v>
      </c>
    </row>
    <row r="234" spans="1:5">
      <c r="A234" s="1">
        <v>280</v>
      </c>
      <c r="B234" s="1">
        <v>7</v>
      </c>
      <c r="C234" s="2">
        <v>41024</v>
      </c>
      <c r="D234" s="1">
        <v>7403.0389789999999</v>
      </c>
      <c r="E234" s="1">
        <f>LOG10(D234)</f>
        <v>3.8694100360659847</v>
      </c>
    </row>
    <row r="235" spans="1:5">
      <c r="A235" s="1"/>
      <c r="B235" s="1"/>
      <c r="C235" s="1"/>
      <c r="D235" s="1"/>
      <c r="E235" s="1"/>
    </row>
    <row r="236" spans="1:5">
      <c r="A236" s="1">
        <v>285</v>
      </c>
      <c r="B236" s="1">
        <v>2</v>
      </c>
      <c r="C236" s="2">
        <v>41026</v>
      </c>
      <c r="D236" s="1">
        <v>0.28573100000000001</v>
      </c>
      <c r="E236" s="1">
        <f>LOG10(D236)</f>
        <v>-0.54404263886618742</v>
      </c>
    </row>
    <row r="237" spans="1:5">
      <c r="A237" s="1">
        <v>280</v>
      </c>
      <c r="B237" s="1">
        <v>7</v>
      </c>
      <c r="C237" s="2">
        <v>41026</v>
      </c>
      <c r="D237" s="1">
        <v>427.28415999999999</v>
      </c>
      <c r="E237" s="1">
        <f>LOG10(D237)</f>
        <v>2.6307167932335251</v>
      </c>
    </row>
    <row r="238" spans="1:5">
      <c r="A238" s="1"/>
      <c r="B238" s="1"/>
      <c r="C238" s="1"/>
      <c r="D238" s="1"/>
      <c r="E238" s="1"/>
    </row>
    <row r="239" spans="1:5">
      <c r="A239" s="1">
        <v>280</v>
      </c>
      <c r="B239" s="1">
        <v>7</v>
      </c>
      <c r="C239" s="2">
        <v>41029</v>
      </c>
      <c r="D239" s="1">
        <v>2396.943534</v>
      </c>
      <c r="E239" s="1">
        <f>LOG10(D239)</f>
        <v>3.3796578032614129</v>
      </c>
    </row>
    <row r="241" spans="1:5">
      <c r="A241" s="1">
        <v>285</v>
      </c>
      <c r="B241" s="1">
        <v>2</v>
      </c>
      <c r="C241" s="2">
        <v>41031</v>
      </c>
      <c r="D241" s="1">
        <v>6.1939000000000001E-2</v>
      </c>
      <c r="E241" s="1">
        <f>LOG10(D241)</f>
        <v>-1.2080358105708966</v>
      </c>
    </row>
    <row r="242" spans="1:5">
      <c r="A242" s="1">
        <v>280</v>
      </c>
      <c r="B242" s="1">
        <v>7</v>
      </c>
      <c r="C242" s="2">
        <v>41031</v>
      </c>
      <c r="D242" s="1">
        <v>42.728245999999999</v>
      </c>
      <c r="E242" s="1">
        <f>LOG10(D242)</f>
        <v>1.6307150653387021</v>
      </c>
    </row>
    <row r="243" spans="1:5">
      <c r="A243" s="1"/>
      <c r="B243" s="1"/>
      <c r="C243" s="1"/>
      <c r="D243" s="1"/>
      <c r="E243" s="1"/>
    </row>
    <row r="244" spans="1:5">
      <c r="A244" s="1">
        <v>280</v>
      </c>
      <c r="B244" s="1">
        <v>7</v>
      </c>
      <c r="C244" s="2">
        <v>41033</v>
      </c>
      <c r="D244" s="1">
        <v>9.3280309999999993</v>
      </c>
      <c r="E244" s="1">
        <f>LOG10(D244)</f>
        <v>0.96978998071538569</v>
      </c>
    </row>
    <row r="246" spans="1:5">
      <c r="A246" s="1">
        <v>280</v>
      </c>
      <c r="B246" s="1">
        <v>7</v>
      </c>
      <c r="C246" s="2">
        <v>41036</v>
      </c>
      <c r="D246" s="1">
        <v>93.280258000000003</v>
      </c>
      <c r="E246" s="1">
        <f>LOG10(D246)</f>
        <v>1.96978973861371</v>
      </c>
    </row>
    <row r="248" spans="1:5">
      <c r="A248" s="1">
        <v>280</v>
      </c>
      <c r="B248" s="1">
        <v>7</v>
      </c>
      <c r="C248" s="2">
        <v>41038</v>
      </c>
      <c r="D248" s="1">
        <v>0.32152900000000001</v>
      </c>
      <c r="E248" s="1">
        <f>LOG10(D248)</f>
        <v>-0.49277985019860238</v>
      </c>
    </row>
    <row r="249" spans="1:5">
      <c r="A249" s="1"/>
      <c r="B249" s="1"/>
      <c r="C249" s="1"/>
      <c r="D249" s="1"/>
      <c r="E249" s="1"/>
    </row>
    <row r="250" spans="1:5">
      <c r="A250" s="1">
        <v>280</v>
      </c>
      <c r="B250" s="1">
        <v>7</v>
      </c>
      <c r="C250" s="2">
        <v>41040</v>
      </c>
      <c r="D250" s="1">
        <v>93.279543000000004</v>
      </c>
      <c r="E250" s="1">
        <f>LOG10(D250)</f>
        <v>1.9697864097019842</v>
      </c>
    </row>
    <row r="251" spans="1:5">
      <c r="A251" s="1"/>
      <c r="B251" s="1"/>
      <c r="C251" s="1"/>
      <c r="D251" s="1"/>
      <c r="E251" s="1"/>
    </row>
    <row r="252" spans="1:5">
      <c r="A252" s="1">
        <v>280</v>
      </c>
      <c r="B252" s="1">
        <v>7</v>
      </c>
      <c r="C252" s="2">
        <v>41043</v>
      </c>
      <c r="D252" s="1">
        <v>0.38278200000000001</v>
      </c>
      <c r="E252" s="1">
        <f>LOG10(D252)</f>
        <v>-0.41704849274595779</v>
      </c>
    </row>
    <row r="254" spans="1:5">
      <c r="A254" s="1">
        <v>280</v>
      </c>
      <c r="B254" s="1">
        <v>7</v>
      </c>
      <c r="C254" s="2">
        <v>41047</v>
      </c>
      <c r="D254" s="31">
        <v>3.049E-2</v>
      </c>
      <c r="E254" s="1">
        <f>LOG10(D254)</f>
        <v>-1.5158425756346192</v>
      </c>
    </row>
  </sheetData>
  <autoFilter ref="A1:A25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41"/>
  <sheetViews>
    <sheetView workbookViewId="0">
      <selection activeCell="G75" sqref="G75"/>
    </sheetView>
  </sheetViews>
  <sheetFormatPr defaultRowHeight="15"/>
  <cols>
    <col min="2" max="2" width="11" customWidth="1"/>
    <col min="3" max="6" width="11.5703125" customWidth="1"/>
    <col min="7" max="8" width="12.7109375" customWidth="1"/>
    <col min="9" max="10" width="12.140625" customWidth="1"/>
    <col min="11" max="11" width="12.28515625" customWidth="1"/>
    <col min="12" max="12" width="12.140625" customWidth="1"/>
    <col min="13" max="14" width="13.28515625" customWidth="1"/>
    <col min="15" max="15" width="14.28515625" customWidth="1"/>
    <col min="16" max="17" width="14.42578125" customWidth="1"/>
    <col min="18" max="18" width="14.28515625" customWidth="1"/>
    <col min="19" max="21" width="15" customWidth="1"/>
    <col min="22" max="23" width="12.42578125" customWidth="1"/>
    <col min="24" max="24" width="12.5703125" customWidth="1"/>
    <col min="25" max="25" width="12.42578125" customWidth="1"/>
    <col min="26" max="27" width="13.85546875" customWidth="1"/>
    <col min="28" max="28" width="15.5703125" customWidth="1"/>
    <col min="29" max="29" width="15.42578125" customWidth="1"/>
    <col min="30" max="30" width="15.140625" customWidth="1"/>
    <col min="31" max="31" width="15" customWidth="1"/>
    <col min="32" max="34" width="15.85546875" customWidth="1"/>
    <col min="35" max="35" width="15.42578125" customWidth="1"/>
    <col min="36" max="36" width="15.140625" customWidth="1"/>
    <col min="37" max="38" width="15.42578125" customWidth="1"/>
    <col min="39" max="39" width="16.42578125" customWidth="1"/>
    <col min="40" max="40" width="14.28515625" customWidth="1"/>
    <col min="41" max="41" width="14.5703125" customWidth="1"/>
    <col min="42" max="42" width="14.28515625" customWidth="1"/>
    <col min="43" max="43" width="14" customWidth="1"/>
    <col min="44" max="44" width="15.140625" customWidth="1"/>
  </cols>
  <sheetData>
    <row r="1" spans="1:44">
      <c r="A1" s="5" t="s">
        <v>13</v>
      </c>
      <c r="B1" s="5" t="s">
        <v>1</v>
      </c>
      <c r="C1" s="10" t="s">
        <v>14</v>
      </c>
      <c r="D1" s="10" t="s">
        <v>25</v>
      </c>
      <c r="E1" s="10" t="s">
        <v>26</v>
      </c>
      <c r="F1" s="10" t="s">
        <v>27</v>
      </c>
      <c r="G1" s="10" t="s">
        <v>28</v>
      </c>
      <c r="H1" s="5" t="s">
        <v>13</v>
      </c>
      <c r="I1" s="10" t="s">
        <v>15</v>
      </c>
      <c r="J1" s="10" t="s">
        <v>16</v>
      </c>
      <c r="K1" s="10" t="s">
        <v>17</v>
      </c>
      <c r="L1" s="10" t="s">
        <v>18</v>
      </c>
      <c r="M1" s="10" t="s">
        <v>19</v>
      </c>
      <c r="N1" s="5" t="s">
        <v>13</v>
      </c>
      <c r="O1" s="10" t="s">
        <v>39</v>
      </c>
      <c r="P1" s="10" t="s">
        <v>40</v>
      </c>
      <c r="Q1" s="10" t="s">
        <v>41</v>
      </c>
      <c r="R1" s="10" t="s">
        <v>42</v>
      </c>
      <c r="S1" s="10" t="s">
        <v>43</v>
      </c>
      <c r="T1" s="5" t="s">
        <v>13</v>
      </c>
      <c r="U1" s="5" t="s">
        <v>1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24</v>
      </c>
      <c r="AA1" s="5" t="s">
        <v>13</v>
      </c>
      <c r="AB1" s="10" t="s">
        <v>29</v>
      </c>
      <c r="AC1" s="10" t="s">
        <v>30</v>
      </c>
      <c r="AD1" s="10" t="s">
        <v>31</v>
      </c>
      <c r="AE1" s="10" t="s">
        <v>32</v>
      </c>
      <c r="AF1" s="10" t="s">
        <v>33</v>
      </c>
      <c r="AG1" s="5" t="s">
        <v>13</v>
      </c>
      <c r="AH1" s="5" t="s">
        <v>1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9"/>
      <c r="AO1" s="9"/>
      <c r="AP1" s="9"/>
      <c r="AQ1" s="9"/>
      <c r="AR1" s="9"/>
    </row>
    <row r="2" spans="1:44">
      <c r="A2" s="1">
        <v>1</v>
      </c>
      <c r="B2" s="2">
        <v>40918</v>
      </c>
      <c r="C2" s="1">
        <v>0</v>
      </c>
      <c r="D2" s="1"/>
      <c r="E2" s="1"/>
      <c r="F2" s="1"/>
      <c r="G2" s="1"/>
      <c r="H2" s="1">
        <v>1</v>
      </c>
      <c r="I2" s="1">
        <f>1.361727836+1.5</f>
        <v>2.861727836</v>
      </c>
      <c r="J2" s="1">
        <v>0</v>
      </c>
      <c r="K2" s="1">
        <v>0</v>
      </c>
      <c r="L2" s="1">
        <f>4.0625331+1.5</f>
        <v>5.5625330999999996</v>
      </c>
      <c r="M2" s="1">
        <f>6.498746353+1.5</f>
        <v>7.9987463529999996</v>
      </c>
      <c r="N2" s="1">
        <v>1</v>
      </c>
      <c r="O2" s="1"/>
      <c r="P2" s="1"/>
      <c r="Q2" s="1"/>
      <c r="R2" s="1"/>
      <c r="S2" s="1"/>
      <c r="T2" s="1">
        <v>1</v>
      </c>
      <c r="U2" s="2">
        <v>40918</v>
      </c>
      <c r="V2" s="1">
        <v>0</v>
      </c>
      <c r="W2" s="1">
        <f>-0.060480747+1.5</f>
        <v>1.4395192530000001</v>
      </c>
      <c r="X2" s="1">
        <f>1.630427875+1.5</f>
        <v>3.1304278750000001</v>
      </c>
      <c r="Y2" s="1">
        <f>5.030191139+1.5</f>
        <v>6.5301911390000003</v>
      </c>
      <c r="Z2" s="1">
        <f>6.498746353+1.5</f>
        <v>7.9987463529999996</v>
      </c>
      <c r="AA2" s="1">
        <v>1</v>
      </c>
      <c r="AB2" s="1"/>
      <c r="AC2" s="1"/>
      <c r="AD2" s="1"/>
      <c r="AE2" s="1"/>
      <c r="AF2" s="1"/>
      <c r="AG2" s="1">
        <v>1</v>
      </c>
      <c r="AH2" s="2">
        <v>40918</v>
      </c>
      <c r="AI2" s="1"/>
      <c r="AJ2" s="1"/>
      <c r="AK2" s="1"/>
      <c r="AL2" s="1"/>
      <c r="AM2" s="1"/>
    </row>
    <row r="3" spans="1:44">
      <c r="A3" s="1">
        <v>2</v>
      </c>
      <c r="B3" s="2">
        <v>40919</v>
      </c>
      <c r="C3" s="1"/>
      <c r="D3" s="1"/>
      <c r="E3" s="1"/>
      <c r="F3" s="1"/>
      <c r="G3" s="1"/>
      <c r="H3" s="1">
        <v>2</v>
      </c>
      <c r="I3" s="1"/>
      <c r="J3" s="1"/>
      <c r="K3" s="1"/>
      <c r="L3" s="1"/>
      <c r="M3" s="1"/>
      <c r="N3" s="1">
        <v>2</v>
      </c>
      <c r="O3" s="1"/>
      <c r="P3" s="1"/>
      <c r="Q3" s="1"/>
      <c r="R3" s="1"/>
      <c r="S3" s="1"/>
      <c r="T3" s="1">
        <v>2</v>
      </c>
      <c r="U3" s="2">
        <v>40919</v>
      </c>
      <c r="V3" s="1"/>
      <c r="W3" s="1"/>
      <c r="X3" s="1"/>
      <c r="Y3" s="1"/>
      <c r="Z3" s="1"/>
      <c r="AA3" s="1">
        <v>2</v>
      </c>
      <c r="AB3" s="1"/>
      <c r="AC3" s="1"/>
      <c r="AD3" s="1"/>
      <c r="AE3" s="1"/>
      <c r="AF3" s="1"/>
      <c r="AG3" s="1">
        <v>2</v>
      </c>
      <c r="AH3" s="2">
        <v>40919</v>
      </c>
      <c r="AI3" s="1"/>
      <c r="AJ3" s="1"/>
      <c r="AK3" s="1"/>
      <c r="AL3" s="1"/>
      <c r="AM3" s="1"/>
    </row>
    <row r="4" spans="1:44">
      <c r="A4" s="1">
        <v>3</v>
      </c>
      <c r="B4" s="2">
        <v>40920</v>
      </c>
      <c r="C4" s="1">
        <v>0</v>
      </c>
      <c r="D4" s="1"/>
      <c r="E4" s="1"/>
      <c r="F4" s="1"/>
      <c r="G4" s="1"/>
      <c r="H4" s="1">
        <v>3</v>
      </c>
      <c r="I4" s="1">
        <v>0</v>
      </c>
      <c r="J4" s="1">
        <v>0</v>
      </c>
      <c r="K4" s="1">
        <f>-1.443697499+1.5</f>
        <v>5.6302501000000005E-2</v>
      </c>
      <c r="L4" s="1">
        <f>3.166992231+1.5</f>
        <v>4.666992231</v>
      </c>
      <c r="M4" s="1">
        <f>6.326393135+1.5</f>
        <v>7.826393135</v>
      </c>
      <c r="N4" s="1">
        <v>3</v>
      </c>
      <c r="O4" s="1"/>
      <c r="P4" s="1"/>
      <c r="Q4" s="1"/>
      <c r="R4" s="1"/>
      <c r="S4" s="1"/>
      <c r="T4" s="1">
        <v>3</v>
      </c>
      <c r="U4" s="2">
        <v>40920</v>
      </c>
      <c r="V4" s="1">
        <v>0</v>
      </c>
      <c r="W4" s="1">
        <f>-1.443697499+1.5</f>
        <v>5.6302501000000005E-2</v>
      </c>
      <c r="X4" s="1">
        <v>0</v>
      </c>
      <c r="Y4" s="1">
        <f>2.969881644+1.5</f>
        <v>4.469881644</v>
      </c>
      <c r="Z4" s="1">
        <f>4.05647034+1.5</f>
        <v>5.5564703399999997</v>
      </c>
      <c r="AA4" s="1">
        <v>3</v>
      </c>
      <c r="AB4" s="1"/>
      <c r="AC4" s="1"/>
      <c r="AD4" s="1"/>
      <c r="AE4" s="1"/>
      <c r="AF4" s="1"/>
      <c r="AG4" s="1">
        <v>3</v>
      </c>
      <c r="AH4" s="2">
        <v>40920</v>
      </c>
      <c r="AI4" s="1"/>
      <c r="AJ4" s="1"/>
      <c r="AK4" s="1"/>
      <c r="AL4" s="1"/>
      <c r="AM4" s="1"/>
    </row>
    <row r="5" spans="1:44">
      <c r="A5" s="1">
        <v>4</v>
      </c>
      <c r="B5" s="2">
        <v>40921</v>
      </c>
      <c r="C5" s="1"/>
      <c r="D5" s="1"/>
      <c r="E5" s="1"/>
      <c r="F5" s="1"/>
      <c r="G5" s="1"/>
      <c r="H5" s="1">
        <v>4</v>
      </c>
      <c r="I5" s="1"/>
      <c r="J5" s="1"/>
      <c r="K5" s="1"/>
      <c r="L5" s="1"/>
      <c r="M5" s="1"/>
      <c r="N5" s="1">
        <v>4</v>
      </c>
      <c r="O5" s="1"/>
      <c r="P5" s="1"/>
      <c r="Q5" s="1"/>
      <c r="R5" s="1"/>
      <c r="S5" s="1"/>
      <c r="T5" s="1">
        <v>4</v>
      </c>
      <c r="U5" s="2">
        <v>40921</v>
      </c>
      <c r="V5" s="1"/>
      <c r="W5" s="1"/>
      <c r="X5" s="1"/>
      <c r="Y5" s="1"/>
      <c r="Z5" s="1"/>
      <c r="AA5" s="1">
        <v>4</v>
      </c>
      <c r="AB5" s="1"/>
      <c r="AC5" s="1"/>
      <c r="AD5" s="1"/>
      <c r="AE5" s="1"/>
      <c r="AF5" s="1"/>
      <c r="AG5" s="1">
        <v>4</v>
      </c>
      <c r="AH5" s="2">
        <v>40921</v>
      </c>
      <c r="AI5" s="1"/>
      <c r="AJ5" s="1"/>
      <c r="AK5" s="1"/>
      <c r="AL5" s="1"/>
      <c r="AM5" s="1"/>
    </row>
    <row r="6" spans="1:44">
      <c r="A6" s="1">
        <v>5</v>
      </c>
      <c r="B6" s="2">
        <v>40922</v>
      </c>
      <c r="C6" s="1"/>
      <c r="D6" s="1"/>
      <c r="E6" s="1"/>
      <c r="F6" s="1"/>
      <c r="G6" s="1"/>
      <c r="H6" s="1">
        <v>5</v>
      </c>
      <c r="I6" s="1"/>
      <c r="J6" s="1"/>
      <c r="K6" s="1"/>
      <c r="L6" s="1"/>
      <c r="M6" s="1"/>
      <c r="N6" s="1">
        <v>5</v>
      </c>
      <c r="O6" s="1"/>
      <c r="P6" s="1"/>
      <c r="Q6" s="1"/>
      <c r="R6" s="1"/>
      <c r="S6" s="1"/>
      <c r="T6" s="1">
        <v>5</v>
      </c>
      <c r="U6" s="2">
        <v>40922</v>
      </c>
      <c r="V6" s="1"/>
      <c r="W6" s="1"/>
      <c r="X6" s="1"/>
      <c r="Y6" s="1"/>
      <c r="Z6" s="1"/>
      <c r="AA6" s="1">
        <v>5</v>
      </c>
      <c r="AB6" s="1"/>
      <c r="AC6" s="1"/>
      <c r="AD6" s="1"/>
      <c r="AE6" s="1"/>
      <c r="AF6" s="1"/>
      <c r="AG6" s="1">
        <v>5</v>
      </c>
      <c r="AH6" s="2">
        <v>40922</v>
      </c>
      <c r="AI6" s="1"/>
      <c r="AJ6" s="1"/>
      <c r="AK6" s="1"/>
      <c r="AL6" s="1"/>
      <c r="AM6" s="1"/>
    </row>
    <row r="7" spans="1:44">
      <c r="A7" s="1">
        <v>6</v>
      </c>
      <c r="B7" s="2">
        <v>40923</v>
      </c>
      <c r="C7" s="1"/>
      <c r="D7" s="1"/>
      <c r="E7" s="1"/>
      <c r="F7" s="1"/>
      <c r="G7" s="1"/>
      <c r="H7" s="1">
        <v>6</v>
      </c>
      <c r="I7" s="1"/>
      <c r="J7" s="1"/>
      <c r="K7" s="1"/>
      <c r="L7" s="1"/>
      <c r="M7" s="1"/>
      <c r="N7" s="1">
        <v>6</v>
      </c>
      <c r="O7" s="1"/>
      <c r="P7" s="1"/>
      <c r="Q7" s="1"/>
      <c r="R7" s="1"/>
      <c r="S7" s="1"/>
      <c r="T7" s="1">
        <v>6</v>
      </c>
      <c r="U7" s="2">
        <v>40923</v>
      </c>
      <c r="V7" s="1"/>
      <c r="W7" s="1"/>
      <c r="X7" s="1"/>
      <c r="Y7" s="1"/>
      <c r="Z7" s="1"/>
      <c r="AA7" s="1">
        <v>6</v>
      </c>
      <c r="AB7" s="1"/>
      <c r="AC7" s="1"/>
      <c r="AD7" s="1"/>
      <c r="AE7" s="1"/>
      <c r="AF7" s="1"/>
      <c r="AG7" s="1">
        <v>6</v>
      </c>
      <c r="AH7" s="2">
        <v>40923</v>
      </c>
      <c r="AI7" s="1"/>
      <c r="AJ7" s="1"/>
      <c r="AK7" s="1"/>
      <c r="AL7" s="1"/>
      <c r="AM7" s="1"/>
    </row>
    <row r="8" spans="1:44">
      <c r="A8" s="1">
        <v>7</v>
      </c>
      <c r="B8" s="2">
        <v>40924</v>
      </c>
      <c r="C8" s="1">
        <v>0</v>
      </c>
      <c r="D8" s="1"/>
      <c r="E8" s="1"/>
      <c r="F8" s="1"/>
      <c r="G8" s="1"/>
      <c r="H8" s="1">
        <v>7</v>
      </c>
      <c r="I8" s="1">
        <v>0</v>
      </c>
      <c r="J8" s="1">
        <v>0</v>
      </c>
      <c r="K8" s="1">
        <v>0</v>
      </c>
      <c r="L8" s="1">
        <f>3.661291977+1.5</f>
        <v>5.1612919769999994</v>
      </c>
      <c r="M8" s="1">
        <f>3.663851631+1.5</f>
        <v>5.163851631</v>
      </c>
      <c r="N8" s="1">
        <v>7</v>
      </c>
      <c r="O8" s="1"/>
      <c r="P8" s="1"/>
      <c r="Q8" s="1"/>
      <c r="R8" s="1"/>
      <c r="S8" s="1"/>
      <c r="T8" s="1">
        <v>7</v>
      </c>
      <c r="U8" s="2">
        <v>40924</v>
      </c>
      <c r="V8" s="1">
        <v>0</v>
      </c>
      <c r="W8" s="1">
        <v>0</v>
      </c>
      <c r="X8" s="1">
        <v>0</v>
      </c>
      <c r="Y8" s="1">
        <f>1.630427875+1.5</f>
        <v>3.1304278750000001</v>
      </c>
      <c r="Z8" s="1">
        <f>2.661149857+1.5</f>
        <v>4.1611498569999998</v>
      </c>
      <c r="AA8" s="1">
        <v>7</v>
      </c>
      <c r="AB8" s="1"/>
      <c r="AC8" s="1"/>
      <c r="AD8" s="1"/>
      <c r="AE8" s="1"/>
      <c r="AF8" s="1"/>
      <c r="AG8" s="1">
        <v>7</v>
      </c>
      <c r="AH8" s="2">
        <v>40924</v>
      </c>
      <c r="AI8" s="1"/>
      <c r="AJ8" s="1"/>
      <c r="AK8" s="1"/>
      <c r="AL8" s="1"/>
      <c r="AM8" s="1"/>
    </row>
    <row r="9" spans="1:44">
      <c r="A9" s="1">
        <v>8</v>
      </c>
      <c r="B9" s="2">
        <v>40925</v>
      </c>
      <c r="C9" s="1"/>
      <c r="D9" s="1"/>
      <c r="E9" s="1"/>
      <c r="F9" s="1"/>
      <c r="G9" s="1"/>
      <c r="H9" s="1">
        <v>8</v>
      </c>
      <c r="I9" s="1"/>
      <c r="J9" s="1"/>
      <c r="K9" s="1"/>
      <c r="L9" s="1"/>
      <c r="M9" s="1"/>
      <c r="N9" s="1">
        <v>8</v>
      </c>
      <c r="O9" s="1"/>
      <c r="P9" s="1"/>
      <c r="Q9" s="1"/>
      <c r="R9" s="1"/>
      <c r="S9" s="1"/>
      <c r="T9" s="1">
        <v>8</v>
      </c>
      <c r="U9" s="2">
        <v>40925</v>
      </c>
      <c r="V9" s="1"/>
      <c r="W9" s="1"/>
      <c r="X9" s="1"/>
      <c r="Y9" s="1"/>
      <c r="Z9" s="1"/>
      <c r="AA9" s="1">
        <v>8</v>
      </c>
      <c r="AB9" s="1"/>
      <c r="AC9" s="1"/>
      <c r="AD9" s="1"/>
      <c r="AE9" s="1"/>
      <c r="AF9" s="1"/>
      <c r="AG9" s="1">
        <v>8</v>
      </c>
      <c r="AH9" s="2">
        <v>40925</v>
      </c>
      <c r="AI9" s="1"/>
      <c r="AJ9" s="1"/>
      <c r="AK9" s="1"/>
      <c r="AL9" s="1"/>
      <c r="AM9" s="1"/>
    </row>
    <row r="10" spans="1:44">
      <c r="A10" s="1">
        <v>9</v>
      </c>
      <c r="B10" s="2">
        <v>40926</v>
      </c>
      <c r="C10" s="1">
        <v>0</v>
      </c>
      <c r="D10" s="1"/>
      <c r="E10" s="1"/>
      <c r="F10" s="1"/>
      <c r="G10" s="1"/>
      <c r="H10" s="1">
        <v>9</v>
      </c>
      <c r="I10" s="1">
        <v>0</v>
      </c>
      <c r="J10" s="1">
        <v>0</v>
      </c>
      <c r="K10" s="1">
        <v>0</v>
      </c>
      <c r="L10" s="1">
        <f>3.040958173+1.5</f>
        <v>4.5409581729999999</v>
      </c>
      <c r="M10" s="1">
        <f>1.969881644+1.5</f>
        <v>3.469881644</v>
      </c>
      <c r="N10" s="1">
        <v>9</v>
      </c>
      <c r="O10" s="1"/>
      <c r="P10" s="1"/>
      <c r="Q10" s="1"/>
      <c r="R10" s="1"/>
      <c r="S10" s="1"/>
      <c r="T10" s="1">
        <v>9</v>
      </c>
      <c r="U10" s="2">
        <v>40926</v>
      </c>
      <c r="V10" s="1">
        <v>0</v>
      </c>
      <c r="W10" s="1">
        <f>-0.943095149+1.5</f>
        <v>0.55690485099999998</v>
      </c>
      <c r="X10" s="1">
        <v>0</v>
      </c>
      <c r="Y10" s="1">
        <f>1.167317335+1.5</f>
        <v>2.6673173349999999</v>
      </c>
      <c r="Z10" s="1">
        <f>3.040958173+1.5</f>
        <v>4.5409581729999999</v>
      </c>
      <c r="AA10" s="1">
        <v>9</v>
      </c>
      <c r="AB10" s="1"/>
      <c r="AC10" s="1"/>
      <c r="AD10" s="1"/>
      <c r="AE10" s="1"/>
      <c r="AF10" s="1"/>
      <c r="AG10" s="1">
        <v>9</v>
      </c>
      <c r="AH10" s="2">
        <v>40926</v>
      </c>
      <c r="AI10" s="1"/>
      <c r="AJ10" s="1"/>
      <c r="AK10" s="1"/>
      <c r="AL10" s="1"/>
      <c r="AM10" s="1"/>
    </row>
    <row r="11" spans="1:44">
      <c r="A11" s="1">
        <v>10</v>
      </c>
      <c r="B11" s="2">
        <v>40927</v>
      </c>
      <c r="C11" s="1"/>
      <c r="D11" s="1"/>
      <c r="E11" s="1"/>
      <c r="F11" s="1"/>
      <c r="G11" s="1"/>
      <c r="H11" s="1">
        <v>10</v>
      </c>
      <c r="I11" s="1"/>
      <c r="J11" s="1"/>
      <c r="K11" s="1"/>
      <c r="L11" s="1"/>
      <c r="M11" s="1"/>
      <c r="N11" s="1">
        <v>10</v>
      </c>
      <c r="O11" s="1"/>
      <c r="P11" s="1"/>
      <c r="Q11" s="1"/>
      <c r="R11" s="1"/>
      <c r="S11" s="1"/>
      <c r="T11" s="1">
        <v>10</v>
      </c>
      <c r="U11" s="2">
        <v>40927</v>
      </c>
      <c r="V11" s="1"/>
      <c r="W11" s="1"/>
      <c r="X11" s="1"/>
      <c r="Y11" s="1"/>
      <c r="Z11" s="1"/>
      <c r="AA11" s="1">
        <v>10</v>
      </c>
      <c r="AB11" s="1"/>
      <c r="AC11" s="1"/>
      <c r="AD11" s="1"/>
      <c r="AE11" s="1"/>
      <c r="AF11" s="1"/>
      <c r="AG11" s="1">
        <v>10</v>
      </c>
      <c r="AH11" s="2">
        <v>40927</v>
      </c>
      <c r="AI11" s="1"/>
      <c r="AJ11" s="1"/>
      <c r="AK11" s="1"/>
      <c r="AL11" s="1"/>
      <c r="AM11" s="1"/>
    </row>
    <row r="12" spans="1:44">
      <c r="A12" s="1">
        <v>11</v>
      </c>
      <c r="B12" s="2">
        <v>40928</v>
      </c>
      <c r="C12" s="1">
        <v>0</v>
      </c>
      <c r="D12" s="1"/>
      <c r="E12" s="1"/>
      <c r="F12" s="1"/>
      <c r="G12" s="1"/>
      <c r="H12" s="1">
        <v>11</v>
      </c>
      <c r="I12" s="1">
        <v>0</v>
      </c>
      <c r="J12" s="1">
        <v>0</v>
      </c>
      <c r="K12" s="1">
        <v>0</v>
      </c>
      <c r="L12" s="1">
        <f>2.664829941+1.5</f>
        <v>4.1648299409999998</v>
      </c>
      <c r="M12" s="1">
        <f>1.969881644+1.5</f>
        <v>3.469881644</v>
      </c>
      <c r="N12" s="1">
        <v>11</v>
      </c>
      <c r="O12" s="1"/>
      <c r="P12" s="1"/>
      <c r="Q12" s="1"/>
      <c r="R12" s="1"/>
      <c r="S12" s="1"/>
      <c r="T12" s="1">
        <v>11</v>
      </c>
      <c r="U12" s="2">
        <v>40928</v>
      </c>
      <c r="V12" s="1">
        <v>0</v>
      </c>
      <c r="W12" s="1">
        <v>0</v>
      </c>
      <c r="X12" s="1">
        <v>0</v>
      </c>
      <c r="Y12" s="1">
        <f>-0.105130343+1.5</f>
        <v>1.3948696570000001</v>
      </c>
      <c r="Z12" s="1">
        <f>2.664829941+1.5</f>
        <v>4.1648299409999998</v>
      </c>
      <c r="AA12" s="1">
        <v>11</v>
      </c>
      <c r="AB12" s="1"/>
      <c r="AC12" s="1"/>
      <c r="AD12" s="1"/>
      <c r="AE12" s="1"/>
      <c r="AF12" s="1"/>
      <c r="AG12" s="1">
        <v>11</v>
      </c>
      <c r="AH12" s="2">
        <v>40928</v>
      </c>
      <c r="AI12" s="1"/>
      <c r="AJ12" s="1"/>
      <c r="AK12" s="1"/>
      <c r="AL12" s="1"/>
      <c r="AM12" s="1"/>
    </row>
    <row r="13" spans="1:44">
      <c r="A13" s="1">
        <v>12</v>
      </c>
      <c r="B13" s="2">
        <v>40929</v>
      </c>
      <c r="C13" s="1"/>
      <c r="D13" s="1"/>
      <c r="E13" s="1"/>
      <c r="F13" s="1"/>
      <c r="G13" s="1"/>
      <c r="H13" s="1">
        <v>12</v>
      </c>
      <c r="I13" s="1"/>
      <c r="J13" s="1"/>
      <c r="K13" s="1"/>
      <c r="L13" s="1"/>
      <c r="M13" s="1"/>
      <c r="N13" s="1">
        <v>12</v>
      </c>
      <c r="O13" s="1"/>
      <c r="P13" s="1"/>
      <c r="Q13" s="1"/>
      <c r="R13" s="1"/>
      <c r="S13" s="1"/>
      <c r="T13" s="1">
        <v>12</v>
      </c>
      <c r="U13" s="2">
        <v>40929</v>
      </c>
      <c r="V13" s="1"/>
      <c r="W13" s="1"/>
      <c r="X13" s="1"/>
      <c r="Y13" s="1"/>
      <c r="Z13" s="1"/>
      <c r="AA13" s="1">
        <v>12</v>
      </c>
      <c r="AB13" s="1"/>
      <c r="AC13" s="1"/>
      <c r="AD13" s="1"/>
      <c r="AE13" s="1"/>
      <c r="AF13" s="1"/>
      <c r="AG13" s="1">
        <v>12</v>
      </c>
      <c r="AH13" s="2">
        <v>40929</v>
      </c>
      <c r="AI13" s="1"/>
      <c r="AJ13" s="1"/>
      <c r="AK13" s="1"/>
      <c r="AL13" s="1"/>
      <c r="AM13" s="1"/>
    </row>
    <row r="14" spans="1:44">
      <c r="A14" s="1">
        <v>13</v>
      </c>
      <c r="B14" s="2">
        <v>40930</v>
      </c>
      <c r="C14" s="1"/>
      <c r="D14" s="1"/>
      <c r="E14" s="1"/>
      <c r="F14" s="1"/>
      <c r="G14" s="1"/>
      <c r="H14" s="1">
        <v>13</v>
      </c>
      <c r="I14" s="1"/>
      <c r="J14" s="1"/>
      <c r="K14" s="1"/>
      <c r="L14" s="1"/>
      <c r="M14" s="1"/>
      <c r="N14" s="1">
        <v>13</v>
      </c>
      <c r="O14" s="1"/>
      <c r="P14" s="1"/>
      <c r="Q14" s="1"/>
      <c r="R14" s="1"/>
      <c r="S14" s="1"/>
      <c r="T14" s="1">
        <v>13</v>
      </c>
      <c r="U14" s="2">
        <v>40930</v>
      </c>
      <c r="V14" s="1"/>
      <c r="W14" s="1"/>
      <c r="X14" s="1"/>
      <c r="Y14" s="1"/>
      <c r="Z14" s="1"/>
      <c r="AA14" s="1">
        <v>13</v>
      </c>
      <c r="AB14" s="1"/>
      <c r="AC14" s="1"/>
      <c r="AD14" s="1"/>
      <c r="AE14" s="1"/>
      <c r="AF14" s="1"/>
      <c r="AG14" s="1">
        <v>13</v>
      </c>
      <c r="AH14" s="2">
        <v>40930</v>
      </c>
      <c r="AI14" s="1"/>
      <c r="AJ14" s="1"/>
      <c r="AK14" s="1"/>
      <c r="AL14" s="1"/>
      <c r="AM14" s="1"/>
    </row>
    <row r="15" spans="1:44">
      <c r="A15" s="1">
        <v>14</v>
      </c>
      <c r="B15" s="2">
        <v>40931</v>
      </c>
      <c r="C15" s="1">
        <v>0</v>
      </c>
      <c r="D15" s="1"/>
      <c r="E15" s="1"/>
      <c r="F15" s="1"/>
      <c r="G15" s="1"/>
      <c r="H15" s="1">
        <v>14</v>
      </c>
      <c r="I15" s="1">
        <v>0</v>
      </c>
      <c r="J15" s="1">
        <v>0</v>
      </c>
      <c r="K15" s="1">
        <f>-0.356547324+1.5</f>
        <v>1.1434526759999999</v>
      </c>
      <c r="L15" s="1">
        <v>0</v>
      </c>
      <c r="M15" s="1">
        <f>0.322219295+1.5</f>
        <v>1.822219295</v>
      </c>
      <c r="N15" s="1">
        <v>14</v>
      </c>
      <c r="O15" s="1"/>
      <c r="P15" s="1"/>
      <c r="Q15" s="1"/>
      <c r="R15" s="1"/>
      <c r="S15" s="1"/>
      <c r="T15" s="1">
        <v>14</v>
      </c>
      <c r="U15" s="2">
        <v>40931</v>
      </c>
      <c r="V15" s="1">
        <v>0</v>
      </c>
      <c r="W15" s="1">
        <v>0</v>
      </c>
      <c r="X15" s="1">
        <v>0</v>
      </c>
      <c r="Y15" s="1">
        <f>0.643452676+1.5</f>
        <v>2.1434526759999999</v>
      </c>
      <c r="Z15" s="1">
        <f>0.783188691+1.5</f>
        <v>2.2831886909999999</v>
      </c>
      <c r="AA15" s="1">
        <v>14</v>
      </c>
      <c r="AB15" s="1"/>
      <c r="AC15" s="1"/>
      <c r="AD15" s="1"/>
      <c r="AE15" s="1"/>
      <c r="AF15" s="1"/>
      <c r="AG15" s="1">
        <v>14</v>
      </c>
      <c r="AH15" s="2">
        <v>40931</v>
      </c>
      <c r="AI15" s="1"/>
      <c r="AJ15" s="1"/>
      <c r="AK15" s="1"/>
      <c r="AL15" s="1"/>
      <c r="AM15" s="1"/>
    </row>
    <row r="16" spans="1:44">
      <c r="A16" s="1">
        <v>15</v>
      </c>
      <c r="B16" s="2">
        <v>40932</v>
      </c>
      <c r="C16" s="1"/>
      <c r="D16" s="1"/>
      <c r="E16" s="1"/>
      <c r="F16" s="1"/>
      <c r="G16" s="1"/>
      <c r="H16" s="1">
        <v>15</v>
      </c>
      <c r="I16" s="1"/>
      <c r="J16" s="1"/>
      <c r="K16" s="1"/>
      <c r="L16" s="1"/>
      <c r="M16" s="1"/>
      <c r="N16" s="1">
        <v>15</v>
      </c>
      <c r="O16" s="1"/>
      <c r="P16" s="1"/>
      <c r="Q16" s="1"/>
      <c r="R16" s="1"/>
      <c r="S16" s="1"/>
      <c r="T16" s="1">
        <v>15</v>
      </c>
      <c r="U16" s="2">
        <v>40932</v>
      </c>
      <c r="V16" s="1"/>
      <c r="W16" s="1"/>
      <c r="X16" s="1"/>
      <c r="Y16" s="1"/>
      <c r="Z16" s="1"/>
      <c r="AA16" s="1">
        <v>15</v>
      </c>
      <c r="AB16" s="1"/>
      <c r="AC16" s="1"/>
      <c r="AD16" s="1"/>
      <c r="AE16" s="1"/>
      <c r="AF16" s="1"/>
      <c r="AG16" s="1">
        <v>15</v>
      </c>
      <c r="AH16" s="2">
        <v>40932</v>
      </c>
      <c r="AI16" s="1"/>
      <c r="AJ16" s="1"/>
      <c r="AK16" s="1"/>
      <c r="AL16" s="1"/>
      <c r="AM16" s="1"/>
    </row>
    <row r="17" spans="1:39">
      <c r="A17" s="1">
        <v>16</v>
      </c>
      <c r="B17" s="2">
        <v>40933</v>
      </c>
      <c r="C17" s="1">
        <v>0</v>
      </c>
      <c r="D17" s="1"/>
      <c r="E17" s="1"/>
      <c r="F17" s="1"/>
      <c r="G17" s="1"/>
      <c r="H17" s="1">
        <v>16</v>
      </c>
      <c r="I17" s="1">
        <v>0</v>
      </c>
      <c r="J17" s="1">
        <v>0</v>
      </c>
      <c r="K17" s="6">
        <f>-1.031517051+1.5</f>
        <v>0.46848294899999998</v>
      </c>
      <c r="L17" s="1">
        <v>0</v>
      </c>
      <c r="M17" s="1">
        <f>-0.105130343+1.5</f>
        <v>1.3948696570000001</v>
      </c>
      <c r="N17" s="1">
        <v>16</v>
      </c>
      <c r="O17" s="1"/>
      <c r="P17" s="1"/>
      <c r="Q17" s="1"/>
      <c r="R17" s="1"/>
      <c r="S17" s="1"/>
      <c r="T17" s="1">
        <v>16</v>
      </c>
      <c r="U17" s="2">
        <v>40933</v>
      </c>
      <c r="V17" s="1">
        <v>0</v>
      </c>
      <c r="W17" s="1">
        <v>0</v>
      </c>
      <c r="X17" s="1">
        <v>0</v>
      </c>
      <c r="Y17" s="1">
        <f>1.379849179+1.5</f>
        <v>2.8798491789999998</v>
      </c>
      <c r="Z17" s="1">
        <f>-0.369572125+1.5</f>
        <v>1.1304278750000001</v>
      </c>
      <c r="AA17" s="1">
        <v>16</v>
      </c>
      <c r="AB17" s="1"/>
      <c r="AC17" s="1"/>
      <c r="AD17" s="1"/>
      <c r="AE17" s="1"/>
      <c r="AF17" s="1"/>
      <c r="AG17" s="1">
        <v>16</v>
      </c>
      <c r="AH17" s="2">
        <v>40933</v>
      </c>
      <c r="AI17" s="1"/>
      <c r="AJ17" s="1"/>
      <c r="AK17" s="1"/>
      <c r="AL17" s="1"/>
      <c r="AM17" s="1"/>
    </row>
    <row r="18" spans="1:39">
      <c r="A18" s="1">
        <v>17</v>
      </c>
      <c r="B18" s="2">
        <v>40934</v>
      </c>
      <c r="C18" s="1"/>
      <c r="D18" s="1"/>
      <c r="E18" s="1"/>
      <c r="F18" s="1"/>
      <c r="G18" s="1"/>
      <c r="H18" s="1">
        <v>17</v>
      </c>
      <c r="I18" s="1"/>
      <c r="J18" s="1"/>
      <c r="K18" s="1"/>
      <c r="L18" s="1"/>
      <c r="M18" s="1"/>
      <c r="N18" s="1">
        <v>17</v>
      </c>
      <c r="O18" s="1"/>
      <c r="P18" s="1"/>
      <c r="Q18" s="1"/>
      <c r="R18" s="1"/>
      <c r="S18" s="1"/>
      <c r="T18" s="1">
        <v>17</v>
      </c>
      <c r="U18" s="2">
        <v>40934</v>
      </c>
      <c r="V18" s="1"/>
      <c r="W18" s="1"/>
      <c r="X18" s="1"/>
      <c r="Y18" s="1"/>
      <c r="Z18" s="1"/>
      <c r="AA18" s="1">
        <v>17</v>
      </c>
      <c r="AB18" s="1"/>
      <c r="AC18" s="1"/>
      <c r="AD18" s="1"/>
      <c r="AE18" s="1"/>
      <c r="AF18" s="1"/>
      <c r="AG18" s="1">
        <v>17</v>
      </c>
      <c r="AH18" s="2">
        <v>40934</v>
      </c>
      <c r="AI18" s="1"/>
      <c r="AJ18" s="1"/>
      <c r="AK18" s="1"/>
      <c r="AL18" s="1"/>
      <c r="AM18" s="1"/>
    </row>
    <row r="19" spans="1:39">
      <c r="A19" s="1">
        <v>18</v>
      </c>
      <c r="B19" s="2">
        <v>40935</v>
      </c>
      <c r="C19" s="1">
        <v>0</v>
      </c>
      <c r="D19" s="1"/>
      <c r="E19" s="1"/>
      <c r="F19" s="1"/>
      <c r="G19" s="1"/>
      <c r="H19" s="1">
        <v>18</v>
      </c>
      <c r="I19" s="1">
        <v>0</v>
      </c>
      <c r="J19" s="1">
        <v>0</v>
      </c>
      <c r="K19" s="1"/>
      <c r="L19" s="1">
        <f>2.969788537+1.5</f>
        <v>4.4697885369999995</v>
      </c>
      <c r="M19" s="1">
        <f>2.96964884+1.5</f>
        <v>4.4696488399999996</v>
      </c>
      <c r="N19" s="1">
        <v>18</v>
      </c>
      <c r="O19" s="1"/>
      <c r="P19" s="1"/>
      <c r="Q19" s="1"/>
      <c r="R19" s="1"/>
      <c r="S19" s="1"/>
      <c r="T19" s="1">
        <v>18</v>
      </c>
      <c r="U19" s="2">
        <v>40935</v>
      </c>
      <c r="V19" s="1">
        <v>0</v>
      </c>
      <c r="W19" s="1">
        <v>0</v>
      </c>
      <c r="X19" s="1">
        <v>0</v>
      </c>
      <c r="Y19" s="1">
        <f>0.968482949+1.5</f>
        <v>2.4684829490000002</v>
      </c>
      <c r="Z19" s="1">
        <f>0.84135947+1.5</f>
        <v>2.34135947</v>
      </c>
      <c r="AA19" s="1">
        <v>18</v>
      </c>
      <c r="AB19" s="1"/>
      <c r="AC19" s="1"/>
      <c r="AD19" s="1"/>
      <c r="AE19" s="1"/>
      <c r="AF19" s="1"/>
      <c r="AG19" s="1">
        <v>18</v>
      </c>
      <c r="AH19" s="2">
        <v>40935</v>
      </c>
      <c r="AI19" s="1"/>
      <c r="AJ19" s="1"/>
      <c r="AK19" s="1"/>
      <c r="AL19" s="1"/>
      <c r="AM19" s="1"/>
    </row>
    <row r="20" spans="1:39">
      <c r="A20" s="1">
        <v>19</v>
      </c>
      <c r="B20" s="2">
        <v>40936</v>
      </c>
      <c r="C20" s="1"/>
      <c r="D20" s="1"/>
      <c r="E20" s="1"/>
      <c r="F20" s="1"/>
      <c r="G20" s="1"/>
      <c r="H20" s="1">
        <v>19</v>
      </c>
      <c r="I20" s="1"/>
      <c r="J20" s="1"/>
      <c r="K20" s="1"/>
      <c r="L20" s="1"/>
      <c r="M20" s="1"/>
      <c r="N20" s="1">
        <v>19</v>
      </c>
      <c r="O20" s="1"/>
      <c r="P20" s="1"/>
      <c r="Q20" s="1"/>
      <c r="R20" s="1"/>
      <c r="S20" s="1"/>
      <c r="T20" s="1">
        <v>19</v>
      </c>
      <c r="U20" s="2">
        <v>40936</v>
      </c>
      <c r="V20" s="1"/>
      <c r="W20" s="1"/>
      <c r="X20" s="1"/>
      <c r="Y20" s="1"/>
      <c r="Z20" s="1"/>
      <c r="AA20" s="1">
        <v>19</v>
      </c>
      <c r="AB20" s="1"/>
      <c r="AC20" s="1"/>
      <c r="AD20" s="1"/>
      <c r="AE20" s="1"/>
      <c r="AF20" s="1"/>
      <c r="AG20" s="1">
        <v>19</v>
      </c>
      <c r="AH20" s="2">
        <v>40936</v>
      </c>
      <c r="AI20" s="1"/>
      <c r="AJ20" s="1"/>
      <c r="AK20" s="1"/>
      <c r="AL20" s="1"/>
      <c r="AM20" s="1"/>
    </row>
    <row r="21" spans="1:39">
      <c r="A21" s="1">
        <v>20</v>
      </c>
      <c r="B21" s="2">
        <v>40937</v>
      </c>
      <c r="C21" s="1"/>
      <c r="D21" s="1"/>
      <c r="E21" s="1"/>
      <c r="F21" s="1"/>
      <c r="G21" s="1"/>
      <c r="H21" s="1">
        <v>20</v>
      </c>
      <c r="I21" s="1"/>
      <c r="J21" s="1"/>
      <c r="K21" s="1"/>
      <c r="L21" s="1"/>
      <c r="M21" s="1"/>
      <c r="N21" s="1">
        <v>20</v>
      </c>
      <c r="O21" s="1"/>
      <c r="P21" s="1"/>
      <c r="Q21" s="1"/>
      <c r="R21" s="1"/>
      <c r="S21" s="1"/>
      <c r="T21" s="1">
        <v>20</v>
      </c>
      <c r="U21" s="2">
        <v>40937</v>
      </c>
      <c r="V21" s="1"/>
      <c r="W21" s="1"/>
      <c r="X21" s="1"/>
      <c r="Y21" s="1"/>
      <c r="Z21" s="1"/>
      <c r="AA21" s="1">
        <v>20</v>
      </c>
      <c r="AB21" s="1"/>
      <c r="AC21" s="1"/>
      <c r="AD21" s="1"/>
      <c r="AE21" s="1"/>
      <c r="AF21" s="1"/>
      <c r="AG21" s="1">
        <v>20</v>
      </c>
      <c r="AH21" s="2">
        <v>40937</v>
      </c>
      <c r="AI21" s="1"/>
      <c r="AJ21" s="1"/>
      <c r="AK21" s="1"/>
      <c r="AL21" s="1"/>
      <c r="AM21" s="1"/>
    </row>
    <row r="22" spans="1:39">
      <c r="A22" s="1">
        <v>21</v>
      </c>
      <c r="B22" s="2">
        <v>40938</v>
      </c>
      <c r="C22" s="6">
        <v>0</v>
      </c>
      <c r="D22" s="1"/>
      <c r="E22" s="1"/>
      <c r="F22" s="1"/>
      <c r="G22" s="1"/>
      <c r="H22" s="1">
        <v>21</v>
      </c>
      <c r="I22" s="6">
        <v>0</v>
      </c>
      <c r="J22" s="6">
        <v>0</v>
      </c>
      <c r="K22" s="1"/>
      <c r="L22" s="6">
        <v>0</v>
      </c>
      <c r="M22" s="1">
        <f>2.379849179+1.5</f>
        <v>3.8798491789999998</v>
      </c>
      <c r="N22" s="1">
        <v>21</v>
      </c>
      <c r="O22" s="1"/>
      <c r="P22" s="1"/>
      <c r="Q22" s="1"/>
      <c r="R22" s="1"/>
      <c r="S22" s="1"/>
      <c r="T22" s="1">
        <v>21</v>
      </c>
      <c r="U22" s="2">
        <v>40938</v>
      </c>
      <c r="V22" s="6">
        <v>0</v>
      </c>
      <c r="W22" s="6">
        <v>0</v>
      </c>
      <c r="X22" s="6">
        <v>0</v>
      </c>
      <c r="Y22" s="1">
        <f>-0.690369833+1.5</f>
        <v>0.80963016700000001</v>
      </c>
      <c r="Z22" s="1">
        <v>0</v>
      </c>
      <c r="AA22" s="1">
        <v>21</v>
      </c>
      <c r="AB22" s="1"/>
      <c r="AC22" s="1"/>
      <c r="AD22" s="1"/>
      <c r="AE22" s="1"/>
      <c r="AF22" s="1"/>
      <c r="AG22" s="1">
        <v>21</v>
      </c>
      <c r="AH22" s="2">
        <v>40938</v>
      </c>
      <c r="AI22" s="1"/>
      <c r="AJ22" s="1"/>
      <c r="AK22" s="1"/>
      <c r="AL22" s="1"/>
      <c r="AM22" s="1"/>
    </row>
    <row r="23" spans="1:39">
      <c r="A23" s="1">
        <v>22</v>
      </c>
      <c r="B23" s="2">
        <v>40939</v>
      </c>
      <c r="C23" s="1"/>
      <c r="D23" s="1"/>
      <c r="E23" s="1"/>
      <c r="F23" s="1"/>
      <c r="G23" s="1"/>
      <c r="H23" s="1">
        <v>22</v>
      </c>
      <c r="I23" s="1"/>
      <c r="J23" s="1"/>
      <c r="K23" s="1"/>
      <c r="L23" s="1"/>
      <c r="M23" s="1"/>
      <c r="N23" s="1">
        <v>22</v>
      </c>
      <c r="O23" s="1"/>
      <c r="P23" s="1"/>
      <c r="Q23" s="1"/>
      <c r="R23" s="1"/>
      <c r="S23" s="1"/>
      <c r="T23" s="1">
        <v>22</v>
      </c>
      <c r="U23" s="2">
        <v>40939</v>
      </c>
      <c r="V23" s="1"/>
      <c r="W23" s="1"/>
      <c r="X23" s="1"/>
      <c r="Y23" s="1"/>
      <c r="Z23" s="1"/>
      <c r="AA23" s="1">
        <v>22</v>
      </c>
      <c r="AB23" s="1"/>
      <c r="AC23" s="1"/>
      <c r="AD23" s="1"/>
      <c r="AE23" s="1"/>
      <c r="AF23" s="1"/>
      <c r="AG23" s="1">
        <v>22</v>
      </c>
      <c r="AH23" s="2">
        <v>40939</v>
      </c>
      <c r="AI23" s="1"/>
      <c r="AJ23" s="1"/>
      <c r="AK23" s="1"/>
      <c r="AL23" s="1"/>
      <c r="AM23" s="1"/>
    </row>
    <row r="24" spans="1:39">
      <c r="A24" s="1">
        <v>23</v>
      </c>
      <c r="B24" s="2">
        <v>40940</v>
      </c>
      <c r="C24" s="1"/>
      <c r="D24" s="1"/>
      <c r="E24" s="1"/>
      <c r="F24" s="1"/>
      <c r="G24" s="1"/>
      <c r="H24" s="1">
        <v>23</v>
      </c>
      <c r="I24" s="1"/>
      <c r="J24" s="1"/>
      <c r="K24" s="1"/>
      <c r="L24" s="1"/>
      <c r="M24" s="1">
        <f>0.969415912+1.5</f>
        <v>2.4694159120000001</v>
      </c>
      <c r="N24" s="1">
        <v>23</v>
      </c>
      <c r="O24" s="1"/>
      <c r="P24" s="1"/>
      <c r="Q24" s="1"/>
      <c r="R24" s="1"/>
      <c r="S24" s="1"/>
      <c r="T24" s="1">
        <v>23</v>
      </c>
      <c r="U24" s="2">
        <v>40940</v>
      </c>
      <c r="V24" s="1"/>
      <c r="W24" s="1"/>
      <c r="X24" s="1"/>
      <c r="Y24" s="1">
        <f>-1.13076828+1.5</f>
        <v>0.36923171999999993</v>
      </c>
      <c r="Z24" s="1">
        <f>-0.619788758+1.5</f>
        <v>0.880211242</v>
      </c>
      <c r="AA24" s="1">
        <v>23</v>
      </c>
      <c r="AB24" s="1"/>
      <c r="AC24" s="1"/>
      <c r="AD24" s="1"/>
      <c r="AE24" s="1"/>
      <c r="AF24" s="1"/>
      <c r="AG24" s="1">
        <v>23</v>
      </c>
      <c r="AH24" s="2">
        <v>40940</v>
      </c>
      <c r="AI24" s="1"/>
      <c r="AJ24" s="1"/>
      <c r="AK24" s="1"/>
      <c r="AL24" s="1"/>
      <c r="AM24" s="1"/>
    </row>
    <row r="25" spans="1:39">
      <c r="A25" s="1">
        <v>24</v>
      </c>
      <c r="B25" s="2">
        <v>40941</v>
      </c>
      <c r="C25" s="1"/>
      <c r="D25" s="1"/>
      <c r="E25" s="1"/>
      <c r="F25" s="1"/>
      <c r="G25" s="1"/>
      <c r="H25" s="1">
        <v>24</v>
      </c>
      <c r="I25" s="1"/>
      <c r="J25" s="1"/>
      <c r="K25" s="1"/>
      <c r="L25" s="1"/>
      <c r="M25" s="1"/>
      <c r="N25" s="1">
        <v>24</v>
      </c>
      <c r="O25" s="1"/>
      <c r="P25" s="1"/>
      <c r="Q25" s="1"/>
      <c r="R25" s="1"/>
      <c r="S25" s="1"/>
      <c r="T25" s="1">
        <v>24</v>
      </c>
      <c r="U25" s="2">
        <v>40941</v>
      </c>
      <c r="V25" s="1"/>
      <c r="W25" s="1"/>
      <c r="X25" s="1"/>
      <c r="Y25" s="1"/>
      <c r="Z25" s="1"/>
      <c r="AA25" s="1">
        <v>24</v>
      </c>
      <c r="AB25" s="1"/>
      <c r="AC25" s="1"/>
      <c r="AD25" s="1"/>
      <c r="AE25" s="1"/>
      <c r="AF25" s="1"/>
      <c r="AG25" s="1">
        <v>24</v>
      </c>
      <c r="AH25" s="2">
        <v>40941</v>
      </c>
      <c r="AI25" s="1"/>
      <c r="AJ25" s="1"/>
      <c r="AK25" s="1"/>
      <c r="AL25" s="1"/>
      <c r="AM25" s="1"/>
    </row>
    <row r="26" spans="1:39">
      <c r="A26" s="1">
        <v>25</v>
      </c>
      <c r="B26" s="2">
        <v>40942</v>
      </c>
      <c r="C26" s="1"/>
      <c r="D26" s="1"/>
      <c r="E26" s="1"/>
      <c r="F26" s="1"/>
      <c r="G26" s="1"/>
      <c r="H26" s="1">
        <v>25</v>
      </c>
      <c r="I26" s="1"/>
      <c r="J26" s="1"/>
      <c r="K26" s="1"/>
      <c r="L26" s="1"/>
      <c r="M26" s="1">
        <f>-0.37675071+1.5</f>
        <v>1.12324929</v>
      </c>
      <c r="N26" s="1">
        <v>25</v>
      </c>
      <c r="O26" s="1"/>
      <c r="P26" s="1"/>
      <c r="Q26" s="1"/>
      <c r="R26" s="1"/>
      <c r="S26" s="1"/>
      <c r="T26" s="1">
        <v>25</v>
      </c>
      <c r="U26" s="2">
        <v>40942</v>
      </c>
      <c r="V26" s="1"/>
      <c r="W26" s="1"/>
      <c r="X26" s="1"/>
      <c r="Y26" s="1">
        <f>-1.443697499+1.5</f>
        <v>5.6302501000000005E-2</v>
      </c>
      <c r="Z26" s="1">
        <v>0</v>
      </c>
      <c r="AA26" s="1">
        <v>25</v>
      </c>
      <c r="AB26" s="1"/>
      <c r="AC26" s="1"/>
      <c r="AD26" s="1"/>
      <c r="AE26" s="1"/>
      <c r="AF26" s="1"/>
      <c r="AG26" s="1">
        <v>25</v>
      </c>
      <c r="AH26" s="2">
        <v>40942</v>
      </c>
      <c r="AI26" s="1"/>
      <c r="AJ26" s="1"/>
      <c r="AK26" s="1"/>
      <c r="AL26" s="1"/>
      <c r="AM26" s="1"/>
    </row>
    <row r="27" spans="1:39">
      <c r="A27" s="1">
        <v>26</v>
      </c>
      <c r="B27" s="2">
        <v>40943</v>
      </c>
      <c r="C27" s="1"/>
      <c r="D27" s="1"/>
      <c r="E27" s="1"/>
      <c r="F27" s="1"/>
      <c r="G27" s="1"/>
      <c r="H27" s="1">
        <v>26</v>
      </c>
      <c r="I27" s="1"/>
      <c r="J27" s="1"/>
      <c r="K27" s="1"/>
      <c r="L27" s="1"/>
      <c r="M27" s="1"/>
      <c r="N27" s="1">
        <v>26</v>
      </c>
      <c r="O27" s="1"/>
      <c r="P27" s="1"/>
      <c r="Q27" s="1"/>
      <c r="R27" s="1"/>
      <c r="S27" s="1"/>
      <c r="T27" s="1">
        <v>26</v>
      </c>
      <c r="U27" s="2">
        <v>40943</v>
      </c>
      <c r="V27" s="1"/>
      <c r="W27" s="1"/>
      <c r="X27" s="1"/>
      <c r="Y27" s="1"/>
      <c r="Z27" s="1"/>
      <c r="AA27" s="1">
        <v>26</v>
      </c>
      <c r="AB27" s="1"/>
      <c r="AC27" s="1"/>
      <c r="AD27" s="1"/>
      <c r="AE27" s="1"/>
      <c r="AF27" s="1"/>
      <c r="AG27" s="1">
        <v>26</v>
      </c>
      <c r="AH27" s="2">
        <v>40943</v>
      </c>
      <c r="AI27" s="1"/>
      <c r="AJ27" s="1"/>
      <c r="AK27" s="1"/>
      <c r="AL27" s="1"/>
      <c r="AM27" s="1"/>
    </row>
    <row r="28" spans="1:39">
      <c r="A28" s="1">
        <v>27</v>
      </c>
      <c r="B28" s="2">
        <v>40944</v>
      </c>
      <c r="C28" s="1"/>
      <c r="D28" s="1"/>
      <c r="E28" s="1"/>
      <c r="F28" s="1"/>
      <c r="G28" s="1"/>
      <c r="H28" s="1">
        <v>27</v>
      </c>
      <c r="I28" s="1"/>
      <c r="J28" s="1"/>
      <c r="K28" s="1"/>
      <c r="L28" s="1"/>
      <c r="M28" s="1"/>
      <c r="N28" s="1">
        <v>27</v>
      </c>
      <c r="O28" s="1"/>
      <c r="P28" s="1"/>
      <c r="Q28" s="1"/>
      <c r="R28" s="1"/>
      <c r="S28" s="1"/>
      <c r="T28" s="1">
        <v>27</v>
      </c>
      <c r="U28" s="2">
        <v>40944</v>
      </c>
      <c r="V28" s="1"/>
      <c r="W28" s="1"/>
      <c r="X28" s="1"/>
      <c r="Y28" s="1"/>
      <c r="Z28" s="1"/>
      <c r="AA28" s="1">
        <v>27</v>
      </c>
      <c r="AB28" s="1"/>
      <c r="AC28" s="1"/>
      <c r="AD28" s="1"/>
      <c r="AE28" s="1"/>
      <c r="AF28" s="1"/>
      <c r="AG28" s="1">
        <v>27</v>
      </c>
      <c r="AH28" s="2">
        <v>40944</v>
      </c>
      <c r="AI28" s="1"/>
      <c r="AJ28" s="1"/>
      <c r="AK28" s="1"/>
      <c r="AL28" s="1"/>
      <c r="AM28" s="1"/>
    </row>
    <row r="29" spans="1:39">
      <c r="A29" s="1">
        <v>28</v>
      </c>
      <c r="B29" s="2">
        <v>40945</v>
      </c>
      <c r="C29" s="1"/>
      <c r="D29" s="1"/>
      <c r="E29" s="1"/>
      <c r="F29" s="1"/>
      <c r="G29" s="1"/>
      <c r="H29" s="1">
        <v>28</v>
      </c>
      <c r="I29" s="1"/>
      <c r="J29" s="1"/>
      <c r="K29" s="1"/>
      <c r="L29" s="1"/>
      <c r="M29" s="1">
        <v>0</v>
      </c>
      <c r="N29" s="1">
        <v>28</v>
      </c>
      <c r="O29" s="1"/>
      <c r="P29" s="1"/>
      <c r="Q29" s="1"/>
      <c r="R29" s="1"/>
      <c r="S29" s="1"/>
      <c r="T29" s="1">
        <v>28</v>
      </c>
      <c r="U29" s="2">
        <v>40945</v>
      </c>
      <c r="V29" s="1"/>
      <c r="W29" s="1"/>
      <c r="X29" s="1"/>
      <c r="Y29" s="1">
        <f>1.630427875+1.5</f>
        <v>3.1304278750000001</v>
      </c>
      <c r="Z29" s="1">
        <f>3.379613676+1.5</f>
        <v>4.879613676</v>
      </c>
      <c r="AA29" s="1">
        <v>28</v>
      </c>
      <c r="AB29" s="1"/>
      <c r="AC29" s="1"/>
      <c r="AD29" s="1"/>
      <c r="AE29" s="1"/>
      <c r="AF29" s="1"/>
      <c r="AG29" s="1">
        <v>28</v>
      </c>
      <c r="AH29" s="2">
        <v>40945</v>
      </c>
      <c r="AI29" s="1"/>
      <c r="AJ29" s="1"/>
      <c r="AK29" s="1"/>
      <c r="AL29" s="1"/>
      <c r="AM29" s="1"/>
    </row>
    <row r="30" spans="1:39">
      <c r="A30" s="1">
        <v>29</v>
      </c>
      <c r="B30" s="2">
        <v>40946</v>
      </c>
      <c r="C30" s="1"/>
      <c r="D30" s="1"/>
      <c r="E30" s="1"/>
      <c r="F30" s="1"/>
      <c r="G30" s="1"/>
      <c r="H30" s="1">
        <v>29</v>
      </c>
      <c r="I30" s="1"/>
      <c r="J30" s="1"/>
      <c r="K30" s="1"/>
      <c r="L30" s="1"/>
      <c r="M30" s="1"/>
      <c r="N30" s="1">
        <v>29</v>
      </c>
      <c r="O30" s="1"/>
      <c r="P30" s="1"/>
      <c r="Q30" s="1"/>
      <c r="R30" s="1"/>
      <c r="S30" s="1"/>
      <c r="T30" s="1">
        <v>29</v>
      </c>
      <c r="U30" s="2">
        <v>40946</v>
      </c>
      <c r="V30" s="1"/>
      <c r="W30" s="1"/>
      <c r="X30" s="1"/>
      <c r="Y30" s="1"/>
      <c r="Z30" s="1"/>
      <c r="AA30" s="1">
        <v>29</v>
      </c>
      <c r="AB30" s="1"/>
      <c r="AC30" s="1"/>
      <c r="AD30" s="1"/>
      <c r="AE30" s="1"/>
      <c r="AF30" s="1"/>
      <c r="AG30" s="1">
        <v>29</v>
      </c>
      <c r="AH30" s="2">
        <v>40946</v>
      </c>
      <c r="AI30" s="1"/>
      <c r="AJ30" s="1"/>
      <c r="AK30" s="1"/>
      <c r="AL30" s="1"/>
      <c r="AM30" s="1"/>
    </row>
    <row r="31" spans="1:39">
      <c r="A31" s="1">
        <v>30</v>
      </c>
      <c r="B31" s="2">
        <v>40947</v>
      </c>
      <c r="C31" s="1"/>
      <c r="D31" s="1"/>
      <c r="E31" s="1">
        <v>0</v>
      </c>
      <c r="F31" s="1">
        <f>5.357582125+1.5</f>
        <v>6.8575821250000004</v>
      </c>
      <c r="G31" s="1">
        <f>6.903055188+1.5</f>
        <v>8.4030551879999997</v>
      </c>
      <c r="H31" s="1">
        <v>30</v>
      </c>
      <c r="I31" s="1"/>
      <c r="J31" s="1"/>
      <c r="K31" s="1"/>
      <c r="L31" s="1"/>
      <c r="M31" s="1">
        <f>0.641474111+1.5</f>
        <v>2.141474111</v>
      </c>
      <c r="N31" s="1">
        <v>30</v>
      </c>
      <c r="O31" s="1"/>
      <c r="P31" s="1"/>
      <c r="Q31" s="1"/>
      <c r="R31" s="1"/>
      <c r="S31" s="1"/>
      <c r="T31" s="1">
        <v>30</v>
      </c>
      <c r="U31" s="2">
        <v>40947</v>
      </c>
      <c r="V31" s="1"/>
      <c r="W31" s="1"/>
      <c r="X31" s="1"/>
      <c r="Y31" s="1">
        <f>4.966193845+1.5</f>
        <v>6.4661938450000003</v>
      </c>
      <c r="Z31" s="1">
        <f>0.625312451+1.5</f>
        <v>2.1253124510000001</v>
      </c>
      <c r="AA31" s="1">
        <v>30</v>
      </c>
      <c r="AB31" s="1"/>
      <c r="AC31" s="1"/>
      <c r="AD31" s="1"/>
      <c r="AE31" s="1"/>
      <c r="AF31" s="1"/>
      <c r="AG31" s="1">
        <v>30</v>
      </c>
      <c r="AH31" s="2">
        <v>40947</v>
      </c>
      <c r="AI31" s="1"/>
      <c r="AJ31" s="1"/>
      <c r="AK31" s="1"/>
      <c r="AL31" s="1"/>
      <c r="AM31" s="1"/>
    </row>
    <row r="32" spans="1:39">
      <c r="A32" s="1">
        <v>31</v>
      </c>
      <c r="B32" s="2">
        <v>40948</v>
      </c>
      <c r="C32" s="1"/>
      <c r="D32" s="1"/>
      <c r="E32" s="1"/>
      <c r="F32" s="1"/>
      <c r="G32" s="1"/>
      <c r="H32" s="1">
        <v>31</v>
      </c>
      <c r="I32" s="1"/>
      <c r="J32" s="1"/>
      <c r="K32" s="1"/>
      <c r="L32" s="1"/>
      <c r="M32" s="1"/>
      <c r="N32" s="1">
        <v>31</v>
      </c>
      <c r="O32" s="1"/>
      <c r="P32" s="1"/>
      <c r="Q32" s="1"/>
      <c r="R32" s="1"/>
      <c r="S32" s="1"/>
      <c r="T32" s="1">
        <v>31</v>
      </c>
      <c r="U32" s="2">
        <v>40948</v>
      </c>
      <c r="V32" s="1"/>
      <c r="W32" s="1"/>
      <c r="X32" s="1"/>
      <c r="Y32" s="1"/>
      <c r="Z32" s="1"/>
      <c r="AA32" s="1">
        <v>31</v>
      </c>
      <c r="AB32" s="1"/>
      <c r="AC32" s="1"/>
      <c r="AD32" s="1"/>
      <c r="AE32" s="1"/>
      <c r="AF32" s="1"/>
      <c r="AG32" s="1">
        <v>31</v>
      </c>
      <c r="AH32" s="2">
        <v>40948</v>
      </c>
      <c r="AI32" s="1"/>
      <c r="AJ32" s="1"/>
      <c r="AK32" s="1"/>
      <c r="AL32" s="1"/>
      <c r="AM32" s="1"/>
    </row>
    <row r="33" spans="1:39">
      <c r="A33" s="1">
        <v>32</v>
      </c>
      <c r="B33" s="2">
        <v>40949</v>
      </c>
      <c r="C33" s="1"/>
      <c r="D33" s="1"/>
      <c r="E33" s="1">
        <f>-0.559090918+1.5</f>
        <v>0.94090908200000001</v>
      </c>
      <c r="F33" s="1">
        <f>2.96964884+1.5</f>
        <v>4.4696488399999996</v>
      </c>
      <c r="G33" s="1">
        <f>6.144632732+1.5</f>
        <v>7.6446327319999998</v>
      </c>
      <c r="H33" s="1">
        <v>32</v>
      </c>
      <c r="I33" s="1"/>
      <c r="J33" s="1"/>
      <c r="K33" s="1"/>
      <c r="L33" s="1"/>
      <c r="M33" s="1">
        <f>1.630732893+1.5</f>
        <v>3.1307328930000002</v>
      </c>
      <c r="N33" s="1">
        <v>32</v>
      </c>
      <c r="O33" s="1"/>
      <c r="P33" s="1"/>
      <c r="Q33" s="1"/>
      <c r="R33" s="1"/>
      <c r="S33" s="1"/>
      <c r="T33" s="1">
        <v>32</v>
      </c>
      <c r="U33" s="2">
        <v>40949</v>
      </c>
      <c r="V33" s="1"/>
      <c r="W33" s="1"/>
      <c r="X33" s="1"/>
      <c r="Y33" s="1">
        <f>4.296307518+1.5</f>
        <v>5.7963075179999999</v>
      </c>
      <c r="Z33" s="1">
        <f>-1.031517051+1.5</f>
        <v>0.46848294899999998</v>
      </c>
      <c r="AA33" s="1">
        <v>32</v>
      </c>
      <c r="AB33" s="1"/>
      <c r="AC33" s="1"/>
      <c r="AD33" s="1"/>
      <c r="AE33" s="1"/>
      <c r="AF33" s="1"/>
      <c r="AG33" s="1">
        <v>32</v>
      </c>
      <c r="AH33" s="2">
        <v>40949</v>
      </c>
      <c r="AI33" s="1"/>
      <c r="AJ33" s="1"/>
      <c r="AK33" s="1"/>
      <c r="AL33" s="1"/>
      <c r="AM33" s="1"/>
    </row>
    <row r="34" spans="1:39">
      <c r="A34" s="1">
        <v>33</v>
      </c>
      <c r="B34" s="2">
        <v>40950</v>
      </c>
      <c r="C34" s="1"/>
      <c r="D34" s="1"/>
      <c r="E34" s="1"/>
      <c r="F34" s="1"/>
      <c r="G34" s="1"/>
      <c r="H34" s="1">
        <v>33</v>
      </c>
      <c r="I34" s="1"/>
      <c r="J34" s="1"/>
      <c r="K34" s="1"/>
      <c r="L34" s="1"/>
      <c r="M34" s="1"/>
      <c r="N34" s="1">
        <v>33</v>
      </c>
      <c r="O34" s="1"/>
      <c r="P34" s="1"/>
      <c r="Q34" s="1"/>
      <c r="R34" s="1"/>
      <c r="S34" s="1"/>
      <c r="T34" s="1">
        <v>33</v>
      </c>
      <c r="U34" s="2">
        <v>40950</v>
      </c>
      <c r="V34" s="1"/>
      <c r="W34" s="1"/>
      <c r="X34" s="1"/>
      <c r="Y34" s="1"/>
      <c r="Z34" s="1"/>
      <c r="AA34" s="1">
        <v>33</v>
      </c>
      <c r="AB34" s="1"/>
      <c r="AC34" s="1"/>
      <c r="AD34" s="1"/>
      <c r="AE34" s="1"/>
      <c r="AF34" s="1"/>
      <c r="AG34" s="1">
        <v>33</v>
      </c>
      <c r="AH34" s="2">
        <v>40950</v>
      </c>
      <c r="AI34" s="1"/>
      <c r="AJ34" s="1"/>
      <c r="AK34" s="1"/>
      <c r="AL34" s="1"/>
      <c r="AM34" s="1"/>
    </row>
    <row r="35" spans="1:39">
      <c r="A35" s="1">
        <v>34</v>
      </c>
      <c r="B35" s="2">
        <v>40951</v>
      </c>
      <c r="C35" s="1"/>
      <c r="D35" s="1"/>
      <c r="E35" s="1"/>
      <c r="F35" s="1"/>
      <c r="G35" s="1"/>
      <c r="H35" s="1">
        <v>34</v>
      </c>
      <c r="I35" s="1"/>
      <c r="J35" s="1"/>
      <c r="K35" s="1"/>
      <c r="L35" s="1"/>
      <c r="M35" s="1"/>
      <c r="N35" s="1">
        <v>34</v>
      </c>
      <c r="O35" s="1"/>
      <c r="P35" s="1"/>
      <c r="Q35" s="1"/>
      <c r="R35" s="1"/>
      <c r="S35" s="1"/>
      <c r="T35" s="1">
        <v>34</v>
      </c>
      <c r="U35" s="2">
        <v>40951</v>
      </c>
      <c r="V35" s="1"/>
      <c r="W35" s="1"/>
      <c r="X35" s="1"/>
      <c r="Y35" s="1"/>
      <c r="Z35" s="1"/>
      <c r="AA35" s="1">
        <v>34</v>
      </c>
      <c r="AB35" s="1"/>
      <c r="AC35" s="1"/>
      <c r="AD35" s="1"/>
      <c r="AE35" s="1"/>
      <c r="AF35" s="1"/>
      <c r="AG35" s="1">
        <v>34</v>
      </c>
      <c r="AH35" s="2">
        <v>40951</v>
      </c>
      <c r="AI35" s="1"/>
      <c r="AJ35" s="1"/>
      <c r="AK35" s="1"/>
      <c r="AL35" s="1"/>
      <c r="AM35" s="1"/>
    </row>
    <row r="36" spans="1:39">
      <c r="A36" s="1">
        <v>35</v>
      </c>
      <c r="B36" s="2">
        <v>40952</v>
      </c>
      <c r="C36" s="1"/>
      <c r="D36" s="1"/>
      <c r="E36" s="1">
        <f>-1.443697499+1.5</f>
        <v>5.6302501000000005E-2</v>
      </c>
      <c r="F36" s="1">
        <f>2.869700974+1.5</f>
        <v>4.3697009740000006</v>
      </c>
      <c r="G36" s="1">
        <f>4.374885759+1.5</f>
        <v>5.8748857589999997</v>
      </c>
      <c r="H36" s="1">
        <v>35</v>
      </c>
      <c r="I36" s="1"/>
      <c r="J36" s="1"/>
      <c r="K36" s="1"/>
      <c r="L36" s="1"/>
      <c r="M36" s="1">
        <f>-0.137868621+1.5</f>
        <v>1.362131379</v>
      </c>
      <c r="N36" s="1">
        <v>35</v>
      </c>
      <c r="O36" s="1"/>
      <c r="P36" s="1"/>
      <c r="Q36" s="1"/>
      <c r="R36" s="1"/>
      <c r="S36" s="1"/>
      <c r="T36" s="1">
        <v>35</v>
      </c>
      <c r="U36" s="2">
        <v>40952</v>
      </c>
      <c r="V36" s="1"/>
      <c r="W36" s="1"/>
      <c r="X36" s="1"/>
      <c r="Y36" s="1">
        <f>2.630732893+1.5</f>
        <v>4.1307328929999994</v>
      </c>
      <c r="Z36" s="1">
        <f>-1.031517051+1.5</f>
        <v>0.46848294899999998</v>
      </c>
      <c r="AA36" s="1">
        <v>35</v>
      </c>
      <c r="AB36" s="1"/>
      <c r="AC36" s="1"/>
      <c r="AD36" s="1"/>
      <c r="AE36" s="1"/>
      <c r="AF36" s="1"/>
      <c r="AG36" s="1">
        <v>35</v>
      </c>
      <c r="AH36" s="2">
        <v>40952</v>
      </c>
      <c r="AI36" s="1"/>
      <c r="AJ36" s="1"/>
      <c r="AK36" s="1"/>
      <c r="AL36" s="1"/>
      <c r="AM36" s="1"/>
    </row>
    <row r="37" spans="1:39">
      <c r="A37" s="1">
        <v>36</v>
      </c>
      <c r="B37" s="2">
        <v>40953</v>
      </c>
      <c r="C37" s="1"/>
      <c r="D37" s="1"/>
      <c r="E37" s="1"/>
      <c r="F37" s="1"/>
      <c r="G37" s="1"/>
      <c r="H37" s="1">
        <v>36</v>
      </c>
      <c r="I37" s="1"/>
      <c r="J37" s="1"/>
      <c r="K37" s="1"/>
      <c r="L37" s="1"/>
      <c r="M37" s="1"/>
      <c r="N37" s="1">
        <v>36</v>
      </c>
      <c r="O37" s="1"/>
      <c r="P37" s="1"/>
      <c r="Q37" s="1"/>
      <c r="R37" s="1"/>
      <c r="S37" s="1"/>
      <c r="T37" s="1">
        <v>36</v>
      </c>
      <c r="U37" s="2">
        <v>40953</v>
      </c>
      <c r="V37" s="1"/>
      <c r="W37" s="1"/>
      <c r="X37" s="1"/>
      <c r="Y37" s="1"/>
      <c r="Z37" s="1"/>
      <c r="AA37" s="1">
        <v>36</v>
      </c>
      <c r="AB37" s="1"/>
      <c r="AC37" s="1"/>
      <c r="AD37" s="1"/>
      <c r="AE37" s="1"/>
      <c r="AF37" s="1"/>
      <c r="AG37" s="1">
        <v>36</v>
      </c>
      <c r="AH37" s="2">
        <v>40953</v>
      </c>
      <c r="AI37" s="1"/>
      <c r="AJ37" s="1"/>
      <c r="AK37" s="1"/>
      <c r="AL37" s="1"/>
      <c r="AM37" s="1"/>
    </row>
    <row r="38" spans="1:39">
      <c r="A38" s="1">
        <v>37</v>
      </c>
      <c r="B38" s="2">
        <v>40954</v>
      </c>
      <c r="C38" s="1"/>
      <c r="D38" s="1"/>
      <c r="E38" s="1">
        <v>0</v>
      </c>
      <c r="F38" s="1">
        <f>2.969788537+1.5</f>
        <v>4.4697885369999995</v>
      </c>
      <c r="G38" s="1">
        <f>3.379523034+1.5</f>
        <v>4.879523034</v>
      </c>
      <c r="H38" s="1">
        <v>37</v>
      </c>
      <c r="I38" s="1"/>
      <c r="J38" s="1"/>
      <c r="K38" s="1"/>
      <c r="L38" s="1"/>
      <c r="M38" s="1">
        <f>-0.958607315+1.5</f>
        <v>0.54139268500000004</v>
      </c>
      <c r="N38" s="1">
        <v>37</v>
      </c>
      <c r="O38" s="1"/>
      <c r="P38" s="1"/>
      <c r="Q38" s="1"/>
      <c r="R38" s="1"/>
      <c r="S38" s="1"/>
      <c r="T38" s="1">
        <v>37</v>
      </c>
      <c r="U38" s="2">
        <v>40954</v>
      </c>
      <c r="V38" s="1"/>
      <c r="W38" s="1"/>
      <c r="X38" s="1"/>
      <c r="Y38" s="1">
        <f>1.643452676+1.5</f>
        <v>3.1434526759999999</v>
      </c>
      <c r="Z38" s="1">
        <v>0</v>
      </c>
      <c r="AA38" s="1">
        <v>37</v>
      </c>
      <c r="AB38" s="1"/>
      <c r="AC38" s="1"/>
      <c r="AD38" s="1"/>
      <c r="AE38" s="1"/>
      <c r="AF38" s="1"/>
      <c r="AG38" s="1">
        <v>37</v>
      </c>
      <c r="AH38" s="2">
        <v>40954</v>
      </c>
      <c r="AI38" s="1"/>
      <c r="AJ38" s="1"/>
      <c r="AK38" s="1"/>
      <c r="AL38" s="1"/>
      <c r="AM38" s="1"/>
    </row>
    <row r="39" spans="1:39">
      <c r="A39" s="1">
        <v>38</v>
      </c>
      <c r="B39" s="2">
        <v>40955</v>
      </c>
      <c r="C39" s="1"/>
      <c r="D39" s="1"/>
      <c r="E39" s="1"/>
      <c r="F39" s="1"/>
      <c r="G39" s="1"/>
      <c r="H39" s="1">
        <v>38</v>
      </c>
      <c r="I39" s="1"/>
      <c r="J39" s="1"/>
      <c r="K39" s="1"/>
      <c r="L39" s="1"/>
      <c r="M39" s="1"/>
      <c r="N39" s="1">
        <v>38</v>
      </c>
      <c r="O39" s="1"/>
      <c r="P39" s="1"/>
      <c r="Q39" s="1"/>
      <c r="R39" s="1"/>
      <c r="S39" s="1"/>
      <c r="T39" s="1">
        <v>38</v>
      </c>
      <c r="U39" s="2">
        <v>40955</v>
      </c>
      <c r="V39" s="1"/>
      <c r="W39" s="1"/>
      <c r="X39" s="1"/>
      <c r="Y39" s="1"/>
      <c r="Z39" s="1"/>
      <c r="AA39" s="1">
        <v>38</v>
      </c>
      <c r="AB39" s="1"/>
      <c r="AC39" s="1"/>
      <c r="AD39" s="1"/>
      <c r="AE39" s="1"/>
      <c r="AF39" s="1"/>
      <c r="AG39" s="1">
        <v>38</v>
      </c>
      <c r="AH39" s="2">
        <v>40955</v>
      </c>
      <c r="AI39" s="1"/>
      <c r="AJ39" s="1"/>
      <c r="AK39" s="1"/>
      <c r="AL39" s="1"/>
      <c r="AM39" s="1"/>
    </row>
    <row r="40" spans="1:39">
      <c r="A40" s="1">
        <v>39</v>
      </c>
      <c r="B40" s="2">
        <v>40956</v>
      </c>
      <c r="C40" s="1"/>
      <c r="D40" s="1">
        <v>0</v>
      </c>
      <c r="E40" s="1">
        <v>0</v>
      </c>
      <c r="F40" s="1">
        <f>0.630427875+1.5</f>
        <v>2.1304278750000001</v>
      </c>
      <c r="G40" s="1">
        <f>3.379631796+1.5</f>
        <v>4.879631796</v>
      </c>
      <c r="H40" s="1">
        <v>39</v>
      </c>
      <c r="I40" s="1"/>
      <c r="J40" s="1"/>
      <c r="K40" s="1"/>
      <c r="L40" s="1"/>
      <c r="M40" s="1">
        <f>0.969881644+1.5</f>
        <v>2.469881644</v>
      </c>
      <c r="N40" s="1">
        <v>39</v>
      </c>
      <c r="O40" s="1"/>
      <c r="P40" s="1"/>
      <c r="Q40" s="1"/>
      <c r="R40" s="1"/>
      <c r="S40" s="1"/>
      <c r="T40" s="1">
        <v>39</v>
      </c>
      <c r="U40" s="2">
        <v>40956</v>
      </c>
      <c r="V40" s="1"/>
      <c r="W40" s="1"/>
      <c r="X40" s="1"/>
      <c r="Y40" s="1">
        <f>2.167021796+1.5</f>
        <v>3.6670217959999998</v>
      </c>
      <c r="Z40" s="1">
        <f>-1.036212173+1.5</f>
        <v>0.46378782699999999</v>
      </c>
      <c r="AA40" s="1">
        <v>39</v>
      </c>
      <c r="AB40" s="1"/>
      <c r="AC40" s="1"/>
      <c r="AD40" s="1"/>
      <c r="AE40" s="1"/>
      <c r="AF40" s="1"/>
      <c r="AG40" s="1">
        <v>39</v>
      </c>
      <c r="AH40" s="2">
        <v>40956</v>
      </c>
      <c r="AI40" s="1"/>
      <c r="AJ40" s="1"/>
      <c r="AK40" s="1"/>
      <c r="AL40" s="1"/>
      <c r="AM40" s="1"/>
    </row>
    <row r="41" spans="1:39">
      <c r="A41" s="1">
        <v>40</v>
      </c>
      <c r="B41" s="2">
        <v>40957</v>
      </c>
      <c r="C41" s="1"/>
      <c r="D41" s="1"/>
      <c r="E41" s="1"/>
      <c r="F41" s="1"/>
      <c r="G41" s="1"/>
      <c r="H41" s="1">
        <v>40</v>
      </c>
      <c r="I41" s="1"/>
      <c r="J41" s="1"/>
      <c r="K41" s="1"/>
      <c r="L41" s="1"/>
      <c r="M41" s="1"/>
      <c r="N41" s="1">
        <v>40</v>
      </c>
      <c r="O41" s="1"/>
      <c r="P41" s="1"/>
      <c r="Q41" s="1"/>
      <c r="R41" s="1"/>
      <c r="S41" s="1"/>
      <c r="T41" s="1">
        <v>40</v>
      </c>
      <c r="U41" s="2">
        <v>40957</v>
      </c>
      <c r="V41" s="1"/>
      <c r="W41" s="1"/>
      <c r="X41" s="1"/>
      <c r="Y41" s="1"/>
      <c r="Z41" s="1"/>
      <c r="AA41" s="1">
        <v>40</v>
      </c>
      <c r="AB41" s="1"/>
      <c r="AC41" s="1"/>
      <c r="AD41" s="1"/>
      <c r="AE41" s="1"/>
      <c r="AF41" s="1"/>
      <c r="AG41" s="1">
        <v>40</v>
      </c>
      <c r="AH41" s="2">
        <v>40957</v>
      </c>
      <c r="AI41" s="1"/>
      <c r="AJ41" s="1"/>
      <c r="AK41" s="1"/>
      <c r="AL41" s="1"/>
      <c r="AM41" s="1"/>
    </row>
    <row r="42" spans="1:39">
      <c r="A42" s="1">
        <v>41</v>
      </c>
      <c r="B42" s="2">
        <v>40958</v>
      </c>
      <c r="C42" s="1"/>
      <c r="D42" s="1"/>
      <c r="E42" s="1"/>
      <c r="F42" s="1"/>
      <c r="G42" s="1"/>
      <c r="H42" s="1">
        <v>41</v>
      </c>
      <c r="I42" s="1"/>
      <c r="J42" s="1"/>
      <c r="K42" s="1"/>
      <c r="L42" s="1"/>
      <c r="M42" s="1"/>
      <c r="N42" s="1">
        <v>41</v>
      </c>
      <c r="O42" s="1"/>
      <c r="P42" s="1"/>
      <c r="Q42" s="1"/>
      <c r="R42" s="1"/>
      <c r="S42" s="1"/>
      <c r="T42" s="1">
        <v>41</v>
      </c>
      <c r="U42" s="2">
        <v>40958</v>
      </c>
      <c r="V42" s="1"/>
      <c r="W42" s="1"/>
      <c r="X42" s="1"/>
      <c r="Y42" s="1"/>
      <c r="Z42" s="1"/>
      <c r="AA42" s="1">
        <v>41</v>
      </c>
      <c r="AB42" s="1"/>
      <c r="AC42" s="1"/>
      <c r="AD42" s="1"/>
      <c r="AE42" s="1"/>
      <c r="AF42" s="1"/>
      <c r="AG42" s="1">
        <v>41</v>
      </c>
      <c r="AH42" s="2">
        <v>40958</v>
      </c>
      <c r="AI42" s="1"/>
      <c r="AJ42" s="1"/>
      <c r="AK42" s="1"/>
      <c r="AL42" s="1"/>
      <c r="AM42" s="1"/>
    </row>
    <row r="43" spans="1:39">
      <c r="A43" s="1">
        <v>42</v>
      </c>
      <c r="B43" s="2">
        <v>40959</v>
      </c>
      <c r="C43" s="1"/>
      <c r="D43" s="1">
        <v>0</v>
      </c>
      <c r="E43" s="1">
        <v>0</v>
      </c>
      <c r="F43" s="1">
        <v>0</v>
      </c>
      <c r="G43" s="1">
        <f>5.400353353+1.5</f>
        <v>6.9003533529999999</v>
      </c>
      <c r="H43" s="1">
        <v>42</v>
      </c>
      <c r="I43" s="1"/>
      <c r="J43" s="1"/>
      <c r="K43" s="1"/>
      <c r="L43" s="1"/>
      <c r="M43" s="1">
        <f>3.630580411+1.5</f>
        <v>5.1305804110000004</v>
      </c>
      <c r="N43" s="1">
        <v>42</v>
      </c>
      <c r="O43" s="1"/>
      <c r="P43" s="1"/>
      <c r="Q43" s="1"/>
      <c r="R43" s="1"/>
      <c r="S43" s="1"/>
      <c r="T43" s="1">
        <v>42</v>
      </c>
      <c r="U43" s="2">
        <v>40959</v>
      </c>
      <c r="V43" s="1"/>
      <c r="W43" s="1"/>
      <c r="X43" s="1"/>
      <c r="Y43" s="1">
        <f>5.355030432+1.5</f>
        <v>6.8550304320000004</v>
      </c>
      <c r="Z43" s="1">
        <v>0</v>
      </c>
      <c r="AA43" s="1">
        <v>42</v>
      </c>
      <c r="AB43" s="1"/>
      <c r="AC43" s="1"/>
      <c r="AD43" s="1"/>
      <c r="AE43" s="1"/>
      <c r="AF43" s="1"/>
      <c r="AG43" s="1">
        <v>42</v>
      </c>
      <c r="AH43" s="2">
        <v>40959</v>
      </c>
      <c r="AI43" s="1"/>
      <c r="AJ43" s="1"/>
      <c r="AK43" s="1"/>
      <c r="AL43" s="1"/>
      <c r="AM43" s="1"/>
    </row>
    <row r="44" spans="1:39">
      <c r="A44" s="1">
        <v>43</v>
      </c>
      <c r="B44" s="2">
        <v>40960</v>
      </c>
      <c r="C44" s="1"/>
      <c r="D44" s="1"/>
      <c r="E44" s="1"/>
      <c r="F44" s="1"/>
      <c r="G44" s="1"/>
      <c r="H44" s="1">
        <v>43</v>
      </c>
      <c r="I44" s="1"/>
      <c r="J44" s="1"/>
      <c r="K44" s="1"/>
      <c r="L44" s="1"/>
      <c r="M44" s="1"/>
      <c r="N44" s="1">
        <v>43</v>
      </c>
      <c r="O44" s="1"/>
      <c r="P44" s="1"/>
      <c r="Q44" s="1"/>
      <c r="R44" s="1"/>
      <c r="S44" s="1"/>
      <c r="T44" s="1">
        <v>43</v>
      </c>
      <c r="U44" s="2">
        <v>40960</v>
      </c>
      <c r="V44" s="1"/>
      <c r="W44" s="1"/>
      <c r="X44" s="1"/>
      <c r="Y44" s="1"/>
      <c r="Z44" s="1"/>
      <c r="AA44" s="1">
        <v>43</v>
      </c>
      <c r="AB44" s="1"/>
      <c r="AC44" s="1"/>
      <c r="AD44" s="1"/>
      <c r="AE44" s="1"/>
      <c r="AF44" s="1"/>
      <c r="AG44" s="1">
        <v>43</v>
      </c>
      <c r="AH44" s="2">
        <v>40960</v>
      </c>
      <c r="AI44" s="1"/>
      <c r="AJ44" s="1"/>
      <c r="AK44" s="1"/>
      <c r="AL44" s="1"/>
      <c r="AM44" s="1"/>
    </row>
    <row r="45" spans="1:39">
      <c r="A45" s="1">
        <v>44</v>
      </c>
      <c r="B45" s="2">
        <v>40961</v>
      </c>
      <c r="C45" s="1"/>
      <c r="D45" s="1">
        <v>0</v>
      </c>
      <c r="E45" s="1">
        <v>0</v>
      </c>
      <c r="F45" s="1">
        <f>-0.366531544+1.5</f>
        <v>1.1334684560000001</v>
      </c>
      <c r="G45" s="1">
        <f>2.630732893+1.5</f>
        <v>4.1307328929999994</v>
      </c>
      <c r="H45" s="1">
        <v>44</v>
      </c>
      <c r="I45" s="1"/>
      <c r="J45" s="1"/>
      <c r="K45" s="1"/>
      <c r="L45" s="1"/>
      <c r="M45" s="1">
        <f>3.379613676+1.5</f>
        <v>4.879613676</v>
      </c>
      <c r="N45" s="1">
        <v>44</v>
      </c>
      <c r="O45" s="1"/>
      <c r="P45" s="1"/>
      <c r="Q45" s="1"/>
      <c r="R45" s="1"/>
      <c r="S45" s="1"/>
      <c r="T45" s="1">
        <v>44</v>
      </c>
      <c r="U45" s="2">
        <v>40961</v>
      </c>
      <c r="V45" s="1"/>
      <c r="W45" s="1"/>
      <c r="X45" s="1"/>
      <c r="Y45" s="1">
        <f>2.36398783+1.5</f>
        <v>3.8639878300000001</v>
      </c>
      <c r="Z45" s="1">
        <v>0</v>
      </c>
      <c r="AA45" s="1">
        <v>44</v>
      </c>
      <c r="AB45" s="1"/>
      <c r="AC45" s="1"/>
      <c r="AD45" s="1"/>
      <c r="AE45" s="1"/>
      <c r="AF45" s="1"/>
      <c r="AG45" s="1">
        <v>44</v>
      </c>
      <c r="AH45" s="2">
        <v>40961</v>
      </c>
      <c r="AI45" s="1"/>
      <c r="AJ45" s="1"/>
      <c r="AK45" s="1"/>
      <c r="AL45" s="1"/>
      <c r="AM45" s="1"/>
    </row>
    <row r="46" spans="1:39">
      <c r="A46" s="1">
        <v>45</v>
      </c>
      <c r="B46" s="2">
        <v>40962</v>
      </c>
      <c r="C46" s="1"/>
      <c r="D46" s="1"/>
      <c r="E46" s="1"/>
      <c r="F46" s="1"/>
      <c r="G46" s="1"/>
      <c r="H46" s="1">
        <v>45</v>
      </c>
      <c r="I46" s="1"/>
      <c r="J46" s="1"/>
      <c r="K46" s="1"/>
      <c r="L46" s="1"/>
      <c r="M46" s="1"/>
      <c r="N46" s="1">
        <v>45</v>
      </c>
      <c r="O46" s="1"/>
      <c r="P46" s="1"/>
      <c r="Q46" s="1"/>
      <c r="R46" s="1"/>
      <c r="S46" s="1"/>
      <c r="T46" s="1">
        <v>45</v>
      </c>
      <c r="U46" s="2">
        <v>40962</v>
      </c>
      <c r="V46" s="1"/>
      <c r="W46" s="1"/>
      <c r="X46" s="1"/>
      <c r="Y46" s="1"/>
      <c r="Z46" s="1"/>
      <c r="AA46" s="1">
        <v>45</v>
      </c>
      <c r="AB46" s="1"/>
      <c r="AC46" s="1"/>
      <c r="AD46" s="1"/>
      <c r="AE46" s="1"/>
      <c r="AF46" s="1"/>
      <c r="AG46" s="1">
        <v>45</v>
      </c>
      <c r="AH46" s="2">
        <v>40962</v>
      </c>
      <c r="AI46" s="1"/>
      <c r="AJ46" s="1"/>
      <c r="AK46" s="1"/>
      <c r="AL46" s="1"/>
      <c r="AM46" s="1"/>
    </row>
    <row r="47" spans="1:39">
      <c r="A47" s="1">
        <v>46</v>
      </c>
      <c r="B47" s="2">
        <v>40963</v>
      </c>
      <c r="C47" s="1"/>
      <c r="D47" s="1">
        <v>0</v>
      </c>
      <c r="E47" s="6">
        <v>0</v>
      </c>
      <c r="F47" s="1">
        <v>0</v>
      </c>
      <c r="G47" s="1">
        <f>1.456366033+1.5</f>
        <v>2.9563660330000001</v>
      </c>
      <c r="H47" s="1">
        <v>46</v>
      </c>
      <c r="I47" s="1"/>
      <c r="J47" s="1"/>
      <c r="K47" s="1"/>
      <c r="L47" s="1"/>
      <c r="M47" s="1">
        <f>2.96964884+1.5</f>
        <v>4.4696488399999996</v>
      </c>
      <c r="N47" s="1">
        <v>46</v>
      </c>
      <c r="O47" s="1"/>
      <c r="P47" s="1"/>
      <c r="Q47" s="1"/>
      <c r="R47" s="1"/>
      <c r="S47" s="1"/>
      <c r="T47" s="1">
        <v>46</v>
      </c>
      <c r="U47" s="2">
        <v>40963</v>
      </c>
      <c r="V47" s="1"/>
      <c r="W47" s="1"/>
      <c r="X47" s="1"/>
      <c r="Y47" s="1">
        <f>3.379812956+1.5</f>
        <v>4.8798129560000003</v>
      </c>
      <c r="Z47" s="1">
        <v>0</v>
      </c>
      <c r="AA47" s="1">
        <v>46</v>
      </c>
      <c r="AB47" s="1"/>
      <c r="AC47" s="1"/>
      <c r="AD47" s="1"/>
      <c r="AE47" s="1"/>
      <c r="AF47" s="1"/>
      <c r="AG47" s="1">
        <v>46</v>
      </c>
      <c r="AH47" s="2">
        <v>40963</v>
      </c>
      <c r="AI47" s="1"/>
      <c r="AJ47" s="1"/>
      <c r="AK47" s="1"/>
      <c r="AL47" s="1"/>
      <c r="AM47" s="1"/>
    </row>
    <row r="48" spans="1:39">
      <c r="A48" s="1">
        <v>47</v>
      </c>
      <c r="B48" s="2">
        <v>40964</v>
      </c>
      <c r="C48" s="1"/>
      <c r="D48" s="1"/>
      <c r="E48" s="1"/>
      <c r="F48" s="1"/>
      <c r="G48" s="1"/>
      <c r="H48" s="1">
        <v>47</v>
      </c>
      <c r="I48" s="1"/>
      <c r="J48" s="1"/>
      <c r="K48" s="1"/>
      <c r="L48" s="1"/>
      <c r="M48" s="1"/>
      <c r="N48" s="1">
        <v>47</v>
      </c>
      <c r="O48" s="1"/>
      <c r="P48" s="1"/>
      <c r="Q48" s="1"/>
      <c r="R48" s="1"/>
      <c r="S48" s="1"/>
      <c r="T48" s="1">
        <v>47</v>
      </c>
      <c r="U48" s="2">
        <v>40964</v>
      </c>
      <c r="V48" s="1"/>
      <c r="W48" s="1"/>
      <c r="X48" s="1"/>
      <c r="Y48" s="1"/>
      <c r="Z48" s="1"/>
      <c r="AA48" s="1">
        <v>47</v>
      </c>
      <c r="AB48" s="1"/>
      <c r="AC48" s="1"/>
      <c r="AD48" s="1"/>
      <c r="AE48" s="1"/>
      <c r="AF48" s="1"/>
      <c r="AG48" s="1">
        <v>47</v>
      </c>
      <c r="AH48" s="2">
        <v>40964</v>
      </c>
      <c r="AI48" s="1"/>
      <c r="AJ48" s="1"/>
      <c r="AK48" s="1"/>
      <c r="AL48" s="1"/>
      <c r="AM48" s="1"/>
    </row>
    <row r="49" spans="1:39">
      <c r="A49" s="1">
        <v>48</v>
      </c>
      <c r="B49" s="2">
        <v>40965</v>
      </c>
      <c r="C49" s="1"/>
      <c r="D49" s="1"/>
      <c r="E49" s="1"/>
      <c r="F49" s="1"/>
      <c r="G49" s="1"/>
      <c r="H49" s="1">
        <v>48</v>
      </c>
      <c r="I49" s="1"/>
      <c r="J49" s="1"/>
      <c r="K49" s="1"/>
      <c r="L49" s="1"/>
      <c r="M49" s="1"/>
      <c r="N49" s="1">
        <v>48</v>
      </c>
      <c r="O49" s="1"/>
      <c r="P49" s="1"/>
      <c r="Q49" s="1"/>
      <c r="R49" s="1"/>
      <c r="S49" s="1"/>
      <c r="T49" s="1">
        <v>48</v>
      </c>
      <c r="U49" s="2">
        <v>40965</v>
      </c>
      <c r="V49" s="1"/>
      <c r="W49" s="1"/>
      <c r="X49" s="1"/>
      <c r="Y49" s="1"/>
      <c r="Z49" s="1"/>
      <c r="AA49" s="1">
        <v>48</v>
      </c>
      <c r="AB49" s="1"/>
      <c r="AC49" s="1"/>
      <c r="AD49" s="1"/>
      <c r="AE49" s="1"/>
      <c r="AF49" s="1"/>
      <c r="AG49" s="1">
        <v>48</v>
      </c>
      <c r="AH49" s="2">
        <v>40965</v>
      </c>
      <c r="AI49" s="1"/>
      <c r="AJ49" s="1"/>
      <c r="AK49" s="1"/>
      <c r="AL49" s="1"/>
      <c r="AM49" s="1"/>
    </row>
    <row r="50" spans="1:39">
      <c r="A50" s="1">
        <v>49</v>
      </c>
      <c r="B50" s="2">
        <v>40966</v>
      </c>
      <c r="C50" s="1"/>
      <c r="D50" s="1">
        <v>0</v>
      </c>
      <c r="E50" s="1"/>
      <c r="F50" s="1">
        <v>0</v>
      </c>
      <c r="G50" s="1">
        <v>0</v>
      </c>
      <c r="H50" s="1">
        <v>49</v>
      </c>
      <c r="I50" s="1"/>
      <c r="J50" s="1"/>
      <c r="K50" s="1"/>
      <c r="L50" s="1"/>
      <c r="M50" s="1">
        <f>1.630427875+1.5</f>
        <v>3.1304278750000001</v>
      </c>
      <c r="N50" s="1">
        <v>49</v>
      </c>
      <c r="O50" s="1"/>
      <c r="P50" s="1"/>
      <c r="Q50" s="1"/>
      <c r="R50" s="1"/>
      <c r="S50" s="1"/>
      <c r="T50" s="1">
        <v>49</v>
      </c>
      <c r="U50" s="2">
        <v>40966</v>
      </c>
      <c r="V50" s="1"/>
      <c r="W50" s="1"/>
      <c r="X50" s="1"/>
      <c r="Y50" s="1">
        <v>0</v>
      </c>
      <c r="Z50" s="1">
        <v>0</v>
      </c>
      <c r="AA50" s="1">
        <v>49</v>
      </c>
      <c r="AB50" s="1"/>
      <c r="AC50" s="1"/>
      <c r="AD50" s="1"/>
      <c r="AE50" s="1"/>
      <c r="AF50" s="1"/>
      <c r="AG50" s="1">
        <v>49</v>
      </c>
      <c r="AH50" s="2">
        <v>40966</v>
      </c>
      <c r="AI50" s="1"/>
      <c r="AJ50" s="1"/>
      <c r="AK50" s="1"/>
      <c r="AL50" s="1"/>
      <c r="AM50" s="1"/>
    </row>
    <row r="51" spans="1:39">
      <c r="A51" s="1">
        <v>50</v>
      </c>
      <c r="B51" s="2">
        <v>40967</v>
      </c>
      <c r="C51" s="1"/>
      <c r="D51" s="1"/>
      <c r="E51" s="1"/>
      <c r="F51" s="1"/>
      <c r="G51" s="1"/>
      <c r="H51" s="1">
        <v>50</v>
      </c>
      <c r="I51" s="1"/>
      <c r="J51" s="1"/>
      <c r="K51" s="1"/>
      <c r="L51" s="1"/>
      <c r="M51" s="1"/>
      <c r="N51" s="1">
        <v>50</v>
      </c>
      <c r="O51" s="1"/>
      <c r="P51" s="1"/>
      <c r="Q51" s="1"/>
      <c r="R51" s="1"/>
      <c r="S51" s="1"/>
      <c r="T51" s="1">
        <v>50</v>
      </c>
      <c r="U51" s="2">
        <v>40967</v>
      </c>
      <c r="V51" s="1"/>
      <c r="W51" s="1"/>
      <c r="X51" s="1"/>
      <c r="Y51" s="1"/>
      <c r="Z51" s="1"/>
      <c r="AA51" s="1">
        <v>50</v>
      </c>
      <c r="AB51" s="1"/>
      <c r="AC51" s="1"/>
      <c r="AD51" s="1"/>
      <c r="AE51" s="1"/>
      <c r="AF51" s="1"/>
      <c r="AG51" s="1">
        <v>50</v>
      </c>
      <c r="AH51" s="2">
        <v>40967</v>
      </c>
      <c r="AI51" s="1"/>
      <c r="AJ51" s="1"/>
      <c r="AK51" s="1"/>
      <c r="AL51" s="1"/>
      <c r="AM51" s="1"/>
    </row>
    <row r="52" spans="1:39">
      <c r="A52" s="1">
        <v>51</v>
      </c>
      <c r="B52" s="2">
        <v>40968</v>
      </c>
      <c r="C52" s="1"/>
      <c r="D52" s="6">
        <v>0</v>
      </c>
      <c r="E52" s="1"/>
      <c r="F52" s="1">
        <v>0</v>
      </c>
      <c r="G52" s="1">
        <f>3.379450561+1.5</f>
        <v>4.8794505610000005</v>
      </c>
      <c r="H52" s="1">
        <v>51</v>
      </c>
      <c r="I52" s="1"/>
      <c r="J52" s="1"/>
      <c r="K52" s="1"/>
      <c r="L52" s="1"/>
      <c r="M52" s="1">
        <f>4.539304483+1.5</f>
        <v>6.0393044829999996</v>
      </c>
      <c r="N52" s="1">
        <v>51</v>
      </c>
      <c r="O52" s="1"/>
      <c r="P52" s="1"/>
      <c r="Q52" s="1"/>
      <c r="R52" s="1"/>
      <c r="S52" s="1"/>
      <c r="T52" s="1">
        <v>51</v>
      </c>
      <c r="U52" s="2">
        <v>40968</v>
      </c>
      <c r="V52" s="1"/>
      <c r="W52" s="1"/>
      <c r="X52" s="1"/>
      <c r="Y52" s="1">
        <f>-0.420216403+1.5</f>
        <v>1.079783597</v>
      </c>
      <c r="Z52" s="6">
        <v>0</v>
      </c>
      <c r="AA52" s="1">
        <v>51</v>
      </c>
      <c r="AB52" s="1"/>
      <c r="AC52" s="1"/>
      <c r="AD52" s="1"/>
      <c r="AE52" s="1"/>
      <c r="AF52" s="1"/>
      <c r="AG52" s="1">
        <v>51</v>
      </c>
      <c r="AH52" s="2">
        <v>40968</v>
      </c>
      <c r="AI52" s="1"/>
      <c r="AJ52" s="1"/>
      <c r="AK52" s="1"/>
      <c r="AL52" s="1"/>
      <c r="AM52" s="1"/>
    </row>
    <row r="53" spans="1:39">
      <c r="A53" s="1">
        <v>52</v>
      </c>
      <c r="B53" s="2">
        <v>40969</v>
      </c>
      <c r="C53" s="1"/>
      <c r="D53" s="1"/>
      <c r="E53" s="1"/>
      <c r="F53" s="1"/>
      <c r="G53" s="1"/>
      <c r="H53" s="1">
        <v>52</v>
      </c>
      <c r="I53" s="1"/>
      <c r="J53" s="1"/>
      <c r="K53" s="1"/>
      <c r="L53" s="1"/>
      <c r="M53" s="1"/>
      <c r="N53" s="1">
        <v>52</v>
      </c>
      <c r="O53" s="1"/>
      <c r="P53" s="1"/>
      <c r="Q53" s="1"/>
      <c r="R53" s="1"/>
      <c r="S53" s="1"/>
      <c r="T53" s="1">
        <v>52</v>
      </c>
      <c r="U53" s="2">
        <v>40969</v>
      </c>
      <c r="V53" s="1"/>
      <c r="W53" s="1"/>
      <c r="X53" s="1"/>
      <c r="Y53" s="1"/>
      <c r="Z53" s="1"/>
      <c r="AA53" s="1">
        <v>52</v>
      </c>
      <c r="AB53" s="1"/>
      <c r="AC53" s="1"/>
      <c r="AD53" s="1"/>
      <c r="AE53" s="1"/>
      <c r="AF53" s="1"/>
      <c r="AG53" s="1">
        <v>52</v>
      </c>
      <c r="AH53" s="2">
        <v>40969</v>
      </c>
      <c r="AI53" s="1"/>
      <c r="AJ53" s="1"/>
      <c r="AK53" s="1"/>
      <c r="AL53" s="1"/>
      <c r="AM53" s="1"/>
    </row>
    <row r="54" spans="1:39">
      <c r="A54" s="1">
        <v>53</v>
      </c>
      <c r="B54" s="2">
        <v>40970</v>
      </c>
      <c r="C54" s="1"/>
      <c r="D54" s="1"/>
      <c r="E54" s="1"/>
      <c r="F54" s="1">
        <v>0</v>
      </c>
      <c r="G54" s="1">
        <f>3.630428304+1.5</f>
        <v>5.1304283040000005</v>
      </c>
      <c r="H54" s="1">
        <v>53</v>
      </c>
      <c r="I54" s="1"/>
      <c r="J54" s="1"/>
      <c r="K54" s="1"/>
      <c r="L54" s="1"/>
      <c r="M54" s="1">
        <f>-0.216718307+1.5</f>
        <v>1.2832816929999999</v>
      </c>
      <c r="N54" s="1">
        <v>53</v>
      </c>
      <c r="O54" s="1"/>
      <c r="P54" s="1"/>
      <c r="Q54" s="1"/>
      <c r="R54" s="1"/>
      <c r="S54" s="1"/>
      <c r="T54" s="1">
        <v>53</v>
      </c>
      <c r="U54" s="2">
        <v>40970</v>
      </c>
      <c r="V54" s="1"/>
      <c r="W54" s="1"/>
      <c r="X54" s="1"/>
      <c r="Y54" s="1">
        <f>3.379478093+1.5</f>
        <v>4.8794780929999995</v>
      </c>
      <c r="Z54" s="1"/>
      <c r="AA54" s="1">
        <v>53</v>
      </c>
      <c r="AB54" s="1"/>
      <c r="AC54" s="1"/>
      <c r="AD54" s="1"/>
      <c r="AE54" s="1"/>
      <c r="AF54" s="1"/>
      <c r="AG54" s="1">
        <v>53</v>
      </c>
      <c r="AH54" s="2">
        <v>40970</v>
      </c>
      <c r="AI54" s="1"/>
      <c r="AJ54" s="1"/>
      <c r="AK54" s="1"/>
      <c r="AL54" s="1"/>
      <c r="AM54" s="1"/>
    </row>
    <row r="55" spans="1:39">
      <c r="A55" s="1">
        <v>54</v>
      </c>
      <c r="B55" s="2">
        <v>40971</v>
      </c>
      <c r="C55" s="1"/>
      <c r="D55" s="1"/>
      <c r="E55" s="1"/>
      <c r="F55" s="1"/>
      <c r="G55" s="1"/>
      <c r="H55" s="1">
        <v>54</v>
      </c>
      <c r="I55" s="1"/>
      <c r="J55" s="1"/>
      <c r="K55" s="1"/>
      <c r="L55" s="1"/>
      <c r="M55" s="1"/>
      <c r="N55" s="1">
        <v>54</v>
      </c>
      <c r="O55" s="1"/>
      <c r="P55" s="1"/>
      <c r="Q55" s="1"/>
      <c r="R55" s="1"/>
      <c r="S55" s="1"/>
      <c r="T55" s="1">
        <v>54</v>
      </c>
      <c r="U55" s="2">
        <v>40971</v>
      </c>
      <c r="V55" s="1"/>
      <c r="W55" s="1"/>
      <c r="X55" s="1"/>
      <c r="Y55" s="1"/>
      <c r="Z55" s="1"/>
      <c r="AA55" s="1">
        <v>54</v>
      </c>
      <c r="AB55" s="1"/>
      <c r="AC55" s="1"/>
      <c r="AD55" s="1"/>
      <c r="AE55" s="1"/>
      <c r="AF55" s="1"/>
      <c r="AG55" s="1">
        <v>54</v>
      </c>
      <c r="AH55" s="2">
        <v>40971</v>
      </c>
      <c r="AI55" s="1"/>
      <c r="AJ55" s="1"/>
      <c r="AK55" s="1"/>
      <c r="AL55" s="1"/>
      <c r="AM55" s="1"/>
    </row>
    <row r="56" spans="1:39">
      <c r="A56" s="1">
        <v>55</v>
      </c>
      <c r="B56" s="2">
        <v>40972</v>
      </c>
      <c r="C56" s="1"/>
      <c r="D56" s="1"/>
      <c r="E56" s="1"/>
      <c r="F56" s="1"/>
      <c r="G56" s="1"/>
      <c r="H56" s="1">
        <v>55</v>
      </c>
      <c r="I56" s="1"/>
      <c r="J56" s="1"/>
      <c r="K56" s="1"/>
      <c r="L56" s="1"/>
      <c r="M56" s="1"/>
      <c r="N56" s="1">
        <v>55</v>
      </c>
      <c r="O56" s="1"/>
      <c r="P56" s="1"/>
      <c r="Q56" s="1"/>
      <c r="R56" s="1"/>
      <c r="S56" s="1"/>
      <c r="T56" s="1">
        <v>55</v>
      </c>
      <c r="U56" s="2">
        <v>40972</v>
      </c>
      <c r="V56" s="1"/>
      <c r="W56" s="1"/>
      <c r="X56" s="1"/>
      <c r="Y56" s="1"/>
      <c r="Z56" s="1"/>
      <c r="AA56" s="1">
        <v>55</v>
      </c>
      <c r="AB56" s="1"/>
      <c r="AC56" s="1"/>
      <c r="AD56" s="1"/>
      <c r="AE56" s="1"/>
      <c r="AF56" s="1"/>
      <c r="AG56" s="1">
        <v>55</v>
      </c>
      <c r="AH56" s="2">
        <v>40972</v>
      </c>
      <c r="AI56" s="1"/>
      <c r="AJ56" s="1"/>
      <c r="AK56" s="1"/>
      <c r="AL56" s="1"/>
      <c r="AM56" s="1"/>
    </row>
    <row r="57" spans="1:39">
      <c r="A57" s="1">
        <v>56</v>
      </c>
      <c r="B57" s="2">
        <v>40973</v>
      </c>
      <c r="C57" s="1"/>
      <c r="D57" s="1"/>
      <c r="E57" s="1"/>
      <c r="F57" s="1">
        <v>0</v>
      </c>
      <c r="G57" s="1">
        <f>-0.654893006+1.5</f>
        <v>0.845106994</v>
      </c>
      <c r="H57" s="1">
        <v>56</v>
      </c>
      <c r="I57" s="1"/>
      <c r="J57" s="1"/>
      <c r="K57" s="1"/>
      <c r="L57" s="1"/>
      <c r="M57" s="1">
        <f>-0.67644266+1.5</f>
        <v>0.82355734000000003</v>
      </c>
      <c r="N57" s="1">
        <v>56</v>
      </c>
      <c r="O57" s="1"/>
      <c r="P57" s="1"/>
      <c r="Q57" s="1"/>
      <c r="R57" s="1"/>
      <c r="S57" s="1"/>
      <c r="T57" s="1">
        <v>56</v>
      </c>
      <c r="U57" s="2">
        <v>40973</v>
      </c>
      <c r="V57" s="1"/>
      <c r="W57" s="1"/>
      <c r="X57" s="1"/>
      <c r="Y57" s="1">
        <f>1.969786759+1.5</f>
        <v>3.4697867589999998</v>
      </c>
      <c r="Z57" s="1"/>
      <c r="AA57" s="1">
        <v>56</v>
      </c>
      <c r="AB57" s="1"/>
      <c r="AC57" s="1"/>
      <c r="AD57" s="1"/>
      <c r="AE57" s="1"/>
      <c r="AF57" s="1"/>
      <c r="AG57" s="1">
        <v>56</v>
      </c>
      <c r="AH57" s="2">
        <v>40973</v>
      </c>
      <c r="AI57" s="1"/>
      <c r="AJ57" s="1"/>
      <c r="AK57" s="1"/>
      <c r="AL57" s="1"/>
      <c r="AM57" s="1"/>
    </row>
    <row r="58" spans="1:39">
      <c r="A58" s="1">
        <v>57</v>
      </c>
      <c r="B58" s="2">
        <v>40974</v>
      </c>
      <c r="C58" s="1"/>
      <c r="D58" s="1"/>
      <c r="E58" s="1"/>
      <c r="F58" s="1"/>
      <c r="G58" s="1"/>
      <c r="H58" s="1">
        <v>57</v>
      </c>
      <c r="I58" s="1"/>
      <c r="J58" s="1"/>
      <c r="K58" s="1"/>
      <c r="L58" s="1"/>
      <c r="M58" s="1"/>
      <c r="N58" s="1">
        <v>57</v>
      </c>
      <c r="O58" s="1"/>
      <c r="P58" s="1"/>
      <c r="Q58" s="1"/>
      <c r="R58" s="1"/>
      <c r="S58" s="1"/>
      <c r="T58" s="1">
        <v>57</v>
      </c>
      <c r="U58" s="2">
        <v>40974</v>
      </c>
      <c r="V58" s="1"/>
      <c r="W58" s="1"/>
      <c r="X58" s="1"/>
      <c r="Y58" s="1"/>
      <c r="Z58" s="1"/>
      <c r="AA58" s="1">
        <v>57</v>
      </c>
      <c r="AB58" s="1"/>
      <c r="AC58" s="1"/>
      <c r="AD58" s="1"/>
      <c r="AE58" s="1"/>
      <c r="AF58" s="1"/>
      <c r="AG58" s="1">
        <v>57</v>
      </c>
      <c r="AH58" s="2">
        <v>40974</v>
      </c>
      <c r="AI58" s="1"/>
      <c r="AJ58" s="1"/>
      <c r="AK58" s="1"/>
      <c r="AL58" s="1"/>
      <c r="AM58" s="1"/>
    </row>
    <row r="59" spans="1:39">
      <c r="A59" s="1">
        <v>58</v>
      </c>
      <c r="B59" s="2">
        <v>40975</v>
      </c>
      <c r="C59" s="1"/>
      <c r="D59" s="1"/>
      <c r="E59" s="1"/>
      <c r="F59" s="1">
        <v>0</v>
      </c>
      <c r="G59" s="1">
        <f>1.969789818+1.5</f>
        <v>3.4697898179999997</v>
      </c>
      <c r="H59" s="1">
        <v>58</v>
      </c>
      <c r="I59" s="1"/>
      <c r="J59" s="1"/>
      <c r="K59" s="1"/>
      <c r="L59" s="1"/>
      <c r="M59" s="1">
        <f>-1.141186193+1.5</f>
        <v>0.35881380699999998</v>
      </c>
      <c r="N59" s="1">
        <v>58</v>
      </c>
      <c r="O59" s="1"/>
      <c r="P59" s="1"/>
      <c r="Q59" s="1"/>
      <c r="R59" s="1"/>
      <c r="S59" s="1"/>
      <c r="T59" s="1">
        <v>58</v>
      </c>
      <c r="U59" s="2">
        <v>40975</v>
      </c>
      <c r="V59" s="1"/>
      <c r="W59" s="1"/>
      <c r="X59" s="1"/>
      <c r="Y59" s="1">
        <f>2.166993+1.5</f>
        <v>3.6669930000000002</v>
      </c>
      <c r="Z59" s="1"/>
      <c r="AA59" s="1">
        <v>58</v>
      </c>
      <c r="AB59" s="1"/>
      <c r="AC59" s="1"/>
      <c r="AD59" s="1"/>
      <c r="AE59" s="1"/>
      <c r="AF59" s="1"/>
      <c r="AG59" s="1">
        <v>58</v>
      </c>
      <c r="AH59" s="2">
        <v>40975</v>
      </c>
      <c r="AI59" s="1"/>
      <c r="AJ59" s="1"/>
      <c r="AK59" s="1"/>
      <c r="AL59" s="1"/>
      <c r="AM59" s="1"/>
    </row>
    <row r="60" spans="1:39">
      <c r="A60" s="1">
        <v>59</v>
      </c>
      <c r="B60" s="2">
        <v>40976</v>
      </c>
      <c r="C60" s="1"/>
      <c r="D60" s="1"/>
      <c r="E60" s="1"/>
      <c r="F60" s="1"/>
      <c r="G60" s="1"/>
      <c r="H60" s="1">
        <v>59</v>
      </c>
      <c r="I60" s="1"/>
      <c r="J60" s="1"/>
      <c r="K60" s="1"/>
      <c r="L60" s="1"/>
      <c r="M60" s="1"/>
      <c r="N60" s="1">
        <v>59</v>
      </c>
      <c r="O60" s="1"/>
      <c r="P60" s="1"/>
      <c r="Q60" s="1"/>
      <c r="R60" s="1"/>
      <c r="S60" s="1"/>
      <c r="T60" s="1">
        <v>59</v>
      </c>
      <c r="U60" s="2">
        <v>40976</v>
      </c>
      <c r="V60" s="1"/>
      <c r="W60" s="1"/>
      <c r="X60" s="1"/>
      <c r="Y60" s="1"/>
      <c r="Z60" s="1"/>
      <c r="AA60" s="1">
        <v>59</v>
      </c>
      <c r="AB60" s="1"/>
      <c r="AC60" s="1"/>
      <c r="AD60" s="1"/>
      <c r="AE60" s="1"/>
      <c r="AF60" s="1"/>
      <c r="AG60" s="1">
        <v>59</v>
      </c>
      <c r="AH60" s="2">
        <v>40976</v>
      </c>
      <c r="AI60" s="1"/>
      <c r="AJ60" s="1"/>
      <c r="AK60" s="1"/>
      <c r="AL60" s="1"/>
      <c r="AM60" s="1"/>
    </row>
    <row r="61" spans="1:39">
      <c r="A61" s="1">
        <v>60</v>
      </c>
      <c r="B61" s="2">
        <v>40977</v>
      </c>
      <c r="C61" s="1"/>
      <c r="D61" s="1"/>
      <c r="E61" s="1"/>
      <c r="F61" s="6">
        <v>0</v>
      </c>
      <c r="G61" s="1">
        <f>1.16699844+1.5</f>
        <v>2.66699844</v>
      </c>
      <c r="H61" s="1">
        <v>60</v>
      </c>
      <c r="I61" s="1"/>
      <c r="J61" s="1"/>
      <c r="K61" s="1"/>
      <c r="L61" s="1"/>
      <c r="M61" s="1">
        <f>0.630720899+1.5</f>
        <v>2.1307208989999999</v>
      </c>
      <c r="N61" s="1">
        <v>60</v>
      </c>
      <c r="O61" s="1"/>
      <c r="P61" s="1"/>
      <c r="Q61" s="1"/>
      <c r="R61" s="1"/>
      <c r="S61" s="1"/>
      <c r="T61" s="1">
        <v>60</v>
      </c>
      <c r="U61" s="2">
        <v>40977</v>
      </c>
      <c r="V61" s="1"/>
      <c r="W61" s="1"/>
      <c r="X61" s="1"/>
      <c r="Y61" s="1">
        <f>1.630719355+1.5</f>
        <v>3.1307193550000001</v>
      </c>
      <c r="Z61" s="1"/>
      <c r="AA61" s="1">
        <v>60</v>
      </c>
      <c r="AB61" s="1"/>
      <c r="AC61" s="1"/>
      <c r="AD61" s="1"/>
      <c r="AE61" s="1"/>
      <c r="AF61" s="1"/>
      <c r="AG61" s="1">
        <v>60</v>
      </c>
      <c r="AH61" s="2">
        <v>40977</v>
      </c>
      <c r="AI61" s="1"/>
      <c r="AJ61" s="1"/>
      <c r="AK61" s="1"/>
      <c r="AL61" s="1"/>
      <c r="AM61" s="1"/>
    </row>
    <row r="62" spans="1:39">
      <c r="A62" s="1">
        <v>61</v>
      </c>
      <c r="B62" s="2">
        <v>40978</v>
      </c>
      <c r="C62" s="1"/>
      <c r="D62" s="1"/>
      <c r="E62" s="1"/>
      <c r="F62" s="1"/>
      <c r="G62" s="1"/>
      <c r="H62" s="1">
        <v>61</v>
      </c>
      <c r="I62" s="1"/>
      <c r="J62" s="1"/>
      <c r="K62" s="1"/>
      <c r="L62" s="1"/>
      <c r="M62" s="1"/>
      <c r="N62" s="1">
        <v>61</v>
      </c>
      <c r="O62" s="1"/>
      <c r="P62" s="1"/>
      <c r="Q62" s="1"/>
      <c r="R62" s="1"/>
      <c r="S62" s="1"/>
      <c r="T62" s="1">
        <v>61</v>
      </c>
      <c r="U62" s="2">
        <v>40978</v>
      </c>
      <c r="V62" s="1"/>
      <c r="W62" s="1"/>
      <c r="X62" s="1"/>
      <c r="Y62" s="1"/>
      <c r="Z62" s="1"/>
      <c r="AA62" s="1">
        <v>61</v>
      </c>
      <c r="AB62" s="1"/>
      <c r="AC62" s="1"/>
      <c r="AD62" s="1"/>
      <c r="AE62" s="1"/>
      <c r="AF62" s="1"/>
      <c r="AG62" s="1">
        <v>61</v>
      </c>
      <c r="AH62" s="2">
        <v>40978</v>
      </c>
      <c r="AI62" s="1"/>
      <c r="AJ62" s="1"/>
      <c r="AK62" s="1"/>
      <c r="AL62" s="1"/>
      <c r="AM62" s="1"/>
    </row>
    <row r="63" spans="1:39">
      <c r="A63" s="1">
        <v>62</v>
      </c>
      <c r="B63" s="2">
        <v>40979</v>
      </c>
      <c r="C63" s="1"/>
      <c r="D63" s="1"/>
      <c r="E63" s="1"/>
      <c r="F63" s="1"/>
      <c r="G63" s="1"/>
      <c r="H63" s="1">
        <v>62</v>
      </c>
      <c r="I63" s="1"/>
      <c r="J63" s="1"/>
      <c r="K63" s="1"/>
      <c r="L63" s="1"/>
      <c r="M63" s="1"/>
      <c r="N63" s="1">
        <v>62</v>
      </c>
      <c r="O63" s="1"/>
      <c r="P63" s="1"/>
      <c r="Q63" s="1"/>
      <c r="R63" s="1"/>
      <c r="S63" s="1"/>
      <c r="T63" s="1">
        <v>62</v>
      </c>
      <c r="U63" s="2">
        <v>40979</v>
      </c>
      <c r="V63" s="1"/>
      <c r="W63" s="1"/>
      <c r="X63" s="1"/>
      <c r="Y63" s="1"/>
      <c r="Z63" s="1"/>
      <c r="AA63" s="1">
        <v>62</v>
      </c>
      <c r="AB63" s="1"/>
      <c r="AC63" s="1"/>
      <c r="AD63" s="1"/>
      <c r="AE63" s="1"/>
      <c r="AF63" s="1"/>
      <c r="AG63" s="1">
        <v>62</v>
      </c>
      <c r="AH63" s="2">
        <v>40979</v>
      </c>
      <c r="AI63" s="1"/>
      <c r="AJ63" s="1"/>
      <c r="AK63" s="1"/>
      <c r="AL63" s="1"/>
      <c r="AM63" s="1"/>
    </row>
    <row r="64" spans="1:39">
      <c r="A64" s="1">
        <v>63</v>
      </c>
      <c r="B64" s="2">
        <v>40980</v>
      </c>
      <c r="C64" s="1"/>
      <c r="D64" s="1"/>
      <c r="E64" s="1"/>
      <c r="F64" s="1"/>
      <c r="G64" s="1">
        <f>1.96978796+1.5</f>
        <v>3.4697879599999997</v>
      </c>
      <c r="H64" s="1">
        <v>63</v>
      </c>
      <c r="I64" s="1"/>
      <c r="J64" s="1"/>
      <c r="K64" s="1"/>
      <c r="L64" s="1"/>
      <c r="M64" s="1">
        <v>0</v>
      </c>
      <c r="N64" s="1">
        <v>63</v>
      </c>
      <c r="O64" s="1"/>
      <c r="P64" s="1"/>
      <c r="Q64" s="1"/>
      <c r="R64" s="1"/>
      <c r="S64" s="1"/>
      <c r="T64" s="1">
        <v>63</v>
      </c>
      <c r="U64" s="2">
        <v>40980</v>
      </c>
      <c r="V64" s="1"/>
      <c r="W64" s="1"/>
      <c r="X64" s="1"/>
      <c r="Y64" s="1">
        <f>-1.221711245+1.5</f>
        <v>0.27828875499999994</v>
      </c>
      <c r="Z64" s="1"/>
      <c r="AA64" s="1">
        <v>63</v>
      </c>
      <c r="AB64" s="1"/>
      <c r="AC64" s="1"/>
      <c r="AD64" s="1"/>
      <c r="AE64" s="1"/>
      <c r="AF64" s="1"/>
      <c r="AG64" s="1">
        <v>63</v>
      </c>
      <c r="AH64" s="2">
        <v>40980</v>
      </c>
      <c r="AI64" s="1"/>
      <c r="AJ64" s="1"/>
      <c r="AK64" s="1"/>
      <c r="AL64" s="1"/>
      <c r="AM64" s="1"/>
    </row>
    <row r="65" spans="1:39">
      <c r="A65" s="1">
        <v>64</v>
      </c>
      <c r="B65" s="2">
        <v>40981</v>
      </c>
      <c r="C65" s="1"/>
      <c r="D65" s="1"/>
      <c r="E65" s="1"/>
      <c r="F65" s="1"/>
      <c r="G65" s="1"/>
      <c r="H65" s="1">
        <v>64</v>
      </c>
      <c r="I65" s="1"/>
      <c r="J65" s="1"/>
      <c r="K65" s="1"/>
      <c r="L65" s="1"/>
      <c r="M65" s="1"/>
      <c r="N65" s="1">
        <v>64</v>
      </c>
      <c r="O65" s="1"/>
      <c r="P65" s="1"/>
      <c r="Q65" s="1"/>
      <c r="R65" s="1"/>
      <c r="S65" s="1"/>
      <c r="T65" s="1">
        <v>64</v>
      </c>
      <c r="U65" s="2">
        <v>40981</v>
      </c>
      <c r="V65" s="1"/>
      <c r="W65" s="1"/>
      <c r="X65" s="1"/>
      <c r="Y65" s="1"/>
      <c r="Z65" s="1"/>
      <c r="AA65" s="1">
        <v>64</v>
      </c>
      <c r="AB65" s="1"/>
      <c r="AC65" s="1"/>
      <c r="AD65" s="1"/>
      <c r="AE65" s="1"/>
      <c r="AF65" s="1"/>
      <c r="AG65" s="1">
        <v>64</v>
      </c>
      <c r="AH65" s="2">
        <v>40981</v>
      </c>
      <c r="AI65" s="1"/>
      <c r="AJ65" s="1"/>
      <c r="AK65" s="1"/>
      <c r="AL65" s="1"/>
      <c r="AM65" s="1"/>
    </row>
    <row r="66" spans="1:39">
      <c r="A66" s="1">
        <v>65</v>
      </c>
      <c r="B66" s="2">
        <v>40982</v>
      </c>
      <c r="C66" s="1"/>
      <c r="D66" s="1"/>
      <c r="E66" s="1"/>
      <c r="F66" s="1"/>
      <c r="G66" s="1">
        <v>0</v>
      </c>
      <c r="H66" s="1">
        <v>65</v>
      </c>
      <c r="I66" s="1"/>
      <c r="J66" s="1"/>
      <c r="K66" s="1"/>
      <c r="L66" s="1"/>
      <c r="M66" s="1">
        <f>-1.522878745+1.5</f>
        <v>-2.2878745000000089E-2</v>
      </c>
      <c r="N66" s="1">
        <v>65</v>
      </c>
      <c r="O66" s="1"/>
      <c r="P66" s="1"/>
      <c r="Q66" s="1"/>
      <c r="R66" s="1"/>
      <c r="S66" s="1"/>
      <c r="T66" s="1">
        <v>65</v>
      </c>
      <c r="U66" s="2">
        <v>40982</v>
      </c>
      <c r="V66" s="1"/>
      <c r="W66" s="1"/>
      <c r="X66" s="1"/>
      <c r="Y66" s="1">
        <f>2.166997437+1.5</f>
        <v>3.666997437</v>
      </c>
      <c r="Z66" s="1"/>
      <c r="AA66" s="1">
        <v>65</v>
      </c>
      <c r="AB66" s="1">
        <f>-1.04568029+1.5</f>
        <v>0.45431971000000004</v>
      </c>
      <c r="AC66" s="1">
        <v>0</v>
      </c>
      <c r="AD66" s="1">
        <f>4.786666424+1.5</f>
        <v>6.2866664239999999</v>
      </c>
      <c r="AE66" s="1">
        <f>4.377879965+1.5</f>
        <v>5.877879965</v>
      </c>
      <c r="AF66" s="1">
        <f>-0.099724656+1.5</f>
        <v>1.400275344</v>
      </c>
      <c r="AG66" s="1">
        <v>65</v>
      </c>
      <c r="AH66" s="2">
        <v>40982</v>
      </c>
      <c r="AI66" s="1">
        <v>0</v>
      </c>
      <c r="AJ66" s="1">
        <f>1.373567348+1.5</f>
        <v>2.8735673479999999</v>
      </c>
      <c r="AK66" s="1">
        <f>0.270269265+1.5</f>
        <v>1.770269265</v>
      </c>
      <c r="AL66" s="1"/>
      <c r="AM66" s="1"/>
    </row>
    <row r="67" spans="1:39">
      <c r="A67" s="1">
        <v>66</v>
      </c>
      <c r="B67" s="2">
        <v>40983</v>
      </c>
      <c r="C67" s="1"/>
      <c r="D67" s="1"/>
      <c r="E67" s="1"/>
      <c r="F67" s="1"/>
      <c r="G67" s="1"/>
      <c r="H67" s="1">
        <v>66</v>
      </c>
      <c r="I67" s="1"/>
      <c r="J67" s="1"/>
      <c r="K67" s="1"/>
      <c r="L67" s="1"/>
      <c r="M67" s="1"/>
      <c r="N67" s="1">
        <v>66</v>
      </c>
      <c r="O67" s="1"/>
      <c r="P67" s="1"/>
      <c r="Q67" s="1"/>
      <c r="R67" s="1"/>
      <c r="S67" s="1"/>
      <c r="T67" s="1">
        <v>66</v>
      </c>
      <c r="U67" s="2">
        <v>40983</v>
      </c>
      <c r="V67" s="1"/>
      <c r="W67" s="1"/>
      <c r="X67" s="1"/>
      <c r="Y67" s="1"/>
      <c r="Z67" s="1"/>
      <c r="AA67" s="1">
        <v>66</v>
      </c>
      <c r="AB67" s="1"/>
      <c r="AC67" s="1"/>
      <c r="AD67" s="1"/>
      <c r="AE67" s="1"/>
      <c r="AF67" s="1"/>
      <c r="AG67" s="1">
        <v>66</v>
      </c>
      <c r="AH67" s="2">
        <v>40983</v>
      </c>
      <c r="AI67" s="1"/>
      <c r="AJ67" s="1"/>
      <c r="AK67" s="1"/>
      <c r="AL67" s="1"/>
      <c r="AM67" s="1"/>
    </row>
    <row r="68" spans="1:39">
      <c r="A68" s="1">
        <v>67</v>
      </c>
      <c r="B68" s="2">
        <v>40984</v>
      </c>
      <c r="C68" s="1"/>
      <c r="D68" s="1"/>
      <c r="E68" s="1"/>
      <c r="F68" s="1"/>
      <c r="G68" s="1">
        <f>1.630717962+1.5</f>
        <v>3.1307179620000003</v>
      </c>
      <c r="H68" s="1">
        <v>67</v>
      </c>
      <c r="I68" s="1"/>
      <c r="J68" s="1"/>
      <c r="K68" s="1"/>
      <c r="L68" s="1"/>
      <c r="M68" s="1">
        <v>0</v>
      </c>
      <c r="N68" s="1">
        <v>67</v>
      </c>
      <c r="O68" s="1"/>
      <c r="P68" s="1"/>
      <c r="Q68" s="1"/>
      <c r="R68" s="1"/>
      <c r="S68" s="1"/>
      <c r="T68" s="1">
        <v>67</v>
      </c>
      <c r="U68" s="2">
        <v>40984</v>
      </c>
      <c r="V68" s="1"/>
      <c r="W68" s="1"/>
      <c r="X68" s="1"/>
      <c r="Y68" s="1">
        <f>2.057640338+1.5</f>
        <v>3.5576403380000001</v>
      </c>
      <c r="Z68" s="1"/>
      <c r="AA68" s="1">
        <v>67</v>
      </c>
      <c r="AB68" s="1">
        <v>0</v>
      </c>
      <c r="AC68" s="1">
        <v>0</v>
      </c>
      <c r="AD68" s="1">
        <f>0.121402248+1.5</f>
        <v>1.6214022480000001</v>
      </c>
      <c r="AE68" s="1">
        <f>0.149727032+1.5</f>
        <v>1.6497270319999999</v>
      </c>
      <c r="AF68" s="1">
        <f>1.191739694+1.5</f>
        <v>2.6917396939999998</v>
      </c>
      <c r="AG68" s="1">
        <v>67</v>
      </c>
      <c r="AH68" s="2">
        <v>40984</v>
      </c>
      <c r="AI68" s="1">
        <f>-0.90591687+1.5</f>
        <v>0.59408313000000001</v>
      </c>
      <c r="AJ68" s="1">
        <f>-0.616782649+1.5</f>
        <v>0.88321735099999998</v>
      </c>
      <c r="AK68" s="1">
        <f>5.575926998+1.5</f>
        <v>7.0759269979999999</v>
      </c>
      <c r="AL68" s="1"/>
      <c r="AM68" s="1"/>
    </row>
    <row r="69" spans="1:39">
      <c r="A69" s="1">
        <v>68</v>
      </c>
      <c r="B69" s="2">
        <v>40985</v>
      </c>
      <c r="C69" s="1"/>
      <c r="D69" s="1"/>
      <c r="E69" s="1"/>
      <c r="F69" s="1"/>
      <c r="G69" s="1"/>
      <c r="H69" s="1">
        <v>68</v>
      </c>
      <c r="I69" s="1"/>
      <c r="J69" s="1"/>
      <c r="K69" s="1"/>
      <c r="L69" s="1"/>
      <c r="M69" s="1"/>
      <c r="N69" s="1">
        <v>68</v>
      </c>
      <c r="O69" s="1"/>
      <c r="P69" s="1"/>
      <c r="Q69" s="1"/>
      <c r="R69" s="1"/>
      <c r="S69" s="1"/>
      <c r="T69" s="1">
        <v>68</v>
      </c>
      <c r="U69" s="2">
        <v>40985</v>
      </c>
      <c r="V69" s="1"/>
      <c r="W69" s="1"/>
      <c r="X69" s="1"/>
      <c r="Y69" s="1"/>
      <c r="Z69" s="1"/>
      <c r="AA69" s="1">
        <v>68</v>
      </c>
      <c r="AB69" s="1"/>
      <c r="AC69" s="1"/>
      <c r="AD69" s="1"/>
      <c r="AE69" s="1"/>
      <c r="AF69" s="1"/>
      <c r="AG69" s="1">
        <v>68</v>
      </c>
      <c r="AH69" s="2">
        <v>40985</v>
      </c>
      <c r="AI69" s="1"/>
      <c r="AJ69" s="1"/>
      <c r="AK69" s="1"/>
      <c r="AL69" s="1"/>
      <c r="AM69" s="1"/>
    </row>
    <row r="70" spans="1:39">
      <c r="A70" s="1">
        <v>69</v>
      </c>
      <c r="B70" s="2">
        <v>40986</v>
      </c>
      <c r="C70" s="1"/>
      <c r="D70" s="1"/>
      <c r="E70" s="1"/>
      <c r="F70" s="1"/>
      <c r="G70" s="1"/>
      <c r="H70" s="1">
        <v>69</v>
      </c>
      <c r="I70" s="1"/>
      <c r="J70" s="1"/>
      <c r="K70" s="1"/>
      <c r="L70" s="1"/>
      <c r="M70" s="1"/>
      <c r="N70" s="1">
        <v>69</v>
      </c>
      <c r="O70" s="1"/>
      <c r="P70" s="1"/>
      <c r="Q70" s="1"/>
      <c r="R70" s="1"/>
      <c r="S70" s="1"/>
      <c r="T70" s="1">
        <v>69</v>
      </c>
      <c r="U70" s="2">
        <v>40986</v>
      </c>
      <c r="V70" s="1"/>
      <c r="W70" s="1"/>
      <c r="X70" s="1"/>
      <c r="Y70" s="1"/>
      <c r="Z70" s="1"/>
      <c r="AA70" s="1">
        <v>69</v>
      </c>
      <c r="AB70" s="1"/>
      <c r="AC70" s="1"/>
      <c r="AD70" s="1"/>
      <c r="AE70" s="1"/>
      <c r="AF70" s="1"/>
      <c r="AG70" s="1">
        <v>69</v>
      </c>
      <c r="AH70" s="2">
        <v>40986</v>
      </c>
      <c r="AI70" s="1"/>
      <c r="AJ70" s="1"/>
      <c r="AK70" s="1"/>
      <c r="AL70" s="1"/>
      <c r="AM70" s="1"/>
    </row>
    <row r="71" spans="1:39">
      <c r="A71" s="1">
        <v>70</v>
      </c>
      <c r="B71" s="2">
        <v>40987</v>
      </c>
      <c r="C71" s="1"/>
      <c r="D71" s="1"/>
      <c r="E71" s="1"/>
      <c r="F71" s="1"/>
      <c r="G71" s="1">
        <f>-0.036601324+1.5</f>
        <v>1.463398676</v>
      </c>
      <c r="H71" s="1">
        <v>70</v>
      </c>
      <c r="I71" s="1"/>
      <c r="J71" s="1"/>
      <c r="K71" s="1"/>
      <c r="L71" s="1"/>
      <c r="M71" s="1">
        <f>-1.214513562+1.5</f>
        <v>0.28548643799999995</v>
      </c>
      <c r="N71" s="1">
        <v>70</v>
      </c>
      <c r="O71" s="1"/>
      <c r="P71" s="1"/>
      <c r="Q71" s="1"/>
      <c r="R71" s="1"/>
      <c r="S71" s="1"/>
      <c r="T71" s="1">
        <v>70</v>
      </c>
      <c r="U71" s="2">
        <v>40987</v>
      </c>
      <c r="V71" s="1"/>
      <c r="W71" s="1"/>
      <c r="X71" s="1"/>
      <c r="Y71" s="1">
        <v>0</v>
      </c>
      <c r="Z71" s="1"/>
      <c r="AA71" s="1">
        <v>70</v>
      </c>
      <c r="AB71" s="1">
        <v>0</v>
      </c>
      <c r="AC71" s="1">
        <v>0</v>
      </c>
      <c r="AD71" s="1">
        <f>1.871068078+1.5</f>
        <v>3.371068078</v>
      </c>
      <c r="AE71" s="1">
        <f>4.164793863+1.5</f>
        <v>5.6647938629999999</v>
      </c>
      <c r="AF71" s="1">
        <f>0.552800431+1.5</f>
        <v>2.0528004310000001</v>
      </c>
      <c r="AG71" s="1">
        <v>70</v>
      </c>
      <c r="AH71" s="2">
        <v>40987</v>
      </c>
      <c r="AI71" s="1">
        <v>0</v>
      </c>
      <c r="AJ71" s="1">
        <v>0</v>
      </c>
      <c r="AK71" s="1">
        <f>4.960642488+1.5</f>
        <v>6.4606424880000004</v>
      </c>
      <c r="AL71" s="1"/>
      <c r="AM71" s="1"/>
    </row>
    <row r="72" spans="1:39">
      <c r="A72" s="1">
        <v>71</v>
      </c>
      <c r="B72" s="2">
        <v>40988</v>
      </c>
      <c r="C72" s="1"/>
      <c r="D72" s="1"/>
      <c r="E72" s="1"/>
      <c r="F72" s="1"/>
      <c r="G72" s="1"/>
      <c r="H72" s="1">
        <v>71</v>
      </c>
      <c r="I72" s="1"/>
      <c r="J72" s="1"/>
      <c r="K72" s="1"/>
      <c r="L72" s="1"/>
      <c r="M72" s="1"/>
      <c r="N72" s="1">
        <v>71</v>
      </c>
      <c r="O72" s="1"/>
      <c r="P72" s="1"/>
      <c r="Q72" s="1"/>
      <c r="R72" s="1"/>
      <c r="S72" s="1"/>
      <c r="T72" s="1">
        <v>71</v>
      </c>
      <c r="U72" s="2">
        <v>40988</v>
      </c>
      <c r="V72" s="1"/>
      <c r="W72" s="1"/>
      <c r="X72" s="1"/>
      <c r="Y72" s="1"/>
      <c r="Z72" s="1"/>
      <c r="AA72" s="1">
        <v>71</v>
      </c>
      <c r="AB72" s="1"/>
      <c r="AC72" s="1"/>
      <c r="AD72" s="1"/>
      <c r="AE72" s="1"/>
      <c r="AF72" s="1"/>
      <c r="AG72" s="1">
        <v>71</v>
      </c>
      <c r="AH72" s="2">
        <v>40988</v>
      </c>
      <c r="AI72" s="1"/>
      <c r="AJ72" s="1"/>
      <c r="AK72" s="1"/>
      <c r="AL72" s="1"/>
      <c r="AM72" s="1"/>
    </row>
    <row r="73" spans="1:39">
      <c r="A73" s="1">
        <v>72</v>
      </c>
      <c r="B73" s="2">
        <v>40989</v>
      </c>
      <c r="C73" s="1"/>
      <c r="D73" s="1"/>
      <c r="E73" s="1"/>
      <c r="F73" s="1"/>
      <c r="G73" s="1">
        <f>1.379830144+1.5</f>
        <v>2.879830144</v>
      </c>
      <c r="H73" s="1">
        <v>72</v>
      </c>
      <c r="I73" s="1"/>
      <c r="J73" s="1"/>
      <c r="K73" s="1"/>
      <c r="L73" s="1"/>
      <c r="M73" s="1">
        <f>-0.55946873+1.5</f>
        <v>0.94053127000000003</v>
      </c>
      <c r="N73" s="1">
        <v>72</v>
      </c>
      <c r="O73" s="1"/>
      <c r="P73" s="1"/>
      <c r="Q73" s="1"/>
      <c r="R73" s="1"/>
      <c r="S73" s="1"/>
      <c r="T73" s="1">
        <v>72</v>
      </c>
      <c r="U73" s="2">
        <v>40989</v>
      </c>
      <c r="V73" s="1"/>
      <c r="W73" s="1"/>
      <c r="X73" s="1"/>
      <c r="Y73" s="1">
        <f>0.969789934+1.5</f>
        <v>2.469789934</v>
      </c>
      <c r="Z73" s="1"/>
      <c r="AA73" s="1">
        <v>72</v>
      </c>
      <c r="AB73" s="1">
        <f>-0.68958498+1.5</f>
        <v>0.81041501999999999</v>
      </c>
      <c r="AC73" s="1">
        <v>0</v>
      </c>
      <c r="AD73" s="1">
        <f>4.857829215+1.5</f>
        <v>6.3578292149999998</v>
      </c>
      <c r="AE73" s="1">
        <f>-1.044379587+1.5</f>
        <v>0.45562041299999989</v>
      </c>
      <c r="AF73" s="1">
        <f>2.100343249+1.5</f>
        <v>3.6003432489999998</v>
      </c>
      <c r="AG73" s="1">
        <v>72</v>
      </c>
      <c r="AH73" s="2">
        <v>40989</v>
      </c>
      <c r="AI73" s="1">
        <v>0</v>
      </c>
      <c r="AJ73" s="1">
        <v>0</v>
      </c>
      <c r="AK73" s="1">
        <f>0.975340206+1.5</f>
        <v>2.4753402060000003</v>
      </c>
      <c r="AL73" s="1"/>
      <c r="AM73" s="1"/>
    </row>
    <row r="74" spans="1:39">
      <c r="A74" s="1">
        <v>73</v>
      </c>
      <c r="B74" s="2">
        <v>40990</v>
      </c>
      <c r="C74" s="1"/>
      <c r="D74" s="1"/>
      <c r="E74" s="1"/>
      <c r="F74" s="1"/>
      <c r="G74" s="1"/>
      <c r="H74" s="1">
        <v>73</v>
      </c>
      <c r="I74" s="1"/>
      <c r="J74" s="1"/>
      <c r="K74" s="1"/>
      <c r="L74" s="1"/>
      <c r="M74" s="1"/>
      <c r="N74" s="1">
        <v>73</v>
      </c>
      <c r="O74" s="1"/>
      <c r="P74" s="1"/>
      <c r="Q74" s="1"/>
      <c r="R74" s="1"/>
      <c r="S74" s="1"/>
      <c r="T74" s="1">
        <v>73</v>
      </c>
      <c r="U74" s="2">
        <v>40990</v>
      </c>
      <c r="V74" s="1"/>
      <c r="W74" s="1"/>
      <c r="X74" s="1"/>
      <c r="Y74" s="1"/>
      <c r="Z74" s="1"/>
      <c r="AA74" s="1">
        <v>73</v>
      </c>
      <c r="AB74" s="1"/>
      <c r="AC74" s="1"/>
      <c r="AD74" s="1"/>
      <c r="AE74" s="1"/>
      <c r="AF74" s="1"/>
      <c r="AG74" s="1">
        <v>73</v>
      </c>
      <c r="AH74" s="2">
        <v>40990</v>
      </c>
      <c r="AI74" s="1"/>
      <c r="AJ74" s="1"/>
      <c r="AK74" s="1"/>
      <c r="AL74" s="1"/>
      <c r="AM74" s="1"/>
    </row>
    <row r="75" spans="1:39">
      <c r="A75" s="1">
        <v>74</v>
      </c>
      <c r="B75" s="2">
        <v>40991</v>
      </c>
      <c r="C75" s="1"/>
      <c r="D75" s="1"/>
      <c r="E75" s="1"/>
      <c r="F75" s="1"/>
      <c r="G75" s="1">
        <f>-0.544375634+1.5</f>
        <v>0.955624366</v>
      </c>
      <c r="H75" s="1">
        <v>74</v>
      </c>
      <c r="I75" s="1"/>
      <c r="J75" s="1"/>
      <c r="K75" s="1"/>
      <c r="L75" s="1"/>
      <c r="M75" s="6">
        <v>0</v>
      </c>
      <c r="N75" s="1">
        <v>74</v>
      </c>
      <c r="O75" s="1"/>
      <c r="P75" s="1"/>
      <c r="Q75" s="1"/>
      <c r="R75" s="1"/>
      <c r="S75" s="1"/>
      <c r="T75" s="1">
        <v>74</v>
      </c>
      <c r="U75" s="2">
        <v>40991</v>
      </c>
      <c r="V75" s="1"/>
      <c r="W75" s="1"/>
      <c r="X75" s="1"/>
      <c r="Y75" s="6">
        <f>1.606394007+1.5</f>
        <v>3.106394007</v>
      </c>
      <c r="Z75" s="1"/>
      <c r="AA75" s="1">
        <v>74</v>
      </c>
      <c r="AB75" s="1">
        <f>-0.421029752+1.5</f>
        <v>1.0789702480000001</v>
      </c>
      <c r="AC75" s="1">
        <v>0</v>
      </c>
      <c r="AD75" s="1">
        <f>4.166790939+1.5</f>
        <v>5.6667909390000002</v>
      </c>
      <c r="AE75" s="1">
        <v>0</v>
      </c>
      <c r="AF75" s="1">
        <f>0.178736437+1.5</f>
        <v>1.678736437</v>
      </c>
      <c r="AG75" s="1">
        <v>74</v>
      </c>
      <c r="AH75" s="2">
        <v>40991</v>
      </c>
      <c r="AI75" s="1">
        <v>0</v>
      </c>
      <c r="AJ75" s="1">
        <v>0</v>
      </c>
      <c r="AK75" s="1">
        <f>1.643193187+1.5</f>
        <v>3.1431931870000001</v>
      </c>
      <c r="AL75" s="1"/>
      <c r="AM75" s="1"/>
    </row>
    <row r="76" spans="1:39">
      <c r="A76" s="1">
        <v>75</v>
      </c>
      <c r="B76" s="2">
        <v>40992</v>
      </c>
      <c r="C76" s="1"/>
      <c r="D76" s="1"/>
      <c r="E76" s="1"/>
      <c r="F76" s="1"/>
      <c r="G76" s="1"/>
      <c r="H76" s="1">
        <v>75</v>
      </c>
      <c r="I76" s="1"/>
      <c r="J76" s="1"/>
      <c r="K76" s="1"/>
      <c r="L76" s="1"/>
      <c r="M76" s="1"/>
      <c r="N76" s="1">
        <v>75</v>
      </c>
      <c r="O76" s="1"/>
      <c r="P76" s="1"/>
      <c r="Q76" s="1"/>
      <c r="R76" s="1"/>
      <c r="S76" s="1"/>
      <c r="T76" s="1">
        <v>75</v>
      </c>
      <c r="U76" s="2">
        <v>40992</v>
      </c>
      <c r="V76" s="1"/>
      <c r="W76" s="1"/>
      <c r="X76" s="1"/>
      <c r="Y76" s="1"/>
      <c r="Z76" s="1"/>
      <c r="AA76" s="1">
        <v>75</v>
      </c>
      <c r="AB76" s="1"/>
      <c r="AC76" s="1"/>
      <c r="AD76" s="1"/>
      <c r="AE76" s="1"/>
      <c r="AF76" s="1"/>
      <c r="AG76" s="1">
        <v>75</v>
      </c>
      <c r="AH76" s="2">
        <v>40992</v>
      </c>
      <c r="AI76" s="1"/>
      <c r="AJ76" s="1"/>
      <c r="AK76" s="1"/>
      <c r="AL76" s="1"/>
      <c r="AM76" s="1"/>
    </row>
    <row r="77" spans="1:39">
      <c r="A77" s="1">
        <v>76</v>
      </c>
      <c r="B77" s="2">
        <v>40993</v>
      </c>
      <c r="C77" s="1"/>
      <c r="D77" s="1"/>
      <c r="E77" s="1"/>
      <c r="F77" s="1"/>
      <c r="G77" s="1"/>
      <c r="H77" s="1">
        <v>76</v>
      </c>
      <c r="I77" s="1"/>
      <c r="J77" s="1"/>
      <c r="K77" s="1"/>
      <c r="L77" s="1"/>
      <c r="M77" s="1"/>
      <c r="N77" s="1">
        <v>76</v>
      </c>
      <c r="O77" s="1"/>
      <c r="P77" s="1"/>
      <c r="Q77" s="1"/>
      <c r="R77" s="1"/>
      <c r="S77" s="1"/>
      <c r="T77" s="1">
        <v>76</v>
      </c>
      <c r="U77" s="2">
        <v>40993</v>
      </c>
      <c r="V77" s="1"/>
      <c r="W77" s="1"/>
      <c r="X77" s="1"/>
      <c r="Y77" s="1"/>
      <c r="Z77" s="1"/>
      <c r="AA77" s="1">
        <v>76</v>
      </c>
      <c r="AB77" s="1"/>
      <c r="AC77" s="1"/>
      <c r="AD77" s="1"/>
      <c r="AE77" s="1"/>
      <c r="AF77" s="1"/>
      <c r="AG77" s="1">
        <v>76</v>
      </c>
      <c r="AH77" s="2">
        <v>40993</v>
      </c>
      <c r="AI77" s="1"/>
      <c r="AJ77" s="1"/>
      <c r="AK77" s="1"/>
      <c r="AL77" s="1"/>
      <c r="AM77" s="1"/>
    </row>
    <row r="78" spans="1:39">
      <c r="A78" s="1">
        <v>77</v>
      </c>
      <c r="B78" s="2">
        <v>40994</v>
      </c>
      <c r="C78" s="1"/>
      <c r="D78" s="1"/>
      <c r="E78" s="1"/>
      <c r="F78" s="1"/>
      <c r="G78" s="1">
        <f>-0.28211957+1.5</f>
        <v>1.2178804300000001</v>
      </c>
      <c r="H78" s="1">
        <v>77</v>
      </c>
      <c r="I78" s="1"/>
      <c r="J78" s="1"/>
      <c r="K78" s="1"/>
      <c r="L78" s="1"/>
      <c r="M78" s="1"/>
      <c r="N78" s="1">
        <v>77</v>
      </c>
      <c r="O78" s="1"/>
      <c r="P78" s="1"/>
      <c r="Q78" s="1"/>
      <c r="R78" s="1"/>
      <c r="S78" s="1"/>
      <c r="T78" s="1">
        <v>77</v>
      </c>
      <c r="U78" s="2">
        <v>40994</v>
      </c>
      <c r="V78" s="1"/>
      <c r="W78" s="1"/>
      <c r="X78" s="1"/>
      <c r="Y78" s="1"/>
      <c r="Z78" s="1"/>
      <c r="AA78" s="1">
        <v>77</v>
      </c>
      <c r="AB78" s="1">
        <f>-1.141186193+1.5</f>
        <v>0.35881380699999998</v>
      </c>
      <c r="AC78" s="1">
        <v>0</v>
      </c>
      <c r="AD78" s="1">
        <f>3.967800949+1.5</f>
        <v>5.4678009489999999</v>
      </c>
      <c r="AE78" s="1">
        <v>0</v>
      </c>
      <c r="AF78" s="1">
        <v>0</v>
      </c>
      <c r="AG78" s="1">
        <v>77</v>
      </c>
      <c r="AH78" s="2">
        <v>40994</v>
      </c>
      <c r="AI78" s="1">
        <v>0</v>
      </c>
      <c r="AJ78" s="1">
        <v>0</v>
      </c>
      <c r="AK78" s="1">
        <f>-0.91338394+1.5</f>
        <v>0.58661605999999999</v>
      </c>
      <c r="AL78" s="1"/>
      <c r="AM78" s="1"/>
    </row>
    <row r="79" spans="1:39">
      <c r="A79" s="1">
        <v>78</v>
      </c>
      <c r="B79" s="2">
        <v>40995</v>
      </c>
      <c r="C79" s="1"/>
      <c r="D79" s="1"/>
      <c r="E79" s="1"/>
      <c r="F79" s="1"/>
      <c r="G79" s="1"/>
      <c r="H79" s="1">
        <v>78</v>
      </c>
      <c r="I79" s="1"/>
      <c r="J79" s="1"/>
      <c r="K79" s="1"/>
      <c r="L79" s="1"/>
      <c r="M79" s="1"/>
      <c r="N79" s="1">
        <v>78</v>
      </c>
      <c r="O79" s="1"/>
      <c r="P79" s="1"/>
      <c r="Q79" s="1"/>
      <c r="R79" s="1"/>
      <c r="S79" s="1"/>
      <c r="T79" s="1">
        <v>78</v>
      </c>
      <c r="U79" s="2">
        <v>40995</v>
      </c>
      <c r="V79" s="1"/>
      <c r="W79" s="1"/>
      <c r="X79" s="1"/>
      <c r="Y79" s="1"/>
      <c r="Z79" s="1"/>
      <c r="AA79" s="1">
        <v>78</v>
      </c>
      <c r="AB79" s="1"/>
      <c r="AC79" s="1"/>
      <c r="AD79" s="1"/>
      <c r="AE79" s="1"/>
      <c r="AF79" s="1"/>
      <c r="AG79" s="1">
        <v>78</v>
      </c>
      <c r="AH79" s="2">
        <v>40995</v>
      </c>
      <c r="AI79" s="1"/>
      <c r="AJ79" s="1"/>
      <c r="AK79" s="1"/>
      <c r="AL79" s="1"/>
      <c r="AM79" s="1"/>
    </row>
    <row r="80" spans="1:39">
      <c r="A80" s="1">
        <v>79</v>
      </c>
      <c r="B80" s="2">
        <v>40996</v>
      </c>
      <c r="C80" s="1"/>
      <c r="D80" s="1"/>
      <c r="E80" s="1"/>
      <c r="F80" s="1"/>
      <c r="G80" s="1">
        <f>-0.373425608+1.5</f>
        <v>1.126574392</v>
      </c>
      <c r="H80" s="1">
        <v>79</v>
      </c>
      <c r="I80" s="1"/>
      <c r="J80" s="1"/>
      <c r="K80" s="1"/>
      <c r="L80" s="1"/>
      <c r="M80" s="1"/>
      <c r="N80" s="1">
        <v>79</v>
      </c>
      <c r="O80" s="1"/>
      <c r="P80" s="1"/>
      <c r="Q80" s="1"/>
      <c r="R80" s="1"/>
      <c r="S80" s="1"/>
      <c r="T80" s="1">
        <v>79</v>
      </c>
      <c r="U80" s="2">
        <v>40996</v>
      </c>
      <c r="V80" s="1"/>
      <c r="W80" s="1"/>
      <c r="X80" s="1"/>
      <c r="Y80" s="1"/>
      <c r="Z80" s="1"/>
      <c r="AA80" s="1">
        <v>79</v>
      </c>
      <c r="AB80" s="1">
        <f>-1.133316954+1.5</f>
        <v>0.3666830459999999</v>
      </c>
      <c r="AC80" s="1">
        <v>0</v>
      </c>
      <c r="AD80" s="1">
        <f>-0.563363546+1.5</f>
        <v>0.93663645399999995</v>
      </c>
      <c r="AE80" s="1">
        <v>0</v>
      </c>
      <c r="AF80" s="1">
        <v>0</v>
      </c>
      <c r="AG80" s="1">
        <v>79</v>
      </c>
      <c r="AH80" s="2">
        <v>40996</v>
      </c>
      <c r="AI80" s="1">
        <v>0</v>
      </c>
      <c r="AJ80" s="1">
        <v>0</v>
      </c>
      <c r="AK80" s="1">
        <f>-0.808261228+1.5</f>
        <v>0.691738772</v>
      </c>
      <c r="AL80" s="1"/>
      <c r="AM80" s="1"/>
    </row>
    <row r="81" spans="1:39">
      <c r="A81" s="1">
        <v>80</v>
      </c>
      <c r="B81" s="2">
        <v>40997</v>
      </c>
      <c r="C81" s="1"/>
      <c r="D81" s="1"/>
      <c r="E81" s="1"/>
      <c r="F81" s="1"/>
      <c r="G81" s="1"/>
      <c r="H81" s="1">
        <v>80</v>
      </c>
      <c r="I81" s="1"/>
      <c r="J81" s="1"/>
      <c r="K81" s="1"/>
      <c r="L81" s="1"/>
      <c r="M81" s="1"/>
      <c r="N81" s="1">
        <v>80</v>
      </c>
      <c r="O81" s="1"/>
      <c r="P81" s="1"/>
      <c r="Q81" s="1"/>
      <c r="R81" s="1"/>
      <c r="S81" s="1"/>
      <c r="T81" s="1">
        <v>80</v>
      </c>
      <c r="U81" s="2">
        <v>40997</v>
      </c>
      <c r="V81" s="1"/>
      <c r="W81" s="1"/>
      <c r="X81" s="1"/>
      <c r="Y81" s="1"/>
      <c r="Z81" s="1"/>
      <c r="AA81" s="1">
        <v>80</v>
      </c>
      <c r="AB81" s="1"/>
      <c r="AC81" s="6">
        <v>0</v>
      </c>
      <c r="AD81" s="1"/>
      <c r="AE81" s="1"/>
      <c r="AF81" s="1"/>
      <c r="AG81" s="1">
        <v>80</v>
      </c>
      <c r="AH81" s="2">
        <v>40997</v>
      </c>
      <c r="AI81" s="6">
        <v>0</v>
      </c>
      <c r="AJ81" s="6">
        <v>0</v>
      </c>
      <c r="AK81" s="1"/>
      <c r="AL81" s="1"/>
      <c r="AM81" s="1"/>
    </row>
    <row r="82" spans="1:39">
      <c r="A82" s="1">
        <v>81</v>
      </c>
      <c r="B82" s="2">
        <v>40998</v>
      </c>
      <c r="C82" s="1"/>
      <c r="D82" s="1"/>
      <c r="E82" s="1"/>
      <c r="F82" s="1"/>
      <c r="G82" s="1">
        <f>-0.356806991+1.5</f>
        <v>1.143193009</v>
      </c>
      <c r="H82" s="1">
        <v>81</v>
      </c>
      <c r="I82" s="1"/>
      <c r="J82" s="1"/>
      <c r="K82" s="1"/>
      <c r="L82" s="1"/>
      <c r="M82" s="1"/>
      <c r="N82" s="1">
        <v>81</v>
      </c>
      <c r="O82" s="1"/>
      <c r="P82" s="1"/>
      <c r="Q82" s="1"/>
      <c r="R82" s="1"/>
      <c r="S82" s="1"/>
      <c r="T82" s="1">
        <v>81</v>
      </c>
      <c r="U82" s="2">
        <v>40998</v>
      </c>
      <c r="V82" s="1"/>
      <c r="W82" s="1"/>
      <c r="X82" s="1"/>
      <c r="Y82" s="1"/>
      <c r="Z82" s="1"/>
      <c r="AA82" s="1">
        <v>81</v>
      </c>
      <c r="AB82" s="1">
        <v>0</v>
      </c>
      <c r="AC82" s="1"/>
      <c r="AD82" s="1">
        <v>0</v>
      </c>
      <c r="AE82" s="1">
        <v>0</v>
      </c>
      <c r="AF82" s="1">
        <f>-0.299582735+1.5</f>
        <v>1.200417265</v>
      </c>
      <c r="AG82" s="1">
        <v>81</v>
      </c>
      <c r="AH82" s="2">
        <v>40998</v>
      </c>
      <c r="AI82" s="1"/>
      <c r="AJ82" s="1"/>
      <c r="AK82" s="1">
        <f>-0.587304308+1.5</f>
        <v>0.912695692</v>
      </c>
      <c r="AL82" s="1"/>
      <c r="AM82" s="1"/>
    </row>
    <row r="83" spans="1:39">
      <c r="A83" s="1">
        <v>82</v>
      </c>
      <c r="B83" s="2">
        <v>40999</v>
      </c>
      <c r="C83" s="1"/>
      <c r="D83" s="1"/>
      <c r="E83" s="1"/>
      <c r="F83" s="1"/>
      <c r="G83" s="1"/>
      <c r="H83" s="1">
        <v>82</v>
      </c>
      <c r="I83" s="1"/>
      <c r="J83" s="1"/>
      <c r="K83" s="1"/>
      <c r="L83" s="1"/>
      <c r="M83" s="1"/>
      <c r="N83" s="1">
        <v>82</v>
      </c>
      <c r="O83" s="1"/>
      <c r="P83" s="1"/>
      <c r="Q83" s="1"/>
      <c r="R83" s="1"/>
      <c r="S83" s="1"/>
      <c r="T83" s="1">
        <v>82</v>
      </c>
      <c r="U83" s="2">
        <v>40999</v>
      </c>
      <c r="V83" s="1"/>
      <c r="W83" s="1"/>
      <c r="X83" s="1"/>
      <c r="Y83" s="1"/>
      <c r="Z83" s="1"/>
      <c r="AA83" s="1">
        <v>82</v>
      </c>
      <c r="AB83" s="1"/>
      <c r="AC83" s="1"/>
      <c r="AD83" s="1"/>
      <c r="AE83" s="1"/>
      <c r="AF83" s="1"/>
      <c r="AG83" s="1">
        <v>82</v>
      </c>
      <c r="AH83" s="2">
        <v>40999</v>
      </c>
      <c r="AI83" s="1"/>
      <c r="AJ83" s="1"/>
      <c r="AK83" s="1"/>
      <c r="AL83" s="1"/>
      <c r="AM83" s="1"/>
    </row>
    <row r="84" spans="1:39">
      <c r="A84" s="1">
        <v>83</v>
      </c>
      <c r="B84" s="2">
        <v>41000</v>
      </c>
      <c r="C84" s="1"/>
      <c r="D84" s="1"/>
      <c r="E84" s="1"/>
      <c r="F84" s="1"/>
      <c r="G84" s="1"/>
      <c r="H84" s="1">
        <v>83</v>
      </c>
      <c r="I84" s="1"/>
      <c r="J84" s="1"/>
      <c r="K84" s="1"/>
      <c r="L84" s="1"/>
      <c r="M84" s="1"/>
      <c r="N84" s="1">
        <v>83</v>
      </c>
      <c r="O84" s="1"/>
      <c r="P84" s="1"/>
      <c r="Q84" s="1"/>
      <c r="R84" s="1"/>
      <c r="S84" s="1"/>
      <c r="T84" s="1">
        <v>83</v>
      </c>
      <c r="U84" s="2">
        <v>41000</v>
      </c>
      <c r="V84" s="1"/>
      <c r="W84" s="1"/>
      <c r="X84" s="1"/>
      <c r="Y84" s="1"/>
      <c r="Z84" s="1"/>
      <c r="AA84" s="1">
        <v>83</v>
      </c>
      <c r="AB84" s="1"/>
      <c r="AC84" s="1"/>
      <c r="AD84" s="1"/>
      <c r="AE84" s="1"/>
      <c r="AF84" s="1"/>
      <c r="AG84" s="1">
        <v>83</v>
      </c>
      <c r="AH84" s="2">
        <v>41000</v>
      </c>
      <c r="AI84" s="1"/>
      <c r="AJ84" s="1"/>
      <c r="AK84" s="1"/>
      <c r="AL84" s="1"/>
      <c r="AM84" s="1"/>
    </row>
    <row r="85" spans="1:39">
      <c r="A85" s="1">
        <v>84</v>
      </c>
      <c r="B85" s="2">
        <v>41001</v>
      </c>
      <c r="C85" s="1"/>
      <c r="D85" s="1"/>
      <c r="E85" s="1"/>
      <c r="F85" s="1"/>
      <c r="G85" s="1">
        <v>0</v>
      </c>
      <c r="H85" s="1">
        <v>84</v>
      </c>
      <c r="I85" s="1"/>
      <c r="J85" s="1"/>
      <c r="K85" s="1"/>
      <c r="L85" s="1"/>
      <c r="M85" s="1"/>
      <c r="N85" s="1">
        <v>84</v>
      </c>
      <c r="O85" s="1"/>
      <c r="P85" s="1"/>
      <c r="Q85" s="1"/>
      <c r="R85" s="1"/>
      <c r="S85" s="1"/>
      <c r="T85" s="1">
        <v>84</v>
      </c>
      <c r="U85" s="2">
        <v>41001</v>
      </c>
      <c r="V85" s="1"/>
      <c r="W85" s="1"/>
      <c r="X85" s="1"/>
      <c r="Y85" s="1"/>
      <c r="Z85" s="1"/>
      <c r="AA85" s="1">
        <v>84</v>
      </c>
      <c r="AB85" s="1">
        <v>0</v>
      </c>
      <c r="AC85" s="1"/>
      <c r="AD85" s="1">
        <v>0</v>
      </c>
      <c r="AE85" s="1">
        <v>0</v>
      </c>
      <c r="AF85" s="1">
        <v>0</v>
      </c>
      <c r="AG85" s="1">
        <v>84</v>
      </c>
      <c r="AH85" s="2">
        <v>41001</v>
      </c>
      <c r="AI85" s="1"/>
      <c r="AJ85" s="1"/>
      <c r="AK85" s="1">
        <f>-0.501157589+1.5</f>
        <v>0.99884241100000004</v>
      </c>
      <c r="AL85" s="1"/>
      <c r="AM85" s="1"/>
    </row>
    <row r="86" spans="1:39">
      <c r="A86" s="1">
        <v>85</v>
      </c>
      <c r="B86" s="2">
        <v>41002</v>
      </c>
      <c r="C86" s="1"/>
      <c r="D86" s="1"/>
      <c r="E86" s="1"/>
      <c r="F86" s="1"/>
      <c r="G86" s="1"/>
      <c r="H86" s="1">
        <v>85</v>
      </c>
      <c r="I86" s="1"/>
      <c r="J86" s="1"/>
      <c r="K86" s="1"/>
      <c r="L86" s="1"/>
      <c r="M86" s="1"/>
      <c r="N86" s="1">
        <v>85</v>
      </c>
      <c r="O86" s="1"/>
      <c r="P86" s="1"/>
      <c r="Q86" s="1"/>
      <c r="R86" s="1"/>
      <c r="S86" s="1"/>
      <c r="T86" s="1">
        <v>85</v>
      </c>
      <c r="U86" s="2">
        <v>41002</v>
      </c>
      <c r="V86" s="1"/>
      <c r="W86" s="1"/>
      <c r="X86" s="1"/>
      <c r="Y86" s="1"/>
      <c r="Z86" s="1"/>
      <c r="AA86" s="1">
        <v>85</v>
      </c>
      <c r="AB86" s="1"/>
      <c r="AC86" s="1"/>
      <c r="AD86" s="1"/>
      <c r="AE86" s="1"/>
      <c r="AF86" s="1"/>
      <c r="AG86" s="1">
        <v>85</v>
      </c>
      <c r="AH86" s="2">
        <v>41002</v>
      </c>
      <c r="AI86" s="1"/>
      <c r="AJ86" s="1"/>
      <c r="AK86" s="1"/>
      <c r="AL86" s="1"/>
      <c r="AM86" s="1"/>
    </row>
    <row r="87" spans="1:39">
      <c r="A87" s="1">
        <v>86</v>
      </c>
      <c r="B87" s="2">
        <v>41003</v>
      </c>
      <c r="C87" s="1"/>
      <c r="D87" s="1"/>
      <c r="E87" s="1"/>
      <c r="F87" s="1"/>
      <c r="G87" s="1">
        <v>0</v>
      </c>
      <c r="H87" s="1">
        <v>86</v>
      </c>
      <c r="I87" s="1"/>
      <c r="J87" s="1"/>
      <c r="K87" s="1"/>
      <c r="L87" s="1"/>
      <c r="M87" s="1"/>
      <c r="N87" s="1">
        <v>86</v>
      </c>
      <c r="O87" s="1"/>
      <c r="P87" s="1"/>
      <c r="Q87" s="1"/>
      <c r="R87" s="1"/>
      <c r="S87" s="1"/>
      <c r="T87" s="1">
        <v>86</v>
      </c>
      <c r="U87" s="2">
        <v>41003</v>
      </c>
      <c r="V87" s="1"/>
      <c r="W87" s="1"/>
      <c r="X87" s="1"/>
      <c r="Y87" s="1"/>
      <c r="Z87" s="1"/>
      <c r="AA87" s="1">
        <v>86</v>
      </c>
      <c r="AB87" s="1">
        <v>0</v>
      </c>
      <c r="AC87" s="1"/>
      <c r="AD87" s="1">
        <v>0</v>
      </c>
      <c r="AE87" s="1">
        <v>0</v>
      </c>
      <c r="AF87" s="1">
        <v>0</v>
      </c>
      <c r="AG87" s="1">
        <v>86</v>
      </c>
      <c r="AH87" s="2">
        <v>41003</v>
      </c>
      <c r="AI87" s="1"/>
      <c r="AJ87" s="1"/>
      <c r="AK87" s="1">
        <f>-1.031601117+1.5</f>
        <v>0.4683988830000001</v>
      </c>
      <c r="AL87" s="1"/>
      <c r="AM87" s="1"/>
    </row>
    <row r="88" spans="1:39">
      <c r="A88" s="1">
        <v>87</v>
      </c>
      <c r="B88" s="2">
        <v>41004</v>
      </c>
      <c r="C88" s="1"/>
      <c r="D88" s="1"/>
      <c r="E88" s="1"/>
      <c r="F88" s="1"/>
      <c r="G88" s="1"/>
      <c r="H88" s="1">
        <v>87</v>
      </c>
      <c r="I88" s="1"/>
      <c r="J88" s="1"/>
      <c r="K88" s="1"/>
      <c r="L88" s="1"/>
      <c r="M88" s="1"/>
      <c r="N88" s="1">
        <v>87</v>
      </c>
      <c r="O88" s="1"/>
      <c r="P88" s="1"/>
      <c r="Q88" s="1"/>
      <c r="R88" s="1"/>
      <c r="S88" s="1"/>
      <c r="T88" s="1">
        <v>87</v>
      </c>
      <c r="U88" s="2">
        <v>41004</v>
      </c>
      <c r="V88" s="1"/>
      <c r="W88" s="1"/>
      <c r="X88" s="1"/>
      <c r="Y88" s="1"/>
      <c r="Z88" s="1"/>
      <c r="AA88" s="1">
        <v>87</v>
      </c>
      <c r="AB88" s="1"/>
      <c r="AC88" s="1"/>
      <c r="AD88" s="1"/>
      <c r="AE88" s="1"/>
      <c r="AF88" s="1"/>
      <c r="AG88" s="1">
        <v>87</v>
      </c>
      <c r="AH88" s="2">
        <v>41004</v>
      </c>
      <c r="AI88" s="1"/>
      <c r="AJ88" s="1"/>
      <c r="AK88" s="1"/>
      <c r="AL88" s="1"/>
      <c r="AM88" s="1"/>
    </row>
    <row r="89" spans="1:39">
      <c r="A89" s="1">
        <v>88</v>
      </c>
      <c r="B89" s="2">
        <v>41005</v>
      </c>
      <c r="C89" s="1"/>
      <c r="D89" s="1"/>
      <c r="E89" s="1"/>
      <c r="F89" s="1"/>
      <c r="G89" s="1">
        <v>0</v>
      </c>
      <c r="H89" s="1">
        <v>88</v>
      </c>
      <c r="I89" s="1"/>
      <c r="J89" s="1"/>
      <c r="K89" s="1"/>
      <c r="L89" s="1"/>
      <c r="M89" s="1"/>
      <c r="N89" s="1">
        <v>88</v>
      </c>
      <c r="O89" s="1"/>
      <c r="P89" s="1"/>
      <c r="Q89" s="1"/>
      <c r="R89" s="1"/>
      <c r="S89" s="1"/>
      <c r="T89" s="1">
        <v>88</v>
      </c>
      <c r="U89" s="2">
        <v>41005</v>
      </c>
      <c r="V89" s="1"/>
      <c r="W89" s="1"/>
      <c r="X89" s="1"/>
      <c r="Y89" s="1"/>
      <c r="Z89" s="1"/>
      <c r="AA89" s="1">
        <v>88</v>
      </c>
      <c r="AB89" s="1">
        <f>-0.701463485+1.5</f>
        <v>0.798536515</v>
      </c>
      <c r="AC89" s="1"/>
      <c r="AD89" s="1">
        <v>0</v>
      </c>
      <c r="AE89" s="1">
        <v>0</v>
      </c>
      <c r="AF89" s="1">
        <v>0</v>
      </c>
      <c r="AG89" s="1">
        <v>88</v>
      </c>
      <c r="AH89" s="2">
        <v>41005</v>
      </c>
      <c r="AI89" s="1"/>
      <c r="AJ89" s="1"/>
      <c r="AK89" s="1">
        <f>1.379827608+1.5</f>
        <v>2.8798276080000003</v>
      </c>
      <c r="AL89" s="1"/>
      <c r="AM89" s="1"/>
    </row>
    <row r="90" spans="1:39">
      <c r="A90" s="1">
        <v>89</v>
      </c>
      <c r="B90" s="2">
        <v>41006</v>
      </c>
      <c r="C90" s="1"/>
      <c r="D90" s="1"/>
      <c r="E90" s="1"/>
      <c r="F90" s="1"/>
      <c r="G90" s="1"/>
      <c r="H90" s="1">
        <v>89</v>
      </c>
      <c r="I90" s="1"/>
      <c r="J90" s="1"/>
      <c r="K90" s="1"/>
      <c r="L90" s="1"/>
      <c r="M90" s="1"/>
      <c r="N90" s="1">
        <v>89</v>
      </c>
      <c r="O90" s="1"/>
      <c r="P90" s="1"/>
      <c r="Q90" s="1"/>
      <c r="R90" s="1"/>
      <c r="S90" s="1"/>
      <c r="T90" s="1">
        <v>89</v>
      </c>
      <c r="U90" s="2">
        <v>41006</v>
      </c>
      <c r="V90" s="1"/>
      <c r="W90" s="1"/>
      <c r="X90" s="1"/>
      <c r="Y90" s="1"/>
      <c r="Z90" s="1"/>
      <c r="AA90" s="1">
        <v>89</v>
      </c>
      <c r="AB90" s="1"/>
      <c r="AC90" s="1"/>
      <c r="AD90" s="1"/>
      <c r="AE90" s="1"/>
      <c r="AF90" s="1"/>
      <c r="AG90" s="1">
        <v>89</v>
      </c>
      <c r="AH90" s="2">
        <v>41006</v>
      </c>
      <c r="AI90" s="1"/>
      <c r="AJ90" s="1"/>
      <c r="AK90" s="1"/>
      <c r="AL90" s="1">
        <f>3.84308432+1.5</f>
        <v>5.34308432</v>
      </c>
      <c r="AM90" s="1">
        <f>6.633902416+1.5</f>
        <v>8.1339024159999997</v>
      </c>
    </row>
    <row r="91" spans="1:39">
      <c r="A91" s="1">
        <v>90</v>
      </c>
      <c r="B91" s="2">
        <v>41007</v>
      </c>
      <c r="C91" s="1"/>
      <c r="D91" s="1"/>
      <c r="E91" s="1"/>
      <c r="F91" s="1"/>
      <c r="G91" s="1"/>
      <c r="H91" s="1">
        <v>90</v>
      </c>
      <c r="I91" s="1"/>
      <c r="J91" s="1"/>
      <c r="K91" s="1"/>
      <c r="L91" s="1"/>
      <c r="M91" s="1"/>
      <c r="N91" s="1">
        <v>90</v>
      </c>
      <c r="O91" s="1"/>
      <c r="P91" s="1"/>
      <c r="Q91" s="1"/>
      <c r="R91" s="1"/>
      <c r="S91" s="1"/>
      <c r="T91" s="1">
        <v>90</v>
      </c>
      <c r="U91" s="2">
        <v>41007</v>
      </c>
      <c r="V91" s="1"/>
      <c r="W91" s="1"/>
      <c r="X91" s="1"/>
      <c r="Y91" s="1"/>
      <c r="Z91" s="1"/>
      <c r="AA91" s="1">
        <v>90</v>
      </c>
      <c r="AB91" s="1"/>
      <c r="AC91" s="1"/>
      <c r="AD91" s="1"/>
      <c r="AE91" s="1"/>
      <c r="AF91" s="1"/>
      <c r="AG91" s="1">
        <v>90</v>
      </c>
      <c r="AH91" s="2">
        <v>41007</v>
      </c>
      <c r="AI91" s="1"/>
      <c r="AJ91" s="1"/>
      <c r="AK91" s="1"/>
      <c r="AL91" s="1"/>
      <c r="AM91" s="1"/>
    </row>
    <row r="92" spans="1:39">
      <c r="A92" s="1">
        <v>91</v>
      </c>
      <c r="B92" s="2">
        <v>41008</v>
      </c>
      <c r="C92" s="1"/>
      <c r="D92" s="1"/>
      <c r="E92" s="1"/>
      <c r="F92" s="1"/>
      <c r="G92" s="1">
        <f>-1.442480768+1.5</f>
        <v>5.7519231999999976E-2</v>
      </c>
      <c r="H92" s="1">
        <v>91</v>
      </c>
      <c r="I92" s="1"/>
      <c r="J92" s="1"/>
      <c r="K92" s="1"/>
      <c r="L92" s="1"/>
      <c r="M92" s="1"/>
      <c r="N92" s="1">
        <v>91</v>
      </c>
      <c r="O92" s="1"/>
      <c r="P92" s="1"/>
      <c r="Q92" s="1"/>
      <c r="R92" s="1"/>
      <c r="S92" s="1"/>
      <c r="T92" s="1">
        <v>91</v>
      </c>
      <c r="U92" s="2">
        <v>41008</v>
      </c>
      <c r="V92" s="1"/>
      <c r="W92" s="1"/>
      <c r="X92" s="1"/>
      <c r="Y92" s="1"/>
      <c r="Z92" s="1"/>
      <c r="AA92" s="1">
        <v>91</v>
      </c>
      <c r="AB92" s="1">
        <f>-1.030789168+1.5</f>
        <v>0.46921083199999991</v>
      </c>
      <c r="AC92" s="1"/>
      <c r="AD92" s="1">
        <v>0</v>
      </c>
      <c r="AE92" s="1">
        <f>-1.030789168+1.5</f>
        <v>0.46921083199999991</v>
      </c>
      <c r="AF92" s="1">
        <v>0</v>
      </c>
      <c r="AG92" s="1">
        <v>91</v>
      </c>
      <c r="AH92" s="2">
        <v>41008</v>
      </c>
      <c r="AI92" s="1"/>
      <c r="AJ92" s="1"/>
      <c r="AK92" s="1">
        <f>1.63715065+1.5</f>
        <v>3.1371506499999997</v>
      </c>
      <c r="AL92" s="1">
        <f>-0.218409042+1.5</f>
        <v>1.281590958</v>
      </c>
      <c r="AM92" s="1">
        <f>6.136610534+1.5</f>
        <v>7.6366105339999999</v>
      </c>
    </row>
    <row r="93" spans="1:39">
      <c r="A93" s="1">
        <v>92</v>
      </c>
      <c r="B93" s="2">
        <v>41009</v>
      </c>
      <c r="C93" s="1"/>
      <c r="D93" s="1"/>
      <c r="E93" s="1"/>
      <c r="F93" s="1"/>
      <c r="G93" s="1"/>
      <c r="H93" s="1">
        <v>92</v>
      </c>
      <c r="I93" s="1"/>
      <c r="J93" s="1"/>
      <c r="K93" s="1"/>
      <c r="L93" s="1"/>
      <c r="M93" s="1"/>
      <c r="N93" s="1">
        <v>92</v>
      </c>
      <c r="O93" s="1"/>
      <c r="P93" s="1"/>
      <c r="Q93" s="1"/>
      <c r="R93" s="1"/>
      <c r="S93" s="1"/>
      <c r="T93" s="1">
        <v>92</v>
      </c>
      <c r="U93" s="2">
        <v>41009</v>
      </c>
      <c r="V93" s="1"/>
      <c r="W93" s="1"/>
      <c r="X93" s="1"/>
      <c r="Y93" s="1"/>
      <c r="Z93" s="1"/>
      <c r="AA93" s="1">
        <v>92</v>
      </c>
      <c r="AB93" s="1"/>
      <c r="AC93" s="1"/>
      <c r="AD93" s="6">
        <v>0</v>
      </c>
      <c r="AE93" s="6">
        <v>0</v>
      </c>
      <c r="AF93" s="6">
        <v>0</v>
      </c>
      <c r="AG93" s="1">
        <v>92</v>
      </c>
      <c r="AH93" s="2">
        <v>41009</v>
      </c>
      <c r="AI93" s="1"/>
      <c r="AJ93" s="1"/>
      <c r="AK93" s="1"/>
      <c r="AL93" s="1"/>
      <c r="AM93" s="1"/>
    </row>
    <row r="94" spans="1:39">
      <c r="A94" s="1">
        <v>93</v>
      </c>
      <c r="B94" s="2">
        <v>41010</v>
      </c>
      <c r="C94" s="1"/>
      <c r="D94" s="1"/>
      <c r="E94" s="1"/>
      <c r="F94" s="1"/>
      <c r="G94" s="1">
        <f>0.379829981+1.5</f>
        <v>1.8798299809999999</v>
      </c>
      <c r="H94" s="1">
        <v>93</v>
      </c>
      <c r="I94" s="1"/>
      <c r="J94" s="1"/>
      <c r="K94" s="1"/>
      <c r="L94" s="1"/>
      <c r="M94" s="1"/>
      <c r="N94" s="1">
        <v>93</v>
      </c>
      <c r="O94" s="1"/>
      <c r="P94" s="1"/>
      <c r="Q94" s="1"/>
      <c r="R94" s="1"/>
      <c r="S94" s="1"/>
      <c r="T94" s="1">
        <v>93</v>
      </c>
      <c r="U94" s="2">
        <v>41010</v>
      </c>
      <c r="V94" s="1"/>
      <c r="W94" s="1"/>
      <c r="X94" s="1"/>
      <c r="Y94" s="1"/>
      <c r="Z94" s="1"/>
      <c r="AA94" s="1">
        <v>93</v>
      </c>
      <c r="AB94" s="1">
        <f>0.563782969+1.5</f>
        <v>2.063782969</v>
      </c>
      <c r="AC94" s="1"/>
      <c r="AD94" s="1"/>
      <c r="AE94" s="1"/>
      <c r="AF94" s="1"/>
      <c r="AG94" s="1">
        <v>93</v>
      </c>
      <c r="AH94" s="2">
        <v>41010</v>
      </c>
      <c r="AI94" s="1"/>
      <c r="AJ94" s="1"/>
      <c r="AK94" s="1">
        <f>2.455613581+1.5</f>
        <v>3.9556135810000002</v>
      </c>
      <c r="AL94" s="1">
        <f>-0.959567772+1.5</f>
        <v>0.54043222800000001</v>
      </c>
      <c r="AM94" s="1">
        <f>3.62988806+1.5</f>
        <v>5.1298880599999999</v>
      </c>
    </row>
    <row r="95" spans="1:39">
      <c r="A95" s="1">
        <v>94</v>
      </c>
      <c r="B95" s="2">
        <v>41011</v>
      </c>
      <c r="C95" s="1"/>
      <c r="D95" s="1"/>
      <c r="E95" s="1"/>
      <c r="F95" s="1"/>
      <c r="G95" s="1"/>
      <c r="H95" s="1">
        <v>94</v>
      </c>
      <c r="I95" s="1"/>
      <c r="J95" s="1"/>
      <c r="K95" s="1"/>
      <c r="L95" s="1"/>
      <c r="M95" s="1"/>
      <c r="N95" s="1">
        <v>94</v>
      </c>
      <c r="O95" s="1"/>
      <c r="P95" s="1"/>
      <c r="Q95" s="1"/>
      <c r="R95" s="1"/>
      <c r="S95" s="1"/>
      <c r="T95" s="1">
        <v>94</v>
      </c>
      <c r="U95" s="2">
        <v>41011</v>
      </c>
      <c r="V95" s="1"/>
      <c r="W95" s="1"/>
      <c r="X95" s="1"/>
      <c r="Y95" s="1"/>
      <c r="Z95" s="1"/>
      <c r="AA95" s="1">
        <v>94</v>
      </c>
      <c r="AB95" s="1"/>
      <c r="AC95" s="1"/>
      <c r="AD95" s="1"/>
      <c r="AE95" s="1"/>
      <c r="AF95" s="1"/>
      <c r="AG95" s="1">
        <v>94</v>
      </c>
      <c r="AH95" s="2">
        <v>41011</v>
      </c>
      <c r="AI95" s="1"/>
      <c r="AJ95" s="1"/>
      <c r="AK95" s="1"/>
      <c r="AL95" s="1"/>
      <c r="AM95" s="1"/>
    </row>
    <row r="96" spans="1:39">
      <c r="A96" s="1">
        <v>95</v>
      </c>
      <c r="B96" s="2">
        <v>41012</v>
      </c>
      <c r="C96" s="1"/>
      <c r="D96" s="1"/>
      <c r="E96" s="1"/>
      <c r="F96" s="1"/>
      <c r="G96" s="1">
        <v>0</v>
      </c>
      <c r="H96" s="1">
        <v>95</v>
      </c>
      <c r="I96" s="1"/>
      <c r="J96" s="1"/>
      <c r="K96" s="1"/>
      <c r="L96" s="1"/>
      <c r="M96" s="1"/>
      <c r="N96" s="1">
        <v>95</v>
      </c>
      <c r="O96" s="1"/>
      <c r="P96" s="1"/>
      <c r="Q96" s="1"/>
      <c r="R96" s="1"/>
      <c r="S96" s="1"/>
      <c r="T96" s="1">
        <v>95</v>
      </c>
      <c r="U96" s="2">
        <v>41012</v>
      </c>
      <c r="V96" s="1"/>
      <c r="W96" s="1"/>
      <c r="X96" s="1"/>
      <c r="Y96" s="1"/>
      <c r="Z96" s="1"/>
      <c r="AA96" s="1">
        <v>95</v>
      </c>
      <c r="AB96" s="1">
        <f>-0.620168932+1.5</f>
        <v>0.87983106799999999</v>
      </c>
      <c r="AC96" s="1"/>
      <c r="AD96" s="1"/>
      <c r="AE96" s="1"/>
      <c r="AF96" s="1"/>
      <c r="AG96" s="1">
        <v>95</v>
      </c>
      <c r="AH96" s="2">
        <v>41012</v>
      </c>
      <c r="AI96" s="1"/>
      <c r="AJ96" s="1"/>
      <c r="AK96" s="1">
        <f>3.868148943+1.5</f>
        <v>5.3681489429999996</v>
      </c>
      <c r="AL96" s="1">
        <v>0</v>
      </c>
      <c r="AM96" s="1">
        <f>2.630725623+1.5</f>
        <v>4.130725623</v>
      </c>
    </row>
    <row r="97" spans="1:39">
      <c r="A97" s="1">
        <v>96</v>
      </c>
      <c r="B97" s="2">
        <v>41013</v>
      </c>
      <c r="C97" s="1"/>
      <c r="D97" s="1"/>
      <c r="E97" s="1"/>
      <c r="F97" s="1"/>
      <c r="G97" s="1"/>
      <c r="H97" s="1">
        <v>96</v>
      </c>
      <c r="I97" s="1"/>
      <c r="J97" s="1"/>
      <c r="K97" s="1"/>
      <c r="L97" s="1"/>
      <c r="M97" s="1"/>
      <c r="N97" s="1">
        <v>96</v>
      </c>
      <c r="O97" s="1">
        <f>-1.442480768+1.5</f>
        <v>5.7519231999999976E-2</v>
      </c>
      <c r="P97" s="1">
        <f>-1.221841511+1.5</f>
        <v>0.27815848899999995</v>
      </c>
      <c r="Q97" s="1">
        <f>-0.645520839+1.5</f>
        <v>0.85447916099999999</v>
      </c>
      <c r="R97" s="1">
        <f>1.894908161+1.5</f>
        <v>3.394908161</v>
      </c>
      <c r="S97" s="1">
        <f>6.253914494+1.5</f>
        <v>7.753914494</v>
      </c>
      <c r="T97" s="1">
        <v>96</v>
      </c>
      <c r="U97" s="2">
        <v>41013</v>
      </c>
      <c r="V97" s="1"/>
      <c r="W97" s="1"/>
      <c r="X97" s="1"/>
      <c r="Y97" s="1"/>
      <c r="Z97" s="1"/>
      <c r="AA97" s="1">
        <v>96</v>
      </c>
      <c r="AB97" s="1"/>
      <c r="AC97" s="1"/>
      <c r="AD97" s="1"/>
      <c r="AE97" s="1"/>
      <c r="AF97" s="1"/>
      <c r="AG97" s="1">
        <v>96</v>
      </c>
      <c r="AH97" s="2">
        <v>41013</v>
      </c>
      <c r="AI97" s="1"/>
      <c r="AJ97" s="1"/>
      <c r="AK97" s="1"/>
      <c r="AL97" s="1"/>
      <c r="AM97" s="1"/>
    </row>
    <row r="98" spans="1:39">
      <c r="A98" s="1">
        <v>97</v>
      </c>
      <c r="B98" s="2">
        <v>41014</v>
      </c>
      <c r="C98" s="1"/>
      <c r="D98" s="1"/>
      <c r="E98" s="1"/>
      <c r="F98" s="1"/>
      <c r="G98" s="1"/>
      <c r="H98" s="1">
        <v>97</v>
      </c>
      <c r="I98" s="1"/>
      <c r="J98" s="1"/>
      <c r="K98" s="1"/>
      <c r="L98" s="1"/>
      <c r="M98" s="1"/>
      <c r="N98" s="1">
        <v>97</v>
      </c>
      <c r="O98" s="1"/>
      <c r="P98" s="1"/>
      <c r="Q98" s="1"/>
      <c r="R98" s="1"/>
      <c r="S98" s="1"/>
      <c r="T98" s="1">
        <v>97</v>
      </c>
      <c r="U98" s="2">
        <v>41014</v>
      </c>
      <c r="V98" s="1"/>
      <c r="W98" s="1"/>
      <c r="X98" s="1"/>
      <c r="Y98" s="1"/>
      <c r="Z98" s="1"/>
      <c r="AA98" s="1">
        <v>97</v>
      </c>
      <c r="AB98" s="1"/>
      <c r="AC98" s="1"/>
      <c r="AD98" s="1"/>
      <c r="AE98" s="1"/>
      <c r="AF98" s="1"/>
      <c r="AG98" s="1">
        <v>97</v>
      </c>
      <c r="AH98" s="2">
        <v>41014</v>
      </c>
      <c r="AI98" s="1"/>
      <c r="AJ98" s="1"/>
      <c r="AK98" s="1"/>
      <c r="AL98" s="1"/>
      <c r="AM98" s="1"/>
    </row>
    <row r="99" spans="1:39">
      <c r="A99" s="1">
        <v>98</v>
      </c>
      <c r="B99" s="2">
        <v>41015</v>
      </c>
      <c r="C99" s="1"/>
      <c r="D99" s="1"/>
      <c r="E99" s="1"/>
      <c r="F99" s="1"/>
      <c r="G99" s="1">
        <f>0.869666501+1.5</f>
        <v>2.3696665010000002</v>
      </c>
      <c r="H99" s="1">
        <v>98</v>
      </c>
      <c r="I99" s="1"/>
      <c r="J99" s="1"/>
      <c r="K99" s="1"/>
      <c r="L99" s="1"/>
      <c r="M99" s="1"/>
      <c r="N99" s="1">
        <v>98</v>
      </c>
      <c r="O99" s="1">
        <f>0.37983162+1.5</f>
        <v>1.87983162</v>
      </c>
      <c r="P99" s="1">
        <v>0</v>
      </c>
      <c r="Q99" s="1">
        <f>-1.442480768+1.5</f>
        <v>5.7519231999999976E-2</v>
      </c>
      <c r="R99" s="1">
        <f>-1.442480768+1.5</f>
        <v>5.7519231999999976E-2</v>
      </c>
      <c r="S99" s="1">
        <f>3.969599701+1.5</f>
        <v>5.4695997009999999</v>
      </c>
      <c r="T99" s="1">
        <v>98</v>
      </c>
      <c r="U99" s="2">
        <v>41015</v>
      </c>
      <c r="V99" s="1"/>
      <c r="W99" s="1"/>
      <c r="X99" s="1"/>
      <c r="Y99" s="1"/>
      <c r="Z99" s="1"/>
      <c r="AA99" s="1">
        <v>98</v>
      </c>
      <c r="AB99" s="1">
        <f>1.969789739+1.5</f>
        <v>3.4697897390000003</v>
      </c>
      <c r="AC99" s="1"/>
      <c r="AD99" s="1"/>
      <c r="AE99" s="1"/>
      <c r="AF99" s="1"/>
      <c r="AG99" s="1">
        <v>98</v>
      </c>
      <c r="AH99" s="2">
        <v>41015</v>
      </c>
      <c r="AI99" s="1"/>
      <c r="AJ99" s="1"/>
      <c r="AK99" s="1">
        <f>2.379829369+1.5</f>
        <v>3.8798293689999999</v>
      </c>
      <c r="AL99" s="1">
        <v>0</v>
      </c>
      <c r="AM99" s="1">
        <f>-0.561019622+1.5</f>
        <v>0.938980378</v>
      </c>
    </row>
    <row r="100" spans="1:39">
      <c r="A100" s="1">
        <v>99</v>
      </c>
      <c r="B100" s="2">
        <v>41016</v>
      </c>
      <c r="C100" s="1"/>
      <c r="D100" s="1"/>
      <c r="E100" s="1"/>
      <c r="F100" s="1"/>
      <c r="G100" s="1"/>
      <c r="H100" s="1">
        <v>99</v>
      </c>
      <c r="I100" s="1"/>
      <c r="J100" s="1"/>
      <c r="K100" s="1"/>
      <c r="L100" s="1"/>
      <c r="M100" s="1"/>
      <c r="N100" s="1">
        <v>99</v>
      </c>
      <c r="O100" s="1"/>
      <c r="P100" s="1"/>
      <c r="Q100" s="1"/>
      <c r="R100" s="1"/>
      <c r="S100" s="1"/>
      <c r="T100" s="1">
        <v>99</v>
      </c>
      <c r="U100" s="2">
        <v>41016</v>
      </c>
      <c r="V100" s="1"/>
      <c r="W100" s="1"/>
      <c r="X100" s="1"/>
      <c r="Y100" s="1"/>
      <c r="Z100" s="1"/>
      <c r="AA100" s="1">
        <v>99</v>
      </c>
      <c r="AB100" s="1"/>
      <c r="AC100" s="1"/>
      <c r="AD100" s="1"/>
      <c r="AE100" s="1"/>
      <c r="AF100" s="1"/>
      <c r="AG100" s="1">
        <v>99</v>
      </c>
      <c r="AH100" s="2">
        <v>41016</v>
      </c>
      <c r="AI100" s="1"/>
      <c r="AJ100" s="1"/>
      <c r="AK100" s="1"/>
      <c r="AL100" s="1"/>
      <c r="AM100" s="1"/>
    </row>
    <row r="101" spans="1:39">
      <c r="A101" s="1">
        <v>100</v>
      </c>
      <c r="B101" s="2">
        <v>41017</v>
      </c>
      <c r="C101" s="1"/>
      <c r="D101" s="1"/>
      <c r="E101" s="1"/>
      <c r="F101" s="1"/>
      <c r="G101" s="1">
        <v>0</v>
      </c>
      <c r="H101" s="1">
        <v>100</v>
      </c>
      <c r="I101" s="1"/>
      <c r="J101" s="1"/>
      <c r="K101" s="1"/>
      <c r="L101" s="1"/>
      <c r="M101" s="1"/>
      <c r="N101" s="1">
        <v>100</v>
      </c>
      <c r="O101" s="1">
        <v>0</v>
      </c>
      <c r="P101" s="1">
        <v>0</v>
      </c>
      <c r="Q101" s="1">
        <f>-0.844548571+1.5</f>
        <v>0.65545142899999997</v>
      </c>
      <c r="R101" s="1">
        <v>0</v>
      </c>
      <c r="S101" s="1">
        <f>2.379829887+1.5</f>
        <v>3.8798298870000001</v>
      </c>
      <c r="T101" s="1">
        <v>100</v>
      </c>
      <c r="U101" s="2">
        <v>41017</v>
      </c>
      <c r="V101" s="1"/>
      <c r="W101" s="1"/>
      <c r="X101" s="1"/>
      <c r="Y101" s="1"/>
      <c r="Z101" s="1"/>
      <c r="AA101" s="1">
        <v>100</v>
      </c>
      <c r="AB101" s="1">
        <f>-0.544375634+1.5</f>
        <v>0.955624366</v>
      </c>
      <c r="AC101" s="1"/>
      <c r="AD101" s="1"/>
      <c r="AE101" s="1"/>
      <c r="AF101" s="1"/>
      <c r="AG101" s="1">
        <v>100</v>
      </c>
      <c r="AH101" s="2">
        <v>41017</v>
      </c>
      <c r="AI101" s="1"/>
      <c r="AJ101" s="1"/>
      <c r="AK101" s="1">
        <f>2.379823694+1.5</f>
        <v>3.8798236940000002</v>
      </c>
      <c r="AL101" s="1">
        <v>0</v>
      </c>
      <c r="AM101" s="1">
        <f>2.969675368+1.5</f>
        <v>4.4696753679999999</v>
      </c>
    </row>
    <row r="102" spans="1:39">
      <c r="A102" s="1">
        <v>101</v>
      </c>
      <c r="B102" s="2">
        <v>41018</v>
      </c>
      <c r="C102" s="1"/>
      <c r="D102" s="1"/>
      <c r="E102" s="1"/>
      <c r="F102" s="1"/>
      <c r="G102" s="1"/>
      <c r="H102" s="1">
        <v>101</v>
      </c>
      <c r="I102" s="1"/>
      <c r="J102" s="1"/>
      <c r="K102" s="1"/>
      <c r="L102" s="1"/>
      <c r="M102" s="1"/>
      <c r="N102" s="1">
        <v>101</v>
      </c>
      <c r="O102" s="1"/>
      <c r="P102" s="1"/>
      <c r="Q102" s="1"/>
      <c r="R102" s="1"/>
      <c r="S102" s="1"/>
      <c r="T102" s="1">
        <v>101</v>
      </c>
      <c r="U102" s="2">
        <v>41018</v>
      </c>
      <c r="V102" s="1"/>
      <c r="W102" s="1"/>
      <c r="X102" s="1"/>
      <c r="Y102" s="1"/>
      <c r="Z102" s="1"/>
      <c r="AA102" s="1">
        <v>101</v>
      </c>
      <c r="AB102" s="1"/>
      <c r="AC102" s="1"/>
      <c r="AD102" s="1"/>
      <c r="AE102" s="1"/>
      <c r="AF102" s="1"/>
      <c r="AG102" s="1">
        <v>101</v>
      </c>
      <c r="AH102" s="2">
        <v>41018</v>
      </c>
      <c r="AI102" s="1"/>
      <c r="AJ102" s="1"/>
      <c r="AK102" s="1"/>
      <c r="AL102" s="1"/>
      <c r="AM102" s="1"/>
    </row>
    <row r="103" spans="1:39">
      <c r="A103" s="1">
        <v>102</v>
      </c>
      <c r="B103" s="2">
        <v>41019</v>
      </c>
      <c r="C103" s="1"/>
      <c r="D103" s="1"/>
      <c r="E103" s="1"/>
      <c r="F103" s="1"/>
      <c r="G103" s="6">
        <f>-1.44248068+1.5</f>
        <v>5.7519319999999929E-2</v>
      </c>
      <c r="H103" s="1">
        <v>102</v>
      </c>
      <c r="I103" s="1"/>
      <c r="J103" s="1"/>
      <c r="K103" s="1"/>
      <c r="L103" s="1"/>
      <c r="M103" s="1"/>
      <c r="N103" s="1">
        <v>102</v>
      </c>
      <c r="O103" s="1">
        <v>0</v>
      </c>
      <c r="P103" s="1">
        <v>0</v>
      </c>
      <c r="Q103" s="1">
        <v>0</v>
      </c>
      <c r="R103" s="1">
        <v>0</v>
      </c>
      <c r="S103" s="1">
        <f>0.719648521+1.5</f>
        <v>2.2196485209999999</v>
      </c>
      <c r="T103" s="1">
        <v>102</v>
      </c>
      <c r="U103" s="2">
        <v>41019</v>
      </c>
      <c r="V103" s="1"/>
      <c r="W103" s="1"/>
      <c r="X103" s="1"/>
      <c r="Y103" s="1"/>
      <c r="Z103" s="1"/>
      <c r="AA103" s="1">
        <v>102</v>
      </c>
      <c r="AB103" s="1">
        <v>0</v>
      </c>
      <c r="AC103" s="1"/>
      <c r="AD103" s="1"/>
      <c r="AE103" s="1"/>
      <c r="AF103" s="1"/>
      <c r="AG103" s="1">
        <v>102</v>
      </c>
      <c r="AH103" s="2">
        <v>41019</v>
      </c>
      <c r="AI103" s="1"/>
      <c r="AJ103" s="1"/>
      <c r="AK103" s="1">
        <f>2.969778788+1.5</f>
        <v>4.4697787880000002</v>
      </c>
      <c r="AL103" s="6">
        <v>0</v>
      </c>
      <c r="AM103" s="1">
        <f>-1.141186193+1.5</f>
        <v>0.35881380699999998</v>
      </c>
    </row>
    <row r="104" spans="1:39">
      <c r="A104" s="1">
        <v>103</v>
      </c>
      <c r="B104" s="2">
        <v>41020</v>
      </c>
      <c r="C104" s="1"/>
      <c r="D104" s="1"/>
      <c r="E104" s="1"/>
      <c r="F104" s="1"/>
      <c r="G104" s="1"/>
      <c r="H104" s="1">
        <v>103</v>
      </c>
      <c r="I104" s="1"/>
      <c r="J104" s="1"/>
      <c r="K104" s="1"/>
      <c r="L104" s="1"/>
      <c r="M104" s="1"/>
      <c r="N104" s="1">
        <v>103</v>
      </c>
      <c r="O104" s="1"/>
      <c r="P104" s="1"/>
      <c r="Q104" s="1"/>
      <c r="R104" s="1"/>
      <c r="S104" s="1"/>
      <c r="T104" s="1">
        <v>103</v>
      </c>
      <c r="U104" s="2">
        <v>41020</v>
      </c>
      <c r="V104" s="1"/>
      <c r="W104" s="1"/>
      <c r="X104" s="1"/>
      <c r="Y104" s="1"/>
      <c r="Z104" s="1"/>
      <c r="AA104" s="1">
        <v>103</v>
      </c>
      <c r="AB104" s="1"/>
      <c r="AC104" s="1"/>
      <c r="AD104" s="1"/>
      <c r="AE104" s="1"/>
      <c r="AF104" s="1"/>
      <c r="AG104" s="1">
        <v>103</v>
      </c>
      <c r="AH104" s="2">
        <v>41020</v>
      </c>
      <c r="AI104" s="1"/>
      <c r="AJ104" s="1"/>
      <c r="AK104" s="1"/>
      <c r="AL104" s="1"/>
      <c r="AM104" s="1"/>
    </row>
    <row r="105" spans="1:39">
      <c r="A105" s="1">
        <v>104</v>
      </c>
      <c r="B105" s="2">
        <v>41021</v>
      </c>
      <c r="C105" s="1"/>
      <c r="D105" s="1"/>
      <c r="E105" s="1"/>
      <c r="F105" s="1"/>
      <c r="G105" s="1"/>
      <c r="H105" s="1">
        <v>104</v>
      </c>
      <c r="I105" s="1"/>
      <c r="J105" s="1"/>
      <c r="K105" s="1"/>
      <c r="L105" s="1"/>
      <c r="M105" s="1"/>
      <c r="N105" s="1">
        <v>104</v>
      </c>
      <c r="O105" s="1"/>
      <c r="P105" s="1"/>
      <c r="Q105" s="1"/>
      <c r="R105" s="1"/>
      <c r="S105" s="1"/>
      <c r="T105" s="1">
        <v>104</v>
      </c>
      <c r="U105" s="2">
        <v>41021</v>
      </c>
      <c r="V105" s="1"/>
      <c r="W105" s="1"/>
      <c r="X105" s="1"/>
      <c r="Y105" s="1"/>
      <c r="Z105" s="1"/>
      <c r="AA105" s="1">
        <v>104</v>
      </c>
      <c r="AB105" s="1"/>
      <c r="AC105" s="1"/>
      <c r="AD105" s="1"/>
      <c r="AE105" s="1"/>
      <c r="AF105" s="1"/>
      <c r="AG105" s="1">
        <v>104</v>
      </c>
      <c r="AH105" s="2">
        <v>41021</v>
      </c>
      <c r="AI105" s="1"/>
      <c r="AJ105" s="1"/>
      <c r="AK105" s="1"/>
      <c r="AL105" s="1"/>
      <c r="AM105" s="1"/>
    </row>
    <row r="106" spans="1:39">
      <c r="A106" s="1">
        <v>105</v>
      </c>
      <c r="B106" s="2">
        <v>41022</v>
      </c>
      <c r="C106" s="1"/>
      <c r="D106" s="1"/>
      <c r="E106" s="1"/>
      <c r="F106" s="1"/>
      <c r="G106" s="1"/>
      <c r="H106" s="1">
        <v>105</v>
      </c>
      <c r="I106" s="1"/>
      <c r="J106" s="1"/>
      <c r="K106" s="1"/>
      <c r="L106" s="1"/>
      <c r="M106" s="1"/>
      <c r="N106" s="1">
        <v>105</v>
      </c>
      <c r="O106" s="1">
        <v>0</v>
      </c>
      <c r="P106" s="1">
        <v>0</v>
      </c>
      <c r="Q106" s="1">
        <v>0</v>
      </c>
      <c r="R106" s="1">
        <v>0</v>
      </c>
      <c r="S106" s="1">
        <f>1.969788044+1.5</f>
        <v>3.469788044</v>
      </c>
      <c r="T106" s="1">
        <v>105</v>
      </c>
      <c r="U106" s="2">
        <v>41022</v>
      </c>
      <c r="V106" s="1"/>
      <c r="W106" s="1"/>
      <c r="X106" s="1"/>
      <c r="Y106" s="1"/>
      <c r="Z106" s="1"/>
      <c r="AA106" s="1">
        <v>105</v>
      </c>
      <c r="AB106" s="1">
        <v>0</v>
      </c>
      <c r="AC106" s="1"/>
      <c r="AD106" s="1"/>
      <c r="AE106" s="1"/>
      <c r="AF106" s="1"/>
      <c r="AG106" s="1">
        <v>105</v>
      </c>
      <c r="AH106" s="2">
        <v>41022</v>
      </c>
      <c r="AI106" s="1"/>
      <c r="AJ106" s="1"/>
      <c r="AK106" s="1">
        <f>3.379383495+1.5</f>
        <v>4.8793834949999999</v>
      </c>
      <c r="AL106" s="1"/>
      <c r="AM106" s="1">
        <v>0</v>
      </c>
    </row>
    <row r="107" spans="1:39">
      <c r="A107" s="1">
        <v>106</v>
      </c>
      <c r="B107" s="2">
        <v>41023</v>
      </c>
      <c r="C107" s="1"/>
      <c r="D107" s="1"/>
      <c r="E107" s="1"/>
      <c r="F107" s="1"/>
      <c r="G107" s="1"/>
      <c r="H107" s="1">
        <v>106</v>
      </c>
      <c r="I107" s="1"/>
      <c r="J107" s="1"/>
      <c r="K107" s="1"/>
      <c r="L107" s="1"/>
      <c r="M107" s="1"/>
      <c r="N107" s="1">
        <v>106</v>
      </c>
      <c r="O107" s="1"/>
      <c r="P107" s="1"/>
      <c r="Q107" s="1"/>
      <c r="R107" s="1"/>
      <c r="S107" s="1"/>
      <c r="T107" s="1">
        <v>106</v>
      </c>
      <c r="U107" s="2">
        <v>41023</v>
      </c>
      <c r="V107" s="1"/>
      <c r="W107" s="1"/>
      <c r="X107" s="1"/>
      <c r="Y107" s="1"/>
      <c r="Z107" s="1"/>
      <c r="AA107" s="1">
        <v>106</v>
      </c>
      <c r="AB107" s="1"/>
      <c r="AC107" s="1"/>
      <c r="AD107" s="1"/>
      <c r="AE107" s="1"/>
      <c r="AF107" s="1"/>
      <c r="AG107" s="1">
        <v>106</v>
      </c>
      <c r="AH107" s="2">
        <v>41023</v>
      </c>
      <c r="AI107" s="1"/>
      <c r="AJ107" s="1"/>
      <c r="AK107" s="1"/>
      <c r="AL107" s="1"/>
      <c r="AM107" s="1"/>
    </row>
    <row r="108" spans="1:39">
      <c r="A108" s="1">
        <v>107</v>
      </c>
      <c r="B108" s="2">
        <v>41024</v>
      </c>
      <c r="C108" s="1"/>
      <c r="D108" s="1"/>
      <c r="E108" s="1"/>
      <c r="F108" s="1"/>
      <c r="G108" s="1"/>
      <c r="H108" s="1">
        <v>107</v>
      </c>
      <c r="I108" s="1"/>
      <c r="J108" s="1"/>
      <c r="K108" s="1"/>
      <c r="L108" s="1"/>
      <c r="M108" s="1"/>
      <c r="N108" s="1">
        <v>107</v>
      </c>
      <c r="O108" s="1">
        <v>0</v>
      </c>
      <c r="P108" s="1">
        <v>0</v>
      </c>
      <c r="Q108" s="1">
        <v>0</v>
      </c>
      <c r="R108" s="1">
        <v>0</v>
      </c>
      <c r="S108" s="1">
        <f>-0.701992329+1.5</f>
        <v>0.79800767100000003</v>
      </c>
      <c r="T108" s="1">
        <v>107</v>
      </c>
      <c r="U108" s="2">
        <v>41024</v>
      </c>
      <c r="V108" s="1"/>
      <c r="W108" s="1"/>
      <c r="X108" s="1"/>
      <c r="Y108" s="1"/>
      <c r="Z108" s="1"/>
      <c r="AA108" s="1">
        <v>107</v>
      </c>
      <c r="AB108" s="1">
        <v>0</v>
      </c>
      <c r="AC108" s="1"/>
      <c r="AD108" s="1"/>
      <c r="AE108" s="1"/>
      <c r="AF108" s="1"/>
      <c r="AG108" s="1">
        <v>107</v>
      </c>
      <c r="AH108" s="2">
        <v>41024</v>
      </c>
      <c r="AI108" s="1"/>
      <c r="AJ108" s="1"/>
      <c r="AK108" s="1">
        <f>3.869410036+1.5</f>
        <v>5.3694100359999997</v>
      </c>
      <c r="AL108" s="1"/>
      <c r="AM108" s="1">
        <v>0</v>
      </c>
    </row>
    <row r="109" spans="1:39">
      <c r="A109" s="1">
        <v>108</v>
      </c>
      <c r="B109" s="2">
        <v>41025</v>
      </c>
      <c r="C109" s="1"/>
      <c r="D109" s="1"/>
      <c r="E109" s="1"/>
      <c r="F109" s="1"/>
      <c r="G109" s="1"/>
      <c r="H109" s="1">
        <v>108</v>
      </c>
      <c r="I109" s="1"/>
      <c r="J109" s="1"/>
      <c r="K109" s="1"/>
      <c r="L109" s="1"/>
      <c r="M109" s="1"/>
      <c r="N109" s="1">
        <v>108</v>
      </c>
      <c r="O109" s="1"/>
      <c r="P109" s="1"/>
      <c r="Q109" s="1"/>
      <c r="R109" s="1"/>
      <c r="S109" s="1"/>
      <c r="T109" s="1">
        <v>108</v>
      </c>
      <c r="U109" s="2">
        <v>41025</v>
      </c>
      <c r="V109" s="1"/>
      <c r="W109" s="1"/>
      <c r="X109" s="1"/>
      <c r="Y109" s="1"/>
      <c r="Z109" s="1"/>
      <c r="AA109" s="1">
        <v>108</v>
      </c>
      <c r="AB109" s="1"/>
      <c r="AC109" s="1"/>
      <c r="AD109" s="1"/>
      <c r="AE109" s="1"/>
      <c r="AF109" s="1"/>
      <c r="AG109" s="1">
        <v>108</v>
      </c>
      <c r="AH109" s="2">
        <v>41025</v>
      </c>
      <c r="AI109" s="1"/>
      <c r="AJ109" s="1"/>
      <c r="AK109" s="1"/>
      <c r="AL109" s="1"/>
      <c r="AM109" s="1"/>
    </row>
    <row r="110" spans="1:39">
      <c r="A110" s="1">
        <v>109</v>
      </c>
      <c r="B110" s="2">
        <v>41026</v>
      </c>
      <c r="C110" s="1"/>
      <c r="D110" s="1"/>
      <c r="E110" s="1"/>
      <c r="F110" s="1"/>
      <c r="G110" s="1"/>
      <c r="H110" s="1">
        <v>109</v>
      </c>
      <c r="I110" s="1"/>
      <c r="J110" s="1"/>
      <c r="K110" s="1"/>
      <c r="L110" s="1"/>
      <c r="M110" s="1"/>
      <c r="N110" s="1">
        <v>109</v>
      </c>
      <c r="O110" s="1">
        <v>0</v>
      </c>
      <c r="P110" s="1">
        <v>0</v>
      </c>
      <c r="Q110" s="1">
        <v>0</v>
      </c>
      <c r="R110" s="1">
        <v>0</v>
      </c>
      <c r="S110" s="1">
        <f>-0.544042639+1.5</f>
        <v>0.95595736099999995</v>
      </c>
      <c r="T110" s="1">
        <v>109</v>
      </c>
      <c r="U110" s="2">
        <v>41026</v>
      </c>
      <c r="V110" s="1"/>
      <c r="W110" s="1"/>
      <c r="X110" s="1"/>
      <c r="Y110" s="1"/>
      <c r="Z110" s="1"/>
      <c r="AA110" s="1">
        <v>109</v>
      </c>
      <c r="AB110" s="1">
        <v>0</v>
      </c>
      <c r="AC110" s="1"/>
      <c r="AD110" s="1"/>
      <c r="AE110" s="1"/>
      <c r="AF110" s="1"/>
      <c r="AG110" s="1">
        <v>109</v>
      </c>
      <c r="AH110" s="2">
        <v>41026</v>
      </c>
      <c r="AI110" s="1"/>
      <c r="AJ110" s="1"/>
      <c r="AK110" s="1">
        <f>2.630716793+1.5</f>
        <v>4.1307167929999995</v>
      </c>
      <c r="AL110" s="1"/>
      <c r="AM110" s="1">
        <v>0</v>
      </c>
    </row>
    <row r="111" spans="1:39">
      <c r="A111" s="1">
        <v>110</v>
      </c>
      <c r="B111" s="2">
        <v>41027</v>
      </c>
      <c r="C111" s="1"/>
      <c r="D111" s="1"/>
      <c r="E111" s="1"/>
      <c r="F111" s="1"/>
      <c r="G111" s="1"/>
      <c r="H111" s="1">
        <v>110</v>
      </c>
      <c r="I111" s="1"/>
      <c r="J111" s="1"/>
      <c r="K111" s="1"/>
      <c r="L111" s="1"/>
      <c r="M111" s="1"/>
      <c r="N111" s="1">
        <v>110</v>
      </c>
      <c r="O111" s="1"/>
      <c r="P111" s="1"/>
      <c r="Q111" s="1"/>
      <c r="R111" s="1"/>
      <c r="S111" s="1"/>
      <c r="T111" s="1">
        <v>110</v>
      </c>
      <c r="U111" s="2">
        <v>41027</v>
      </c>
      <c r="V111" s="1"/>
      <c r="W111" s="1"/>
      <c r="X111" s="1"/>
      <c r="Y111" s="1"/>
      <c r="Z111" s="1"/>
      <c r="AA111" s="1">
        <v>110</v>
      </c>
      <c r="AB111" s="1"/>
      <c r="AC111" s="1"/>
      <c r="AD111" s="1"/>
      <c r="AE111" s="1"/>
      <c r="AF111" s="1"/>
      <c r="AG111" s="1">
        <v>110</v>
      </c>
      <c r="AH111" s="2">
        <v>41027</v>
      </c>
      <c r="AI111" s="1"/>
      <c r="AJ111" s="1"/>
      <c r="AK111" s="1"/>
      <c r="AL111" s="1"/>
      <c r="AM111" s="1"/>
    </row>
    <row r="112" spans="1:39">
      <c r="A112" s="1">
        <v>111</v>
      </c>
      <c r="B112" s="2">
        <v>41028</v>
      </c>
      <c r="C112" s="1"/>
      <c r="D112" s="1"/>
      <c r="E112" s="1"/>
      <c r="F112" s="1"/>
      <c r="G112" s="1"/>
      <c r="H112" s="1">
        <v>111</v>
      </c>
      <c r="I112" s="1"/>
      <c r="J112" s="1"/>
      <c r="K112" s="1"/>
      <c r="L112" s="1"/>
      <c r="M112" s="1"/>
      <c r="N112" s="1">
        <v>111</v>
      </c>
      <c r="O112" s="1"/>
      <c r="P112" s="1"/>
      <c r="Q112" s="1"/>
      <c r="R112" s="1"/>
      <c r="S112" s="1"/>
      <c r="T112" s="1">
        <v>111</v>
      </c>
      <c r="U112" s="2">
        <v>41028</v>
      </c>
      <c r="V112" s="1"/>
      <c r="W112" s="1"/>
      <c r="X112" s="1"/>
      <c r="Y112" s="1"/>
      <c r="Z112" s="1"/>
      <c r="AA112" s="1">
        <v>111</v>
      </c>
      <c r="AB112" s="1"/>
      <c r="AC112" s="1"/>
      <c r="AD112" s="1"/>
      <c r="AE112" s="1"/>
      <c r="AF112" s="1"/>
      <c r="AG112" s="1">
        <v>111</v>
      </c>
      <c r="AH112" s="2">
        <v>41028</v>
      </c>
      <c r="AI112" s="1"/>
      <c r="AJ112" s="1"/>
      <c r="AK112" s="1"/>
      <c r="AL112" s="1"/>
      <c r="AM112" s="1"/>
    </row>
    <row r="113" spans="1:39">
      <c r="A113" s="1">
        <v>112</v>
      </c>
      <c r="B113" s="2">
        <v>41029</v>
      </c>
      <c r="C113" s="1"/>
      <c r="D113" s="1"/>
      <c r="E113" s="1"/>
      <c r="F113" s="1"/>
      <c r="G113" s="1"/>
      <c r="H113" s="1">
        <v>112</v>
      </c>
      <c r="I113" s="1"/>
      <c r="J113" s="1"/>
      <c r="K113" s="1"/>
      <c r="L113" s="1"/>
      <c r="M113" s="1"/>
      <c r="N113" s="1">
        <v>112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112</v>
      </c>
      <c r="U113" s="2">
        <v>41029</v>
      </c>
      <c r="V113" s="1"/>
      <c r="W113" s="1"/>
      <c r="X113" s="1"/>
      <c r="Y113" s="1"/>
      <c r="Z113" s="1"/>
      <c r="AA113" s="1">
        <v>112</v>
      </c>
      <c r="AB113" s="1">
        <v>0</v>
      </c>
      <c r="AC113" s="1"/>
      <c r="AD113" s="1"/>
      <c r="AE113" s="1"/>
      <c r="AF113" s="1"/>
      <c r="AG113" s="1">
        <v>112</v>
      </c>
      <c r="AH113" s="2">
        <v>41029</v>
      </c>
      <c r="AI113" s="1"/>
      <c r="AJ113" s="1"/>
      <c r="AK113" s="1">
        <f>3.379657803+1.5</f>
        <v>4.8796578030000006</v>
      </c>
      <c r="AL113" s="1"/>
      <c r="AM113" s="1">
        <v>0</v>
      </c>
    </row>
    <row r="114" spans="1:39">
      <c r="A114" s="1">
        <v>113</v>
      </c>
      <c r="B114" s="2">
        <v>41030</v>
      </c>
      <c r="C114" s="1"/>
      <c r="D114" s="1"/>
      <c r="E114" s="1"/>
      <c r="F114" s="1"/>
      <c r="G114" s="1"/>
      <c r="H114" s="1">
        <v>113</v>
      </c>
      <c r="I114" s="1"/>
      <c r="J114" s="1"/>
      <c r="K114" s="1"/>
      <c r="L114" s="1"/>
      <c r="M114" s="1"/>
      <c r="N114" s="1">
        <v>113</v>
      </c>
      <c r="O114" s="6">
        <v>0</v>
      </c>
      <c r="P114" s="1"/>
      <c r="Q114" s="6">
        <v>0</v>
      </c>
      <c r="R114" s="6">
        <v>0</v>
      </c>
      <c r="S114" s="1"/>
      <c r="T114" s="1">
        <v>113</v>
      </c>
      <c r="U114" s="2">
        <v>41030</v>
      </c>
      <c r="V114" s="1"/>
      <c r="W114" s="1"/>
      <c r="X114" s="1"/>
      <c r="Y114" s="1"/>
      <c r="Z114" s="1"/>
      <c r="AA114" s="1">
        <v>113</v>
      </c>
      <c r="AB114" s="6">
        <v>0</v>
      </c>
      <c r="AC114" s="1"/>
      <c r="AD114" s="1"/>
      <c r="AE114" s="1"/>
      <c r="AF114" s="1"/>
      <c r="AG114" s="1">
        <v>113</v>
      </c>
      <c r="AH114" s="2">
        <v>41030</v>
      </c>
      <c r="AI114" s="1"/>
      <c r="AJ114" s="1"/>
      <c r="AK114" s="1"/>
      <c r="AL114" s="1"/>
      <c r="AM114" s="1"/>
    </row>
    <row r="115" spans="1:39">
      <c r="A115" s="1">
        <v>114</v>
      </c>
      <c r="B115" s="2">
        <v>41031</v>
      </c>
      <c r="C115" s="1"/>
      <c r="D115" s="1"/>
      <c r="E115" s="1"/>
      <c r="F115" s="1"/>
      <c r="G115" s="1"/>
      <c r="H115" s="1">
        <v>114</v>
      </c>
      <c r="I115" s="1"/>
      <c r="J115" s="1"/>
      <c r="K115" s="1"/>
      <c r="L115" s="1"/>
      <c r="M115" s="1"/>
      <c r="N115" s="1">
        <v>114</v>
      </c>
      <c r="O115" s="1"/>
      <c r="P115" s="1">
        <v>0</v>
      </c>
      <c r="Q115" s="1"/>
      <c r="R115" s="1"/>
      <c r="S115" s="1">
        <f>-1.208035811+1.5</f>
        <v>0.29196418899999999</v>
      </c>
      <c r="T115" s="1">
        <v>114</v>
      </c>
      <c r="U115" s="2">
        <v>41031</v>
      </c>
      <c r="V115" s="1"/>
      <c r="W115" s="1"/>
      <c r="X115" s="1"/>
      <c r="Y115" s="1"/>
      <c r="Z115" s="1"/>
      <c r="AA115" s="1">
        <v>114</v>
      </c>
      <c r="AB115" s="1"/>
      <c r="AC115" s="1"/>
      <c r="AD115" s="1"/>
      <c r="AE115" s="1"/>
      <c r="AF115" s="1"/>
      <c r="AG115" s="1">
        <v>114</v>
      </c>
      <c r="AH115" s="2">
        <v>41031</v>
      </c>
      <c r="AI115" s="1"/>
      <c r="AJ115" s="1"/>
      <c r="AK115" s="1">
        <f>1.630715065+1.5</f>
        <v>3.130715065</v>
      </c>
      <c r="AL115" s="1"/>
      <c r="AM115" s="1">
        <v>0</v>
      </c>
    </row>
    <row r="116" spans="1:39">
      <c r="A116" s="1">
        <v>115</v>
      </c>
      <c r="B116" s="2">
        <v>41032</v>
      </c>
      <c r="C116" s="1"/>
      <c r="D116" s="1"/>
      <c r="E116" s="1"/>
      <c r="F116" s="1"/>
      <c r="G116" s="1"/>
      <c r="H116" s="1">
        <v>115</v>
      </c>
      <c r="I116" s="1"/>
      <c r="J116" s="1"/>
      <c r="K116" s="1"/>
      <c r="L116" s="1"/>
      <c r="M116" s="1"/>
      <c r="N116" s="1">
        <v>115</v>
      </c>
      <c r="O116" s="1"/>
      <c r="P116" s="1"/>
      <c r="Q116" s="1"/>
      <c r="R116" s="1"/>
      <c r="S116" s="1"/>
      <c r="T116" s="1">
        <v>115</v>
      </c>
      <c r="U116" s="2">
        <v>41032</v>
      </c>
      <c r="V116" s="1"/>
      <c r="W116" s="1"/>
      <c r="X116" s="1"/>
      <c r="Y116" s="1"/>
      <c r="Z116" s="1"/>
      <c r="AA116" s="1">
        <v>115</v>
      </c>
      <c r="AB116" s="1"/>
      <c r="AC116" s="1"/>
      <c r="AD116" s="1"/>
      <c r="AE116" s="1"/>
      <c r="AF116" s="1"/>
      <c r="AG116" s="1">
        <v>115</v>
      </c>
      <c r="AH116" s="2">
        <v>41032</v>
      </c>
      <c r="AI116" s="1"/>
      <c r="AJ116" s="1"/>
      <c r="AK116" s="1"/>
      <c r="AL116" s="1"/>
      <c r="AM116" s="1"/>
    </row>
    <row r="117" spans="1:39">
      <c r="A117" s="1">
        <v>116</v>
      </c>
      <c r="B117" s="2">
        <v>41033</v>
      </c>
      <c r="C117" s="1"/>
      <c r="D117" s="1"/>
      <c r="E117" s="1"/>
      <c r="F117" s="1"/>
      <c r="G117" s="1"/>
      <c r="H117" s="1">
        <v>116</v>
      </c>
      <c r="I117" s="1"/>
      <c r="J117" s="1"/>
      <c r="K117" s="1"/>
      <c r="L117" s="1"/>
      <c r="M117" s="1"/>
      <c r="N117" s="1">
        <v>116</v>
      </c>
      <c r="O117" s="1"/>
      <c r="P117" s="1">
        <v>0</v>
      </c>
      <c r="Q117" s="1"/>
      <c r="R117" s="1"/>
      <c r="S117" s="1">
        <v>0</v>
      </c>
      <c r="T117" s="1">
        <v>116</v>
      </c>
      <c r="U117" s="2">
        <v>41033</v>
      </c>
      <c r="V117" s="1"/>
      <c r="W117" s="1"/>
      <c r="X117" s="1"/>
      <c r="Y117" s="1"/>
      <c r="Z117" s="1"/>
      <c r="AA117" s="1">
        <v>116</v>
      </c>
      <c r="AB117" s="1"/>
      <c r="AC117" s="1"/>
      <c r="AD117" s="1"/>
      <c r="AE117" s="1"/>
      <c r="AF117" s="1"/>
      <c r="AG117" s="1">
        <v>116</v>
      </c>
      <c r="AH117" s="2">
        <v>41033</v>
      </c>
      <c r="AI117" s="1"/>
      <c r="AJ117" s="1"/>
      <c r="AK117" s="1">
        <f>0.969789981+1.5</f>
        <v>2.4697899809999999</v>
      </c>
      <c r="AL117" s="1"/>
      <c r="AM117" s="1">
        <v>0</v>
      </c>
    </row>
    <row r="118" spans="1:39">
      <c r="A118" s="1">
        <v>117</v>
      </c>
      <c r="B118" s="2">
        <v>41034</v>
      </c>
      <c r="C118" s="1"/>
      <c r="D118" s="1"/>
      <c r="E118" s="1"/>
      <c r="F118" s="1"/>
      <c r="G118" s="1"/>
      <c r="H118" s="1">
        <v>117</v>
      </c>
      <c r="I118" s="1"/>
      <c r="J118" s="1"/>
      <c r="K118" s="1"/>
      <c r="L118" s="1"/>
      <c r="M118" s="1"/>
      <c r="N118" s="1">
        <v>117</v>
      </c>
      <c r="O118" s="1"/>
      <c r="P118" s="1"/>
      <c r="Q118" s="1"/>
      <c r="R118" s="1"/>
      <c r="S118" s="1"/>
      <c r="T118" s="1">
        <v>117</v>
      </c>
      <c r="U118" s="2">
        <v>41034</v>
      </c>
      <c r="V118" s="1"/>
      <c r="W118" s="1"/>
      <c r="X118" s="1"/>
      <c r="Y118" s="1"/>
      <c r="Z118" s="1"/>
      <c r="AA118" s="1">
        <v>117</v>
      </c>
      <c r="AB118" s="1"/>
      <c r="AC118" s="1"/>
      <c r="AD118" s="1"/>
      <c r="AE118" s="1"/>
      <c r="AF118" s="1"/>
      <c r="AG118" s="1">
        <v>117</v>
      </c>
      <c r="AH118" s="2">
        <v>41034</v>
      </c>
      <c r="AI118" s="1"/>
      <c r="AJ118" s="1"/>
      <c r="AK118" s="1"/>
      <c r="AL118" s="1"/>
      <c r="AM118" s="1"/>
    </row>
    <row r="119" spans="1:39">
      <c r="A119" s="1">
        <v>118</v>
      </c>
      <c r="B119" s="2">
        <v>41035</v>
      </c>
      <c r="C119" s="1"/>
      <c r="D119" s="1"/>
      <c r="E119" s="1"/>
      <c r="F119" s="1"/>
      <c r="G119" s="1"/>
      <c r="H119" s="1">
        <v>118</v>
      </c>
      <c r="I119" s="1"/>
      <c r="J119" s="1"/>
      <c r="K119" s="1"/>
      <c r="L119" s="1"/>
      <c r="M119" s="1"/>
      <c r="N119" s="1">
        <v>118</v>
      </c>
      <c r="O119" s="1"/>
      <c r="P119" s="1"/>
      <c r="Q119" s="1"/>
      <c r="R119" s="1"/>
      <c r="S119" s="1"/>
      <c r="T119" s="1">
        <v>118</v>
      </c>
      <c r="U119" s="2">
        <v>41035</v>
      </c>
      <c r="V119" s="1"/>
      <c r="W119" s="1"/>
      <c r="X119" s="1"/>
      <c r="Y119" s="1"/>
      <c r="Z119" s="1"/>
      <c r="AA119" s="1">
        <v>118</v>
      </c>
      <c r="AB119" s="1"/>
      <c r="AC119" s="1"/>
      <c r="AD119" s="1"/>
      <c r="AE119" s="1"/>
      <c r="AF119" s="1"/>
      <c r="AG119" s="1">
        <v>118</v>
      </c>
      <c r="AH119" s="2">
        <v>41035</v>
      </c>
      <c r="AI119" s="1"/>
      <c r="AJ119" s="1"/>
      <c r="AK119" s="1"/>
      <c r="AL119" s="1"/>
      <c r="AM119" s="1"/>
    </row>
    <row r="120" spans="1:39">
      <c r="A120" s="1">
        <v>119</v>
      </c>
      <c r="B120" s="2">
        <v>41036</v>
      </c>
      <c r="C120" s="1"/>
      <c r="D120" s="1"/>
      <c r="E120" s="1"/>
      <c r="F120" s="1"/>
      <c r="G120" s="1"/>
      <c r="H120" s="1">
        <v>119</v>
      </c>
      <c r="I120" s="1"/>
      <c r="J120" s="1"/>
      <c r="K120" s="1"/>
      <c r="L120" s="1"/>
      <c r="M120" s="1"/>
      <c r="N120" s="1">
        <v>119</v>
      </c>
      <c r="O120" s="1"/>
      <c r="P120" s="1">
        <v>0</v>
      </c>
      <c r="Q120" s="1"/>
      <c r="R120" s="1"/>
      <c r="S120" s="1">
        <v>0</v>
      </c>
      <c r="T120" s="1">
        <v>119</v>
      </c>
      <c r="U120" s="2">
        <v>41036</v>
      </c>
      <c r="V120" s="1"/>
      <c r="W120" s="1"/>
      <c r="X120" s="1"/>
      <c r="Y120" s="1"/>
      <c r="Z120" s="1"/>
      <c r="AA120" s="1">
        <v>119</v>
      </c>
      <c r="AB120" s="1"/>
      <c r="AC120" s="1"/>
      <c r="AD120" s="1"/>
      <c r="AE120" s="1"/>
      <c r="AF120" s="1"/>
      <c r="AG120" s="1">
        <v>119</v>
      </c>
      <c r="AH120" s="2">
        <v>41036</v>
      </c>
      <c r="AI120" s="1"/>
      <c r="AJ120" s="1"/>
      <c r="AK120" s="1">
        <f>1.969789739+1.6</f>
        <v>3.569789739</v>
      </c>
      <c r="AL120" s="1"/>
      <c r="AM120" s="1">
        <v>0</v>
      </c>
    </row>
    <row r="121" spans="1:39">
      <c r="A121" s="1">
        <v>120</v>
      </c>
      <c r="B121" s="2">
        <v>41037</v>
      </c>
      <c r="C121" s="1"/>
      <c r="D121" s="1"/>
      <c r="E121" s="1"/>
      <c r="F121" s="1"/>
      <c r="G121" s="1"/>
      <c r="H121" s="1">
        <v>120</v>
      </c>
      <c r="I121" s="1"/>
      <c r="J121" s="1"/>
      <c r="K121" s="1"/>
      <c r="L121" s="1"/>
      <c r="M121" s="1"/>
      <c r="N121" s="1">
        <v>120</v>
      </c>
      <c r="O121" s="1"/>
      <c r="P121" s="1"/>
      <c r="Q121" s="1"/>
      <c r="R121" s="1"/>
      <c r="S121" s="1"/>
      <c r="T121" s="1">
        <v>120</v>
      </c>
      <c r="U121" s="2">
        <v>41037</v>
      </c>
      <c r="V121" s="1"/>
      <c r="W121" s="1"/>
      <c r="X121" s="1"/>
      <c r="Y121" s="1"/>
      <c r="Z121" s="1"/>
      <c r="AA121" s="1">
        <v>120</v>
      </c>
      <c r="AB121" s="1"/>
      <c r="AC121" s="1"/>
      <c r="AD121" s="1"/>
      <c r="AE121" s="1"/>
      <c r="AF121" s="1"/>
      <c r="AG121" s="1">
        <v>120</v>
      </c>
      <c r="AH121" s="2">
        <v>41037</v>
      </c>
      <c r="AI121" s="1"/>
      <c r="AJ121" s="1"/>
      <c r="AK121" s="1"/>
      <c r="AL121" s="1"/>
      <c r="AM121" s="1"/>
    </row>
    <row r="122" spans="1:39">
      <c r="A122" s="1">
        <v>121</v>
      </c>
      <c r="B122" s="2">
        <v>41038</v>
      </c>
      <c r="C122" s="1"/>
      <c r="D122" s="1"/>
      <c r="E122" s="1"/>
      <c r="F122" s="1"/>
      <c r="G122" s="1"/>
      <c r="H122" s="1">
        <v>121</v>
      </c>
      <c r="I122" s="1"/>
      <c r="J122" s="1"/>
      <c r="K122" s="1"/>
      <c r="L122" s="1"/>
      <c r="M122" s="1"/>
      <c r="N122" s="1">
        <v>121</v>
      </c>
      <c r="O122" s="1"/>
      <c r="P122" s="1">
        <v>0</v>
      </c>
      <c r="Q122" s="1"/>
      <c r="R122" s="1"/>
      <c r="S122" s="1">
        <v>0</v>
      </c>
      <c r="T122" s="1">
        <v>121</v>
      </c>
      <c r="U122" s="2">
        <v>41038</v>
      </c>
      <c r="V122" s="1"/>
      <c r="W122" s="1"/>
      <c r="X122" s="1"/>
      <c r="Y122" s="1"/>
      <c r="Z122" s="1"/>
      <c r="AA122" s="1">
        <v>121</v>
      </c>
      <c r="AB122" s="1"/>
      <c r="AC122" s="1"/>
      <c r="AD122" s="1"/>
      <c r="AE122" s="1"/>
      <c r="AF122" s="1"/>
      <c r="AG122" s="1">
        <v>121</v>
      </c>
      <c r="AH122" s="2">
        <v>41038</v>
      </c>
      <c r="AI122" s="1"/>
      <c r="AJ122" s="1"/>
      <c r="AK122" s="1">
        <f>-0.49277985+1.6</f>
        <v>1.1072201500000001</v>
      </c>
      <c r="AL122" s="1"/>
      <c r="AM122" s="1">
        <v>0</v>
      </c>
    </row>
    <row r="123" spans="1:39">
      <c r="A123" s="1">
        <v>122</v>
      </c>
      <c r="B123" s="2">
        <v>41039</v>
      </c>
      <c r="C123" s="1"/>
      <c r="D123" s="1"/>
      <c r="E123" s="1"/>
      <c r="F123" s="1"/>
      <c r="G123" s="1"/>
      <c r="H123" s="1">
        <v>122</v>
      </c>
      <c r="I123" s="1"/>
      <c r="J123" s="1"/>
      <c r="K123" s="1"/>
      <c r="L123" s="1"/>
      <c r="M123" s="1"/>
      <c r="N123" s="1">
        <v>122</v>
      </c>
      <c r="O123" s="1"/>
      <c r="P123" s="6">
        <v>0</v>
      </c>
      <c r="Q123" s="1"/>
      <c r="R123" s="1"/>
      <c r="S123" s="1"/>
      <c r="T123" s="1">
        <v>122</v>
      </c>
      <c r="U123" s="2">
        <v>41039</v>
      </c>
      <c r="V123" s="1"/>
      <c r="W123" s="1"/>
      <c r="X123" s="1"/>
      <c r="Y123" s="1"/>
      <c r="Z123" s="1"/>
      <c r="AA123" s="1">
        <v>122</v>
      </c>
      <c r="AB123" s="1"/>
      <c r="AC123" s="1"/>
      <c r="AD123" s="1"/>
      <c r="AE123" s="1"/>
      <c r="AF123" s="1"/>
      <c r="AG123" s="1">
        <v>122</v>
      </c>
      <c r="AH123" s="2">
        <v>41039</v>
      </c>
      <c r="AI123" s="1"/>
      <c r="AJ123" s="1"/>
      <c r="AK123" s="1"/>
      <c r="AL123" s="1"/>
      <c r="AM123" s="6">
        <v>0</v>
      </c>
    </row>
    <row r="124" spans="1:39">
      <c r="A124" s="1">
        <v>123</v>
      </c>
      <c r="B124" s="2">
        <v>41040</v>
      </c>
      <c r="C124" s="1"/>
      <c r="D124" s="1"/>
      <c r="E124" s="1"/>
      <c r="F124" s="1"/>
      <c r="G124" s="1"/>
      <c r="H124" s="1">
        <v>123</v>
      </c>
      <c r="I124" s="1"/>
      <c r="J124" s="1"/>
      <c r="K124" s="1"/>
      <c r="L124" s="1"/>
      <c r="M124" s="1"/>
      <c r="N124" s="1">
        <v>123</v>
      </c>
      <c r="O124" s="1"/>
      <c r="Q124" s="1"/>
      <c r="R124" s="1"/>
      <c r="S124" s="1">
        <v>0</v>
      </c>
      <c r="T124" s="1">
        <v>123</v>
      </c>
      <c r="U124" s="2">
        <v>41040</v>
      </c>
      <c r="V124" s="1"/>
      <c r="W124" s="1"/>
      <c r="X124" s="1"/>
      <c r="Y124" s="1"/>
      <c r="Z124" s="1"/>
      <c r="AA124" s="1">
        <v>123</v>
      </c>
      <c r="AB124" s="1"/>
      <c r="AC124" s="1"/>
      <c r="AD124" s="1"/>
      <c r="AE124" s="1"/>
      <c r="AF124" s="1"/>
      <c r="AG124" s="1">
        <v>123</v>
      </c>
      <c r="AH124" s="2">
        <v>41040</v>
      </c>
      <c r="AI124" s="1"/>
      <c r="AJ124" s="1"/>
      <c r="AK124" s="1">
        <f>1.96978641+1.6</f>
        <v>3.5697864099999999</v>
      </c>
      <c r="AL124" s="1"/>
    </row>
    <row r="125" spans="1:39">
      <c r="A125" s="1">
        <v>124</v>
      </c>
      <c r="B125" s="2">
        <v>41041</v>
      </c>
      <c r="C125" s="1"/>
      <c r="D125" s="1"/>
      <c r="E125" s="1"/>
      <c r="F125" s="1"/>
      <c r="G125" s="1"/>
      <c r="H125" s="1">
        <v>124</v>
      </c>
      <c r="I125" s="1"/>
      <c r="J125" s="1"/>
      <c r="K125" s="1"/>
      <c r="L125" s="1"/>
      <c r="M125" s="1"/>
      <c r="N125" s="1">
        <v>124</v>
      </c>
      <c r="O125" s="1"/>
      <c r="Q125" s="1"/>
      <c r="R125" s="1"/>
      <c r="S125" s="1"/>
      <c r="T125" s="1">
        <v>124</v>
      </c>
      <c r="U125" s="2">
        <v>41041</v>
      </c>
      <c r="V125" s="1"/>
      <c r="W125" s="1"/>
      <c r="X125" s="1"/>
      <c r="Y125" s="1"/>
      <c r="Z125" s="1"/>
      <c r="AA125" s="1">
        <v>124</v>
      </c>
      <c r="AB125" s="1"/>
      <c r="AC125" s="1"/>
      <c r="AD125" s="1"/>
      <c r="AE125" s="1"/>
      <c r="AF125" s="1"/>
      <c r="AG125" s="1">
        <v>124</v>
      </c>
      <c r="AH125" s="2">
        <v>41041</v>
      </c>
      <c r="AI125" s="1"/>
      <c r="AJ125" s="1"/>
      <c r="AK125" s="1"/>
      <c r="AL125" s="1"/>
    </row>
    <row r="126" spans="1:39">
      <c r="A126" s="1">
        <v>125</v>
      </c>
      <c r="B126" s="2">
        <v>41042</v>
      </c>
      <c r="C126" s="1"/>
      <c r="D126" s="1"/>
      <c r="E126" s="1"/>
      <c r="F126" s="1"/>
      <c r="G126" s="1"/>
      <c r="H126" s="1">
        <v>125</v>
      </c>
      <c r="I126" s="1"/>
      <c r="J126" s="1"/>
      <c r="K126" s="1"/>
      <c r="L126" s="1"/>
      <c r="M126" s="1"/>
      <c r="N126" s="1">
        <v>125</v>
      </c>
      <c r="O126" s="1"/>
      <c r="Q126" s="1"/>
      <c r="R126" s="1"/>
      <c r="S126" s="1"/>
      <c r="T126" s="1">
        <v>125</v>
      </c>
      <c r="U126" s="2">
        <v>41042</v>
      </c>
      <c r="V126" s="1"/>
      <c r="W126" s="1"/>
      <c r="X126" s="1"/>
      <c r="Y126" s="1"/>
      <c r="Z126" s="1"/>
      <c r="AA126" s="1">
        <v>125</v>
      </c>
      <c r="AB126" s="1"/>
      <c r="AC126" s="1"/>
      <c r="AD126" s="1"/>
      <c r="AE126" s="1"/>
      <c r="AF126" s="1"/>
      <c r="AG126" s="1">
        <v>125</v>
      </c>
      <c r="AH126" s="2">
        <v>41042</v>
      </c>
      <c r="AI126" s="1"/>
      <c r="AJ126" s="1"/>
      <c r="AK126" s="1"/>
      <c r="AL126" s="1"/>
    </row>
    <row r="127" spans="1:39">
      <c r="A127" s="1">
        <v>126</v>
      </c>
      <c r="B127" s="2">
        <v>41043</v>
      </c>
      <c r="C127" s="1"/>
      <c r="D127" s="1"/>
      <c r="E127" s="1"/>
      <c r="F127" s="1"/>
      <c r="G127" s="1"/>
      <c r="H127" s="1">
        <v>126</v>
      </c>
      <c r="I127" s="1"/>
      <c r="J127" s="1"/>
      <c r="K127" s="1"/>
      <c r="L127" s="1"/>
      <c r="M127" s="1"/>
      <c r="N127" s="1">
        <v>126</v>
      </c>
      <c r="O127" s="1"/>
      <c r="Q127" s="1"/>
      <c r="R127" s="1"/>
      <c r="S127" s="1">
        <v>0</v>
      </c>
      <c r="T127" s="1">
        <v>126</v>
      </c>
      <c r="U127" s="2">
        <v>41043</v>
      </c>
      <c r="V127" s="1"/>
      <c r="W127" s="1"/>
      <c r="X127" s="1"/>
      <c r="Y127" s="1"/>
      <c r="Z127" s="1"/>
      <c r="AA127" s="1">
        <v>126</v>
      </c>
      <c r="AB127" s="1"/>
      <c r="AC127" s="1"/>
      <c r="AD127" s="1"/>
      <c r="AE127" s="1"/>
      <c r="AF127" s="1"/>
      <c r="AG127" s="1">
        <v>126</v>
      </c>
      <c r="AH127" s="2">
        <v>41043</v>
      </c>
      <c r="AI127" s="1"/>
      <c r="AJ127" s="1"/>
      <c r="AK127" s="1">
        <f>-0.417048493+1.6</f>
        <v>1.1829515070000001</v>
      </c>
      <c r="AL127" s="1"/>
    </row>
    <row r="128" spans="1:39">
      <c r="A128" s="1">
        <v>127</v>
      </c>
      <c r="B128" s="2">
        <v>41044</v>
      </c>
      <c r="C128" s="1"/>
      <c r="D128" s="1"/>
      <c r="E128" s="1"/>
      <c r="F128" s="1"/>
      <c r="G128" s="1"/>
      <c r="H128" s="1">
        <v>127</v>
      </c>
      <c r="I128" s="1"/>
      <c r="J128" s="1"/>
      <c r="K128" s="1"/>
      <c r="L128" s="1"/>
      <c r="M128" s="1"/>
      <c r="N128" s="1">
        <v>127</v>
      </c>
      <c r="O128" s="1"/>
      <c r="Q128" s="1"/>
      <c r="R128" s="1"/>
      <c r="S128" s="1"/>
      <c r="T128" s="1">
        <v>127</v>
      </c>
      <c r="U128" s="2">
        <v>41044</v>
      </c>
      <c r="V128" s="1"/>
      <c r="W128" s="1"/>
      <c r="X128" s="1"/>
      <c r="Y128" s="1"/>
      <c r="Z128" s="1"/>
      <c r="AA128" s="1">
        <v>127</v>
      </c>
      <c r="AB128" s="1"/>
      <c r="AC128" s="1"/>
      <c r="AD128" s="1"/>
      <c r="AE128" s="1"/>
      <c r="AF128" s="1"/>
      <c r="AG128" s="1">
        <v>127</v>
      </c>
      <c r="AH128" s="2">
        <v>41044</v>
      </c>
      <c r="AI128" s="1"/>
      <c r="AJ128" s="1"/>
      <c r="AK128" s="1"/>
      <c r="AL128" s="1"/>
    </row>
    <row r="129" spans="1:39">
      <c r="A129" s="1">
        <v>128</v>
      </c>
      <c r="B129" s="2">
        <v>41045</v>
      </c>
      <c r="C129" s="1"/>
      <c r="D129" s="1"/>
      <c r="E129" s="1"/>
      <c r="F129" s="1"/>
      <c r="G129" s="1"/>
      <c r="H129" s="1">
        <v>128</v>
      </c>
      <c r="I129" s="1"/>
      <c r="J129" s="1"/>
      <c r="K129" s="1"/>
      <c r="L129" s="1"/>
      <c r="M129" s="1"/>
      <c r="N129" s="1">
        <v>128</v>
      </c>
      <c r="O129" s="1"/>
      <c r="Q129" s="1"/>
      <c r="R129" s="1"/>
      <c r="S129" s="6">
        <v>0</v>
      </c>
      <c r="T129" s="1">
        <v>128</v>
      </c>
      <c r="U129" s="2">
        <v>41045</v>
      </c>
      <c r="V129" s="1"/>
      <c r="W129" s="1"/>
      <c r="X129" s="1"/>
      <c r="Y129" s="1"/>
      <c r="Z129" s="1"/>
      <c r="AA129" s="1">
        <v>128</v>
      </c>
      <c r="AB129" s="1"/>
      <c r="AC129" s="1"/>
      <c r="AD129" s="1"/>
      <c r="AE129" s="1"/>
      <c r="AF129" s="1"/>
      <c r="AG129" s="1">
        <v>128</v>
      </c>
      <c r="AH129" s="2">
        <v>41045</v>
      </c>
      <c r="AI129" s="1"/>
      <c r="AJ129" s="1"/>
      <c r="AK129" s="1">
        <v>0</v>
      </c>
      <c r="AL129" s="1"/>
    </row>
    <row r="130" spans="1:39">
      <c r="A130" s="1">
        <v>129</v>
      </c>
      <c r="B130" s="2">
        <v>41046</v>
      </c>
      <c r="C130" s="1"/>
      <c r="D130" s="1"/>
      <c r="E130" s="1"/>
      <c r="F130" s="1"/>
      <c r="G130" s="1"/>
      <c r="H130" s="1">
        <v>129</v>
      </c>
      <c r="I130" s="1"/>
      <c r="J130" s="1"/>
      <c r="K130" s="1"/>
      <c r="L130" s="1"/>
      <c r="M130" s="1"/>
      <c r="N130" s="1">
        <v>129</v>
      </c>
      <c r="O130" s="1"/>
      <c r="Q130" s="1"/>
      <c r="R130" s="1"/>
      <c r="S130" s="1"/>
      <c r="T130" s="1">
        <v>129</v>
      </c>
      <c r="U130" s="2">
        <v>41046</v>
      </c>
      <c r="V130" s="1"/>
      <c r="W130" s="1"/>
      <c r="X130" s="1"/>
      <c r="Y130" s="1"/>
      <c r="Z130" s="1"/>
      <c r="AA130" s="1">
        <v>129</v>
      </c>
      <c r="AB130" s="1"/>
      <c r="AC130" s="1"/>
      <c r="AD130" s="1"/>
      <c r="AE130" s="1"/>
      <c r="AF130" s="1"/>
      <c r="AG130" s="1">
        <v>129</v>
      </c>
      <c r="AH130" s="2">
        <v>41046</v>
      </c>
      <c r="AI130" s="1"/>
      <c r="AJ130" s="1"/>
      <c r="AK130" s="1"/>
      <c r="AL130" s="1"/>
    </row>
    <row r="131" spans="1:39">
      <c r="A131" s="1">
        <v>130</v>
      </c>
      <c r="B131" s="2">
        <v>41047</v>
      </c>
      <c r="C131" s="1"/>
      <c r="D131" s="1"/>
      <c r="E131" s="1"/>
      <c r="F131" s="1"/>
      <c r="G131" s="1"/>
      <c r="H131" s="1">
        <v>130</v>
      </c>
      <c r="I131" s="1"/>
      <c r="J131" s="1"/>
      <c r="K131" s="1"/>
      <c r="L131" s="1"/>
      <c r="M131" s="1"/>
      <c r="N131" s="1">
        <v>130</v>
      </c>
      <c r="O131" s="1"/>
      <c r="Q131" s="1"/>
      <c r="R131" s="1"/>
      <c r="S131" s="1"/>
      <c r="T131" s="1">
        <v>130</v>
      </c>
      <c r="U131" s="2">
        <v>41047</v>
      </c>
      <c r="V131" s="1"/>
      <c r="W131" s="1"/>
      <c r="X131" s="1"/>
      <c r="Y131" s="1"/>
      <c r="Z131" s="1"/>
      <c r="AA131" s="1">
        <v>130</v>
      </c>
      <c r="AB131" s="1"/>
      <c r="AC131" s="1"/>
      <c r="AD131" s="1"/>
      <c r="AE131" s="1"/>
      <c r="AF131" s="1"/>
      <c r="AG131" s="1">
        <v>130</v>
      </c>
      <c r="AH131" s="2">
        <v>41047</v>
      </c>
      <c r="AI131" s="1"/>
      <c r="AJ131" s="1"/>
      <c r="AK131" s="1">
        <f>-1.515842576+1.6</f>
        <v>8.4157424000000036E-2</v>
      </c>
      <c r="AL131" s="1"/>
    </row>
    <row r="132" spans="1:39">
      <c r="A132" s="1">
        <v>131</v>
      </c>
      <c r="B132" s="2">
        <v>41048</v>
      </c>
      <c r="C132" s="1"/>
      <c r="D132" s="1"/>
      <c r="E132" s="1"/>
      <c r="F132" s="1"/>
      <c r="G132" s="1"/>
      <c r="H132" s="1">
        <v>131</v>
      </c>
      <c r="I132" s="1"/>
      <c r="J132" s="1"/>
      <c r="K132" s="1"/>
      <c r="L132" s="1"/>
      <c r="M132" s="1"/>
      <c r="N132" s="1">
        <v>131</v>
      </c>
      <c r="O132" s="1"/>
      <c r="Q132" s="1"/>
      <c r="R132" s="1"/>
      <c r="S132" s="1"/>
      <c r="T132" s="1">
        <v>131</v>
      </c>
      <c r="U132" s="2">
        <v>41048</v>
      </c>
      <c r="V132" s="1"/>
      <c r="W132" s="1"/>
      <c r="X132" s="1"/>
      <c r="Y132" s="1"/>
      <c r="Z132" s="1"/>
      <c r="AA132" s="1">
        <v>131</v>
      </c>
      <c r="AB132" s="1"/>
      <c r="AC132" s="1"/>
      <c r="AD132" s="1"/>
      <c r="AE132" s="1"/>
      <c r="AF132" s="1"/>
      <c r="AG132" s="1">
        <v>131</v>
      </c>
      <c r="AH132" s="2">
        <v>41048</v>
      </c>
      <c r="AI132" s="1"/>
      <c r="AJ132" s="1"/>
      <c r="AK132" s="1"/>
      <c r="AL132" s="1"/>
    </row>
    <row r="133" spans="1:39">
      <c r="A133" s="1">
        <v>132</v>
      </c>
      <c r="B133" s="2">
        <v>41049</v>
      </c>
      <c r="C133" s="1"/>
      <c r="D133" s="1"/>
      <c r="E133" s="1"/>
      <c r="F133" s="1"/>
      <c r="G133" s="1"/>
      <c r="H133" s="1">
        <v>132</v>
      </c>
      <c r="I133" s="1"/>
      <c r="J133" s="1"/>
      <c r="K133" s="1"/>
      <c r="L133" s="1"/>
      <c r="M133" s="1"/>
      <c r="N133" s="1">
        <v>132</v>
      </c>
      <c r="O133" s="1"/>
      <c r="Q133" s="1"/>
      <c r="R133" s="1"/>
      <c r="S133" s="1"/>
      <c r="T133" s="1">
        <v>132</v>
      </c>
      <c r="U133" s="2">
        <v>41049</v>
      </c>
      <c r="V133" s="1"/>
      <c r="W133" s="1"/>
      <c r="X133" s="1"/>
      <c r="Y133" s="1"/>
      <c r="Z133" s="1"/>
      <c r="AA133" s="1">
        <v>132</v>
      </c>
      <c r="AB133" s="1"/>
      <c r="AC133" s="1"/>
      <c r="AD133" s="1"/>
      <c r="AE133" s="1"/>
      <c r="AF133" s="1"/>
      <c r="AG133" s="1">
        <v>132</v>
      </c>
      <c r="AH133" s="2">
        <v>41049</v>
      </c>
      <c r="AI133" s="1"/>
      <c r="AJ133" s="1"/>
      <c r="AK133" s="1"/>
      <c r="AL133" s="1"/>
    </row>
    <row r="134" spans="1:39">
      <c r="A134" s="1">
        <v>133</v>
      </c>
      <c r="B134" s="2">
        <v>41050</v>
      </c>
      <c r="C134" s="1"/>
      <c r="D134" s="1"/>
      <c r="E134" s="1"/>
      <c r="F134" s="1"/>
      <c r="G134" s="1"/>
      <c r="H134" s="1">
        <v>133</v>
      </c>
      <c r="I134" s="1"/>
      <c r="J134" s="1"/>
      <c r="K134" s="1"/>
      <c r="L134" s="1"/>
      <c r="M134" s="1"/>
      <c r="N134" s="1">
        <v>133</v>
      </c>
      <c r="O134" s="1"/>
      <c r="Q134" s="1"/>
      <c r="R134" s="1"/>
      <c r="S134" s="1"/>
      <c r="T134" s="1">
        <v>133</v>
      </c>
      <c r="U134" s="2">
        <v>41050</v>
      </c>
      <c r="V134" s="1"/>
      <c r="W134" s="1"/>
      <c r="X134" s="1"/>
      <c r="Y134" s="1"/>
      <c r="Z134" s="1"/>
      <c r="AA134" s="1">
        <v>133</v>
      </c>
      <c r="AB134" s="1"/>
      <c r="AC134" s="1"/>
      <c r="AD134" s="1"/>
      <c r="AE134" s="1"/>
      <c r="AF134" s="1"/>
      <c r="AG134" s="1">
        <v>133</v>
      </c>
      <c r="AH134" s="2">
        <v>41050</v>
      </c>
      <c r="AI134" s="1"/>
      <c r="AJ134" s="1"/>
      <c r="AK134" s="1">
        <v>0</v>
      </c>
      <c r="AL134" s="1"/>
    </row>
    <row r="135" spans="1:39">
      <c r="A135" s="1">
        <v>134</v>
      </c>
      <c r="B135" s="2">
        <v>41051</v>
      </c>
      <c r="C135" s="1"/>
      <c r="D135" s="1"/>
      <c r="E135" s="1"/>
      <c r="F135" s="1"/>
      <c r="G135" s="1"/>
      <c r="H135" s="1">
        <v>134</v>
      </c>
      <c r="I135" s="1"/>
      <c r="J135" s="1"/>
      <c r="K135" s="1"/>
      <c r="L135" s="1"/>
      <c r="M135" s="1"/>
      <c r="N135" s="1">
        <v>134</v>
      </c>
      <c r="O135" s="1"/>
      <c r="Q135" s="1"/>
      <c r="R135" s="1"/>
      <c r="S135" s="1"/>
      <c r="T135" s="1">
        <v>134</v>
      </c>
      <c r="U135" s="2">
        <v>41051</v>
      </c>
      <c r="V135" s="1"/>
      <c r="W135" s="1"/>
      <c r="X135" s="1"/>
      <c r="Y135" s="1"/>
      <c r="Z135" s="1"/>
      <c r="AA135" s="1">
        <v>134</v>
      </c>
      <c r="AB135" s="1"/>
      <c r="AC135" s="1"/>
      <c r="AD135" s="1"/>
      <c r="AE135" s="1"/>
      <c r="AF135" s="1"/>
      <c r="AG135" s="1">
        <v>134</v>
      </c>
      <c r="AH135" s="2">
        <v>41051</v>
      </c>
      <c r="AI135" s="1"/>
      <c r="AJ135" s="1"/>
      <c r="AK135" s="1"/>
      <c r="AL135" s="1"/>
    </row>
    <row r="136" spans="1:39">
      <c r="A136" s="1">
        <v>135</v>
      </c>
      <c r="B136" s="2">
        <v>41052</v>
      </c>
      <c r="C136" s="1"/>
      <c r="D136" s="1"/>
      <c r="E136" s="1"/>
      <c r="F136" s="1"/>
      <c r="G136" s="1"/>
      <c r="H136" s="1">
        <v>135</v>
      </c>
      <c r="I136" s="1"/>
      <c r="J136" s="1"/>
      <c r="K136" s="1"/>
      <c r="L136" s="1"/>
      <c r="M136" s="1"/>
      <c r="N136" s="1">
        <v>135</v>
      </c>
      <c r="O136" s="1"/>
      <c r="Q136" s="1"/>
      <c r="R136" s="1"/>
      <c r="S136" s="1"/>
      <c r="T136" s="1">
        <v>135</v>
      </c>
      <c r="U136" s="2">
        <v>41052</v>
      </c>
      <c r="V136" s="1"/>
      <c r="W136" s="1"/>
      <c r="X136" s="1"/>
      <c r="Y136" s="1"/>
      <c r="Z136" s="1"/>
      <c r="AA136" s="1">
        <v>135</v>
      </c>
      <c r="AB136" s="1"/>
      <c r="AC136" s="1"/>
      <c r="AD136" s="1"/>
      <c r="AE136" s="1"/>
      <c r="AF136" s="1"/>
      <c r="AG136" s="1">
        <v>135</v>
      </c>
      <c r="AH136" s="2">
        <v>41052</v>
      </c>
      <c r="AI136" s="1"/>
      <c r="AJ136" s="1"/>
      <c r="AK136" s="1">
        <v>0</v>
      </c>
      <c r="AL136" s="1"/>
    </row>
    <row r="137" spans="1:39">
      <c r="A137" s="1">
        <v>136</v>
      </c>
      <c r="B137" s="2">
        <v>41053</v>
      </c>
      <c r="C137" s="1"/>
      <c r="D137" s="1"/>
      <c r="E137" s="1"/>
      <c r="F137" s="1"/>
      <c r="G137" s="1"/>
      <c r="H137" s="1">
        <v>136</v>
      </c>
      <c r="I137" s="1"/>
      <c r="J137" s="1"/>
      <c r="K137" s="1"/>
      <c r="L137" s="1"/>
      <c r="M137" s="1"/>
      <c r="N137" s="1">
        <v>136</v>
      </c>
      <c r="O137" s="1"/>
      <c r="Q137" s="1"/>
      <c r="R137" s="1"/>
      <c r="S137" s="1"/>
      <c r="T137" s="1">
        <v>136</v>
      </c>
      <c r="U137" s="2">
        <v>41053</v>
      </c>
      <c r="V137" s="1"/>
      <c r="W137" s="1"/>
      <c r="X137" s="1"/>
      <c r="Y137" s="1"/>
      <c r="Z137" s="1"/>
      <c r="AA137" s="1">
        <v>136</v>
      </c>
      <c r="AB137" s="1"/>
      <c r="AC137" s="1"/>
      <c r="AD137" s="1"/>
      <c r="AE137" s="1"/>
      <c r="AF137" s="1"/>
      <c r="AG137" s="1">
        <v>136</v>
      </c>
      <c r="AH137" s="2">
        <v>41053</v>
      </c>
      <c r="AI137" s="1"/>
      <c r="AJ137" s="1"/>
      <c r="AK137" s="6">
        <v>0</v>
      </c>
      <c r="AL137" s="1"/>
    </row>
    <row r="138" spans="1:39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Q138" s="1"/>
      <c r="R138" s="1"/>
      <c r="S138" s="1"/>
      <c r="T138" s="1"/>
      <c r="U138" s="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2"/>
      <c r="AI138" s="1"/>
      <c r="AJ138" s="1"/>
      <c r="AK138" s="1"/>
      <c r="AL138" s="1"/>
    </row>
    <row r="139" spans="1: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1" spans="1:39">
      <c r="A141" s="8"/>
      <c r="B141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0"/>
  <sheetViews>
    <sheetView topLeftCell="D172" workbookViewId="0">
      <selection activeCell="O211" sqref="O211"/>
    </sheetView>
  </sheetViews>
  <sheetFormatPr defaultRowHeight="15"/>
  <cols>
    <col min="2" max="2" width="15.28515625" customWidth="1"/>
    <col min="3" max="3" width="14.7109375" customWidth="1"/>
    <col min="4" max="4" width="14" customWidth="1"/>
    <col min="5" max="5" width="14.28515625" customWidth="1"/>
    <col min="6" max="6" width="15.28515625" customWidth="1"/>
    <col min="7" max="7" width="13.140625" customWidth="1"/>
    <col min="8" max="8" width="10.140625" customWidth="1"/>
  </cols>
  <sheetData>
    <row r="1" spans="1:6">
      <c r="A1" s="12" t="s">
        <v>13</v>
      </c>
      <c r="B1" s="13" t="s">
        <v>45</v>
      </c>
      <c r="C1" s="13" t="s">
        <v>46</v>
      </c>
      <c r="D1" s="13" t="s">
        <v>48</v>
      </c>
      <c r="E1" s="13" t="s">
        <v>49</v>
      </c>
      <c r="F1" s="14" t="s">
        <v>50</v>
      </c>
    </row>
    <row r="2" spans="1:6">
      <c r="A2" s="15">
        <v>1</v>
      </c>
      <c r="B2" s="32">
        <v>0</v>
      </c>
      <c r="C2" s="32">
        <v>0</v>
      </c>
      <c r="D2" s="32">
        <v>0</v>
      </c>
      <c r="E2" s="33">
        <v>10.40873465</v>
      </c>
      <c r="F2" s="33">
        <v>11.97355482</v>
      </c>
    </row>
    <row r="3" spans="1:6">
      <c r="A3" s="15">
        <v>2</v>
      </c>
      <c r="B3" s="32"/>
      <c r="C3" s="32"/>
      <c r="D3" s="32"/>
      <c r="E3" s="32"/>
      <c r="F3" s="32"/>
    </row>
    <row r="4" spans="1:6">
      <c r="A4" s="15">
        <v>3</v>
      </c>
      <c r="B4" s="32">
        <v>0</v>
      </c>
      <c r="C4" s="32"/>
      <c r="D4" s="32">
        <v>4.3968546550000003</v>
      </c>
      <c r="E4" s="33">
        <v>8.0208013670000007</v>
      </c>
      <c r="F4" s="33">
        <v>11.215132369999999</v>
      </c>
    </row>
    <row r="5" spans="1:6">
      <c r="A5" s="15">
        <v>4</v>
      </c>
      <c r="B5" s="32"/>
      <c r="C5" s="32">
        <v>0</v>
      </c>
      <c r="D5" s="32"/>
      <c r="E5" s="32"/>
      <c r="F5" s="32"/>
    </row>
    <row r="6" spans="1:6">
      <c r="A6" s="15">
        <v>5</v>
      </c>
      <c r="B6" s="32"/>
      <c r="C6" s="32"/>
      <c r="D6" s="32"/>
      <c r="E6" s="32"/>
      <c r="F6" s="32"/>
    </row>
    <row r="7" spans="1:6">
      <c r="A7" s="15">
        <v>6</v>
      </c>
      <c r="B7" s="32"/>
      <c r="C7" s="32">
        <v>0</v>
      </c>
      <c r="D7" s="32">
        <v>3.5123641590000001</v>
      </c>
      <c r="E7" s="33">
        <v>7.9208535009999999</v>
      </c>
      <c r="F7" s="33">
        <v>9.4453853999999993</v>
      </c>
    </row>
    <row r="8" spans="1:6">
      <c r="A8" s="15">
        <v>7</v>
      </c>
      <c r="B8" s="32">
        <v>0</v>
      </c>
      <c r="C8" s="32"/>
      <c r="D8" s="32"/>
      <c r="E8" s="32"/>
      <c r="F8" s="32"/>
    </row>
    <row r="9" spans="1:6">
      <c r="A9" s="15">
        <v>8</v>
      </c>
      <c r="B9" s="32"/>
      <c r="C9" s="32">
        <v>0</v>
      </c>
      <c r="D9" s="32">
        <v>0</v>
      </c>
      <c r="E9" s="33">
        <v>8.0209410640000005</v>
      </c>
      <c r="F9" s="33">
        <v>8.4500226999999999</v>
      </c>
    </row>
    <row r="10" spans="1:6">
      <c r="A10" s="15">
        <v>9</v>
      </c>
      <c r="B10" s="32">
        <v>0</v>
      </c>
      <c r="C10" s="32"/>
      <c r="D10" s="32"/>
      <c r="E10" s="32"/>
      <c r="F10" s="32"/>
    </row>
    <row r="11" spans="1:6">
      <c r="A11" s="15">
        <v>10</v>
      </c>
      <c r="B11" s="32"/>
      <c r="C11" s="32"/>
      <c r="D11" s="32">
        <v>0</v>
      </c>
      <c r="E11" s="32">
        <v>5.6815813019999997</v>
      </c>
      <c r="F11" s="33">
        <v>8.4501314300000008</v>
      </c>
    </row>
    <row r="12" spans="1:6">
      <c r="A12" s="15">
        <v>11</v>
      </c>
      <c r="B12" s="32">
        <v>0</v>
      </c>
      <c r="C12" s="32">
        <v>0</v>
      </c>
      <c r="D12" s="32"/>
      <c r="E12" s="32"/>
      <c r="F12" s="32"/>
    </row>
    <row r="13" spans="1:6">
      <c r="A13" s="15">
        <v>12</v>
      </c>
      <c r="B13" s="32"/>
      <c r="C13" s="32"/>
      <c r="D13" s="32"/>
      <c r="E13" s="32"/>
      <c r="F13" s="32"/>
    </row>
    <row r="14" spans="1:6">
      <c r="A14" s="15">
        <v>13</v>
      </c>
      <c r="B14" s="32"/>
      <c r="C14" s="32">
        <v>0</v>
      </c>
      <c r="D14" s="32">
        <v>0</v>
      </c>
      <c r="E14" s="33">
        <v>0</v>
      </c>
      <c r="F14" s="33">
        <v>10.470852989999999</v>
      </c>
    </row>
    <row r="15" spans="1:6">
      <c r="A15" s="15">
        <v>14</v>
      </c>
      <c r="B15" s="32">
        <v>0</v>
      </c>
      <c r="C15" s="32"/>
      <c r="D15" s="32"/>
      <c r="E15" s="32"/>
      <c r="F15" s="32"/>
    </row>
    <row r="16" spans="1:6">
      <c r="A16" s="15">
        <v>15</v>
      </c>
      <c r="B16" s="32"/>
      <c r="C16" s="32"/>
      <c r="D16" s="32">
        <v>0</v>
      </c>
      <c r="E16" s="32">
        <v>4.6846299560000002</v>
      </c>
      <c r="F16" s="33">
        <v>7.7012325290000003</v>
      </c>
    </row>
    <row r="17" spans="1:6">
      <c r="A17" s="15">
        <v>16</v>
      </c>
      <c r="B17" s="32">
        <v>0</v>
      </c>
      <c r="C17" s="32"/>
      <c r="D17" s="32"/>
      <c r="E17" s="32"/>
      <c r="F17" s="32"/>
    </row>
    <row r="18" spans="1:6">
      <c r="A18" s="15">
        <v>17</v>
      </c>
      <c r="B18" s="32"/>
      <c r="C18" s="32"/>
      <c r="D18" s="32">
        <v>0</v>
      </c>
      <c r="E18" s="32">
        <v>0</v>
      </c>
      <c r="F18" s="32">
        <v>6.5268656710000004</v>
      </c>
    </row>
    <row r="19" spans="1:6">
      <c r="A19" s="15">
        <v>18</v>
      </c>
      <c r="B19" s="32">
        <v>0</v>
      </c>
      <c r="C19" s="32"/>
      <c r="D19" s="32"/>
      <c r="E19" s="32"/>
      <c r="F19" s="32"/>
    </row>
    <row r="20" spans="1:6">
      <c r="A20" s="15">
        <v>19</v>
      </c>
      <c r="B20" s="32"/>
      <c r="C20" s="32"/>
      <c r="D20" s="32"/>
      <c r="E20" s="32"/>
      <c r="F20" s="32"/>
    </row>
    <row r="21" spans="1:6">
      <c r="A21" s="15">
        <v>20</v>
      </c>
      <c r="B21" s="32"/>
      <c r="C21" s="32"/>
      <c r="D21" s="32"/>
      <c r="E21" s="32">
        <v>0</v>
      </c>
      <c r="F21" s="32">
        <v>0</v>
      </c>
    </row>
    <row r="22" spans="1:6">
      <c r="A22" s="15">
        <v>21</v>
      </c>
      <c r="B22" s="32">
        <v>0</v>
      </c>
      <c r="C22" s="32"/>
      <c r="D22" s="32"/>
      <c r="E22" s="32"/>
      <c r="F22" s="32"/>
    </row>
    <row r="23" spans="1:6">
      <c r="A23" s="15">
        <v>22</v>
      </c>
      <c r="B23" s="32"/>
      <c r="C23" s="32"/>
      <c r="D23" s="32"/>
      <c r="E23" s="32">
        <v>0</v>
      </c>
      <c r="F23" s="32">
        <v>8.4499502</v>
      </c>
    </row>
    <row r="24" spans="1:6">
      <c r="A24" s="15">
        <v>23</v>
      </c>
      <c r="B24" s="32"/>
      <c r="C24" s="32"/>
      <c r="D24" s="32"/>
      <c r="E24" s="32"/>
      <c r="F24" s="32"/>
    </row>
    <row r="25" spans="1:6">
      <c r="A25" s="15">
        <v>24</v>
      </c>
      <c r="B25" s="32"/>
      <c r="C25" s="32"/>
      <c r="D25" s="32"/>
      <c r="E25" s="32">
        <v>0</v>
      </c>
      <c r="F25" s="32">
        <v>8.7009279399999997</v>
      </c>
    </row>
    <row r="26" spans="1:6">
      <c r="A26" s="15">
        <v>25</v>
      </c>
      <c r="B26" s="32"/>
      <c r="C26" s="32"/>
      <c r="D26" s="32"/>
      <c r="E26" s="32"/>
      <c r="F26" s="32"/>
    </row>
    <row r="27" spans="1:6">
      <c r="A27" s="15">
        <v>26</v>
      </c>
      <c r="B27" s="32"/>
      <c r="C27" s="32"/>
      <c r="D27" s="32"/>
      <c r="E27" s="32"/>
      <c r="F27" s="32"/>
    </row>
    <row r="28" spans="1:6">
      <c r="A28" s="15">
        <v>27</v>
      </c>
      <c r="B28" s="32"/>
      <c r="C28" s="32"/>
      <c r="D28" s="32"/>
      <c r="E28" s="32">
        <v>0</v>
      </c>
      <c r="F28" s="32">
        <v>4.4156233089999999</v>
      </c>
    </row>
    <row r="29" spans="1:6">
      <c r="A29" s="15">
        <v>28</v>
      </c>
      <c r="B29" s="32"/>
      <c r="C29" s="32"/>
      <c r="D29" s="32"/>
      <c r="E29" s="32"/>
      <c r="F29" s="32"/>
    </row>
    <row r="30" spans="1:6">
      <c r="A30" s="15">
        <v>29</v>
      </c>
      <c r="B30" s="32"/>
      <c r="C30" s="32"/>
      <c r="D30" s="32"/>
      <c r="E30" s="32">
        <v>0</v>
      </c>
      <c r="F30" s="32">
        <v>7.0402894549999999</v>
      </c>
    </row>
    <row r="31" spans="1:6">
      <c r="A31" s="15">
        <v>30</v>
      </c>
      <c r="B31" s="32"/>
      <c r="C31" s="32"/>
      <c r="D31" s="32"/>
      <c r="E31" s="32"/>
      <c r="F31" s="32"/>
    </row>
    <row r="32" spans="1:6">
      <c r="A32" s="15">
        <v>31</v>
      </c>
      <c r="B32" s="32"/>
      <c r="C32" s="32"/>
      <c r="D32" s="32"/>
      <c r="E32" s="32">
        <v>0</v>
      </c>
      <c r="F32" s="32">
        <v>6.2374980789999999</v>
      </c>
    </row>
    <row r="33" spans="1:6">
      <c r="A33" s="15">
        <v>32</v>
      </c>
      <c r="B33" s="32"/>
      <c r="C33" s="32"/>
      <c r="D33" s="32"/>
      <c r="E33" s="32"/>
      <c r="F33" s="32"/>
    </row>
    <row r="34" spans="1:6">
      <c r="A34" s="15">
        <v>33</v>
      </c>
      <c r="B34" s="32"/>
      <c r="C34" s="32"/>
      <c r="D34" s="32"/>
      <c r="E34" s="32"/>
      <c r="F34" s="32"/>
    </row>
    <row r="35" spans="1:6">
      <c r="A35" s="15">
        <v>34</v>
      </c>
      <c r="B35" s="32"/>
      <c r="C35" s="32"/>
      <c r="D35" s="32"/>
      <c r="E35" s="32"/>
      <c r="F35" s="32">
        <v>7.0402875969999998</v>
      </c>
    </row>
    <row r="36" spans="1:6">
      <c r="A36" s="15">
        <v>35</v>
      </c>
      <c r="B36" s="32"/>
      <c r="C36" s="32"/>
      <c r="D36" s="32"/>
      <c r="E36" s="32"/>
      <c r="F36" s="32"/>
    </row>
    <row r="37" spans="1:6">
      <c r="A37" s="15">
        <v>36</v>
      </c>
      <c r="B37" s="32"/>
      <c r="C37" s="32"/>
      <c r="D37" s="32"/>
      <c r="E37" s="32"/>
      <c r="F37" s="32">
        <v>0</v>
      </c>
    </row>
    <row r="38" spans="1:6">
      <c r="A38" s="15">
        <v>37</v>
      </c>
      <c r="B38" s="32"/>
      <c r="C38" s="32"/>
      <c r="D38" s="32"/>
      <c r="E38" s="32"/>
      <c r="F38" s="32"/>
    </row>
    <row r="39" spans="1:6">
      <c r="A39" s="15">
        <v>38</v>
      </c>
      <c r="B39" s="32"/>
      <c r="C39" s="32"/>
      <c r="D39" s="32"/>
      <c r="E39" s="32"/>
      <c r="F39" s="32">
        <v>6.7012175989999996</v>
      </c>
    </row>
    <row r="40" spans="1:6">
      <c r="A40" s="15">
        <v>39</v>
      </c>
      <c r="B40" s="32"/>
      <c r="C40" s="32"/>
      <c r="D40" s="32"/>
      <c r="E40" s="32"/>
      <c r="F40" s="32"/>
    </row>
    <row r="41" spans="1:6">
      <c r="A41" s="15">
        <v>40</v>
      </c>
      <c r="B41" s="32"/>
      <c r="C41" s="32"/>
      <c r="D41" s="32"/>
      <c r="E41" s="32"/>
      <c r="F41" s="32"/>
    </row>
    <row r="42" spans="1:6">
      <c r="A42" s="15">
        <v>41</v>
      </c>
      <c r="B42" s="32"/>
      <c r="C42" s="32"/>
      <c r="D42" s="32"/>
      <c r="E42" s="32"/>
      <c r="F42" s="32">
        <v>5.0338983529999997</v>
      </c>
    </row>
    <row r="43" spans="1:6">
      <c r="A43" s="15">
        <v>42</v>
      </c>
      <c r="B43" s="32"/>
      <c r="C43" s="32"/>
      <c r="D43" s="32"/>
      <c r="E43" s="32"/>
      <c r="F43" s="32"/>
    </row>
    <row r="44" spans="1:6">
      <c r="A44" s="15">
        <v>43</v>
      </c>
      <c r="B44" s="32"/>
      <c r="C44" s="32"/>
      <c r="D44" s="32"/>
      <c r="E44" s="32"/>
      <c r="F44" s="32">
        <v>6.450329934</v>
      </c>
    </row>
    <row r="45" spans="1:6">
      <c r="A45" s="15">
        <v>44</v>
      </c>
      <c r="B45" s="32"/>
      <c r="C45" s="32"/>
      <c r="D45" s="32"/>
      <c r="E45" s="32"/>
      <c r="F45" s="32"/>
    </row>
    <row r="46" spans="1:6">
      <c r="A46" s="15">
        <v>45</v>
      </c>
      <c r="B46" s="32"/>
      <c r="C46" s="32"/>
      <c r="D46" s="32"/>
      <c r="E46" s="32"/>
      <c r="F46" s="32">
        <v>4.5261369340000002</v>
      </c>
    </row>
    <row r="47" spans="1:6">
      <c r="A47" s="15">
        <v>46</v>
      </c>
      <c r="B47" s="32"/>
      <c r="C47" s="32"/>
      <c r="D47" s="32"/>
      <c r="E47" s="32"/>
      <c r="F47" s="32"/>
    </row>
    <row r="48" spans="1:6">
      <c r="A48" s="15">
        <v>47</v>
      </c>
      <c r="B48" s="32"/>
      <c r="C48" s="32"/>
      <c r="D48" s="32"/>
      <c r="E48" s="32"/>
      <c r="F48" s="32"/>
    </row>
    <row r="49" spans="1:6">
      <c r="A49" s="15">
        <v>48</v>
      </c>
      <c r="B49" s="32"/>
      <c r="C49" s="32"/>
      <c r="D49" s="32"/>
      <c r="E49" s="32"/>
      <c r="F49" s="32">
        <v>4.7883876499999998</v>
      </c>
    </row>
    <row r="50" spans="1:6">
      <c r="A50" s="15">
        <v>49</v>
      </c>
      <c r="B50" s="32"/>
      <c r="C50" s="32"/>
      <c r="D50" s="32"/>
      <c r="E50" s="32"/>
      <c r="F50" s="32"/>
    </row>
    <row r="51" spans="1:6">
      <c r="A51" s="15">
        <v>50</v>
      </c>
      <c r="B51" s="32"/>
      <c r="C51" s="32"/>
      <c r="D51" s="32"/>
      <c r="E51" s="32"/>
      <c r="F51" s="32">
        <v>4.697082752</v>
      </c>
    </row>
    <row r="52" spans="1:6">
      <c r="A52" s="15">
        <v>51</v>
      </c>
      <c r="B52" s="32"/>
      <c r="C52" s="32"/>
      <c r="D52" s="32"/>
      <c r="E52" s="32"/>
      <c r="F52" s="32"/>
    </row>
    <row r="53" spans="1:6">
      <c r="A53" s="15">
        <v>52</v>
      </c>
      <c r="B53" s="32"/>
      <c r="C53" s="32"/>
      <c r="D53" s="32"/>
      <c r="E53" s="32"/>
      <c r="F53" s="32">
        <v>4.7137010420000003</v>
      </c>
    </row>
    <row r="54" spans="1:6">
      <c r="A54" s="15">
        <v>53</v>
      </c>
      <c r="B54" s="32"/>
      <c r="C54" s="32"/>
      <c r="D54" s="32"/>
      <c r="E54" s="32"/>
      <c r="F54" s="32"/>
    </row>
    <row r="55" spans="1:6">
      <c r="A55" s="15">
        <v>54</v>
      </c>
      <c r="B55" s="32"/>
      <c r="C55" s="32"/>
      <c r="D55" s="32"/>
      <c r="E55" s="32"/>
      <c r="F55" s="32"/>
    </row>
    <row r="56" spans="1:6">
      <c r="A56" s="15">
        <v>55</v>
      </c>
      <c r="B56" s="32"/>
      <c r="C56" s="32"/>
      <c r="D56" s="32"/>
      <c r="E56" s="32"/>
      <c r="F56" s="32">
        <v>0</v>
      </c>
    </row>
    <row r="57" spans="1:6">
      <c r="A57" s="15">
        <v>56</v>
      </c>
      <c r="B57" s="32"/>
      <c r="C57" s="32"/>
      <c r="D57" s="32"/>
      <c r="E57" s="32"/>
      <c r="F57" s="32"/>
    </row>
    <row r="58" spans="1:6">
      <c r="A58" s="15">
        <v>57</v>
      </c>
      <c r="B58" s="32"/>
      <c r="C58" s="32"/>
      <c r="D58" s="32"/>
      <c r="E58" s="32"/>
      <c r="F58" s="32">
        <v>0</v>
      </c>
    </row>
    <row r="59" spans="1:6">
      <c r="A59" s="15">
        <v>58</v>
      </c>
      <c r="B59" s="32"/>
      <c r="C59" s="32"/>
      <c r="D59" s="32"/>
      <c r="E59" s="32"/>
      <c r="F59" s="32"/>
    </row>
    <row r="60" spans="1:6">
      <c r="A60" s="15">
        <v>59</v>
      </c>
      <c r="B60" s="32"/>
      <c r="C60" s="32"/>
      <c r="D60" s="32"/>
      <c r="E60" s="32"/>
      <c r="F60" s="32">
        <v>0</v>
      </c>
    </row>
    <row r="61" spans="1:6">
      <c r="A61" s="15">
        <v>60</v>
      </c>
      <c r="B61" s="32"/>
      <c r="C61" s="32"/>
      <c r="D61" s="32"/>
      <c r="E61" s="32"/>
      <c r="F61" s="32"/>
    </row>
    <row r="62" spans="1:6">
      <c r="A62" s="15">
        <v>61</v>
      </c>
      <c r="B62" s="32"/>
      <c r="C62" s="32"/>
      <c r="D62" s="32"/>
      <c r="E62" s="32"/>
      <c r="F62" s="32"/>
    </row>
    <row r="63" spans="1:6">
      <c r="A63" s="15">
        <v>62</v>
      </c>
      <c r="B63" s="32"/>
      <c r="C63" s="32"/>
      <c r="D63" s="32"/>
      <c r="E63" s="32"/>
      <c r="F63" s="32">
        <v>3.6281211299999998</v>
      </c>
    </row>
    <row r="64" spans="1:6">
      <c r="A64" s="15">
        <v>63</v>
      </c>
      <c r="B64" s="32"/>
      <c r="C64" s="32"/>
      <c r="D64" s="32"/>
      <c r="E64" s="32"/>
      <c r="F64" s="32"/>
    </row>
    <row r="65" spans="1:6">
      <c r="A65" s="15">
        <v>64</v>
      </c>
      <c r="B65" s="32"/>
      <c r="C65" s="32"/>
      <c r="D65" s="32"/>
      <c r="E65" s="32"/>
      <c r="F65" s="32">
        <v>5.4503311569999999</v>
      </c>
    </row>
    <row r="66" spans="1:6">
      <c r="A66" s="15">
        <v>65</v>
      </c>
      <c r="B66" s="32"/>
      <c r="C66" s="32"/>
      <c r="D66" s="32"/>
      <c r="E66" s="32"/>
      <c r="F66" s="32"/>
    </row>
    <row r="67" spans="1:6">
      <c r="A67" s="15">
        <v>66</v>
      </c>
      <c r="B67" s="32"/>
      <c r="C67" s="32"/>
      <c r="D67" s="32"/>
      <c r="E67" s="32"/>
      <c r="F67" s="32">
        <v>0</v>
      </c>
    </row>
    <row r="68" spans="1:6">
      <c r="A68" s="15">
        <v>67</v>
      </c>
      <c r="B68" s="32"/>
      <c r="C68" s="32"/>
      <c r="D68" s="32"/>
      <c r="E68" s="32"/>
      <c r="F68" s="32"/>
    </row>
    <row r="69" spans="1:6">
      <c r="A69" s="15">
        <v>68</v>
      </c>
      <c r="B69" s="32"/>
      <c r="C69" s="32"/>
      <c r="D69" s="32"/>
      <c r="E69" s="32"/>
      <c r="F69" s="32"/>
    </row>
    <row r="70" spans="1:6">
      <c r="A70" s="15">
        <v>69</v>
      </c>
      <c r="B70" s="32"/>
      <c r="C70" s="32"/>
      <c r="D70" s="32"/>
      <c r="E70" s="32"/>
      <c r="F70" s="32">
        <v>5.9401666359999998</v>
      </c>
    </row>
    <row r="71" spans="1:6">
      <c r="A71" s="15">
        <v>70</v>
      </c>
      <c r="B71" s="32"/>
      <c r="C71" s="32"/>
      <c r="D71" s="32"/>
      <c r="E71" s="32"/>
      <c r="F71" s="32"/>
    </row>
    <row r="72" spans="1:6">
      <c r="A72" s="15">
        <v>71</v>
      </c>
      <c r="B72" s="32"/>
      <c r="C72" s="32"/>
      <c r="D72" s="32"/>
      <c r="E72" s="32"/>
      <c r="F72" s="32">
        <v>0</v>
      </c>
    </row>
    <row r="73" spans="1:6">
      <c r="A73" s="15">
        <v>72</v>
      </c>
      <c r="B73" s="32"/>
      <c r="C73" s="32"/>
      <c r="D73" s="32"/>
      <c r="E73" s="32"/>
      <c r="F73" s="32"/>
    </row>
    <row r="74" spans="1:6">
      <c r="A74" s="15">
        <v>73</v>
      </c>
      <c r="B74" s="32"/>
      <c r="C74" s="32"/>
      <c r="D74" s="32"/>
      <c r="E74" s="32"/>
      <c r="F74" s="32">
        <v>3.6281211299999998</v>
      </c>
    </row>
    <row r="75" spans="1:6">
      <c r="A75" s="15">
        <v>74</v>
      </c>
      <c r="B75" s="11"/>
      <c r="C75" s="11"/>
      <c r="D75" s="11"/>
      <c r="E75" s="11"/>
      <c r="F75" s="16"/>
    </row>
    <row r="76" spans="1:6">
      <c r="A76" s="15">
        <v>75</v>
      </c>
      <c r="B76" s="11"/>
      <c r="C76" s="11"/>
      <c r="D76" s="11"/>
      <c r="E76" s="11"/>
      <c r="F76" s="16"/>
    </row>
    <row r="77" spans="1:6">
      <c r="A77" s="15">
        <v>76</v>
      </c>
      <c r="B77" s="11"/>
      <c r="C77" s="11"/>
      <c r="D77" s="11"/>
      <c r="E77" s="11"/>
      <c r="F77" s="16"/>
    </row>
    <row r="78" spans="1:6">
      <c r="A78" s="15">
        <v>77</v>
      </c>
      <c r="B78" s="11"/>
      <c r="C78" s="11"/>
      <c r="D78" s="11"/>
      <c r="E78" s="11"/>
      <c r="F78" s="16"/>
    </row>
    <row r="79" spans="1:6">
      <c r="A79" s="15">
        <v>78</v>
      </c>
      <c r="B79" s="11"/>
      <c r="C79" s="11"/>
      <c r="D79" s="11"/>
      <c r="E79" s="11"/>
      <c r="F79" s="16"/>
    </row>
    <row r="80" spans="1:6">
      <c r="A80" s="15">
        <v>79</v>
      </c>
      <c r="B80" s="11"/>
      <c r="C80" s="11"/>
      <c r="D80" s="11"/>
      <c r="E80" s="11"/>
      <c r="F80" s="16"/>
    </row>
    <row r="81" spans="1:6" ht="15.75" thickBot="1">
      <c r="A81" s="17">
        <v>80</v>
      </c>
      <c r="B81" s="18"/>
      <c r="C81" s="18"/>
      <c r="D81" s="18"/>
      <c r="E81" s="18"/>
      <c r="F81" s="19"/>
    </row>
    <row r="82" spans="1:6">
      <c r="A82" s="27"/>
      <c r="B82" s="27"/>
      <c r="C82" s="27"/>
      <c r="D82" s="27"/>
      <c r="E82" s="27"/>
      <c r="F82" s="27"/>
    </row>
    <row r="83" spans="1:6">
      <c r="A83" s="27"/>
      <c r="B83" s="27"/>
      <c r="C83" s="27"/>
      <c r="D83" s="27"/>
      <c r="E83" s="27"/>
      <c r="F83" s="27"/>
    </row>
    <row r="84" spans="1:6">
      <c r="A84" s="27"/>
      <c r="B84" s="27"/>
      <c r="C84" s="27"/>
      <c r="D84" s="27"/>
      <c r="E84" s="27"/>
      <c r="F84" s="27"/>
    </row>
    <row r="85" spans="1:6">
      <c r="A85" s="27"/>
      <c r="B85" s="27"/>
      <c r="C85" s="27"/>
      <c r="D85" s="27"/>
      <c r="E85" s="27"/>
      <c r="F85" s="27"/>
    </row>
    <row r="86" spans="1:6">
      <c r="A86" s="27"/>
      <c r="B86" s="27"/>
      <c r="C86" s="27"/>
      <c r="D86" s="27"/>
      <c r="E86" s="27"/>
      <c r="F86" s="27"/>
    </row>
    <row r="87" spans="1:6">
      <c r="A87" s="27"/>
      <c r="B87" s="27"/>
      <c r="C87" s="27"/>
      <c r="D87" s="27"/>
      <c r="E87" s="27"/>
      <c r="F87" s="27"/>
    </row>
    <row r="88" spans="1:6">
      <c r="A88" s="27"/>
      <c r="B88" s="27"/>
      <c r="C88" s="27"/>
      <c r="D88" s="27"/>
      <c r="E88" s="27"/>
      <c r="F88" s="27"/>
    </row>
    <row r="89" spans="1:6">
      <c r="A89" s="27"/>
      <c r="B89" s="27"/>
      <c r="C89" s="27"/>
      <c r="D89" s="27"/>
      <c r="E89" s="27"/>
      <c r="F89" s="27"/>
    </row>
    <row r="90" spans="1:6">
      <c r="A90" s="27"/>
      <c r="B90" s="27"/>
      <c r="C90" s="27"/>
      <c r="D90" s="27"/>
      <c r="E90" s="27"/>
      <c r="F90" s="27"/>
    </row>
    <row r="91" spans="1:6">
      <c r="A91" s="27"/>
      <c r="B91" s="27"/>
      <c r="C91" s="27"/>
      <c r="D91" s="27"/>
      <c r="E91" s="27"/>
      <c r="F91" s="27"/>
    </row>
    <row r="92" spans="1:6">
      <c r="A92" s="27"/>
      <c r="B92" s="27"/>
      <c r="C92" s="27"/>
      <c r="D92" s="27"/>
      <c r="E92" s="27"/>
      <c r="F92" s="27"/>
    </row>
    <row r="93" spans="1:6">
      <c r="A93" s="27"/>
      <c r="B93" s="27"/>
      <c r="C93" s="27"/>
      <c r="D93" s="27"/>
      <c r="E93" s="27"/>
      <c r="F93" s="27"/>
    </row>
    <row r="94" spans="1:6">
      <c r="A94" s="27"/>
      <c r="B94" s="27"/>
      <c r="C94" s="27"/>
      <c r="D94" s="27"/>
      <c r="E94" s="27"/>
      <c r="F94" s="27"/>
    </row>
    <row r="95" spans="1:6">
      <c r="A95" s="27"/>
      <c r="B95" s="27"/>
      <c r="C95" s="27"/>
      <c r="D95" s="27"/>
      <c r="E95" s="27"/>
      <c r="F95" s="27"/>
    </row>
    <row r="96" spans="1:6">
      <c r="A96" s="27"/>
      <c r="B96" s="27"/>
      <c r="C96" s="27"/>
      <c r="D96" s="27"/>
      <c r="E96" s="27"/>
      <c r="F96" s="27"/>
    </row>
    <row r="97" spans="1:6">
      <c r="A97" s="27"/>
      <c r="B97" s="27"/>
      <c r="C97" s="27"/>
      <c r="D97" s="27"/>
      <c r="E97" s="27"/>
      <c r="F97" s="27"/>
    </row>
    <row r="98" spans="1:6">
      <c r="A98" s="27"/>
      <c r="B98" s="27"/>
      <c r="C98" s="27"/>
      <c r="D98" s="27"/>
      <c r="E98" s="27"/>
      <c r="F98" s="27"/>
    </row>
    <row r="99" spans="1:6">
      <c r="A99" s="27"/>
      <c r="B99" s="27"/>
      <c r="C99" s="27"/>
      <c r="D99" s="27"/>
      <c r="E99" s="27"/>
      <c r="F99" s="27"/>
    </row>
    <row r="100" spans="1:6">
      <c r="A100" s="27"/>
      <c r="B100" s="27"/>
      <c r="C100" s="27"/>
      <c r="D100" s="27"/>
      <c r="E100" s="27"/>
      <c r="F100" s="27"/>
    </row>
    <row r="101" spans="1:6">
      <c r="A101" s="27"/>
      <c r="B101" s="27"/>
      <c r="C101" s="27"/>
      <c r="D101" s="27"/>
      <c r="E101" s="27"/>
      <c r="F101" s="27"/>
    </row>
    <row r="102" spans="1:6">
      <c r="A102" s="27"/>
      <c r="B102" s="27"/>
      <c r="C102" s="27"/>
      <c r="D102" s="27"/>
      <c r="E102" s="27"/>
      <c r="F102" s="27"/>
    </row>
    <row r="103" spans="1:6">
      <c r="A103" s="27"/>
      <c r="B103" s="27"/>
      <c r="C103" s="27"/>
      <c r="D103" s="27"/>
      <c r="E103" s="27"/>
      <c r="F103" s="28"/>
    </row>
    <row r="104" spans="1:6">
      <c r="A104" s="27"/>
      <c r="B104" s="27"/>
      <c r="C104" s="27"/>
      <c r="D104" s="27"/>
      <c r="E104" s="27"/>
      <c r="F104" s="27"/>
    </row>
    <row r="106" spans="1:6" ht="15.75" thickBot="1"/>
    <row r="107" spans="1:6">
      <c r="A107" s="12" t="s">
        <v>13</v>
      </c>
      <c r="B107" s="13" t="s">
        <v>45</v>
      </c>
      <c r="C107" s="13" t="s">
        <v>46</v>
      </c>
      <c r="D107" s="13" t="s">
        <v>48</v>
      </c>
      <c r="E107" s="13" t="s">
        <v>49</v>
      </c>
      <c r="F107" s="14" t="s">
        <v>50</v>
      </c>
    </row>
    <row r="108" spans="1:6">
      <c r="A108" s="15">
        <v>1</v>
      </c>
      <c r="B108" s="33">
        <v>6.3665865569999998</v>
      </c>
      <c r="C108" s="32">
        <v>0</v>
      </c>
      <c r="D108" s="33">
        <v>0</v>
      </c>
      <c r="E108" s="33">
        <v>9.0794620300000002</v>
      </c>
      <c r="F108" s="33">
        <v>11.5012364</v>
      </c>
    </row>
    <row r="109" spans="1:6">
      <c r="A109" s="15">
        <v>2</v>
      </c>
      <c r="B109" s="32"/>
      <c r="C109" s="32"/>
      <c r="D109" s="32"/>
      <c r="E109" s="32"/>
      <c r="F109" s="32"/>
    </row>
    <row r="110" spans="1:6">
      <c r="A110" s="15">
        <v>3</v>
      </c>
      <c r="B110" s="32">
        <v>0</v>
      </c>
      <c r="C110" s="32">
        <v>0</v>
      </c>
      <c r="D110" s="33">
        <v>3.5661899269999999</v>
      </c>
      <c r="E110" s="33">
        <v>8.1839211600000006</v>
      </c>
      <c r="F110" s="33">
        <v>10.329398299999999</v>
      </c>
    </row>
    <row r="111" spans="1:6">
      <c r="A111" s="15">
        <v>4</v>
      </c>
      <c r="B111" s="32"/>
      <c r="C111" s="32"/>
      <c r="D111" s="32"/>
      <c r="E111" s="32"/>
      <c r="F111" s="32"/>
    </row>
    <row r="112" spans="1:6">
      <c r="A112" s="15">
        <v>5</v>
      </c>
      <c r="B112" s="32"/>
      <c r="C112" s="32"/>
      <c r="D112" s="32"/>
      <c r="E112" s="32"/>
      <c r="F112" s="32"/>
    </row>
    <row r="113" spans="1:6">
      <c r="A113" s="15">
        <v>6</v>
      </c>
      <c r="B113" s="32"/>
      <c r="C113" s="32"/>
      <c r="D113" s="32"/>
      <c r="E113" s="32"/>
      <c r="F113" s="32"/>
    </row>
    <row r="114" spans="1:6">
      <c r="A114" s="15">
        <v>7</v>
      </c>
      <c r="B114" s="32">
        <v>0</v>
      </c>
      <c r="C114" s="32">
        <v>0</v>
      </c>
      <c r="D114" s="32">
        <v>0</v>
      </c>
      <c r="E114" s="32">
        <v>8.6782209100000003</v>
      </c>
      <c r="F114" s="32">
        <v>8.6663417000000003</v>
      </c>
    </row>
    <row r="115" spans="1:6">
      <c r="A115" s="15">
        <v>8</v>
      </c>
      <c r="B115" s="32"/>
      <c r="C115" s="32"/>
      <c r="D115" s="32"/>
      <c r="E115" s="32"/>
      <c r="F115" s="32"/>
    </row>
    <row r="116" spans="1:6">
      <c r="A116" s="15">
        <v>9</v>
      </c>
      <c r="B116" s="32">
        <v>0</v>
      </c>
      <c r="C116" s="32">
        <v>0</v>
      </c>
      <c r="D116" s="32">
        <v>0</v>
      </c>
      <c r="E116" s="32">
        <v>8.0578871000000003</v>
      </c>
      <c r="F116" s="32">
        <v>6.9723716900000001</v>
      </c>
    </row>
    <row r="117" spans="1:6">
      <c r="A117" s="15">
        <v>10</v>
      </c>
      <c r="B117" s="32"/>
      <c r="C117" s="32"/>
      <c r="D117" s="32"/>
      <c r="E117" s="32"/>
      <c r="F117" s="32"/>
    </row>
    <row r="118" spans="1:6">
      <c r="A118" s="15">
        <v>11</v>
      </c>
      <c r="B118" s="32">
        <v>0</v>
      </c>
      <c r="C118" s="32">
        <v>0</v>
      </c>
      <c r="D118" s="32">
        <v>0</v>
      </c>
      <c r="E118" s="32">
        <v>7.6817588700000003</v>
      </c>
      <c r="F118" s="32">
        <v>6.9723716900000001</v>
      </c>
    </row>
    <row r="119" spans="1:6">
      <c r="A119" s="15">
        <v>12</v>
      </c>
      <c r="B119" s="32"/>
      <c r="C119" s="32"/>
      <c r="D119" s="32"/>
      <c r="E119" s="32"/>
      <c r="F119" s="32"/>
    </row>
    <row r="120" spans="1:6">
      <c r="A120" s="15">
        <v>13</v>
      </c>
      <c r="B120" s="32"/>
      <c r="C120" s="32"/>
      <c r="D120" s="32"/>
      <c r="E120" s="32"/>
      <c r="F120" s="32"/>
    </row>
    <row r="121" spans="1:6">
      <c r="A121" s="15">
        <v>14</v>
      </c>
      <c r="B121" s="32">
        <v>0</v>
      </c>
      <c r="C121" s="32">
        <v>0</v>
      </c>
      <c r="D121" s="32">
        <v>4.6532318149999998</v>
      </c>
      <c r="E121" s="32">
        <v>0</v>
      </c>
      <c r="F121" s="32">
        <v>5.3247113920000002</v>
      </c>
    </row>
    <row r="122" spans="1:6">
      <c r="A122" s="15">
        <v>15</v>
      </c>
      <c r="B122" s="32"/>
      <c r="C122" s="32"/>
      <c r="D122" s="32"/>
      <c r="E122" s="32"/>
      <c r="F122" s="32"/>
    </row>
    <row r="123" spans="1:6">
      <c r="A123" s="15">
        <v>16</v>
      </c>
      <c r="B123" s="32">
        <v>0</v>
      </c>
      <c r="C123" s="32">
        <v>0</v>
      </c>
      <c r="D123" s="32">
        <v>3.9782980939999999</v>
      </c>
      <c r="E123" s="32">
        <v>0</v>
      </c>
      <c r="F123" s="32">
        <v>4.8973651990000002</v>
      </c>
    </row>
    <row r="124" spans="1:6">
      <c r="A124" s="15">
        <v>17</v>
      </c>
      <c r="B124" s="32"/>
      <c r="C124" s="32"/>
      <c r="D124" s="32"/>
      <c r="E124" s="32"/>
      <c r="F124" s="32"/>
    </row>
    <row r="125" spans="1:6">
      <c r="A125" s="15">
        <v>18</v>
      </c>
      <c r="B125" s="32">
        <v>0</v>
      </c>
      <c r="C125" s="32">
        <v>0</v>
      </c>
      <c r="D125" s="32"/>
      <c r="E125" s="32">
        <v>7.986717466</v>
      </c>
      <c r="F125" s="32">
        <v>7.9721388800000001</v>
      </c>
    </row>
    <row r="126" spans="1:6">
      <c r="A126" s="15">
        <v>19</v>
      </c>
      <c r="B126" s="32"/>
      <c r="C126" s="32"/>
      <c r="D126" s="32"/>
      <c r="E126" s="32"/>
      <c r="F126" s="32"/>
    </row>
    <row r="127" spans="1:6">
      <c r="A127" s="15">
        <v>20</v>
      </c>
      <c r="B127" s="32"/>
      <c r="C127" s="32"/>
      <c r="D127" s="32"/>
      <c r="E127" s="32"/>
      <c r="F127" s="32"/>
    </row>
    <row r="128" spans="1:6">
      <c r="A128" s="15">
        <v>21</v>
      </c>
      <c r="B128" s="32">
        <v>0</v>
      </c>
      <c r="C128" s="32">
        <v>0</v>
      </c>
      <c r="D128" s="32"/>
      <c r="E128" s="32">
        <v>0</v>
      </c>
      <c r="F128" s="32">
        <v>7.3823392200000004</v>
      </c>
    </row>
    <row r="129" spans="1:6">
      <c r="A129" s="15">
        <v>22</v>
      </c>
      <c r="B129" s="32"/>
      <c r="C129" s="32"/>
      <c r="D129" s="32"/>
      <c r="E129" s="32"/>
      <c r="F129" s="32"/>
    </row>
    <row r="130" spans="1:6">
      <c r="A130" s="15">
        <v>23</v>
      </c>
      <c r="B130" s="32"/>
      <c r="C130" s="32"/>
      <c r="D130" s="32"/>
      <c r="E130" s="32"/>
      <c r="F130" s="32">
        <v>5.97190596</v>
      </c>
    </row>
    <row r="131" spans="1:6">
      <c r="A131" s="15">
        <v>24</v>
      </c>
      <c r="B131" s="32"/>
      <c r="C131" s="32"/>
      <c r="D131" s="32"/>
      <c r="E131" s="32"/>
      <c r="F131" s="32"/>
    </row>
    <row r="132" spans="1:6">
      <c r="A132" s="15">
        <v>25</v>
      </c>
      <c r="B132" s="32"/>
      <c r="C132" s="32"/>
      <c r="D132" s="32"/>
      <c r="E132" s="32"/>
      <c r="F132" s="32">
        <v>4.625749613</v>
      </c>
    </row>
    <row r="133" spans="1:6">
      <c r="A133" s="15">
        <v>26</v>
      </c>
      <c r="B133" s="32"/>
      <c r="C133" s="32"/>
      <c r="D133" s="32"/>
      <c r="E133" s="32"/>
      <c r="F133" s="32"/>
    </row>
    <row r="134" spans="1:6">
      <c r="A134" s="15">
        <v>27</v>
      </c>
      <c r="B134" s="32"/>
      <c r="C134" s="32"/>
      <c r="D134" s="32"/>
      <c r="E134" s="32"/>
      <c r="F134" s="32"/>
    </row>
    <row r="135" spans="1:6">
      <c r="A135" s="15">
        <v>28</v>
      </c>
      <c r="B135" s="32"/>
      <c r="C135" s="32"/>
      <c r="D135" s="32"/>
      <c r="E135" s="32"/>
      <c r="F135" s="32">
        <v>0</v>
      </c>
    </row>
    <row r="136" spans="1:6">
      <c r="A136" s="15">
        <v>29</v>
      </c>
      <c r="B136" s="32"/>
      <c r="C136" s="32"/>
      <c r="D136" s="32"/>
      <c r="E136" s="32"/>
      <c r="F136" s="32"/>
    </row>
    <row r="137" spans="1:6">
      <c r="A137" s="15">
        <v>30</v>
      </c>
      <c r="B137" s="32"/>
      <c r="C137" s="32"/>
      <c r="D137" s="32"/>
      <c r="E137" s="32"/>
      <c r="F137" s="32">
        <v>5.6439651380000004</v>
      </c>
    </row>
    <row r="138" spans="1:6">
      <c r="A138" s="15">
        <v>31</v>
      </c>
      <c r="B138" s="32"/>
      <c r="C138" s="32"/>
      <c r="D138" s="32"/>
      <c r="E138" s="32"/>
      <c r="F138" s="32"/>
    </row>
    <row r="139" spans="1:6">
      <c r="A139" s="15">
        <v>32</v>
      </c>
      <c r="B139" s="32"/>
      <c r="C139" s="32"/>
      <c r="D139" s="32"/>
      <c r="E139" s="32"/>
      <c r="F139" s="32">
        <v>6.6332229399999996</v>
      </c>
    </row>
    <row r="140" spans="1:6">
      <c r="A140" s="15">
        <v>33</v>
      </c>
      <c r="B140" s="32"/>
      <c r="C140" s="32"/>
      <c r="D140" s="32"/>
      <c r="E140" s="32"/>
      <c r="F140" s="32"/>
    </row>
    <row r="141" spans="1:6">
      <c r="A141" s="15">
        <v>34</v>
      </c>
      <c r="B141" s="32"/>
      <c r="C141" s="32"/>
      <c r="D141" s="32"/>
      <c r="E141" s="32"/>
      <c r="F141" s="32"/>
    </row>
    <row r="142" spans="1:6">
      <c r="A142" s="15">
        <v>35</v>
      </c>
      <c r="B142" s="32"/>
      <c r="C142" s="32"/>
      <c r="D142" s="32"/>
      <c r="E142" s="32"/>
      <c r="F142" s="32">
        <v>4.8646273520000003</v>
      </c>
    </row>
    <row r="143" spans="1:6">
      <c r="A143" s="15">
        <v>36</v>
      </c>
      <c r="B143" s="32"/>
      <c r="C143" s="32"/>
      <c r="D143" s="32"/>
      <c r="E143" s="32"/>
      <c r="F143" s="32"/>
    </row>
    <row r="144" spans="1:6">
      <c r="A144" s="15">
        <v>37</v>
      </c>
      <c r="B144" s="32"/>
      <c r="C144" s="32"/>
      <c r="D144" s="32"/>
      <c r="E144" s="32"/>
      <c r="F144" s="32">
        <v>4.0439219800000004</v>
      </c>
    </row>
    <row r="145" spans="1:6">
      <c r="A145" s="15">
        <v>38</v>
      </c>
      <c r="B145" s="32"/>
      <c r="C145" s="32"/>
      <c r="D145" s="32"/>
      <c r="E145" s="32"/>
      <c r="F145" s="32"/>
    </row>
    <row r="146" spans="1:6">
      <c r="A146" s="15">
        <v>39</v>
      </c>
      <c r="B146" s="32"/>
      <c r="C146" s="32"/>
      <c r="D146" s="32"/>
      <c r="E146" s="32"/>
      <c r="F146" s="32">
        <v>5.9723721479999998</v>
      </c>
    </row>
    <row r="147" spans="1:6">
      <c r="A147" s="15">
        <v>40</v>
      </c>
      <c r="B147" s="32"/>
      <c r="C147" s="32"/>
      <c r="D147" s="32"/>
      <c r="E147" s="32"/>
      <c r="F147" s="32"/>
    </row>
    <row r="148" spans="1:6">
      <c r="A148" s="15">
        <v>41</v>
      </c>
      <c r="B148" s="32"/>
      <c r="C148" s="32"/>
      <c r="D148" s="32"/>
      <c r="E148" s="32"/>
      <c r="F148" s="32"/>
    </row>
    <row r="149" spans="1:6">
      <c r="A149" s="15">
        <v>42</v>
      </c>
      <c r="B149" s="32"/>
      <c r="C149" s="32"/>
      <c r="D149" s="32"/>
      <c r="E149" s="32"/>
      <c r="F149" s="32">
        <v>8.6330705000000005</v>
      </c>
    </row>
    <row r="150" spans="1:6">
      <c r="A150" s="15">
        <v>43</v>
      </c>
      <c r="B150" s="32"/>
      <c r="C150" s="32"/>
      <c r="D150" s="32"/>
      <c r="E150" s="32"/>
      <c r="F150" s="32"/>
    </row>
    <row r="151" spans="1:6">
      <c r="A151" s="15">
        <v>44</v>
      </c>
      <c r="B151" s="32"/>
      <c r="C151" s="32"/>
      <c r="D151" s="32"/>
      <c r="E151" s="32"/>
      <c r="F151" s="32">
        <v>8.3821037</v>
      </c>
    </row>
    <row r="152" spans="1:6">
      <c r="A152" s="15">
        <v>45</v>
      </c>
      <c r="B152" s="32"/>
      <c r="C152" s="32"/>
      <c r="D152" s="32"/>
      <c r="E152" s="32"/>
      <c r="F152" s="32"/>
    </row>
    <row r="153" spans="1:6">
      <c r="A153" s="15">
        <v>46</v>
      </c>
      <c r="B153" s="32"/>
      <c r="C153" s="32"/>
      <c r="D153" s="32"/>
      <c r="E153" s="32"/>
      <c r="F153" s="32">
        <v>7.9721388800000001</v>
      </c>
    </row>
    <row r="154" spans="1:6">
      <c r="A154" s="15">
        <v>47</v>
      </c>
      <c r="B154" s="32"/>
      <c r="C154" s="32"/>
      <c r="D154" s="32"/>
      <c r="E154" s="32"/>
      <c r="F154" s="32"/>
    </row>
    <row r="155" spans="1:6">
      <c r="A155" s="15">
        <v>48</v>
      </c>
      <c r="B155" s="32"/>
      <c r="C155" s="32"/>
      <c r="D155" s="32"/>
      <c r="E155" s="32"/>
      <c r="F155" s="32"/>
    </row>
    <row r="156" spans="1:6">
      <c r="A156" s="15">
        <v>49</v>
      </c>
      <c r="B156" s="32"/>
      <c r="C156" s="32"/>
      <c r="D156" s="32"/>
      <c r="E156" s="32"/>
      <c r="F156" s="32">
        <v>6.6329180169999997</v>
      </c>
    </row>
    <row r="157" spans="1:6">
      <c r="A157" s="15">
        <v>50</v>
      </c>
      <c r="B157" s="32"/>
      <c r="C157" s="32"/>
      <c r="D157" s="32"/>
      <c r="E157" s="32"/>
      <c r="F157" s="32"/>
    </row>
    <row r="158" spans="1:6">
      <c r="A158" s="15">
        <v>51</v>
      </c>
      <c r="B158" s="32"/>
      <c r="C158" s="32"/>
      <c r="D158" s="32"/>
      <c r="E158" s="32"/>
      <c r="F158" s="32">
        <v>9.5417945</v>
      </c>
    </row>
    <row r="159" spans="1:6">
      <c r="A159" s="15">
        <v>52</v>
      </c>
      <c r="B159" s="32"/>
      <c r="C159" s="32"/>
      <c r="D159" s="32"/>
      <c r="E159" s="32"/>
      <c r="F159" s="32"/>
    </row>
    <row r="160" spans="1:6">
      <c r="A160" s="15">
        <v>53</v>
      </c>
      <c r="B160" s="32"/>
      <c r="C160" s="32"/>
      <c r="D160" s="32"/>
      <c r="E160" s="32"/>
      <c r="F160" s="32">
        <v>4.7857788469999996</v>
      </c>
    </row>
    <row r="161" spans="1:6">
      <c r="A161" s="15">
        <v>54</v>
      </c>
      <c r="B161" s="32"/>
      <c r="C161" s="32"/>
      <c r="D161" s="32"/>
      <c r="E161" s="32"/>
      <c r="F161" s="32"/>
    </row>
    <row r="162" spans="1:6">
      <c r="A162" s="15">
        <v>55</v>
      </c>
      <c r="B162" s="32"/>
      <c r="C162" s="32"/>
      <c r="D162" s="32"/>
      <c r="E162" s="32"/>
      <c r="F162" s="32"/>
    </row>
    <row r="163" spans="1:6">
      <c r="A163" s="15">
        <v>56</v>
      </c>
      <c r="B163" s="32"/>
      <c r="C163" s="32"/>
      <c r="D163" s="32"/>
      <c r="E163" s="32"/>
      <c r="F163" s="32">
        <v>4.3260678800000001</v>
      </c>
    </row>
    <row r="164" spans="1:6">
      <c r="A164" s="15">
        <v>57</v>
      </c>
      <c r="B164" s="32"/>
      <c r="C164" s="32"/>
      <c r="D164" s="32"/>
      <c r="E164" s="32"/>
      <c r="F164" s="32"/>
    </row>
    <row r="165" spans="1:6">
      <c r="A165" s="15">
        <v>58</v>
      </c>
      <c r="B165" s="32"/>
      <c r="C165" s="32"/>
      <c r="D165" s="32"/>
      <c r="E165" s="32"/>
      <c r="F165" s="32">
        <v>3.8613636140000001</v>
      </c>
    </row>
    <row r="166" spans="1:6">
      <c r="A166" s="15">
        <v>59</v>
      </c>
      <c r="B166" s="32"/>
      <c r="C166" s="32"/>
      <c r="D166" s="32"/>
      <c r="E166" s="32"/>
      <c r="F166" s="32"/>
    </row>
    <row r="167" spans="1:6">
      <c r="A167" s="15">
        <v>60</v>
      </c>
      <c r="B167" s="32"/>
      <c r="C167" s="32"/>
      <c r="D167" s="32"/>
      <c r="E167" s="32"/>
      <c r="F167" s="32">
        <v>5.6332119509999998</v>
      </c>
    </row>
    <row r="168" spans="1:6">
      <c r="A168" s="15">
        <v>61</v>
      </c>
      <c r="B168" s="32"/>
      <c r="C168" s="32"/>
      <c r="D168" s="32"/>
      <c r="E168" s="32"/>
      <c r="F168" s="32"/>
    </row>
    <row r="169" spans="1:6">
      <c r="A169" s="15">
        <v>62</v>
      </c>
      <c r="B169" s="32"/>
      <c r="C169" s="32"/>
      <c r="D169" s="32"/>
      <c r="E169" s="32"/>
      <c r="F169" s="32"/>
    </row>
    <row r="170" spans="1:6">
      <c r="A170" s="15">
        <v>63</v>
      </c>
      <c r="B170" s="32"/>
      <c r="C170" s="32"/>
      <c r="D170" s="32"/>
      <c r="E170" s="32"/>
      <c r="F170" s="32">
        <v>0</v>
      </c>
    </row>
    <row r="171" spans="1:6">
      <c r="A171" s="15">
        <v>64</v>
      </c>
      <c r="B171" s="32"/>
      <c r="C171" s="32"/>
      <c r="D171" s="32"/>
      <c r="E171" s="32"/>
      <c r="F171" s="32"/>
    </row>
    <row r="172" spans="1:6">
      <c r="A172" s="15">
        <v>65</v>
      </c>
      <c r="B172" s="32"/>
      <c r="C172" s="32"/>
      <c r="D172" s="32"/>
      <c r="E172" s="32"/>
      <c r="F172" s="32">
        <v>3.4797552089999999</v>
      </c>
    </row>
    <row r="173" spans="1:6">
      <c r="A173" s="15">
        <v>66</v>
      </c>
      <c r="B173" s="32"/>
      <c r="C173" s="32"/>
      <c r="D173" s="32"/>
      <c r="E173" s="32"/>
      <c r="F173" s="32"/>
    </row>
    <row r="174" spans="1:6">
      <c r="A174" s="15">
        <v>67</v>
      </c>
      <c r="B174" s="32"/>
      <c r="C174" s="32"/>
      <c r="D174" s="32"/>
      <c r="E174" s="32"/>
      <c r="F174" s="32">
        <v>0</v>
      </c>
    </row>
    <row r="175" spans="1:6">
      <c r="A175" s="15">
        <v>68</v>
      </c>
      <c r="B175" s="32"/>
      <c r="C175" s="32"/>
      <c r="D175" s="32"/>
      <c r="E175" s="32"/>
      <c r="F175" s="32"/>
    </row>
    <row r="176" spans="1:6">
      <c r="A176" s="15">
        <v>69</v>
      </c>
      <c r="B176" s="32"/>
      <c r="C176" s="32"/>
      <c r="D176" s="32"/>
      <c r="E176" s="32"/>
      <c r="F176" s="32"/>
    </row>
    <row r="177" spans="1:6">
      <c r="A177" s="15">
        <v>70</v>
      </c>
      <c r="B177" s="32"/>
      <c r="C177" s="32"/>
      <c r="D177" s="32"/>
      <c r="E177" s="32"/>
      <c r="F177" s="32">
        <v>3.7880472360000002</v>
      </c>
    </row>
    <row r="178" spans="1:6">
      <c r="A178" s="15">
        <v>71</v>
      </c>
      <c r="B178" s="32"/>
      <c r="C178" s="32"/>
      <c r="D178" s="32"/>
      <c r="E178" s="32"/>
      <c r="F178" s="32"/>
    </row>
    <row r="179" spans="1:6">
      <c r="A179" s="15">
        <v>72</v>
      </c>
      <c r="B179" s="32"/>
      <c r="C179" s="32"/>
      <c r="D179" s="32"/>
      <c r="E179" s="32"/>
      <c r="F179" s="32">
        <v>4.4430369699999996</v>
      </c>
    </row>
    <row r="180" spans="1:6">
      <c r="A180" s="15">
        <v>73</v>
      </c>
      <c r="B180" s="32"/>
      <c r="C180" s="32"/>
      <c r="D180" s="32"/>
      <c r="E180" s="32"/>
      <c r="F180" s="32"/>
    </row>
    <row r="181" spans="1:6">
      <c r="A181" s="15">
        <v>74</v>
      </c>
      <c r="B181" s="32"/>
      <c r="C181" s="32"/>
      <c r="D181" s="32"/>
      <c r="E181" s="32"/>
      <c r="F181" s="32">
        <v>0</v>
      </c>
    </row>
    <row r="182" spans="1:6">
      <c r="A182" s="15">
        <v>75</v>
      </c>
      <c r="B182" s="11"/>
      <c r="C182" s="11"/>
      <c r="D182" s="11"/>
      <c r="E182" s="11"/>
      <c r="F182" s="16"/>
    </row>
    <row r="186" spans="1:6" ht="15.75" thickBot="1"/>
    <row r="187" spans="1:6">
      <c r="A187" s="12" t="s">
        <v>13</v>
      </c>
      <c r="B187" s="13" t="s">
        <v>76</v>
      </c>
      <c r="C187" s="13" t="s">
        <v>46</v>
      </c>
      <c r="D187" s="13" t="s">
        <v>48</v>
      </c>
      <c r="E187" s="13" t="s">
        <v>49</v>
      </c>
      <c r="F187" s="14" t="s">
        <v>50</v>
      </c>
    </row>
    <row r="188" spans="1:6">
      <c r="A188" s="15">
        <v>1</v>
      </c>
      <c r="B188" s="33">
        <v>3.6681180320000002</v>
      </c>
      <c r="C188" s="33">
        <v>3.7807204909999998</v>
      </c>
      <c r="D188" s="33">
        <v>4.3808261699999997</v>
      </c>
      <c r="E188" s="33">
        <v>6.9046777029999999</v>
      </c>
      <c r="F188" s="33">
        <v>11.2848176</v>
      </c>
    </row>
    <row r="189" spans="1:6">
      <c r="A189" s="15">
        <v>2</v>
      </c>
      <c r="B189" s="32"/>
      <c r="C189" s="32"/>
      <c r="D189" s="32"/>
      <c r="E189" s="32"/>
      <c r="F189" s="32"/>
    </row>
    <row r="190" spans="1:6">
      <c r="A190" s="15">
        <v>3</v>
      </c>
      <c r="B190" s="33">
        <v>5.4903371029999999</v>
      </c>
      <c r="C190" s="32">
        <v>0</v>
      </c>
      <c r="D190" s="33">
        <v>3.5839613789999998</v>
      </c>
      <c r="E190" s="33">
        <v>3.5674063280000001</v>
      </c>
      <c r="F190" s="33">
        <v>9.0005028800000009</v>
      </c>
    </row>
    <row r="191" spans="1:6">
      <c r="A191" s="15">
        <v>4</v>
      </c>
      <c r="B191" s="32"/>
      <c r="C191" s="32"/>
      <c r="D191" s="32"/>
      <c r="E191" s="32"/>
      <c r="F191" s="32"/>
    </row>
    <row r="192" spans="1:6">
      <c r="A192" s="15">
        <v>5</v>
      </c>
      <c r="B192" s="32">
        <v>0</v>
      </c>
      <c r="C192" s="32">
        <v>0</v>
      </c>
      <c r="D192" s="32">
        <v>4.1818089430000001</v>
      </c>
      <c r="E192" s="32">
        <v>0</v>
      </c>
      <c r="F192" s="33">
        <v>7.4107330640000004</v>
      </c>
    </row>
    <row r="193" spans="1:6">
      <c r="A193" s="15">
        <v>6</v>
      </c>
      <c r="B193" s="32"/>
      <c r="C193" s="32"/>
      <c r="D193" s="32"/>
      <c r="E193" s="32"/>
      <c r="F193" s="32"/>
    </row>
    <row r="194" spans="1:6">
      <c r="A194" s="15">
        <v>7</v>
      </c>
      <c r="B194" s="32">
        <v>0</v>
      </c>
      <c r="C194" s="32">
        <v>0</v>
      </c>
      <c r="D194" s="32">
        <v>0</v>
      </c>
      <c r="E194" s="32">
        <v>0</v>
      </c>
      <c r="F194" s="33">
        <v>5.7505524689999996</v>
      </c>
    </row>
    <row r="195" spans="1:6">
      <c r="A195" s="15">
        <v>8</v>
      </c>
      <c r="B195" s="32"/>
      <c r="C195" s="32"/>
      <c r="D195" s="32"/>
      <c r="E195" s="32"/>
      <c r="F195" s="32"/>
    </row>
    <row r="196" spans="1:6">
      <c r="A196" s="15">
        <v>9</v>
      </c>
      <c r="B196" s="32"/>
      <c r="C196" s="32"/>
      <c r="D196" s="32"/>
      <c r="E196" s="32"/>
      <c r="F196" s="32"/>
    </row>
    <row r="197" spans="1:6">
      <c r="A197" s="15">
        <v>10</v>
      </c>
      <c r="B197" s="32">
        <v>0</v>
      </c>
      <c r="C197" s="32">
        <v>0</v>
      </c>
      <c r="D197" s="32">
        <v>0</v>
      </c>
      <c r="E197" s="32">
        <v>0</v>
      </c>
      <c r="F197" s="33">
        <v>7.0006912640000003</v>
      </c>
    </row>
    <row r="198" spans="1:6">
      <c r="A198" s="15">
        <v>11</v>
      </c>
      <c r="B198" s="32"/>
      <c r="C198" s="32"/>
      <c r="D198" s="32"/>
      <c r="E198" s="32"/>
      <c r="F198" s="32"/>
    </row>
    <row r="199" spans="1:6">
      <c r="A199" s="15">
        <v>12</v>
      </c>
      <c r="B199" s="32">
        <v>0</v>
      </c>
      <c r="C199" s="32">
        <v>0</v>
      </c>
      <c r="D199" s="32">
        <v>0</v>
      </c>
      <c r="E199" s="32">
        <v>0</v>
      </c>
      <c r="F199" s="33">
        <v>4.3289312119999996</v>
      </c>
    </row>
    <row r="200" spans="1:6">
      <c r="A200" s="15">
        <v>13</v>
      </c>
      <c r="B200" s="32"/>
      <c r="C200" s="32"/>
      <c r="D200" s="32"/>
      <c r="E200" s="32"/>
      <c r="F200" s="32"/>
    </row>
    <row r="201" spans="1:6">
      <c r="A201" s="15">
        <v>14</v>
      </c>
      <c r="B201" s="32">
        <v>0</v>
      </c>
      <c r="C201" s="32">
        <v>0</v>
      </c>
      <c r="D201" s="32">
        <v>0</v>
      </c>
      <c r="E201" s="32">
        <v>0</v>
      </c>
      <c r="F201" s="33">
        <v>4.4868746929999999</v>
      </c>
    </row>
    <row r="202" spans="1:6">
      <c r="A202" s="15">
        <v>15</v>
      </c>
      <c r="B202" s="32"/>
      <c r="C202" s="32"/>
      <c r="D202" s="32"/>
      <c r="E202" s="32"/>
      <c r="F202" s="32"/>
    </row>
    <row r="203" spans="1:6">
      <c r="A203" s="15">
        <v>16</v>
      </c>
      <c r="B203" s="32"/>
      <c r="C203" s="32"/>
      <c r="D203" s="32"/>
      <c r="E203" s="32"/>
      <c r="F203" s="32"/>
    </row>
    <row r="204" spans="1:6">
      <c r="A204" s="15">
        <v>17</v>
      </c>
      <c r="B204" s="32">
        <v>0</v>
      </c>
      <c r="C204" s="32">
        <v>0</v>
      </c>
      <c r="D204" s="32">
        <v>0</v>
      </c>
      <c r="E204" s="32">
        <v>0</v>
      </c>
      <c r="F204" s="33">
        <v>0</v>
      </c>
    </row>
    <row r="205" spans="1:6">
      <c r="A205" s="15">
        <v>18</v>
      </c>
      <c r="B205" s="32">
        <v>0</v>
      </c>
      <c r="C205" s="32"/>
      <c r="D205" s="32">
        <v>0</v>
      </c>
      <c r="E205" s="32">
        <v>0</v>
      </c>
      <c r="F205" s="32"/>
    </row>
    <row r="206" spans="1:6">
      <c r="A206" s="15">
        <v>19</v>
      </c>
      <c r="B206" s="32"/>
      <c r="C206" s="32">
        <v>0</v>
      </c>
      <c r="D206" s="32"/>
      <c r="E206" s="32"/>
      <c r="F206" s="32">
        <v>3.8229326619999999</v>
      </c>
    </row>
    <row r="207" spans="1:6">
      <c r="A207" s="15">
        <v>20</v>
      </c>
      <c r="B207" s="32"/>
      <c r="C207" s="32"/>
      <c r="D207" s="32"/>
      <c r="E207" s="32"/>
      <c r="F207" s="32"/>
    </row>
    <row r="208" spans="1:6">
      <c r="A208" s="15">
        <v>21</v>
      </c>
      <c r="B208" s="32"/>
      <c r="C208" s="32">
        <v>0</v>
      </c>
      <c r="D208" s="32"/>
      <c r="E208" s="32"/>
      <c r="F208" s="32">
        <v>0</v>
      </c>
    </row>
    <row r="209" spans="1:6">
      <c r="A209" s="15">
        <v>22</v>
      </c>
      <c r="B209" s="32"/>
      <c r="C209" s="32"/>
      <c r="D209" s="32"/>
      <c r="E209" s="32"/>
      <c r="F209" s="32"/>
    </row>
    <row r="210" spans="1:6">
      <c r="A210" s="15">
        <v>23</v>
      </c>
      <c r="B210" s="32"/>
      <c r="C210" s="32"/>
      <c r="D210" s="32"/>
      <c r="E210" s="32"/>
      <c r="F210" s="32"/>
    </row>
    <row r="211" spans="1:6">
      <c r="A211" s="15">
        <v>24</v>
      </c>
      <c r="B211" s="32"/>
      <c r="C211" s="32">
        <v>0</v>
      </c>
      <c r="D211" s="32"/>
      <c r="E211" s="32"/>
      <c r="F211" s="32">
        <v>0</v>
      </c>
    </row>
    <row r="212" spans="1:6">
      <c r="A212" s="15">
        <v>25</v>
      </c>
      <c r="B212" s="32"/>
      <c r="C212" s="32"/>
      <c r="D212" s="32"/>
      <c r="E212" s="32"/>
      <c r="F212" s="32"/>
    </row>
    <row r="213" spans="1:6">
      <c r="A213" s="15">
        <v>26</v>
      </c>
      <c r="B213" s="32"/>
      <c r="C213" s="32">
        <v>0</v>
      </c>
      <c r="D213" s="32"/>
      <c r="E213" s="32"/>
      <c r="F213" s="32">
        <v>0</v>
      </c>
    </row>
    <row r="214" spans="1:6">
      <c r="A214" s="15">
        <v>27</v>
      </c>
      <c r="B214" s="32"/>
      <c r="C214" s="32">
        <v>0</v>
      </c>
      <c r="D214" s="32"/>
      <c r="E214" s="32"/>
      <c r="F214" s="32"/>
    </row>
    <row r="215" spans="1:6">
      <c r="A215" s="29">
        <v>28</v>
      </c>
      <c r="B215" s="32"/>
      <c r="C215" s="32"/>
      <c r="D215" s="32"/>
      <c r="E215" s="32"/>
      <c r="F215" s="32">
        <v>0</v>
      </c>
    </row>
    <row r="216" spans="1:6">
      <c r="A216" s="29">
        <v>29</v>
      </c>
      <c r="B216" s="32"/>
      <c r="C216" s="32"/>
      <c r="D216" s="32"/>
      <c r="E216" s="32"/>
      <c r="F216" s="32"/>
    </row>
    <row r="217" spans="1:6">
      <c r="A217" s="29">
        <v>30</v>
      </c>
      <c r="B217" s="32"/>
      <c r="C217" s="32"/>
      <c r="D217" s="32"/>
      <c r="E217" s="32"/>
      <c r="F217" s="32"/>
    </row>
    <row r="218" spans="1:6">
      <c r="A218" s="29">
        <v>31</v>
      </c>
      <c r="B218" s="32"/>
      <c r="C218" s="32"/>
      <c r="D218" s="32"/>
      <c r="E218" s="32"/>
      <c r="F218" s="32">
        <v>0</v>
      </c>
    </row>
    <row r="219" spans="1:6">
      <c r="A219" s="29">
        <v>32</v>
      </c>
      <c r="B219" s="32"/>
      <c r="C219" s="32"/>
      <c r="D219" s="32"/>
      <c r="E219" s="32"/>
      <c r="F219" s="32"/>
    </row>
    <row r="220" spans="1:6" ht="15.75" thickBot="1">
      <c r="A220" s="30">
        <v>33</v>
      </c>
      <c r="B220" s="32"/>
      <c r="C220" s="32"/>
      <c r="D220" s="32"/>
      <c r="E220" s="32"/>
      <c r="F220" s="32"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5"/>
  <sheetViews>
    <sheetView topLeftCell="C1" workbookViewId="0">
      <selection activeCell="N26" sqref="N26"/>
    </sheetView>
  </sheetViews>
  <sheetFormatPr defaultRowHeight="15"/>
  <cols>
    <col min="1" max="1" width="10.7109375" customWidth="1"/>
    <col min="2" max="2" width="16.42578125" customWidth="1"/>
    <col min="3" max="3" width="17.42578125" customWidth="1"/>
    <col min="4" max="4" width="15.42578125" customWidth="1"/>
    <col min="5" max="5" width="16.85546875" customWidth="1"/>
    <col min="6" max="6" width="18.140625" customWidth="1"/>
  </cols>
  <sheetData>
    <row r="1" spans="1:6">
      <c r="A1" s="12" t="s">
        <v>13</v>
      </c>
      <c r="B1" s="13" t="s">
        <v>45</v>
      </c>
      <c r="C1" s="13" t="s">
        <v>77</v>
      </c>
      <c r="D1" s="13" t="s">
        <v>47</v>
      </c>
      <c r="E1" s="13" t="s">
        <v>78</v>
      </c>
      <c r="F1" s="14" t="s">
        <v>50</v>
      </c>
    </row>
    <row r="2" spans="1:6">
      <c r="A2" s="15">
        <v>1</v>
      </c>
      <c r="B2" s="32">
        <v>0</v>
      </c>
      <c r="C2" s="33">
        <v>4.9540446190000003</v>
      </c>
      <c r="D2" s="33">
        <v>6.644948512</v>
      </c>
      <c r="E2" s="33">
        <v>10.03751209</v>
      </c>
      <c r="F2" s="33">
        <v>11.51807039</v>
      </c>
    </row>
    <row r="3" spans="1:6">
      <c r="A3" s="15">
        <v>2</v>
      </c>
      <c r="B3" s="32"/>
      <c r="C3" s="32"/>
      <c r="D3" s="32"/>
      <c r="E3" s="32"/>
      <c r="F3" s="32"/>
    </row>
    <row r="4" spans="1:6">
      <c r="A4" s="15">
        <v>3</v>
      </c>
      <c r="B4" s="32">
        <v>0</v>
      </c>
      <c r="C4" s="33">
        <v>3.5709396940000002</v>
      </c>
      <c r="D4" s="32">
        <v>0</v>
      </c>
      <c r="E4" s="33">
        <v>7.9772026010000001</v>
      </c>
      <c r="F4" s="33">
        <v>9.0757943799999996</v>
      </c>
    </row>
    <row r="5" spans="1:6">
      <c r="A5" s="15">
        <v>4</v>
      </c>
      <c r="B5" s="32"/>
      <c r="C5" s="32"/>
      <c r="D5" s="32"/>
      <c r="E5" s="32"/>
      <c r="F5" s="32"/>
    </row>
    <row r="6" spans="1:6">
      <c r="A6" s="15">
        <v>5</v>
      </c>
      <c r="B6" s="32"/>
      <c r="C6" s="32"/>
      <c r="D6" s="32"/>
      <c r="E6" s="32"/>
      <c r="F6" s="32"/>
    </row>
    <row r="7" spans="1:6">
      <c r="A7" s="15">
        <v>6</v>
      </c>
      <c r="B7" s="32"/>
      <c r="C7" s="32"/>
      <c r="D7" s="32"/>
      <c r="E7" s="32"/>
      <c r="F7" s="32"/>
    </row>
    <row r="8" spans="1:6">
      <c r="A8" s="15">
        <v>7</v>
      </c>
      <c r="B8" s="32">
        <v>0</v>
      </c>
      <c r="C8" s="33">
        <v>0</v>
      </c>
      <c r="D8" s="32">
        <v>0</v>
      </c>
      <c r="E8" s="33">
        <v>6.6377489279999997</v>
      </c>
      <c r="F8" s="33">
        <v>7.6804739030000002</v>
      </c>
    </row>
    <row r="9" spans="1:6">
      <c r="A9" s="15">
        <v>8</v>
      </c>
      <c r="B9" s="32"/>
      <c r="C9" s="32"/>
      <c r="D9" s="32"/>
      <c r="E9" s="32"/>
      <c r="F9" s="32"/>
    </row>
    <row r="10" spans="1:6">
      <c r="A10" s="15">
        <v>9</v>
      </c>
      <c r="B10" s="32">
        <v>0</v>
      </c>
      <c r="C10" s="32">
        <v>4.071462232</v>
      </c>
      <c r="D10" s="32">
        <v>0</v>
      </c>
      <c r="E10" s="32">
        <v>6.1746385779999997</v>
      </c>
      <c r="F10" s="33">
        <v>8.0602822100000004</v>
      </c>
    </row>
    <row r="11" spans="1:6">
      <c r="A11" s="15">
        <v>10</v>
      </c>
      <c r="B11" s="32"/>
      <c r="C11" s="32"/>
      <c r="D11" s="32"/>
      <c r="E11" s="32"/>
      <c r="F11" s="32"/>
    </row>
    <row r="12" spans="1:6">
      <c r="A12" s="15">
        <v>11</v>
      </c>
      <c r="B12" s="32">
        <v>0</v>
      </c>
      <c r="C12" s="32">
        <v>0</v>
      </c>
      <c r="D12" s="32">
        <v>0</v>
      </c>
      <c r="E12" s="32">
        <v>4.9021960499999997</v>
      </c>
      <c r="F12" s="33">
        <v>7.6841539870000002</v>
      </c>
    </row>
    <row r="13" spans="1:6">
      <c r="A13" s="15">
        <v>12</v>
      </c>
      <c r="B13" s="32"/>
      <c r="C13" s="32"/>
      <c r="D13" s="32"/>
      <c r="E13" s="32"/>
      <c r="F13" s="32"/>
    </row>
    <row r="14" spans="1:6">
      <c r="A14" s="15">
        <v>13</v>
      </c>
      <c r="B14" s="32"/>
      <c r="C14" s="32"/>
      <c r="D14" s="32"/>
      <c r="E14" s="32"/>
      <c r="F14" s="32"/>
    </row>
    <row r="15" spans="1:6">
      <c r="A15" s="15">
        <v>14</v>
      </c>
      <c r="B15" s="32">
        <v>0</v>
      </c>
      <c r="C15" s="33">
        <v>0</v>
      </c>
      <c r="D15" s="32">
        <v>0</v>
      </c>
      <c r="E15" s="33">
        <v>5.6507746000000001</v>
      </c>
      <c r="F15" s="33">
        <v>5.8025134129999998</v>
      </c>
    </row>
    <row r="16" spans="1:6">
      <c r="A16" s="15">
        <v>15</v>
      </c>
      <c r="B16" s="32"/>
      <c r="C16" s="32"/>
      <c r="D16" s="32"/>
      <c r="E16" s="32"/>
      <c r="F16" s="32"/>
    </row>
    <row r="17" spans="1:6">
      <c r="A17" s="15">
        <v>16</v>
      </c>
      <c r="B17" s="32">
        <v>0</v>
      </c>
      <c r="C17" s="32">
        <v>0</v>
      </c>
      <c r="D17" s="32">
        <v>0</v>
      </c>
      <c r="E17" s="32">
        <v>6.3871703100000001</v>
      </c>
      <c r="F17" s="33">
        <v>4.6497616400000004</v>
      </c>
    </row>
    <row r="18" spans="1:6">
      <c r="A18" s="15">
        <v>17</v>
      </c>
      <c r="B18" s="32"/>
      <c r="C18" s="32"/>
      <c r="D18" s="32"/>
      <c r="E18" s="32"/>
      <c r="F18" s="32"/>
    </row>
    <row r="19" spans="1:6">
      <c r="A19" s="15">
        <v>18</v>
      </c>
      <c r="B19" s="32">
        <v>0</v>
      </c>
      <c r="C19" s="32">
        <v>0</v>
      </c>
      <c r="D19" s="32">
        <v>0</v>
      </c>
      <c r="E19" s="32">
        <v>5.9758043609999998</v>
      </c>
      <c r="F19" s="33">
        <v>5.8606841059999999</v>
      </c>
    </row>
    <row r="20" spans="1:6">
      <c r="A20" s="15">
        <v>19</v>
      </c>
      <c r="B20" s="32"/>
      <c r="C20" s="32"/>
      <c r="D20" s="32"/>
      <c r="E20" s="32"/>
      <c r="F20" s="32"/>
    </row>
    <row r="21" spans="1:6">
      <c r="A21" s="15">
        <v>20</v>
      </c>
      <c r="B21" s="32"/>
      <c r="C21" s="32"/>
      <c r="D21" s="32"/>
      <c r="E21" s="32"/>
      <c r="F21" s="32"/>
    </row>
    <row r="22" spans="1:6">
      <c r="A22" s="15">
        <v>21</v>
      </c>
      <c r="B22" s="32">
        <v>0</v>
      </c>
      <c r="C22" s="32">
        <v>0</v>
      </c>
      <c r="D22" s="32">
        <v>0</v>
      </c>
      <c r="E22" s="32">
        <v>4.3169720529999998</v>
      </c>
      <c r="F22" s="32">
        <v>0</v>
      </c>
    </row>
    <row r="23" spans="1:6">
      <c r="A23" s="15">
        <v>22</v>
      </c>
      <c r="B23" s="32"/>
      <c r="C23" s="32"/>
      <c r="D23" s="32"/>
      <c r="E23" s="32"/>
      <c r="F23" s="32"/>
    </row>
    <row r="24" spans="1:6">
      <c r="A24" s="15">
        <v>23</v>
      </c>
      <c r="B24" s="32"/>
      <c r="C24" s="32"/>
      <c r="D24" s="32"/>
      <c r="E24" s="32">
        <v>3.8766103759999999</v>
      </c>
      <c r="F24" s="32">
        <v>4.3995525869999996</v>
      </c>
    </row>
    <row r="25" spans="1:6">
      <c r="A25" s="15">
        <v>24</v>
      </c>
      <c r="B25" s="32"/>
      <c r="C25" s="32"/>
      <c r="D25" s="32"/>
      <c r="E25" s="32"/>
      <c r="F25" s="32"/>
    </row>
    <row r="26" spans="1:6">
      <c r="A26" s="15">
        <v>25</v>
      </c>
      <c r="B26" s="32"/>
      <c r="C26" s="32"/>
      <c r="D26" s="32"/>
      <c r="E26" s="32">
        <v>3.5637420579999999</v>
      </c>
      <c r="F26" s="32">
        <v>0</v>
      </c>
    </row>
    <row r="27" spans="1:6">
      <c r="A27" s="15">
        <v>26</v>
      </c>
      <c r="B27" s="32"/>
      <c r="C27" s="32"/>
      <c r="D27" s="32"/>
      <c r="E27" s="32"/>
      <c r="F27" s="32"/>
    </row>
    <row r="28" spans="1:6">
      <c r="A28" s="15">
        <v>27</v>
      </c>
      <c r="B28" s="32"/>
      <c r="C28" s="32"/>
      <c r="D28" s="32"/>
      <c r="E28" s="32"/>
      <c r="F28" s="32"/>
    </row>
    <row r="29" spans="1:6">
      <c r="A29" s="15">
        <v>28</v>
      </c>
      <c r="B29" s="32"/>
      <c r="C29" s="32"/>
      <c r="D29" s="32"/>
      <c r="E29" s="32">
        <v>6.6377489279999997</v>
      </c>
      <c r="F29" s="32">
        <v>6.6497520090000002</v>
      </c>
    </row>
    <row r="30" spans="1:6">
      <c r="A30" s="15">
        <v>29</v>
      </c>
      <c r="B30" s="32"/>
      <c r="C30" s="32"/>
      <c r="D30" s="32"/>
      <c r="E30" s="32"/>
      <c r="F30" s="32"/>
    </row>
    <row r="31" spans="1:6">
      <c r="A31" s="15">
        <v>30</v>
      </c>
      <c r="B31" s="32"/>
      <c r="C31" s="32"/>
      <c r="D31" s="32"/>
      <c r="E31" s="32">
        <v>9.9735148000000002</v>
      </c>
      <c r="F31" s="32">
        <v>5.6446374720000003</v>
      </c>
    </row>
    <row r="32" spans="1:6">
      <c r="A32" s="15">
        <v>31</v>
      </c>
      <c r="B32" s="32"/>
      <c r="C32" s="32"/>
      <c r="D32" s="32"/>
      <c r="E32" s="32"/>
      <c r="F32" s="32"/>
    </row>
    <row r="33" spans="1:6">
      <c r="A33" s="15">
        <v>32</v>
      </c>
      <c r="B33" s="32"/>
      <c r="C33" s="32"/>
      <c r="D33" s="32"/>
      <c r="E33" s="32">
        <v>9.3036284699999996</v>
      </c>
      <c r="F33" s="32">
        <v>3.987851649</v>
      </c>
    </row>
    <row r="34" spans="1:6">
      <c r="A34" s="15">
        <v>33</v>
      </c>
      <c r="B34" s="32"/>
      <c r="C34" s="32"/>
      <c r="D34" s="32"/>
      <c r="E34" s="32"/>
      <c r="F34" s="32"/>
    </row>
    <row r="35" spans="1:6">
      <c r="A35" s="15">
        <v>34</v>
      </c>
      <c r="B35" s="32"/>
      <c r="C35" s="32"/>
      <c r="D35" s="32"/>
      <c r="E35" s="32"/>
      <c r="F35" s="32"/>
    </row>
    <row r="36" spans="1:6">
      <c r="A36" s="15">
        <v>35</v>
      </c>
      <c r="B36" s="32"/>
      <c r="C36" s="32"/>
      <c r="D36" s="32"/>
      <c r="E36" s="32">
        <v>7.638053846</v>
      </c>
      <c r="F36" s="32">
        <v>3.987851649</v>
      </c>
    </row>
    <row r="37" spans="1:6">
      <c r="A37" s="15">
        <v>36</v>
      </c>
      <c r="B37" s="32"/>
      <c r="C37" s="32"/>
      <c r="D37" s="32"/>
      <c r="E37" s="32"/>
      <c r="F37" s="32"/>
    </row>
    <row r="38" spans="1:6">
      <c r="A38" s="15">
        <v>37</v>
      </c>
      <c r="B38" s="32"/>
      <c r="C38" s="32"/>
      <c r="D38" s="32"/>
      <c r="E38" s="32">
        <v>6.6507737259999997</v>
      </c>
      <c r="F38" s="32">
        <v>0</v>
      </c>
    </row>
    <row r="39" spans="1:6">
      <c r="A39" s="15">
        <v>38</v>
      </c>
      <c r="B39" s="32"/>
      <c r="C39" s="32"/>
      <c r="D39" s="32"/>
      <c r="E39" s="32"/>
      <c r="F39" s="32"/>
    </row>
    <row r="40" spans="1:6">
      <c r="A40" s="15">
        <v>39</v>
      </c>
      <c r="B40" s="32"/>
      <c r="C40" s="32"/>
      <c r="D40" s="32"/>
      <c r="E40" s="32">
        <v>7.1743427779999998</v>
      </c>
      <c r="F40" s="32">
        <v>3.9831570140000001</v>
      </c>
    </row>
    <row r="41" spans="1:6">
      <c r="A41" s="15">
        <v>40</v>
      </c>
      <c r="B41" s="32"/>
      <c r="C41" s="32"/>
      <c r="D41" s="32"/>
      <c r="E41" s="32"/>
      <c r="F41" s="32"/>
    </row>
    <row r="42" spans="1:6">
      <c r="A42" s="15">
        <v>41</v>
      </c>
      <c r="B42" s="32"/>
      <c r="C42" s="32"/>
      <c r="D42" s="32"/>
      <c r="E42" s="32"/>
      <c r="F42" s="32"/>
    </row>
    <row r="43" spans="1:6">
      <c r="A43" s="15">
        <v>42</v>
      </c>
      <c r="B43" s="32"/>
      <c r="C43" s="32"/>
      <c r="D43" s="32"/>
      <c r="E43" s="32">
        <v>10.36235138</v>
      </c>
      <c r="F43" s="32">
        <v>0</v>
      </c>
    </row>
    <row r="44" spans="1:6">
      <c r="A44" s="15">
        <v>43</v>
      </c>
      <c r="B44" s="32"/>
      <c r="C44" s="32"/>
      <c r="D44" s="32"/>
      <c r="E44" s="32"/>
      <c r="F44" s="32"/>
    </row>
    <row r="45" spans="1:6">
      <c r="A45" s="15">
        <v>44</v>
      </c>
      <c r="B45" s="32"/>
      <c r="C45" s="32"/>
      <c r="D45" s="32"/>
      <c r="E45" s="32">
        <v>7.3713088009999996</v>
      </c>
      <c r="F45" s="32">
        <v>0</v>
      </c>
    </row>
    <row r="46" spans="1:6">
      <c r="A46" s="15">
        <v>45</v>
      </c>
      <c r="B46" s="32"/>
      <c r="C46" s="32"/>
      <c r="D46" s="32"/>
      <c r="E46" s="32"/>
      <c r="F46" s="32"/>
    </row>
    <row r="47" spans="1:6">
      <c r="A47" s="15">
        <v>46</v>
      </c>
      <c r="B47" s="32"/>
      <c r="C47" s="32"/>
      <c r="D47" s="32"/>
      <c r="E47" s="32">
        <v>8.3871339099999993</v>
      </c>
      <c r="F47" s="32">
        <v>0</v>
      </c>
    </row>
    <row r="48" spans="1:6">
      <c r="A48" s="15">
        <v>47</v>
      </c>
      <c r="B48" s="32"/>
      <c r="C48" s="32"/>
      <c r="D48" s="32"/>
      <c r="E48" s="32"/>
      <c r="F48" s="32"/>
    </row>
    <row r="49" spans="1:6">
      <c r="A49" s="15">
        <v>48</v>
      </c>
      <c r="B49" s="32"/>
      <c r="C49" s="32"/>
      <c r="D49" s="32"/>
      <c r="E49" s="32"/>
      <c r="F49" s="32"/>
    </row>
    <row r="50" spans="1:6">
      <c r="A50" s="15">
        <v>49</v>
      </c>
      <c r="B50" s="32"/>
      <c r="C50" s="32"/>
      <c r="D50" s="32"/>
      <c r="E50" s="32">
        <v>0</v>
      </c>
      <c r="F50" s="32">
        <v>0</v>
      </c>
    </row>
    <row r="51" spans="1:6">
      <c r="A51" s="15">
        <v>50</v>
      </c>
      <c r="B51" s="32"/>
      <c r="C51" s="32"/>
      <c r="D51" s="32"/>
      <c r="E51" s="32"/>
      <c r="F51" s="32"/>
    </row>
    <row r="52" spans="1:6">
      <c r="A52" s="15">
        <v>51</v>
      </c>
      <c r="B52" s="32"/>
      <c r="C52" s="32"/>
      <c r="D52" s="32"/>
      <c r="E52" s="32">
        <v>4.5871157870000001</v>
      </c>
      <c r="F52" s="32">
        <v>0</v>
      </c>
    </row>
    <row r="53" spans="1:6">
      <c r="A53" s="15">
        <v>52</v>
      </c>
      <c r="B53" s="32"/>
      <c r="C53" s="32"/>
      <c r="D53" s="32"/>
      <c r="E53" s="32"/>
      <c r="F53" s="32"/>
    </row>
    <row r="54" spans="1:6">
      <c r="A54" s="15">
        <v>53</v>
      </c>
      <c r="B54" s="32"/>
      <c r="C54" s="32"/>
      <c r="D54" s="32"/>
      <c r="E54" s="32">
        <v>8.3867990470000002</v>
      </c>
      <c r="F54" s="32"/>
    </row>
    <row r="55" spans="1:6">
      <c r="A55" s="15">
        <v>54</v>
      </c>
      <c r="B55" s="32"/>
      <c r="C55" s="32"/>
      <c r="D55" s="32"/>
      <c r="E55" s="32"/>
      <c r="F55" s="32"/>
    </row>
    <row r="56" spans="1:6">
      <c r="A56" s="15">
        <v>55</v>
      </c>
      <c r="B56" s="32"/>
      <c r="C56" s="32"/>
      <c r="D56" s="32"/>
      <c r="E56" s="32"/>
      <c r="F56" s="32"/>
    </row>
    <row r="57" spans="1:6">
      <c r="A57" s="15">
        <v>56</v>
      </c>
      <c r="B57" s="32"/>
      <c r="C57" s="32"/>
      <c r="D57" s="32"/>
      <c r="E57" s="32">
        <v>6.9771077579999998</v>
      </c>
      <c r="F57" s="32"/>
    </row>
    <row r="58" spans="1:6">
      <c r="A58" s="15">
        <v>57</v>
      </c>
      <c r="B58" s="32"/>
      <c r="C58" s="32"/>
      <c r="D58" s="32"/>
      <c r="E58" s="32"/>
      <c r="F58" s="32"/>
    </row>
    <row r="59" spans="1:6">
      <c r="A59" s="15">
        <v>58</v>
      </c>
      <c r="B59" s="32"/>
      <c r="C59" s="32"/>
      <c r="D59" s="32"/>
      <c r="E59" s="32">
        <v>7.1743139820000001</v>
      </c>
      <c r="F59" s="32"/>
    </row>
    <row r="60" spans="1:6">
      <c r="A60" s="15">
        <v>59</v>
      </c>
      <c r="B60" s="32"/>
      <c r="C60" s="32"/>
      <c r="D60" s="32"/>
      <c r="E60" s="32"/>
      <c r="F60" s="32"/>
    </row>
    <row r="61" spans="1:6">
      <c r="A61" s="15">
        <v>60</v>
      </c>
      <c r="B61" s="32"/>
      <c r="C61" s="32"/>
      <c r="D61" s="32"/>
      <c r="E61" s="32">
        <v>6.6380404070000001</v>
      </c>
      <c r="F61" s="32"/>
    </row>
    <row r="62" spans="1:6">
      <c r="A62" s="15">
        <v>61</v>
      </c>
      <c r="B62" s="32"/>
      <c r="C62" s="32"/>
      <c r="D62" s="32"/>
      <c r="E62" s="32"/>
      <c r="F62" s="32"/>
    </row>
    <row r="63" spans="1:6">
      <c r="A63" s="15">
        <v>62</v>
      </c>
      <c r="B63" s="32"/>
      <c r="C63" s="32"/>
      <c r="D63" s="32"/>
      <c r="E63" s="32"/>
      <c r="F63" s="32"/>
    </row>
    <row r="64" spans="1:6">
      <c r="A64" s="15">
        <v>63</v>
      </c>
      <c r="B64" s="32"/>
      <c r="C64" s="32"/>
      <c r="D64" s="32"/>
      <c r="E64" s="32">
        <v>3.785680852</v>
      </c>
      <c r="F64" s="32"/>
    </row>
    <row r="65" spans="1:6">
      <c r="A65" s="15">
        <v>64</v>
      </c>
      <c r="B65" s="32"/>
      <c r="C65" s="32"/>
      <c r="D65" s="32"/>
      <c r="E65" s="32"/>
      <c r="F65" s="32"/>
    </row>
    <row r="66" spans="1:6">
      <c r="A66" s="15">
        <v>65</v>
      </c>
      <c r="B66" s="32"/>
      <c r="C66" s="32"/>
      <c r="D66" s="32"/>
      <c r="E66" s="32">
        <v>7.1743184189999996</v>
      </c>
      <c r="F66" s="32"/>
    </row>
    <row r="67" spans="1:6">
      <c r="A67" s="15">
        <v>66</v>
      </c>
      <c r="B67" s="32"/>
      <c r="C67" s="32"/>
      <c r="D67" s="32"/>
      <c r="E67" s="32"/>
      <c r="F67" s="32"/>
    </row>
    <row r="68" spans="1:6">
      <c r="A68" s="15">
        <v>67</v>
      </c>
      <c r="B68" s="32"/>
      <c r="C68" s="32"/>
      <c r="D68" s="32"/>
      <c r="E68" s="32">
        <v>7.064961329</v>
      </c>
      <c r="F68" s="32"/>
    </row>
    <row r="69" spans="1:6">
      <c r="A69" s="15">
        <v>68</v>
      </c>
      <c r="B69" s="32"/>
      <c r="C69" s="32"/>
      <c r="D69" s="32"/>
      <c r="E69" s="32"/>
      <c r="F69" s="32"/>
    </row>
    <row r="70" spans="1:6">
      <c r="A70" s="15">
        <v>69</v>
      </c>
      <c r="B70" s="32"/>
      <c r="C70" s="32"/>
      <c r="D70" s="32"/>
      <c r="E70" s="32"/>
      <c r="F70" s="32"/>
    </row>
    <row r="71" spans="1:6">
      <c r="A71" s="15">
        <v>70</v>
      </c>
      <c r="B71" s="32"/>
      <c r="C71" s="32"/>
      <c r="D71" s="32"/>
      <c r="E71" s="32">
        <v>0</v>
      </c>
      <c r="F71" s="32"/>
    </row>
    <row r="72" spans="1:6">
      <c r="A72" s="15">
        <v>71</v>
      </c>
      <c r="B72" s="32"/>
      <c r="C72" s="32"/>
      <c r="D72" s="32"/>
      <c r="E72" s="32"/>
      <c r="F72" s="32"/>
    </row>
    <row r="73" spans="1:6">
      <c r="A73" s="15">
        <v>72</v>
      </c>
      <c r="B73" s="32"/>
      <c r="C73" s="32"/>
      <c r="D73" s="32"/>
      <c r="E73" s="32">
        <v>5.977111345</v>
      </c>
      <c r="F73" s="32"/>
    </row>
    <row r="74" spans="1:6">
      <c r="A74" s="15">
        <v>73</v>
      </c>
      <c r="B74" s="32"/>
      <c r="C74" s="32"/>
      <c r="D74" s="32"/>
      <c r="E74" s="32"/>
      <c r="F74" s="32"/>
    </row>
    <row r="75" spans="1:6">
      <c r="A75" s="15">
        <v>74</v>
      </c>
      <c r="B75" s="32"/>
      <c r="C75" s="32"/>
      <c r="D75" s="32"/>
      <c r="E75" s="32">
        <v>6.6137150650000001</v>
      </c>
      <c r="F75" s="32"/>
    </row>
    <row r="76" spans="1:6" ht="15.75" thickBot="1">
      <c r="A76" s="17">
        <v>75</v>
      </c>
      <c r="B76" s="18"/>
      <c r="C76" s="18"/>
      <c r="D76" s="18"/>
      <c r="E76" s="18"/>
      <c r="F76" s="19"/>
    </row>
    <row r="79" spans="1:6" ht="15.75" thickBot="1"/>
    <row r="80" spans="1:6">
      <c r="A80" s="12" t="s">
        <v>13</v>
      </c>
      <c r="B80" s="13" t="s">
        <v>51</v>
      </c>
      <c r="C80" s="13" t="s">
        <v>46</v>
      </c>
      <c r="D80" s="13" t="s">
        <v>48</v>
      </c>
      <c r="E80" s="13" t="s">
        <v>49</v>
      </c>
      <c r="F80" s="14" t="s">
        <v>50</v>
      </c>
    </row>
    <row r="81" spans="1:6">
      <c r="A81" s="15">
        <v>1</v>
      </c>
      <c r="B81" s="33">
        <v>4.0351665680000002</v>
      </c>
      <c r="C81" s="32">
        <v>0</v>
      </c>
      <c r="D81" s="33">
        <v>9.8400330199999999</v>
      </c>
      <c r="E81" s="33">
        <v>9.3827385000000003</v>
      </c>
      <c r="F81" s="33">
        <v>4.8852581260000001</v>
      </c>
    </row>
    <row r="82" spans="1:6">
      <c r="A82" s="15">
        <v>2</v>
      </c>
      <c r="B82" s="32"/>
      <c r="C82" s="32"/>
      <c r="D82" s="32"/>
      <c r="E82" s="32"/>
      <c r="F82" s="32"/>
    </row>
    <row r="83" spans="1:6">
      <c r="A83" s="15">
        <v>3</v>
      </c>
      <c r="B83" s="33">
        <v>0</v>
      </c>
      <c r="C83" s="32">
        <v>0</v>
      </c>
      <c r="D83" s="33">
        <v>5.1747717489999996</v>
      </c>
      <c r="E83" s="33">
        <v>5.1545886090000002</v>
      </c>
      <c r="F83" s="33">
        <v>6.1767171090000001</v>
      </c>
    </row>
    <row r="84" spans="1:6">
      <c r="A84" s="15">
        <v>4</v>
      </c>
      <c r="B84" s="32"/>
      <c r="C84" s="32"/>
      <c r="D84" s="32"/>
      <c r="E84" s="32"/>
      <c r="F84" s="32"/>
    </row>
    <row r="85" spans="1:6">
      <c r="A85" s="15">
        <v>5</v>
      </c>
      <c r="B85" s="32"/>
      <c r="C85" s="32"/>
      <c r="D85" s="32"/>
      <c r="E85" s="32"/>
      <c r="F85" s="32"/>
    </row>
    <row r="86" spans="1:6">
      <c r="A86" s="15">
        <v>6</v>
      </c>
      <c r="B86" s="32">
        <v>0</v>
      </c>
      <c r="C86" s="32">
        <v>0</v>
      </c>
      <c r="D86" s="32">
        <v>6.9244347270000004</v>
      </c>
      <c r="E86" s="32">
        <v>9.1696523980000002</v>
      </c>
      <c r="F86" s="32">
        <v>5.5377788160000003</v>
      </c>
    </row>
    <row r="87" spans="1:6">
      <c r="A87" s="15">
        <v>7</v>
      </c>
      <c r="B87" s="32"/>
      <c r="C87" s="32"/>
      <c r="D87" s="32"/>
      <c r="E87" s="32"/>
      <c r="F87" s="32"/>
    </row>
    <row r="88" spans="1:6">
      <c r="A88" s="15">
        <v>8</v>
      </c>
      <c r="B88" s="32">
        <v>4.391239466</v>
      </c>
      <c r="C88" s="32">
        <v>0</v>
      </c>
      <c r="D88" s="32">
        <v>9.9111958110000007</v>
      </c>
      <c r="E88" s="32">
        <v>3.9605265119999999</v>
      </c>
      <c r="F88" s="32">
        <v>7.0853204109999997</v>
      </c>
    </row>
    <row r="89" spans="1:6">
      <c r="A89" s="15">
        <v>9</v>
      </c>
      <c r="B89" s="32"/>
      <c r="C89" s="32"/>
      <c r="D89" s="32"/>
      <c r="E89" s="32"/>
      <c r="F89" s="32"/>
    </row>
    <row r="90" spans="1:6">
      <c r="A90" s="15">
        <v>10</v>
      </c>
      <c r="B90" s="32">
        <v>4.6597865580000004</v>
      </c>
      <c r="C90" s="32">
        <v>0</v>
      </c>
      <c r="D90" s="32">
        <v>9.2201575400000007</v>
      </c>
      <c r="E90" s="32">
        <v>0</v>
      </c>
      <c r="F90" s="32">
        <v>5.1637165420000004</v>
      </c>
    </row>
    <row r="91" spans="1:6">
      <c r="A91" s="15">
        <v>11</v>
      </c>
      <c r="B91" s="32"/>
      <c r="C91" s="32"/>
      <c r="D91" s="32"/>
      <c r="E91" s="32"/>
      <c r="F91" s="32"/>
    </row>
    <row r="92" spans="1:6">
      <c r="A92" s="15">
        <v>12</v>
      </c>
      <c r="B92" s="32"/>
      <c r="C92" s="32"/>
      <c r="D92" s="32"/>
      <c r="E92" s="32"/>
      <c r="F92" s="32"/>
    </row>
    <row r="93" spans="1:6">
      <c r="A93" s="15">
        <v>13</v>
      </c>
      <c r="B93" s="32">
        <v>3.9396705160000001</v>
      </c>
      <c r="C93" s="32">
        <v>0</v>
      </c>
      <c r="D93" s="32">
        <v>9.0211675499999995</v>
      </c>
      <c r="E93" s="32">
        <v>0</v>
      </c>
      <c r="F93" s="32">
        <v>0</v>
      </c>
    </row>
    <row r="94" spans="1:6">
      <c r="A94" s="15">
        <v>14</v>
      </c>
      <c r="B94" s="32"/>
      <c r="C94" s="32"/>
      <c r="D94" s="32"/>
      <c r="E94" s="32"/>
      <c r="F94" s="32"/>
    </row>
    <row r="95" spans="1:6">
      <c r="A95" s="15">
        <v>15</v>
      </c>
      <c r="B95" s="32">
        <v>3.9475388589999998</v>
      </c>
      <c r="C95" s="32">
        <v>0</v>
      </c>
      <c r="D95" s="32">
        <v>4.4900171029999996</v>
      </c>
      <c r="E95" s="32">
        <v>0</v>
      </c>
      <c r="F95" s="32">
        <v>0</v>
      </c>
    </row>
    <row r="96" spans="1:6">
      <c r="A96" s="15">
        <v>16</v>
      </c>
      <c r="B96" s="32"/>
      <c r="C96" s="32">
        <v>0</v>
      </c>
      <c r="D96" s="32"/>
      <c r="E96" s="32"/>
      <c r="F96" s="32"/>
    </row>
    <row r="97" spans="1:6">
      <c r="A97" s="15">
        <v>17</v>
      </c>
      <c r="B97" s="32">
        <v>0</v>
      </c>
      <c r="C97" s="32"/>
      <c r="D97" s="32">
        <v>0</v>
      </c>
      <c r="E97" s="32">
        <v>0</v>
      </c>
      <c r="F97" s="32">
        <v>4.6854033529999999</v>
      </c>
    </row>
    <row r="98" spans="1:6">
      <c r="A98" s="15">
        <v>18</v>
      </c>
      <c r="B98" s="32"/>
      <c r="C98" s="32"/>
      <c r="D98" s="32"/>
      <c r="E98" s="32"/>
      <c r="F98" s="32"/>
    </row>
    <row r="99" spans="1:6">
      <c r="A99" s="15">
        <v>19</v>
      </c>
      <c r="B99" s="32"/>
      <c r="C99" s="32"/>
      <c r="D99" s="32"/>
      <c r="E99" s="32"/>
      <c r="F99" s="32"/>
    </row>
    <row r="100" spans="1:6">
      <c r="A100" s="15">
        <v>20</v>
      </c>
      <c r="B100" s="32">
        <v>0</v>
      </c>
      <c r="C100" s="32"/>
      <c r="D100" s="32">
        <v>0</v>
      </c>
      <c r="E100" s="32">
        <v>0</v>
      </c>
      <c r="F100" s="32">
        <v>0</v>
      </c>
    </row>
    <row r="101" spans="1:6">
      <c r="A101" s="15">
        <v>21</v>
      </c>
      <c r="B101" s="32"/>
      <c r="C101" s="32"/>
      <c r="D101" s="32"/>
      <c r="E101" s="32"/>
      <c r="F101" s="32"/>
    </row>
    <row r="102" spans="1:6">
      <c r="A102" s="15">
        <v>22</v>
      </c>
      <c r="B102" s="32">
        <v>0</v>
      </c>
      <c r="C102" s="32"/>
      <c r="D102" s="32">
        <v>0</v>
      </c>
      <c r="E102" s="32">
        <v>0</v>
      </c>
      <c r="F102" s="32">
        <v>0</v>
      </c>
    </row>
    <row r="103" spans="1:6">
      <c r="A103" s="15">
        <v>23</v>
      </c>
      <c r="B103" s="32"/>
      <c r="C103" s="32"/>
      <c r="D103" s="32"/>
      <c r="E103" s="32"/>
      <c r="F103" s="32"/>
    </row>
    <row r="104" spans="1:6">
      <c r="A104" s="15">
        <v>24</v>
      </c>
      <c r="B104" s="32">
        <v>4.3793614510000003</v>
      </c>
      <c r="C104" s="32"/>
      <c r="D104" s="32">
        <v>0</v>
      </c>
      <c r="E104" s="32">
        <v>0</v>
      </c>
      <c r="F104" s="32">
        <v>0</v>
      </c>
    </row>
    <row r="105" spans="1:6">
      <c r="A105" s="15">
        <v>25</v>
      </c>
      <c r="B105" s="32"/>
      <c r="C105" s="32"/>
      <c r="D105" s="32"/>
      <c r="E105" s="32"/>
      <c r="F105" s="32"/>
    </row>
    <row r="106" spans="1:6">
      <c r="A106" s="15">
        <v>26</v>
      </c>
      <c r="B106" s="32"/>
      <c r="C106" s="32"/>
      <c r="D106" s="32"/>
      <c r="E106" s="32"/>
      <c r="F106" s="32"/>
    </row>
    <row r="107" spans="1:6">
      <c r="A107" s="15">
        <v>27</v>
      </c>
      <c r="B107" s="32">
        <v>4.0500563400000003</v>
      </c>
      <c r="C107" s="32"/>
      <c r="D107" s="32">
        <v>0</v>
      </c>
      <c r="E107" s="32">
        <v>3.9741154660000002</v>
      </c>
      <c r="F107" s="32">
        <v>0</v>
      </c>
    </row>
    <row r="108" spans="1:6">
      <c r="A108" s="15">
        <v>28</v>
      </c>
      <c r="B108" s="32"/>
      <c r="C108" s="32"/>
      <c r="D108" s="32">
        <v>0</v>
      </c>
      <c r="E108" s="32">
        <v>0</v>
      </c>
      <c r="F108" s="32">
        <v>0</v>
      </c>
    </row>
    <row r="109" spans="1:6">
      <c r="A109" s="15">
        <v>29</v>
      </c>
      <c r="B109" s="32">
        <v>5.6445907579999997</v>
      </c>
      <c r="C109" s="32"/>
      <c r="D109" s="32"/>
      <c r="E109" s="32"/>
      <c r="F109" s="32"/>
    </row>
    <row r="110" spans="1:6">
      <c r="A110" s="15">
        <v>30</v>
      </c>
      <c r="B110" s="32"/>
      <c r="C110" s="32"/>
      <c r="D110" s="32"/>
      <c r="E110" s="32"/>
      <c r="F110" s="32"/>
    </row>
    <row r="111" spans="1:6">
      <c r="A111" s="15">
        <v>31</v>
      </c>
      <c r="B111" s="32">
        <v>4.4606529080000001</v>
      </c>
      <c r="C111" s="32"/>
      <c r="D111" s="32"/>
      <c r="E111" s="32"/>
      <c r="F111" s="32"/>
    </row>
    <row r="112" spans="1:6">
      <c r="A112" s="15">
        <v>32</v>
      </c>
      <c r="B112" s="32"/>
      <c r="C112" s="32"/>
      <c r="D112" s="32"/>
      <c r="E112" s="32"/>
      <c r="F112" s="32"/>
    </row>
    <row r="113" spans="1:6">
      <c r="A113" s="15">
        <v>33</v>
      </c>
      <c r="B113" s="32"/>
      <c r="C113" s="32"/>
      <c r="D113" s="32"/>
      <c r="E113" s="32"/>
      <c r="F113" s="32"/>
    </row>
    <row r="114" spans="1:6">
      <c r="A114" s="15">
        <v>34</v>
      </c>
      <c r="B114" s="32">
        <v>7.0505965819999998</v>
      </c>
      <c r="C114" s="32"/>
      <c r="D114" s="32"/>
      <c r="E114" s="32"/>
      <c r="F114" s="32"/>
    </row>
    <row r="115" spans="1:6">
      <c r="A115" s="15">
        <v>35</v>
      </c>
      <c r="B115" s="32"/>
      <c r="C115" s="32"/>
      <c r="D115" s="32"/>
      <c r="E115" s="32"/>
      <c r="F115" s="32"/>
    </row>
    <row r="116" spans="1:6">
      <c r="A116" s="15">
        <v>36</v>
      </c>
      <c r="B116" s="32">
        <v>4.5364437989999997</v>
      </c>
      <c r="C116" s="32"/>
      <c r="D116" s="32"/>
      <c r="E116" s="32"/>
      <c r="F116" s="32"/>
    </row>
    <row r="117" spans="1:6">
      <c r="A117" s="15">
        <v>37</v>
      </c>
      <c r="B117" s="32"/>
      <c r="C117" s="32"/>
      <c r="D117" s="32"/>
      <c r="E117" s="32"/>
      <c r="F117" s="32"/>
    </row>
    <row r="118" spans="1:6">
      <c r="A118" s="15">
        <v>38</v>
      </c>
      <c r="B118" s="32">
        <v>0</v>
      </c>
      <c r="C118" s="32"/>
      <c r="D118" s="32"/>
      <c r="E118" s="32"/>
      <c r="F118" s="32"/>
    </row>
    <row r="119" spans="1:6">
      <c r="A119" s="15">
        <v>39</v>
      </c>
      <c r="B119" s="32"/>
      <c r="C119" s="32"/>
      <c r="D119" s="32"/>
      <c r="E119" s="32"/>
      <c r="F119" s="32"/>
    </row>
    <row r="120" spans="1:6">
      <c r="A120" s="15">
        <v>40</v>
      </c>
      <c r="B120" s="32"/>
      <c r="C120" s="32"/>
      <c r="D120" s="32"/>
      <c r="E120" s="32"/>
      <c r="F120" s="32"/>
    </row>
    <row r="121" spans="1:6">
      <c r="A121" s="15">
        <v>41</v>
      </c>
      <c r="B121" s="32">
        <v>0</v>
      </c>
      <c r="C121" s="32"/>
      <c r="D121" s="32"/>
      <c r="E121" s="32"/>
      <c r="F121" s="32"/>
    </row>
    <row r="122" spans="1:6">
      <c r="A122" s="15">
        <v>42</v>
      </c>
      <c r="B122" s="32"/>
      <c r="C122" s="32"/>
      <c r="D122" s="32"/>
      <c r="E122" s="32"/>
      <c r="F122" s="32"/>
    </row>
    <row r="123" spans="1:6">
      <c r="A123" s="15">
        <v>43</v>
      </c>
      <c r="B123" s="32">
        <v>0</v>
      </c>
      <c r="C123" s="32"/>
      <c r="D123" s="32"/>
      <c r="E123" s="32"/>
      <c r="F123" s="32"/>
    </row>
    <row r="124" spans="1:6">
      <c r="A124" s="15">
        <v>44</v>
      </c>
      <c r="B124" s="32"/>
      <c r="C124" s="32"/>
      <c r="D124" s="32"/>
      <c r="E124" s="32"/>
      <c r="F124" s="32"/>
    </row>
    <row r="125" spans="1:6">
      <c r="A125" s="15">
        <v>45</v>
      </c>
      <c r="B125" s="32">
        <v>0</v>
      </c>
      <c r="C125" s="32"/>
      <c r="D125" s="32"/>
      <c r="E125" s="32"/>
      <c r="F125" s="32"/>
    </row>
    <row r="126" spans="1:6">
      <c r="A126" s="15">
        <v>46</v>
      </c>
      <c r="B126" s="32"/>
      <c r="C126" s="32"/>
      <c r="D126" s="32"/>
      <c r="E126" s="32"/>
      <c r="F126" s="32"/>
    </row>
    <row r="127" spans="1:6">
      <c r="A127" s="15">
        <v>47</v>
      </c>
      <c r="B127" s="32"/>
      <c r="C127" s="32"/>
      <c r="D127" s="32"/>
      <c r="E127" s="32"/>
      <c r="F127" s="32"/>
    </row>
    <row r="128" spans="1:6">
      <c r="A128" s="15">
        <v>48</v>
      </c>
      <c r="B128" s="32">
        <v>0</v>
      </c>
      <c r="C128" s="32"/>
      <c r="D128" s="32"/>
      <c r="E128" s="32"/>
      <c r="F128" s="32"/>
    </row>
    <row r="129" spans="1:6">
      <c r="A129" s="15">
        <v>49</v>
      </c>
      <c r="B129" s="32">
        <v>0</v>
      </c>
      <c r="C129" s="32"/>
      <c r="D129" s="32"/>
      <c r="E129" s="32"/>
      <c r="F129" s="32"/>
    </row>
    <row r="130" spans="1:6" ht="15.75" thickBot="1">
      <c r="A130" s="17">
        <v>50</v>
      </c>
      <c r="B130" s="18"/>
      <c r="C130" s="18"/>
      <c r="D130" s="18"/>
      <c r="E130" s="18"/>
      <c r="F130" s="19"/>
    </row>
    <row r="132" spans="1:6" ht="15.75" thickBot="1"/>
    <row r="133" spans="1:6">
      <c r="A133" s="12" t="s">
        <v>13</v>
      </c>
      <c r="B133" s="13" t="s">
        <v>51</v>
      </c>
      <c r="C133" s="13" t="s">
        <v>52</v>
      </c>
      <c r="D133" s="13" t="s">
        <v>48</v>
      </c>
      <c r="E133" s="13" t="s">
        <v>49</v>
      </c>
      <c r="F133" s="14" t="s">
        <v>50</v>
      </c>
    </row>
    <row r="134" spans="1:6">
      <c r="A134" s="15">
        <v>1</v>
      </c>
      <c r="B134" s="33">
        <v>0</v>
      </c>
      <c r="C134" s="33">
        <v>6.4158476220000002</v>
      </c>
      <c r="D134" s="33">
        <v>5.2966003979999998</v>
      </c>
      <c r="E134" s="33">
        <v>8.9029316220000005</v>
      </c>
      <c r="F134" s="34">
        <v>11.704402050000001</v>
      </c>
    </row>
    <row r="135" spans="1:6">
      <c r="A135" s="15">
        <v>2</v>
      </c>
      <c r="B135" s="32"/>
      <c r="C135" s="32"/>
      <c r="D135" s="32"/>
      <c r="E135" s="32"/>
      <c r="F135" s="35"/>
    </row>
    <row r="136" spans="1:6">
      <c r="A136" s="15">
        <v>3</v>
      </c>
      <c r="B136" s="33">
        <v>4.0738956990000004</v>
      </c>
      <c r="C136" s="33">
        <v>4.4255137619999996</v>
      </c>
      <c r="D136" s="33">
        <v>10.602255939999999</v>
      </c>
      <c r="E136" s="33">
        <v>4.8414445160000001</v>
      </c>
      <c r="F136" s="34">
        <v>11.20711017</v>
      </c>
    </row>
    <row r="137" spans="1:6">
      <c r="A137" s="15">
        <v>4</v>
      </c>
      <c r="B137" s="32"/>
      <c r="C137" s="32"/>
      <c r="D137" s="32"/>
      <c r="E137" s="32"/>
      <c r="F137" s="35"/>
    </row>
    <row r="138" spans="1:6">
      <c r="A138" s="15">
        <v>5</v>
      </c>
      <c r="B138" s="32"/>
      <c r="C138" s="32"/>
      <c r="D138" s="32"/>
      <c r="E138" s="32">
        <v>4.1003140030000003</v>
      </c>
      <c r="F138" s="35">
        <v>8.700387697</v>
      </c>
    </row>
    <row r="139" spans="1:6">
      <c r="A139" s="15">
        <v>6</v>
      </c>
      <c r="B139" s="32">
        <v>0</v>
      </c>
      <c r="C139" s="32">
        <v>0</v>
      </c>
      <c r="D139" s="32">
        <v>9.9869714300000005</v>
      </c>
      <c r="E139" s="32"/>
      <c r="F139" s="35"/>
    </row>
    <row r="140" spans="1:6">
      <c r="A140" s="15">
        <v>7</v>
      </c>
      <c r="B140" s="32"/>
      <c r="C140" s="32"/>
      <c r="D140" s="32"/>
      <c r="E140" s="32">
        <v>0</v>
      </c>
      <c r="F140" s="35">
        <v>7.701225268</v>
      </c>
    </row>
    <row r="141" spans="1:6">
      <c r="A141" s="15">
        <v>8</v>
      </c>
      <c r="B141" s="32">
        <v>0</v>
      </c>
      <c r="C141" s="32">
        <v>0</v>
      </c>
      <c r="D141" s="32">
        <v>6.0016695779999996</v>
      </c>
      <c r="E141" s="32"/>
      <c r="F141" s="35"/>
    </row>
    <row r="142" spans="1:6">
      <c r="A142" s="15">
        <v>9</v>
      </c>
      <c r="B142" s="32"/>
      <c r="C142" s="32"/>
      <c r="D142" s="32"/>
      <c r="E142" s="32"/>
      <c r="F142" s="35"/>
    </row>
    <row r="143" spans="1:6">
      <c r="A143" s="15">
        <v>10</v>
      </c>
      <c r="B143" s="32">
        <v>0</v>
      </c>
      <c r="C143" s="32">
        <v>0</v>
      </c>
      <c r="D143" s="32">
        <v>6.6695222190000001</v>
      </c>
      <c r="E143" s="32">
        <v>0</v>
      </c>
      <c r="F143" s="35">
        <v>4.509493451</v>
      </c>
    </row>
    <row r="144" spans="1:6">
      <c r="A144" s="15">
        <v>11</v>
      </c>
      <c r="B144" s="32"/>
      <c r="C144" s="32"/>
      <c r="D144" s="32"/>
      <c r="E144" s="32"/>
      <c r="F144" s="35"/>
    </row>
    <row r="145" spans="1:6">
      <c r="A145" s="15">
        <v>12</v>
      </c>
      <c r="B145" s="32"/>
      <c r="C145" s="32"/>
      <c r="D145" s="32"/>
      <c r="E145" s="32">
        <v>0</v>
      </c>
      <c r="F145" s="35">
        <v>8.0401750080000003</v>
      </c>
    </row>
    <row r="146" spans="1:6">
      <c r="A146" s="15">
        <v>13</v>
      </c>
      <c r="B146" s="32">
        <v>0</v>
      </c>
      <c r="C146" s="32">
        <v>0</v>
      </c>
      <c r="D146" s="32">
        <v>4.1129784819999999</v>
      </c>
      <c r="E146" s="32"/>
      <c r="F146" s="35"/>
    </row>
    <row r="147" spans="1:6">
      <c r="A147" s="15">
        <v>14</v>
      </c>
      <c r="B147" s="32"/>
      <c r="C147" s="32"/>
      <c r="D147" s="32"/>
      <c r="E147" s="32">
        <v>0</v>
      </c>
      <c r="F147" s="35">
        <v>3.929364546</v>
      </c>
    </row>
    <row r="148" spans="1:6">
      <c r="A148" s="15">
        <v>15</v>
      </c>
      <c r="B148" s="32">
        <v>0</v>
      </c>
      <c r="C148" s="32">
        <v>0</v>
      </c>
      <c r="D148" s="32">
        <v>4.2180939950000003</v>
      </c>
      <c r="E148" s="32"/>
      <c r="F148" s="35"/>
    </row>
    <row r="149" spans="1:6">
      <c r="A149" s="15">
        <v>16</v>
      </c>
      <c r="B149" s="32">
        <v>0</v>
      </c>
      <c r="C149" s="32">
        <v>0</v>
      </c>
      <c r="D149" s="32"/>
      <c r="E149" s="32"/>
      <c r="F149" s="35"/>
    </row>
    <row r="150" spans="1:6">
      <c r="A150" s="15">
        <v>17</v>
      </c>
      <c r="B150" s="32"/>
      <c r="C150" s="32"/>
      <c r="D150" s="32">
        <v>4.4390404339999998</v>
      </c>
      <c r="E150" s="32"/>
      <c r="F150" s="35">
        <v>0</v>
      </c>
    </row>
    <row r="151" spans="1:6">
      <c r="A151" s="15">
        <v>18</v>
      </c>
      <c r="B151" s="32"/>
      <c r="C151" s="32"/>
      <c r="D151" s="32"/>
      <c r="E151" s="32"/>
      <c r="F151" s="35"/>
    </row>
    <row r="152" spans="1:6">
      <c r="A152" s="15">
        <v>19</v>
      </c>
      <c r="B152" s="32"/>
      <c r="C152" s="32"/>
      <c r="D152" s="32"/>
      <c r="E152" s="32"/>
      <c r="F152" s="35">
        <v>0</v>
      </c>
    </row>
    <row r="153" spans="1:6">
      <c r="A153" s="15">
        <v>20</v>
      </c>
      <c r="B153" s="32"/>
      <c r="C153" s="32"/>
      <c r="D153" s="32">
        <v>4.5251843100000002</v>
      </c>
      <c r="E153" s="32"/>
      <c r="F153" s="35"/>
    </row>
    <row r="154" spans="1:6">
      <c r="A154" s="15">
        <v>21</v>
      </c>
      <c r="B154" s="32"/>
      <c r="C154" s="32"/>
      <c r="D154" s="32"/>
      <c r="E154" s="32"/>
      <c r="F154" s="35">
        <v>0</v>
      </c>
    </row>
    <row r="155" spans="1:6">
      <c r="A155" s="15">
        <v>22</v>
      </c>
      <c r="B155" s="32"/>
      <c r="C155" s="32"/>
      <c r="D155" s="32">
        <v>3.9947717800000002</v>
      </c>
      <c r="E155" s="32"/>
      <c r="F155" s="35"/>
    </row>
    <row r="156" spans="1:6">
      <c r="A156" s="15">
        <v>23</v>
      </c>
      <c r="B156" s="32"/>
      <c r="C156" s="32"/>
      <c r="D156" s="32"/>
      <c r="E156" s="32"/>
      <c r="F156" s="35"/>
    </row>
    <row r="157" spans="1:6">
      <c r="A157" s="15">
        <v>24</v>
      </c>
      <c r="B157" s="32"/>
      <c r="C157" s="32"/>
      <c r="D157" s="32">
        <v>6.4061567180000001</v>
      </c>
      <c r="E157" s="32"/>
      <c r="F157" s="35">
        <v>0</v>
      </c>
    </row>
    <row r="158" spans="1:6">
      <c r="A158" s="15">
        <v>25</v>
      </c>
      <c r="B158" s="32"/>
      <c r="C158" s="32"/>
      <c r="D158" s="32"/>
      <c r="E158" s="32"/>
      <c r="F158" s="35"/>
    </row>
    <row r="159" spans="1:6">
      <c r="A159" s="15">
        <v>26</v>
      </c>
      <c r="B159" s="32"/>
      <c r="C159" s="32"/>
      <c r="D159" s="32"/>
      <c r="E159" s="32"/>
      <c r="F159" s="35">
        <v>0</v>
      </c>
    </row>
    <row r="160" spans="1:6">
      <c r="A160" s="15">
        <v>27</v>
      </c>
      <c r="B160" s="32"/>
      <c r="C160" s="32"/>
      <c r="D160" s="32">
        <v>6.6570441000000002</v>
      </c>
      <c r="E160" s="32"/>
      <c r="F160" s="35"/>
    </row>
    <row r="161" spans="1:6">
      <c r="A161" s="15">
        <v>28</v>
      </c>
      <c r="B161" s="32"/>
      <c r="C161" s="32"/>
      <c r="D161" s="32"/>
      <c r="E161" s="32"/>
      <c r="F161" s="35">
        <v>0</v>
      </c>
    </row>
    <row r="162" spans="1:6">
      <c r="A162" s="15">
        <v>29</v>
      </c>
      <c r="B162" s="32"/>
      <c r="C162" s="32"/>
      <c r="D162" s="32">
        <v>7.4819425349999999</v>
      </c>
      <c r="E162" s="32"/>
      <c r="F162" s="35"/>
    </row>
    <row r="163" spans="1:6">
      <c r="A163" s="15">
        <v>30</v>
      </c>
      <c r="B163" s="32"/>
      <c r="C163" s="32"/>
      <c r="D163" s="32"/>
      <c r="E163" s="32"/>
      <c r="F163" s="35"/>
    </row>
    <row r="164" spans="1:6">
      <c r="A164" s="15">
        <v>31</v>
      </c>
      <c r="B164" s="32"/>
      <c r="C164" s="32"/>
      <c r="D164" s="32">
        <v>8.8944778820000003</v>
      </c>
      <c r="E164" s="32"/>
      <c r="F164" s="35">
        <v>0</v>
      </c>
    </row>
    <row r="165" spans="1:6">
      <c r="A165" s="15">
        <v>32</v>
      </c>
      <c r="B165" s="32"/>
      <c r="C165" s="32"/>
      <c r="D165" s="32"/>
      <c r="E165" s="32"/>
      <c r="F165" s="35"/>
    </row>
    <row r="166" spans="1:6">
      <c r="A166" s="15">
        <v>33</v>
      </c>
      <c r="B166" s="32"/>
      <c r="C166" s="32"/>
      <c r="D166" s="32"/>
      <c r="E166" s="32"/>
      <c r="F166" s="35">
        <v>0</v>
      </c>
    </row>
    <row r="167" spans="1:6">
      <c r="A167" s="15">
        <v>34</v>
      </c>
      <c r="B167" s="32"/>
      <c r="C167" s="32"/>
      <c r="D167" s="32">
        <v>7.4061583249999998</v>
      </c>
      <c r="E167" s="32"/>
      <c r="F167" s="35">
        <v>0</v>
      </c>
    </row>
    <row r="168" spans="1:6">
      <c r="A168" s="15">
        <v>35</v>
      </c>
      <c r="B168" s="32"/>
      <c r="C168" s="32"/>
      <c r="D168" s="32"/>
      <c r="E168" s="32"/>
      <c r="F168" s="35"/>
    </row>
    <row r="169" spans="1:6">
      <c r="A169" s="15">
        <v>36</v>
      </c>
      <c r="B169" s="32"/>
      <c r="C169" s="32"/>
      <c r="D169" s="32">
        <v>7.4061526500000001</v>
      </c>
      <c r="E169" s="32"/>
      <c r="F169" s="35"/>
    </row>
    <row r="170" spans="1:6">
      <c r="A170" s="15">
        <v>37</v>
      </c>
      <c r="B170" s="32"/>
      <c r="C170" s="32"/>
      <c r="D170" s="32"/>
      <c r="E170" s="32"/>
      <c r="F170" s="35"/>
    </row>
    <row r="171" spans="1:6">
      <c r="A171" s="15">
        <v>38</v>
      </c>
      <c r="B171" s="32"/>
      <c r="C171" s="32"/>
      <c r="D171" s="32">
        <v>7.9961077310000004</v>
      </c>
      <c r="E171" s="32"/>
      <c r="F171" s="35"/>
    </row>
    <row r="172" spans="1:6">
      <c r="A172" s="15">
        <v>39</v>
      </c>
      <c r="B172" s="32"/>
      <c r="C172" s="32"/>
      <c r="D172" s="32"/>
      <c r="E172" s="32"/>
      <c r="F172" s="35"/>
    </row>
    <row r="173" spans="1:6">
      <c r="A173" s="15">
        <v>40</v>
      </c>
      <c r="B173" s="32"/>
      <c r="C173" s="32"/>
      <c r="D173" s="32"/>
      <c r="E173" s="32"/>
      <c r="F173" s="35"/>
    </row>
    <row r="174" spans="1:6">
      <c r="A174" s="15">
        <v>41</v>
      </c>
      <c r="B174" s="32"/>
      <c r="C174" s="32"/>
      <c r="D174" s="32">
        <v>8.4057124349999999</v>
      </c>
      <c r="E174" s="32"/>
      <c r="F174" s="35"/>
    </row>
    <row r="175" spans="1:6">
      <c r="A175" s="15">
        <v>42</v>
      </c>
      <c r="B175" s="32"/>
      <c r="C175" s="32"/>
      <c r="D175" s="32"/>
      <c r="E175" s="32"/>
      <c r="F175" s="35"/>
    </row>
    <row r="176" spans="1:6">
      <c r="A176" s="15">
        <v>43</v>
      </c>
      <c r="B176" s="32"/>
      <c r="C176" s="32"/>
      <c r="D176" s="32">
        <v>8.8957389750000004</v>
      </c>
      <c r="E176" s="32"/>
      <c r="F176" s="35"/>
    </row>
    <row r="177" spans="1:6">
      <c r="A177" s="15">
        <v>44</v>
      </c>
      <c r="B177" s="32"/>
      <c r="C177" s="32"/>
      <c r="D177" s="32"/>
      <c r="E177" s="32"/>
      <c r="F177" s="35"/>
    </row>
    <row r="178" spans="1:6">
      <c r="A178" s="15">
        <v>45</v>
      </c>
      <c r="B178" s="32"/>
      <c r="C178" s="32"/>
      <c r="D178" s="32">
        <v>7.6570457420000002</v>
      </c>
      <c r="E178" s="32"/>
      <c r="F178" s="35"/>
    </row>
    <row r="179" spans="1:6">
      <c r="A179" s="15">
        <v>46</v>
      </c>
      <c r="B179" s="32"/>
      <c r="C179" s="32"/>
      <c r="D179" s="32"/>
      <c r="E179" s="32"/>
      <c r="F179" s="35"/>
    </row>
    <row r="180" spans="1:6">
      <c r="A180" s="15">
        <v>47</v>
      </c>
      <c r="B180" s="32"/>
      <c r="C180" s="32"/>
      <c r="D180" s="32"/>
      <c r="E180" s="32"/>
      <c r="F180" s="35"/>
    </row>
    <row r="181" spans="1:6">
      <c r="A181" s="15">
        <v>48</v>
      </c>
      <c r="B181" s="32"/>
      <c r="C181" s="32"/>
      <c r="D181" s="32">
        <v>8.4059867439999998</v>
      </c>
      <c r="E181" s="32"/>
      <c r="F181" s="35"/>
    </row>
    <row r="182" spans="1:6">
      <c r="A182" s="15">
        <v>49</v>
      </c>
      <c r="B182" s="32"/>
      <c r="C182" s="32"/>
      <c r="D182" s="32"/>
      <c r="E182" s="32"/>
      <c r="F182" s="35"/>
    </row>
    <row r="183" spans="1:6">
      <c r="A183" s="15">
        <v>50</v>
      </c>
      <c r="B183" s="32"/>
      <c r="C183" s="32"/>
      <c r="D183" s="32">
        <v>6.6570441000000002</v>
      </c>
      <c r="E183" s="32"/>
      <c r="F183" s="35"/>
    </row>
    <row r="184" spans="1:6">
      <c r="A184" s="15">
        <v>51</v>
      </c>
      <c r="B184" s="32"/>
      <c r="C184" s="32"/>
      <c r="D184" s="32"/>
      <c r="E184" s="32"/>
      <c r="F184" s="35"/>
    </row>
    <row r="185" spans="1:6">
      <c r="A185" s="15">
        <v>52</v>
      </c>
      <c r="B185" s="32"/>
      <c r="C185" s="32"/>
      <c r="D185" s="32">
        <v>5.9961193579999996</v>
      </c>
      <c r="E185" s="32"/>
      <c r="F185" s="35"/>
    </row>
    <row r="186" spans="1:6">
      <c r="A186" s="15">
        <v>53</v>
      </c>
      <c r="B186" s="32"/>
      <c r="C186" s="32"/>
      <c r="D186" s="32"/>
      <c r="E186" s="32"/>
      <c r="F186" s="35"/>
    </row>
    <row r="187" spans="1:6">
      <c r="A187" s="15">
        <v>54</v>
      </c>
      <c r="B187" s="32"/>
      <c r="C187" s="32"/>
      <c r="D187" s="32"/>
      <c r="E187" s="32"/>
      <c r="F187" s="35"/>
    </row>
    <row r="188" spans="1:6">
      <c r="A188" s="15">
        <v>55</v>
      </c>
      <c r="B188" s="32"/>
      <c r="C188" s="32"/>
      <c r="D188" s="32">
        <v>6.9961187210000002</v>
      </c>
      <c r="E188" s="32"/>
      <c r="F188" s="35"/>
    </row>
    <row r="189" spans="1:6">
      <c r="A189" s="15">
        <v>56</v>
      </c>
      <c r="B189" s="32"/>
      <c r="C189" s="32"/>
      <c r="D189" s="32"/>
      <c r="E189" s="32"/>
      <c r="F189" s="35"/>
    </row>
    <row r="190" spans="1:6">
      <c r="A190" s="15">
        <v>57</v>
      </c>
      <c r="B190" s="32"/>
      <c r="C190" s="32"/>
      <c r="D190" s="32">
        <v>4.5335618010000003</v>
      </c>
      <c r="E190" s="32"/>
      <c r="F190" s="35"/>
    </row>
    <row r="191" spans="1:6">
      <c r="A191" s="15">
        <v>58</v>
      </c>
      <c r="B191" s="32"/>
      <c r="C191" s="32"/>
      <c r="D191" s="32"/>
      <c r="E191" s="32"/>
      <c r="F191" s="35"/>
    </row>
    <row r="192" spans="1:6">
      <c r="A192" s="29">
        <v>59</v>
      </c>
      <c r="B192" s="32"/>
      <c r="C192" s="32"/>
      <c r="D192" s="32">
        <v>6.9961153920000001</v>
      </c>
      <c r="E192" s="32"/>
      <c r="F192" s="35"/>
    </row>
    <row r="193" spans="1:6">
      <c r="A193" s="29">
        <v>60</v>
      </c>
      <c r="B193" s="32"/>
      <c r="C193" s="32"/>
      <c r="D193" s="32"/>
      <c r="E193" s="32"/>
      <c r="F193" s="35"/>
    </row>
    <row r="194" spans="1:6">
      <c r="A194" s="29">
        <v>61</v>
      </c>
      <c r="B194" s="32"/>
      <c r="C194" s="32"/>
      <c r="D194" s="32"/>
      <c r="E194" s="32"/>
      <c r="F194" s="35"/>
    </row>
    <row r="195" spans="1:6">
      <c r="A195" s="29">
        <v>62</v>
      </c>
      <c r="B195" s="32"/>
      <c r="C195" s="32"/>
      <c r="D195" s="32">
        <v>4.6092911240000003</v>
      </c>
      <c r="E195" s="32"/>
      <c r="F195" s="35"/>
    </row>
    <row r="196" spans="1:6">
      <c r="A196" s="29">
        <v>63</v>
      </c>
      <c r="B196" s="32"/>
      <c r="C196" s="32"/>
      <c r="D196" s="32"/>
      <c r="E196" s="32"/>
      <c r="F196" s="35"/>
    </row>
    <row r="197" spans="1:6">
      <c r="A197" s="29">
        <v>64</v>
      </c>
      <c r="B197" s="32"/>
      <c r="C197" s="32"/>
      <c r="D197" s="32">
        <v>0</v>
      </c>
      <c r="E197" s="32"/>
      <c r="F197" s="35"/>
    </row>
    <row r="198" spans="1:6">
      <c r="A198" s="29">
        <v>65</v>
      </c>
      <c r="B198" s="32"/>
      <c r="C198" s="32"/>
      <c r="D198" s="32"/>
      <c r="E198" s="32"/>
      <c r="F198" s="35"/>
    </row>
    <row r="199" spans="1:6">
      <c r="A199" s="29">
        <v>66</v>
      </c>
      <c r="B199" s="32"/>
      <c r="C199" s="32"/>
      <c r="D199" s="32">
        <v>3.5106204019999998</v>
      </c>
      <c r="E199" s="32"/>
      <c r="F199" s="35"/>
    </row>
    <row r="200" spans="1:6">
      <c r="A200" s="29">
        <v>67</v>
      </c>
      <c r="B200" s="32"/>
      <c r="C200" s="32"/>
      <c r="D200" s="32"/>
      <c r="E200" s="32"/>
      <c r="F200" s="35"/>
    </row>
    <row r="201" spans="1:6">
      <c r="A201" s="29">
        <v>68</v>
      </c>
      <c r="B201" s="32"/>
      <c r="C201" s="32"/>
      <c r="D201" s="32"/>
      <c r="E201" s="32"/>
      <c r="F201" s="35"/>
    </row>
    <row r="202" spans="1:6">
      <c r="A202" s="29">
        <v>69</v>
      </c>
      <c r="B202" s="32"/>
      <c r="C202" s="32"/>
      <c r="D202" s="32">
        <v>0</v>
      </c>
      <c r="E202" s="32"/>
      <c r="F202" s="35"/>
    </row>
    <row r="203" spans="1:6">
      <c r="A203" s="29">
        <v>70</v>
      </c>
      <c r="B203" s="32"/>
      <c r="C203" s="32"/>
      <c r="D203" s="32"/>
      <c r="E203" s="32"/>
      <c r="F203" s="35"/>
    </row>
    <row r="204" spans="1:6">
      <c r="A204" s="29">
        <v>71</v>
      </c>
      <c r="B204" s="32"/>
      <c r="C204" s="32"/>
      <c r="D204" s="32">
        <v>0</v>
      </c>
      <c r="E204" s="32"/>
      <c r="F204" s="35"/>
    </row>
    <row r="205" spans="1:6" ht="15.75" thickBot="1">
      <c r="A205" s="30">
        <v>72</v>
      </c>
      <c r="B205" s="32"/>
      <c r="C205" s="32"/>
      <c r="D205" s="32">
        <v>0</v>
      </c>
      <c r="E205" s="32"/>
      <c r="F205" s="3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15"/>
  <sheetViews>
    <sheetView topLeftCell="F1" workbookViewId="0">
      <selection activeCell="D28" sqref="D28"/>
    </sheetView>
  </sheetViews>
  <sheetFormatPr defaultRowHeight="15"/>
  <cols>
    <col min="2" max="2" width="12.5703125" customWidth="1"/>
    <col min="3" max="3" width="13.28515625" customWidth="1"/>
    <col min="4" max="4" width="17.42578125" customWidth="1"/>
    <col min="5" max="5" width="15.140625" customWidth="1"/>
    <col min="6" max="6" width="16.140625" customWidth="1"/>
    <col min="7" max="7" width="16.28515625" customWidth="1"/>
  </cols>
  <sheetData>
    <row r="1" spans="1:7">
      <c r="A1" s="12" t="s">
        <v>13</v>
      </c>
      <c r="B1" s="13" t="s">
        <v>14</v>
      </c>
      <c r="C1" s="13" t="s">
        <v>15</v>
      </c>
      <c r="D1" s="13" t="s">
        <v>39</v>
      </c>
      <c r="E1" s="13" t="s">
        <v>20</v>
      </c>
      <c r="F1" s="13" t="s">
        <v>29</v>
      </c>
      <c r="G1" s="14" t="s">
        <v>34</v>
      </c>
    </row>
    <row r="2" spans="1:7">
      <c r="A2" s="15">
        <v>1</v>
      </c>
      <c r="B2" s="32">
        <v>0</v>
      </c>
      <c r="C2" s="33">
        <v>6.3665865569999998</v>
      </c>
      <c r="D2" s="33">
        <v>3.6681180320000002</v>
      </c>
      <c r="E2" s="32">
        <v>0</v>
      </c>
      <c r="F2" s="33">
        <v>4.0351665680000002</v>
      </c>
      <c r="G2" s="33">
        <v>0</v>
      </c>
    </row>
    <row r="3" spans="1:7">
      <c r="A3" s="15">
        <v>2</v>
      </c>
      <c r="B3" s="32"/>
      <c r="C3" s="32"/>
      <c r="D3" s="32"/>
      <c r="E3" s="32"/>
      <c r="F3" s="32"/>
      <c r="G3" s="32"/>
    </row>
    <row r="4" spans="1:7">
      <c r="A4" s="15">
        <v>3</v>
      </c>
      <c r="B4" s="32">
        <v>0</v>
      </c>
      <c r="C4" s="32">
        <v>0</v>
      </c>
      <c r="D4" s="33">
        <v>5.4903371029999999</v>
      </c>
      <c r="E4" s="32">
        <v>0</v>
      </c>
      <c r="F4" s="33">
        <v>0</v>
      </c>
      <c r="G4" s="33">
        <v>4.0738956990000004</v>
      </c>
    </row>
    <row r="5" spans="1:7">
      <c r="A5" s="15">
        <v>4</v>
      </c>
      <c r="B5" s="32"/>
      <c r="C5" s="32"/>
      <c r="D5" s="32"/>
      <c r="E5" s="32"/>
      <c r="F5" s="32"/>
      <c r="G5" s="32"/>
    </row>
    <row r="6" spans="1:7">
      <c r="A6" s="15">
        <v>5</v>
      </c>
      <c r="B6" s="32"/>
      <c r="C6" s="32"/>
      <c r="D6" s="32">
        <v>0</v>
      </c>
      <c r="E6" s="32"/>
      <c r="F6" s="32"/>
      <c r="G6" s="32"/>
    </row>
    <row r="7" spans="1:7">
      <c r="A7" s="15">
        <v>6</v>
      </c>
      <c r="B7" s="32"/>
      <c r="C7" s="32"/>
      <c r="D7" s="32"/>
      <c r="E7" s="32"/>
      <c r="F7" s="32">
        <v>0</v>
      </c>
      <c r="G7" s="32">
        <v>0</v>
      </c>
    </row>
    <row r="8" spans="1:7">
      <c r="A8" s="15">
        <v>7</v>
      </c>
      <c r="B8" s="32">
        <v>0</v>
      </c>
      <c r="C8" s="32">
        <v>0</v>
      </c>
      <c r="D8" s="32">
        <v>0</v>
      </c>
      <c r="E8" s="32">
        <v>0</v>
      </c>
      <c r="F8" s="32"/>
      <c r="G8" s="32"/>
    </row>
    <row r="9" spans="1:7">
      <c r="A9" s="15">
        <v>8</v>
      </c>
      <c r="B9" s="32"/>
      <c r="C9" s="32"/>
      <c r="D9" s="32"/>
      <c r="E9" s="32"/>
      <c r="F9" s="32">
        <v>4.391239466</v>
      </c>
      <c r="G9" s="32">
        <v>0</v>
      </c>
    </row>
    <row r="10" spans="1:7">
      <c r="A10" s="15">
        <v>9</v>
      </c>
      <c r="B10" s="32">
        <v>0</v>
      </c>
      <c r="C10" s="32">
        <v>0</v>
      </c>
      <c r="D10" s="32"/>
      <c r="E10" s="32">
        <v>0</v>
      </c>
      <c r="F10" s="32"/>
      <c r="G10" s="32"/>
    </row>
    <row r="11" spans="1:7">
      <c r="A11" s="15">
        <v>10</v>
      </c>
      <c r="B11" s="32"/>
      <c r="C11" s="32"/>
      <c r="D11" s="32">
        <v>0</v>
      </c>
      <c r="E11" s="32"/>
      <c r="F11" s="32">
        <v>4.6597865580000004</v>
      </c>
      <c r="G11" s="32">
        <v>0</v>
      </c>
    </row>
    <row r="12" spans="1:7">
      <c r="A12" s="15">
        <v>11</v>
      </c>
      <c r="B12" s="32">
        <v>0</v>
      </c>
      <c r="C12" s="32">
        <v>0</v>
      </c>
      <c r="D12" s="32"/>
      <c r="E12" s="32">
        <v>0</v>
      </c>
      <c r="F12" s="32"/>
      <c r="G12" s="32"/>
    </row>
    <row r="13" spans="1:7">
      <c r="A13" s="15">
        <v>12</v>
      </c>
      <c r="B13" s="32"/>
      <c r="C13" s="32"/>
      <c r="D13" s="32">
        <v>0</v>
      </c>
      <c r="E13" s="32"/>
      <c r="F13" s="32"/>
      <c r="G13" s="32"/>
    </row>
    <row r="14" spans="1:7">
      <c r="A14" s="15">
        <v>13</v>
      </c>
      <c r="B14" s="32"/>
      <c r="C14" s="32"/>
      <c r="D14" s="32"/>
      <c r="E14" s="32"/>
      <c r="F14" s="32">
        <v>3.9396705160000001</v>
      </c>
      <c r="G14" s="32">
        <v>0</v>
      </c>
    </row>
    <row r="15" spans="1:7">
      <c r="A15" s="15">
        <v>14</v>
      </c>
      <c r="B15" s="32">
        <v>0</v>
      </c>
      <c r="C15" s="32">
        <v>0</v>
      </c>
      <c r="D15" s="32">
        <v>0</v>
      </c>
      <c r="E15" s="32">
        <v>0</v>
      </c>
      <c r="F15" s="32"/>
      <c r="G15" s="32"/>
    </row>
    <row r="16" spans="1:7">
      <c r="A16" s="15">
        <v>15</v>
      </c>
      <c r="B16" s="32"/>
      <c r="C16" s="32"/>
      <c r="D16" s="32"/>
      <c r="E16" s="32"/>
      <c r="F16" s="32">
        <v>3.9475388589999998</v>
      </c>
      <c r="G16" s="32">
        <v>0</v>
      </c>
    </row>
    <row r="17" spans="1:7">
      <c r="A17" s="15">
        <v>16</v>
      </c>
      <c r="B17" s="32">
        <v>0</v>
      </c>
      <c r="C17" s="32">
        <v>0</v>
      </c>
      <c r="D17" s="32"/>
      <c r="E17" s="32">
        <v>0</v>
      </c>
      <c r="F17" s="32"/>
      <c r="G17" s="32">
        <v>0</v>
      </c>
    </row>
    <row r="18" spans="1:7">
      <c r="A18" s="15">
        <v>17</v>
      </c>
      <c r="B18" s="32"/>
      <c r="C18" s="32"/>
      <c r="D18" s="32">
        <v>0</v>
      </c>
      <c r="E18" s="32"/>
      <c r="F18" s="32">
        <v>0</v>
      </c>
      <c r="G18" s="16"/>
    </row>
    <row r="19" spans="1:7">
      <c r="A19" s="15">
        <v>18</v>
      </c>
      <c r="B19" s="32">
        <v>0</v>
      </c>
      <c r="C19" s="32">
        <v>0</v>
      </c>
      <c r="D19" s="32">
        <v>0</v>
      </c>
      <c r="E19" s="32">
        <v>0</v>
      </c>
      <c r="F19" s="32"/>
      <c r="G19" s="16"/>
    </row>
    <row r="20" spans="1:7">
      <c r="A20" s="15">
        <v>19</v>
      </c>
      <c r="B20" s="32"/>
      <c r="C20" s="32"/>
      <c r="D20" s="20"/>
      <c r="E20" s="32"/>
      <c r="F20" s="32"/>
      <c r="G20" s="21"/>
    </row>
    <row r="21" spans="1:7">
      <c r="A21" s="15">
        <v>20</v>
      </c>
      <c r="B21" s="32"/>
      <c r="C21" s="32"/>
      <c r="D21" s="20"/>
      <c r="E21" s="32"/>
      <c r="F21" s="32">
        <v>0</v>
      </c>
      <c r="G21" s="21"/>
    </row>
    <row r="22" spans="1:7">
      <c r="A22" s="15">
        <v>21</v>
      </c>
      <c r="B22" s="32">
        <v>0</v>
      </c>
      <c r="C22" s="32">
        <v>0</v>
      </c>
      <c r="D22" s="20"/>
      <c r="E22" s="32">
        <v>0</v>
      </c>
      <c r="F22" s="32"/>
      <c r="G22" s="21"/>
    </row>
    <row r="23" spans="1:7">
      <c r="A23" s="15">
        <v>22</v>
      </c>
      <c r="B23" s="20"/>
      <c r="C23" s="20"/>
      <c r="D23" s="20"/>
      <c r="E23" s="20"/>
      <c r="F23" s="32">
        <v>0</v>
      </c>
      <c r="G23" s="21"/>
    </row>
    <row r="24" spans="1:7">
      <c r="A24" s="15">
        <v>23</v>
      </c>
      <c r="B24" s="20"/>
      <c r="C24" s="20"/>
      <c r="D24" s="20"/>
      <c r="E24" s="20"/>
      <c r="F24" s="32"/>
      <c r="G24" s="21"/>
    </row>
    <row r="25" spans="1:7">
      <c r="A25" s="15">
        <v>24</v>
      </c>
      <c r="B25" s="20"/>
      <c r="C25" s="20"/>
      <c r="D25" s="20"/>
      <c r="E25" s="20"/>
      <c r="F25" s="32">
        <v>4.3793614510000003</v>
      </c>
      <c r="G25" s="21"/>
    </row>
    <row r="26" spans="1:7">
      <c r="A26" s="15">
        <v>25</v>
      </c>
      <c r="B26" s="20"/>
      <c r="C26" s="20"/>
      <c r="D26" s="20"/>
      <c r="E26" s="20"/>
      <c r="F26" s="32"/>
      <c r="G26" s="21"/>
    </row>
    <row r="27" spans="1:7">
      <c r="A27" s="15">
        <v>26</v>
      </c>
      <c r="B27" s="20"/>
      <c r="C27" s="20"/>
      <c r="D27" s="20"/>
      <c r="E27" s="20"/>
      <c r="F27" s="32"/>
      <c r="G27" s="21"/>
    </row>
    <row r="28" spans="1:7">
      <c r="A28" s="15">
        <v>27</v>
      </c>
      <c r="B28" s="20"/>
      <c r="C28" s="20"/>
      <c r="D28" s="20"/>
      <c r="E28" s="20"/>
      <c r="F28" s="32">
        <v>4.0500563400000003</v>
      </c>
      <c r="G28" s="21"/>
    </row>
    <row r="29" spans="1:7">
      <c r="A29" s="15">
        <v>28</v>
      </c>
      <c r="B29" s="20"/>
      <c r="C29" s="20"/>
      <c r="D29" s="20"/>
      <c r="E29" s="20"/>
      <c r="F29" s="32"/>
      <c r="G29" s="21"/>
    </row>
    <row r="30" spans="1:7">
      <c r="A30" s="15">
        <v>29</v>
      </c>
      <c r="B30" s="20"/>
      <c r="C30" s="20"/>
      <c r="D30" s="20"/>
      <c r="E30" s="20"/>
      <c r="F30" s="32">
        <v>5.6445907579999997</v>
      </c>
      <c r="G30" s="21"/>
    </row>
    <row r="31" spans="1:7">
      <c r="A31" s="15">
        <v>30</v>
      </c>
      <c r="B31" s="20"/>
      <c r="C31" s="20"/>
      <c r="D31" s="20"/>
      <c r="E31" s="20"/>
      <c r="F31" s="32"/>
      <c r="G31" s="21"/>
    </row>
    <row r="32" spans="1:7">
      <c r="A32" s="15">
        <v>31</v>
      </c>
      <c r="B32" s="20"/>
      <c r="C32" s="20"/>
      <c r="D32" s="20"/>
      <c r="E32" s="20"/>
      <c r="F32" s="32">
        <v>4.4606529080000001</v>
      </c>
      <c r="G32" s="21"/>
    </row>
    <row r="33" spans="1:7">
      <c r="A33" s="15">
        <v>32</v>
      </c>
      <c r="B33" s="20"/>
      <c r="C33" s="20"/>
      <c r="D33" s="20"/>
      <c r="E33" s="20"/>
      <c r="F33" s="32"/>
      <c r="G33" s="21"/>
    </row>
    <row r="34" spans="1:7">
      <c r="A34" s="15">
        <v>33</v>
      </c>
      <c r="B34" s="20"/>
      <c r="C34" s="20"/>
      <c r="D34" s="20"/>
      <c r="E34" s="20"/>
      <c r="F34" s="32"/>
      <c r="G34" s="21"/>
    </row>
    <row r="35" spans="1:7">
      <c r="A35" s="15">
        <v>34</v>
      </c>
      <c r="B35" s="20"/>
      <c r="C35" s="20"/>
      <c r="D35" s="20"/>
      <c r="E35" s="20"/>
      <c r="F35" s="32">
        <v>7.0505965819999998</v>
      </c>
      <c r="G35" s="21"/>
    </row>
    <row r="36" spans="1:7">
      <c r="A36" s="15">
        <v>35</v>
      </c>
      <c r="B36" s="20"/>
      <c r="C36" s="20"/>
      <c r="D36" s="20"/>
      <c r="E36" s="20"/>
      <c r="F36" s="32"/>
      <c r="G36" s="21"/>
    </row>
    <row r="37" spans="1:7">
      <c r="A37" s="15">
        <v>36</v>
      </c>
      <c r="B37" s="20"/>
      <c r="C37" s="20"/>
      <c r="D37" s="20"/>
      <c r="E37" s="20"/>
      <c r="F37" s="32">
        <v>4.5364437989999997</v>
      </c>
      <c r="G37" s="21"/>
    </row>
    <row r="38" spans="1:7">
      <c r="A38" s="15">
        <v>37</v>
      </c>
      <c r="B38" s="20"/>
      <c r="C38" s="20"/>
      <c r="D38" s="20"/>
      <c r="E38" s="20"/>
      <c r="F38" s="32"/>
      <c r="G38" s="21"/>
    </row>
    <row r="39" spans="1:7">
      <c r="A39" s="15">
        <v>38</v>
      </c>
      <c r="B39" s="20"/>
      <c r="C39" s="20"/>
      <c r="D39" s="20"/>
      <c r="E39" s="20"/>
      <c r="F39" s="32">
        <v>0</v>
      </c>
      <c r="G39" s="21"/>
    </row>
    <row r="40" spans="1:7">
      <c r="A40" s="15">
        <v>39</v>
      </c>
      <c r="B40" s="20"/>
      <c r="C40" s="20"/>
      <c r="D40" s="20"/>
      <c r="E40" s="20"/>
      <c r="F40" s="32"/>
      <c r="G40" s="21"/>
    </row>
    <row r="41" spans="1:7">
      <c r="A41" s="15">
        <v>40</v>
      </c>
      <c r="B41" s="20"/>
      <c r="C41" s="20"/>
      <c r="D41" s="20"/>
      <c r="E41" s="20"/>
      <c r="F41" s="32"/>
      <c r="G41" s="21"/>
    </row>
    <row r="42" spans="1:7">
      <c r="A42" s="15">
        <v>41</v>
      </c>
      <c r="B42" s="20"/>
      <c r="C42" s="20"/>
      <c r="D42" s="20"/>
      <c r="E42" s="20"/>
      <c r="F42" s="32">
        <v>0</v>
      </c>
      <c r="G42" s="21"/>
    </row>
    <row r="43" spans="1:7">
      <c r="A43" s="15">
        <v>42</v>
      </c>
      <c r="B43" s="20"/>
      <c r="C43" s="20"/>
      <c r="D43" s="20"/>
      <c r="E43" s="20"/>
      <c r="F43" s="32"/>
      <c r="G43" s="21"/>
    </row>
    <row r="44" spans="1:7">
      <c r="A44" s="15">
        <v>43</v>
      </c>
      <c r="B44" s="20"/>
      <c r="C44" s="20"/>
      <c r="D44" s="20"/>
      <c r="E44" s="20"/>
      <c r="F44" s="32">
        <v>0</v>
      </c>
      <c r="G44" s="21"/>
    </row>
    <row r="45" spans="1:7">
      <c r="A45" s="15">
        <v>44</v>
      </c>
      <c r="B45" s="20"/>
      <c r="C45" s="20"/>
      <c r="D45" s="20"/>
      <c r="E45" s="20"/>
      <c r="F45" s="32"/>
      <c r="G45" s="21"/>
    </row>
    <row r="46" spans="1:7">
      <c r="A46" s="15">
        <v>45</v>
      </c>
      <c r="B46" s="20"/>
      <c r="C46" s="20"/>
      <c r="D46" s="20"/>
      <c r="E46" s="20"/>
      <c r="F46" s="32">
        <v>0</v>
      </c>
      <c r="G46" s="21"/>
    </row>
    <row r="47" spans="1:7">
      <c r="A47" s="15">
        <v>46</v>
      </c>
      <c r="B47" s="20"/>
      <c r="C47" s="20"/>
      <c r="D47" s="20"/>
      <c r="E47" s="20"/>
      <c r="F47" s="32"/>
      <c r="G47" s="21"/>
    </row>
    <row r="48" spans="1:7">
      <c r="A48" s="15">
        <v>47</v>
      </c>
      <c r="B48" s="20"/>
      <c r="C48" s="20"/>
      <c r="D48" s="20"/>
      <c r="E48" s="20"/>
      <c r="F48" s="32"/>
      <c r="G48" s="21"/>
    </row>
    <row r="49" spans="1:7">
      <c r="A49" s="15">
        <v>48</v>
      </c>
      <c r="B49" s="20"/>
      <c r="C49" s="20"/>
      <c r="D49" s="20"/>
      <c r="E49" s="20"/>
      <c r="F49" s="32">
        <v>0</v>
      </c>
      <c r="G49" s="21"/>
    </row>
    <row r="50" spans="1:7">
      <c r="A50" s="15">
        <v>49</v>
      </c>
      <c r="B50" s="20"/>
      <c r="C50" s="20"/>
      <c r="D50" s="20"/>
      <c r="E50" s="20"/>
      <c r="F50" s="32">
        <v>0</v>
      </c>
      <c r="G50" s="21"/>
    </row>
    <row r="51" spans="1:7" ht="15.75" thickBot="1">
      <c r="A51" s="17">
        <v>50</v>
      </c>
      <c r="B51" s="22"/>
      <c r="C51" s="22"/>
      <c r="D51" s="22"/>
      <c r="E51" s="22"/>
      <c r="F51" s="18"/>
      <c r="G51" s="23"/>
    </row>
    <row r="53" spans="1:7" ht="15.75" thickBot="1"/>
    <row r="54" spans="1:7">
      <c r="A54" s="12" t="s">
        <v>13</v>
      </c>
      <c r="B54" s="13" t="s">
        <v>25</v>
      </c>
      <c r="C54" s="13" t="s">
        <v>16</v>
      </c>
      <c r="D54" s="13" t="s">
        <v>40</v>
      </c>
      <c r="E54" s="13" t="s">
        <v>21</v>
      </c>
      <c r="F54" s="13" t="s">
        <v>30</v>
      </c>
      <c r="G54" s="14" t="s">
        <v>35</v>
      </c>
    </row>
    <row r="55" spans="1:7">
      <c r="A55" s="15">
        <v>1</v>
      </c>
      <c r="B55" s="32">
        <v>0</v>
      </c>
      <c r="C55" s="32">
        <v>0</v>
      </c>
      <c r="D55" s="33">
        <v>3.7807204909999998</v>
      </c>
      <c r="E55" s="33">
        <v>4.9540446190000003</v>
      </c>
      <c r="F55" s="32">
        <v>0</v>
      </c>
      <c r="G55" s="33">
        <v>6.4158476220000002</v>
      </c>
    </row>
    <row r="56" spans="1:7">
      <c r="A56" s="15">
        <v>2</v>
      </c>
      <c r="B56" s="32"/>
      <c r="C56" s="32"/>
      <c r="D56" s="32"/>
      <c r="E56" s="32"/>
      <c r="F56" s="32"/>
      <c r="G56" s="32"/>
    </row>
    <row r="57" spans="1:7">
      <c r="A57" s="15">
        <v>3</v>
      </c>
      <c r="B57" s="32"/>
      <c r="C57" s="32">
        <v>0</v>
      </c>
      <c r="D57" s="32">
        <v>0</v>
      </c>
      <c r="E57" s="33">
        <v>3.5709396940000002</v>
      </c>
      <c r="F57" s="32">
        <v>0</v>
      </c>
      <c r="G57" s="33">
        <v>4.4255137619999996</v>
      </c>
    </row>
    <row r="58" spans="1:7">
      <c r="A58" s="15">
        <v>4</v>
      </c>
      <c r="B58" s="32">
        <v>0</v>
      </c>
      <c r="C58" s="32"/>
      <c r="D58" s="32"/>
      <c r="E58" s="32"/>
      <c r="F58" s="32"/>
      <c r="G58" s="32"/>
    </row>
    <row r="59" spans="1:7">
      <c r="A59" s="15">
        <v>5</v>
      </c>
      <c r="B59" s="32"/>
      <c r="C59" s="32"/>
      <c r="D59" s="32">
        <v>0</v>
      </c>
      <c r="E59" s="32"/>
      <c r="F59" s="32"/>
      <c r="G59" s="32"/>
    </row>
    <row r="60" spans="1:7">
      <c r="A60" s="15">
        <v>6</v>
      </c>
      <c r="B60" s="32">
        <v>0</v>
      </c>
      <c r="C60" s="32"/>
      <c r="D60" s="32"/>
      <c r="E60" s="32"/>
      <c r="F60" s="32">
        <v>0</v>
      </c>
      <c r="G60" s="32">
        <v>0</v>
      </c>
    </row>
    <row r="61" spans="1:7">
      <c r="A61" s="15">
        <v>7</v>
      </c>
      <c r="B61" s="32"/>
      <c r="C61" s="32">
        <v>0</v>
      </c>
      <c r="D61" s="32">
        <v>0</v>
      </c>
      <c r="E61" s="33">
        <v>0</v>
      </c>
      <c r="F61" s="32"/>
      <c r="G61" s="32"/>
    </row>
    <row r="62" spans="1:7">
      <c r="A62" s="15">
        <v>8</v>
      </c>
      <c r="B62" s="32">
        <v>0</v>
      </c>
      <c r="C62" s="32"/>
      <c r="D62" s="32"/>
      <c r="E62" s="32"/>
      <c r="F62" s="32">
        <v>0</v>
      </c>
      <c r="G62" s="32">
        <v>0</v>
      </c>
    </row>
    <row r="63" spans="1:7">
      <c r="A63" s="15">
        <v>9</v>
      </c>
      <c r="B63" s="32"/>
      <c r="C63" s="32">
        <v>0</v>
      </c>
      <c r="D63" s="32"/>
      <c r="E63" s="32">
        <v>4.071462232</v>
      </c>
      <c r="F63" s="32"/>
      <c r="G63" s="32"/>
    </row>
    <row r="64" spans="1:7">
      <c r="A64" s="15">
        <v>10</v>
      </c>
      <c r="B64" s="32"/>
      <c r="C64" s="32"/>
      <c r="D64" s="32">
        <v>0</v>
      </c>
      <c r="E64" s="32"/>
      <c r="F64" s="32">
        <v>0</v>
      </c>
      <c r="G64" s="32">
        <v>0</v>
      </c>
    </row>
    <row r="65" spans="1:7">
      <c r="A65" s="15">
        <v>11</v>
      </c>
      <c r="B65" s="32">
        <v>0</v>
      </c>
      <c r="C65" s="32">
        <v>0</v>
      </c>
      <c r="D65" s="32"/>
      <c r="E65" s="32">
        <v>0</v>
      </c>
      <c r="F65" s="32"/>
      <c r="G65" s="32"/>
    </row>
    <row r="66" spans="1:7">
      <c r="A66" s="15">
        <v>12</v>
      </c>
      <c r="B66" s="32"/>
      <c r="C66" s="32"/>
      <c r="D66" s="32">
        <v>0</v>
      </c>
      <c r="E66" s="32"/>
      <c r="F66" s="32"/>
      <c r="G66" s="32"/>
    </row>
    <row r="67" spans="1:7">
      <c r="A67" s="15">
        <v>13</v>
      </c>
      <c r="B67" s="32">
        <v>0</v>
      </c>
      <c r="C67" s="32"/>
      <c r="D67" s="32"/>
      <c r="E67" s="32"/>
      <c r="F67" s="32">
        <v>0</v>
      </c>
      <c r="G67" s="32">
        <v>0</v>
      </c>
    </row>
    <row r="68" spans="1:7">
      <c r="A68" s="15">
        <v>14</v>
      </c>
      <c r="B68" s="11"/>
      <c r="C68" s="32">
        <v>0</v>
      </c>
      <c r="D68" s="32">
        <v>0</v>
      </c>
      <c r="E68" s="33">
        <v>0</v>
      </c>
      <c r="F68" s="32"/>
      <c r="G68" s="32"/>
    </row>
    <row r="69" spans="1:7">
      <c r="A69" s="15">
        <v>15</v>
      </c>
      <c r="B69" s="20"/>
      <c r="C69" s="32"/>
      <c r="D69" s="32"/>
      <c r="E69" s="32"/>
      <c r="F69" s="32">
        <v>0</v>
      </c>
      <c r="G69" s="32">
        <v>0</v>
      </c>
    </row>
    <row r="70" spans="1:7">
      <c r="A70" s="15">
        <v>16</v>
      </c>
      <c r="B70" s="20"/>
      <c r="C70" s="32">
        <v>0</v>
      </c>
      <c r="D70" s="32"/>
      <c r="E70" s="32">
        <v>0</v>
      </c>
      <c r="F70" s="32">
        <v>0</v>
      </c>
      <c r="G70" s="32">
        <v>0</v>
      </c>
    </row>
    <row r="71" spans="1:7">
      <c r="A71" s="15">
        <v>17</v>
      </c>
      <c r="B71" s="20"/>
      <c r="C71" s="32"/>
      <c r="D71" s="32">
        <v>0</v>
      </c>
      <c r="E71" s="32"/>
      <c r="F71" s="20"/>
      <c r="G71" s="21"/>
    </row>
    <row r="72" spans="1:7">
      <c r="A72" s="15">
        <v>18</v>
      </c>
      <c r="B72" s="20"/>
      <c r="C72" s="32">
        <v>0</v>
      </c>
      <c r="D72" s="32"/>
      <c r="E72" s="32">
        <v>0</v>
      </c>
      <c r="F72" s="20"/>
      <c r="G72" s="21"/>
    </row>
    <row r="73" spans="1:7">
      <c r="A73" s="15">
        <v>19</v>
      </c>
      <c r="B73" s="20"/>
      <c r="C73" s="32"/>
      <c r="D73" s="32">
        <v>0</v>
      </c>
      <c r="E73" s="32"/>
      <c r="F73" s="20"/>
      <c r="G73" s="21"/>
    </row>
    <row r="74" spans="1:7">
      <c r="A74" s="15">
        <v>20</v>
      </c>
      <c r="B74" s="20"/>
      <c r="C74" s="32"/>
      <c r="D74" s="32"/>
      <c r="E74" s="32"/>
      <c r="F74" s="20"/>
      <c r="G74" s="21"/>
    </row>
    <row r="75" spans="1:7">
      <c r="A75" s="15">
        <v>21</v>
      </c>
      <c r="B75" s="20"/>
      <c r="C75" s="32">
        <v>0</v>
      </c>
      <c r="D75" s="32">
        <v>0</v>
      </c>
      <c r="E75" s="32">
        <v>0</v>
      </c>
      <c r="F75" s="20"/>
      <c r="G75" s="21"/>
    </row>
    <row r="76" spans="1:7">
      <c r="A76" s="15">
        <v>22</v>
      </c>
      <c r="B76" s="20"/>
      <c r="C76" s="20"/>
      <c r="D76" s="32"/>
      <c r="E76" s="20"/>
      <c r="F76" s="20"/>
      <c r="G76" s="21"/>
    </row>
    <row r="77" spans="1:7">
      <c r="A77" s="15">
        <v>23</v>
      </c>
      <c r="B77" s="20"/>
      <c r="C77" s="20"/>
      <c r="D77" s="32"/>
      <c r="E77" s="20"/>
      <c r="F77" s="20"/>
      <c r="G77" s="21"/>
    </row>
    <row r="78" spans="1:7">
      <c r="A78" s="15">
        <v>24</v>
      </c>
      <c r="B78" s="20"/>
      <c r="C78" s="20"/>
      <c r="D78" s="32">
        <v>0</v>
      </c>
      <c r="E78" s="20"/>
      <c r="F78" s="20"/>
      <c r="G78" s="21"/>
    </row>
    <row r="79" spans="1:7">
      <c r="A79" s="15">
        <v>25</v>
      </c>
      <c r="B79" s="20"/>
      <c r="C79" s="20"/>
      <c r="D79" s="32"/>
      <c r="E79" s="20"/>
      <c r="F79" s="20"/>
      <c r="G79" s="21"/>
    </row>
    <row r="80" spans="1:7">
      <c r="A80" s="15">
        <v>26</v>
      </c>
      <c r="B80" s="20"/>
      <c r="C80" s="20"/>
      <c r="D80" s="32">
        <v>0</v>
      </c>
      <c r="E80" s="20"/>
      <c r="F80" s="20"/>
      <c r="G80" s="21"/>
    </row>
    <row r="81" spans="1:7">
      <c r="A81" s="15">
        <v>27</v>
      </c>
      <c r="B81" s="20"/>
      <c r="C81" s="20"/>
      <c r="D81" s="32">
        <v>0</v>
      </c>
      <c r="E81" s="20"/>
      <c r="F81" s="20"/>
      <c r="G81" s="21"/>
    </row>
    <row r="82" spans="1:7" ht="15.75" thickBot="1">
      <c r="A82" s="17">
        <v>28</v>
      </c>
      <c r="B82" s="22"/>
      <c r="C82" s="22"/>
      <c r="D82" s="18"/>
      <c r="E82" s="22"/>
      <c r="F82" s="22"/>
      <c r="G82" s="23"/>
    </row>
    <row r="85" spans="1:7" ht="15.75" thickBot="1"/>
    <row r="86" spans="1:7">
      <c r="A86" s="12" t="s">
        <v>13</v>
      </c>
      <c r="B86" s="13" t="s">
        <v>26</v>
      </c>
      <c r="C86" s="13" t="s">
        <v>17</v>
      </c>
      <c r="D86" s="13" t="s">
        <v>41</v>
      </c>
      <c r="E86" s="13" t="s">
        <v>22</v>
      </c>
      <c r="F86" s="13" t="s">
        <v>31</v>
      </c>
      <c r="G86" s="14" t="s">
        <v>36</v>
      </c>
    </row>
    <row r="87" spans="1:7">
      <c r="A87" s="15">
        <v>1</v>
      </c>
      <c r="B87" s="32">
        <v>0</v>
      </c>
      <c r="C87" s="33">
        <v>0</v>
      </c>
      <c r="D87" s="33">
        <v>4.3808261699999997</v>
      </c>
      <c r="E87" s="33">
        <v>6.644948512</v>
      </c>
      <c r="F87" s="33">
        <v>9.8400330199999999</v>
      </c>
      <c r="G87" s="33">
        <v>5.2966003979999998</v>
      </c>
    </row>
    <row r="88" spans="1:7">
      <c r="A88" s="15">
        <v>2</v>
      </c>
      <c r="B88" s="32"/>
      <c r="C88" s="32"/>
      <c r="D88" s="32"/>
      <c r="E88" s="32"/>
      <c r="F88" s="32"/>
      <c r="G88" s="32"/>
    </row>
    <row r="89" spans="1:7">
      <c r="A89" s="15">
        <v>3</v>
      </c>
      <c r="B89" s="32">
        <v>4.3968546550000003</v>
      </c>
      <c r="C89" s="33">
        <v>3.5661899269999999</v>
      </c>
      <c r="D89" s="33">
        <v>3.5839613789999998</v>
      </c>
      <c r="E89" s="32">
        <v>0</v>
      </c>
      <c r="F89" s="33">
        <v>5.1747717489999996</v>
      </c>
      <c r="G89" s="33">
        <v>10.602255939999999</v>
      </c>
    </row>
    <row r="90" spans="1:7">
      <c r="A90" s="15">
        <v>4</v>
      </c>
      <c r="B90" s="32"/>
      <c r="C90" s="32"/>
      <c r="D90" s="32"/>
      <c r="E90" s="32"/>
      <c r="F90" s="32"/>
      <c r="G90" s="32"/>
    </row>
    <row r="91" spans="1:7">
      <c r="A91" s="15">
        <v>5</v>
      </c>
      <c r="B91" s="32"/>
      <c r="C91" s="32"/>
      <c r="D91" s="32">
        <v>4.1818089430000001</v>
      </c>
      <c r="E91" s="32"/>
      <c r="F91" s="32"/>
      <c r="G91" s="32"/>
    </row>
    <row r="92" spans="1:7">
      <c r="A92" s="15">
        <v>6</v>
      </c>
      <c r="B92" s="32">
        <v>3.5123641590000001</v>
      </c>
      <c r="C92" s="32"/>
      <c r="D92" s="32"/>
      <c r="E92" s="32"/>
      <c r="F92" s="32">
        <v>6.9244347270000004</v>
      </c>
      <c r="G92" s="32">
        <v>9.9869714300000005</v>
      </c>
    </row>
    <row r="93" spans="1:7">
      <c r="A93" s="15">
        <v>7</v>
      </c>
      <c r="B93" s="32"/>
      <c r="C93" s="32">
        <v>0</v>
      </c>
      <c r="D93" s="32">
        <v>0</v>
      </c>
      <c r="E93" s="32">
        <v>0</v>
      </c>
      <c r="F93" s="32"/>
      <c r="G93" s="32"/>
    </row>
    <row r="94" spans="1:7">
      <c r="A94" s="15">
        <v>8</v>
      </c>
      <c r="B94" s="32">
        <v>0</v>
      </c>
      <c r="C94" s="32"/>
      <c r="D94" s="32"/>
      <c r="E94" s="32"/>
      <c r="F94" s="32">
        <v>9.9111958110000007</v>
      </c>
      <c r="G94" s="32">
        <v>6.0016695779999996</v>
      </c>
    </row>
    <row r="95" spans="1:7">
      <c r="A95" s="15">
        <v>9</v>
      </c>
      <c r="B95" s="32"/>
      <c r="C95" s="32">
        <v>0</v>
      </c>
      <c r="D95" s="32"/>
      <c r="E95" s="32">
        <v>0</v>
      </c>
      <c r="F95" s="32"/>
      <c r="G95" s="32"/>
    </row>
    <row r="96" spans="1:7">
      <c r="A96" s="15">
        <v>10</v>
      </c>
      <c r="B96" s="32">
        <v>0</v>
      </c>
      <c r="C96" s="32"/>
      <c r="D96" s="32">
        <v>0</v>
      </c>
      <c r="E96" s="32"/>
      <c r="F96" s="32">
        <v>9.2201575400000007</v>
      </c>
      <c r="G96" s="32">
        <v>6.6695222190000001</v>
      </c>
    </row>
    <row r="97" spans="1:7">
      <c r="A97" s="15">
        <v>11</v>
      </c>
      <c r="B97" s="32"/>
      <c r="C97" s="32">
        <v>0</v>
      </c>
      <c r="D97" s="32"/>
      <c r="E97" s="32">
        <v>0</v>
      </c>
      <c r="F97" s="32"/>
      <c r="G97" s="32"/>
    </row>
    <row r="98" spans="1:7">
      <c r="A98" s="15">
        <v>12</v>
      </c>
      <c r="B98" s="32"/>
      <c r="C98" s="32"/>
      <c r="D98" s="32">
        <v>0</v>
      </c>
      <c r="E98" s="32"/>
      <c r="F98" s="32"/>
      <c r="G98" s="32"/>
    </row>
    <row r="99" spans="1:7">
      <c r="A99" s="15">
        <v>13</v>
      </c>
      <c r="B99" s="32">
        <v>0</v>
      </c>
      <c r="C99" s="32"/>
      <c r="D99" s="32"/>
      <c r="E99" s="32"/>
      <c r="F99" s="32">
        <v>9.0211675499999995</v>
      </c>
      <c r="G99" s="32">
        <v>4.1129784819999999</v>
      </c>
    </row>
    <row r="100" spans="1:7">
      <c r="A100" s="15">
        <v>14</v>
      </c>
      <c r="B100" s="32"/>
      <c r="C100" s="32">
        <v>4.6532318149999998</v>
      </c>
      <c r="D100" s="32">
        <v>0</v>
      </c>
      <c r="E100" s="32">
        <v>0</v>
      </c>
      <c r="F100" s="32"/>
      <c r="G100" s="32"/>
    </row>
    <row r="101" spans="1:7">
      <c r="A101" s="15">
        <v>15</v>
      </c>
      <c r="B101" s="32">
        <v>0</v>
      </c>
      <c r="C101" s="32"/>
      <c r="D101" s="32"/>
      <c r="E101" s="32"/>
      <c r="F101" s="32">
        <v>4.4900171029999996</v>
      </c>
      <c r="G101" s="32">
        <v>4.2180939950000003</v>
      </c>
    </row>
    <row r="102" spans="1:7">
      <c r="A102" s="15">
        <v>16</v>
      </c>
      <c r="B102" s="32"/>
      <c r="C102" s="32">
        <v>3.9782980939999999</v>
      </c>
      <c r="D102" s="32"/>
      <c r="E102" s="32">
        <v>0</v>
      </c>
      <c r="F102" s="32"/>
      <c r="G102" s="32"/>
    </row>
    <row r="103" spans="1:7">
      <c r="A103" s="15">
        <v>17</v>
      </c>
      <c r="B103" s="32">
        <v>0</v>
      </c>
      <c r="C103" s="11"/>
      <c r="D103" s="32">
        <v>0</v>
      </c>
      <c r="E103" s="32"/>
      <c r="F103" s="32">
        <v>0</v>
      </c>
      <c r="G103" s="32">
        <v>4.4390404339999998</v>
      </c>
    </row>
    <row r="104" spans="1:7">
      <c r="A104" s="15">
        <v>18</v>
      </c>
      <c r="B104" s="11"/>
      <c r="C104" s="11"/>
      <c r="D104" s="32">
        <v>0</v>
      </c>
      <c r="E104" s="32">
        <v>0</v>
      </c>
      <c r="F104" s="32"/>
      <c r="G104" s="32"/>
    </row>
    <row r="105" spans="1:7">
      <c r="A105" s="15">
        <v>19</v>
      </c>
      <c r="B105" s="11"/>
      <c r="C105" s="11"/>
      <c r="D105" s="11"/>
      <c r="E105" s="32"/>
      <c r="F105" s="32"/>
      <c r="G105" s="32"/>
    </row>
    <row r="106" spans="1:7">
      <c r="A106" s="15">
        <v>20</v>
      </c>
      <c r="B106" s="11"/>
      <c r="C106" s="11"/>
      <c r="D106" s="11"/>
      <c r="E106" s="32"/>
      <c r="F106" s="32">
        <v>0</v>
      </c>
      <c r="G106" s="32">
        <v>4.5251843100000002</v>
      </c>
    </row>
    <row r="107" spans="1:7">
      <c r="A107" s="15">
        <v>21</v>
      </c>
      <c r="B107" s="11"/>
      <c r="C107" s="11"/>
      <c r="D107" s="11"/>
      <c r="E107" s="32">
        <v>0</v>
      </c>
      <c r="F107" s="32"/>
      <c r="G107" s="32"/>
    </row>
    <row r="108" spans="1:7">
      <c r="A108" s="15">
        <v>22</v>
      </c>
      <c r="B108" s="11"/>
      <c r="C108" s="11"/>
      <c r="D108" s="11"/>
      <c r="E108" s="11"/>
      <c r="F108" s="32">
        <v>0</v>
      </c>
      <c r="G108" s="32">
        <v>3.9947717800000002</v>
      </c>
    </row>
    <row r="109" spans="1:7">
      <c r="A109" s="15">
        <v>23</v>
      </c>
      <c r="B109" s="11"/>
      <c r="C109" s="11"/>
      <c r="D109" s="11"/>
      <c r="E109" s="11"/>
      <c r="F109" s="32"/>
      <c r="G109" s="32"/>
    </row>
    <row r="110" spans="1:7">
      <c r="A110" s="15">
        <v>24</v>
      </c>
      <c r="B110" s="11"/>
      <c r="C110" s="11"/>
      <c r="D110" s="11"/>
      <c r="E110" s="11"/>
      <c r="F110" s="32">
        <v>0</v>
      </c>
      <c r="G110" s="32">
        <v>6.4061567180000001</v>
      </c>
    </row>
    <row r="111" spans="1:7">
      <c r="A111" s="15">
        <v>25</v>
      </c>
      <c r="B111" s="11"/>
      <c r="C111" s="11"/>
      <c r="D111" s="11"/>
      <c r="E111" s="11"/>
      <c r="F111" s="32"/>
      <c r="G111" s="32"/>
    </row>
    <row r="112" spans="1:7">
      <c r="A112" s="15">
        <v>26</v>
      </c>
      <c r="B112" s="11"/>
      <c r="C112" s="11"/>
      <c r="D112" s="11"/>
      <c r="E112" s="11"/>
      <c r="F112" s="32"/>
      <c r="G112" s="32"/>
    </row>
    <row r="113" spans="1:7">
      <c r="A113" s="15">
        <v>27</v>
      </c>
      <c r="B113" s="11"/>
      <c r="C113" s="11"/>
      <c r="D113" s="11"/>
      <c r="E113" s="11"/>
      <c r="F113" s="32">
        <v>0</v>
      </c>
      <c r="G113" s="32">
        <v>6.6570441000000002</v>
      </c>
    </row>
    <row r="114" spans="1:7">
      <c r="A114" s="15">
        <v>28</v>
      </c>
      <c r="B114" s="11"/>
      <c r="C114" s="11"/>
      <c r="D114" s="11"/>
      <c r="E114" s="11"/>
      <c r="F114" s="32">
        <v>0</v>
      </c>
      <c r="G114" s="32"/>
    </row>
    <row r="115" spans="1:7">
      <c r="A115" s="15">
        <v>29</v>
      </c>
      <c r="B115" s="11"/>
      <c r="C115" s="11"/>
      <c r="D115" s="11"/>
      <c r="E115" s="11"/>
      <c r="F115" s="11"/>
      <c r="G115" s="32">
        <v>7.4819425349999999</v>
      </c>
    </row>
    <row r="116" spans="1:7">
      <c r="A116" s="15">
        <v>30</v>
      </c>
      <c r="B116" s="11"/>
      <c r="C116" s="11"/>
      <c r="D116" s="11"/>
      <c r="E116" s="11"/>
      <c r="F116" s="11"/>
      <c r="G116" s="32"/>
    </row>
    <row r="117" spans="1:7">
      <c r="A117" s="15">
        <v>31</v>
      </c>
      <c r="B117" s="11"/>
      <c r="C117" s="11"/>
      <c r="D117" s="11"/>
      <c r="E117" s="11"/>
      <c r="F117" s="11"/>
      <c r="G117" s="32">
        <v>8.8944778820000003</v>
      </c>
    </row>
    <row r="118" spans="1:7">
      <c r="A118" s="15">
        <v>32</v>
      </c>
      <c r="B118" s="11"/>
      <c r="C118" s="11"/>
      <c r="D118" s="11"/>
      <c r="E118" s="11"/>
      <c r="F118" s="11"/>
      <c r="G118" s="32"/>
    </row>
    <row r="119" spans="1:7">
      <c r="A119" s="15">
        <v>33</v>
      </c>
      <c r="B119" s="11"/>
      <c r="C119" s="11"/>
      <c r="D119" s="11"/>
      <c r="E119" s="11"/>
      <c r="F119" s="11"/>
      <c r="G119" s="32"/>
    </row>
    <row r="120" spans="1:7">
      <c r="A120" s="15">
        <v>34</v>
      </c>
      <c r="B120" s="11"/>
      <c r="C120" s="11"/>
      <c r="D120" s="11"/>
      <c r="E120" s="11"/>
      <c r="F120" s="11"/>
      <c r="G120" s="32">
        <v>7.4061583249999998</v>
      </c>
    </row>
    <row r="121" spans="1:7">
      <c r="A121" s="15">
        <v>35</v>
      </c>
      <c r="B121" s="11"/>
      <c r="C121" s="11"/>
      <c r="D121" s="11"/>
      <c r="E121" s="11"/>
      <c r="F121" s="11"/>
      <c r="G121" s="32"/>
    </row>
    <row r="122" spans="1:7">
      <c r="A122" s="15">
        <v>36</v>
      </c>
      <c r="B122" s="11"/>
      <c r="C122" s="11"/>
      <c r="D122" s="11"/>
      <c r="E122" s="11"/>
      <c r="F122" s="11"/>
      <c r="G122" s="32">
        <v>7.4061526500000001</v>
      </c>
    </row>
    <row r="123" spans="1:7">
      <c r="A123" s="15">
        <v>37</v>
      </c>
      <c r="B123" s="11"/>
      <c r="C123" s="11"/>
      <c r="D123" s="11"/>
      <c r="E123" s="11"/>
      <c r="F123" s="11"/>
      <c r="G123" s="32"/>
    </row>
    <row r="124" spans="1:7">
      <c r="A124" s="15">
        <v>38</v>
      </c>
      <c r="B124" s="11"/>
      <c r="C124" s="11"/>
      <c r="D124" s="11"/>
      <c r="E124" s="11"/>
      <c r="F124" s="11"/>
      <c r="G124" s="32">
        <v>7.9961077310000004</v>
      </c>
    </row>
    <row r="125" spans="1:7">
      <c r="A125" s="15">
        <v>39</v>
      </c>
      <c r="B125" s="11"/>
      <c r="C125" s="11"/>
      <c r="D125" s="11"/>
      <c r="E125" s="11"/>
      <c r="F125" s="11"/>
      <c r="G125" s="32"/>
    </row>
    <row r="126" spans="1:7">
      <c r="A126" s="15">
        <v>40</v>
      </c>
      <c r="B126" s="11"/>
      <c r="C126" s="11"/>
      <c r="D126" s="11"/>
      <c r="E126" s="11"/>
      <c r="F126" s="11"/>
      <c r="G126" s="32"/>
    </row>
    <row r="127" spans="1:7">
      <c r="A127" s="15">
        <v>41</v>
      </c>
      <c r="B127" s="11"/>
      <c r="C127" s="11"/>
      <c r="D127" s="11"/>
      <c r="E127" s="11"/>
      <c r="F127" s="11"/>
      <c r="G127" s="32">
        <v>8.4057124349999999</v>
      </c>
    </row>
    <row r="128" spans="1:7">
      <c r="A128" s="15">
        <v>42</v>
      </c>
      <c r="B128" s="11"/>
      <c r="C128" s="11"/>
      <c r="D128" s="11"/>
      <c r="E128" s="11"/>
      <c r="F128" s="11"/>
      <c r="G128" s="32"/>
    </row>
    <row r="129" spans="1:7">
      <c r="A129" s="15">
        <v>43</v>
      </c>
      <c r="B129" s="11"/>
      <c r="C129" s="11"/>
      <c r="D129" s="11"/>
      <c r="E129" s="11"/>
      <c r="F129" s="11"/>
      <c r="G129" s="32">
        <v>8.8957389750000004</v>
      </c>
    </row>
    <row r="130" spans="1:7">
      <c r="A130" s="15">
        <v>44</v>
      </c>
      <c r="B130" s="11"/>
      <c r="C130" s="11"/>
      <c r="D130" s="11"/>
      <c r="E130" s="11"/>
      <c r="F130" s="11"/>
      <c r="G130" s="32"/>
    </row>
    <row r="131" spans="1:7">
      <c r="A131" s="15">
        <v>45</v>
      </c>
      <c r="B131" s="11"/>
      <c r="C131" s="11"/>
      <c r="D131" s="11"/>
      <c r="E131" s="11"/>
      <c r="F131" s="11"/>
      <c r="G131" s="32">
        <v>7.6570457420000002</v>
      </c>
    </row>
    <row r="132" spans="1:7">
      <c r="A132" s="15">
        <v>46</v>
      </c>
      <c r="B132" s="11"/>
      <c r="C132" s="11"/>
      <c r="D132" s="11"/>
      <c r="E132" s="11"/>
      <c r="F132" s="11"/>
      <c r="G132" s="32"/>
    </row>
    <row r="133" spans="1:7">
      <c r="A133" s="15">
        <v>47</v>
      </c>
      <c r="B133" s="11"/>
      <c r="C133" s="11"/>
      <c r="D133" s="11"/>
      <c r="E133" s="11"/>
      <c r="F133" s="11"/>
      <c r="G133" s="32"/>
    </row>
    <row r="134" spans="1:7">
      <c r="A134" s="15">
        <v>48</v>
      </c>
      <c r="B134" s="11"/>
      <c r="C134" s="11"/>
      <c r="D134" s="11"/>
      <c r="E134" s="11"/>
      <c r="F134" s="11"/>
      <c r="G134" s="32">
        <v>8.4059867439999998</v>
      </c>
    </row>
    <row r="135" spans="1:7">
      <c r="A135" s="15">
        <v>49</v>
      </c>
      <c r="B135" s="11"/>
      <c r="C135" s="11"/>
      <c r="D135" s="11"/>
      <c r="E135" s="11"/>
      <c r="F135" s="11"/>
      <c r="G135" s="32"/>
    </row>
    <row r="136" spans="1:7">
      <c r="A136" s="15">
        <v>50</v>
      </c>
      <c r="B136" s="11"/>
      <c r="C136" s="11"/>
      <c r="D136" s="11"/>
      <c r="E136" s="11"/>
      <c r="F136" s="11"/>
      <c r="G136" s="32">
        <v>6.6570441000000002</v>
      </c>
    </row>
    <row r="137" spans="1:7">
      <c r="A137" s="15">
        <v>51</v>
      </c>
      <c r="B137" s="11"/>
      <c r="C137" s="11"/>
      <c r="D137" s="11"/>
      <c r="E137" s="11"/>
      <c r="F137" s="11"/>
      <c r="G137" s="32"/>
    </row>
    <row r="138" spans="1:7">
      <c r="A138" s="15">
        <v>52</v>
      </c>
      <c r="B138" s="11"/>
      <c r="C138" s="11"/>
      <c r="D138" s="11"/>
      <c r="E138" s="11"/>
      <c r="F138" s="11"/>
      <c r="G138" s="32">
        <v>5.9961193579999996</v>
      </c>
    </row>
    <row r="139" spans="1:7">
      <c r="A139" s="15">
        <v>53</v>
      </c>
      <c r="B139" s="11"/>
      <c r="C139" s="11"/>
      <c r="D139" s="11"/>
      <c r="E139" s="11"/>
      <c r="F139" s="11"/>
      <c r="G139" s="32"/>
    </row>
    <row r="140" spans="1:7">
      <c r="A140" s="15">
        <v>54</v>
      </c>
      <c r="B140" s="11"/>
      <c r="C140" s="11"/>
      <c r="D140" s="11"/>
      <c r="E140" s="11"/>
      <c r="F140" s="11"/>
      <c r="G140" s="32"/>
    </row>
    <row r="141" spans="1:7">
      <c r="A141" s="15">
        <v>55</v>
      </c>
      <c r="B141" s="11"/>
      <c r="C141" s="11"/>
      <c r="D141" s="11"/>
      <c r="E141" s="11"/>
      <c r="F141" s="11"/>
      <c r="G141" s="32">
        <v>6.9961187210000002</v>
      </c>
    </row>
    <row r="142" spans="1:7">
      <c r="A142" s="15">
        <v>56</v>
      </c>
      <c r="B142" s="11"/>
      <c r="C142" s="11"/>
      <c r="D142" s="11"/>
      <c r="E142" s="11"/>
      <c r="F142" s="11"/>
      <c r="G142" s="32"/>
    </row>
    <row r="143" spans="1:7">
      <c r="A143" s="15">
        <v>57</v>
      </c>
      <c r="B143" s="11"/>
      <c r="C143" s="11"/>
      <c r="D143" s="11"/>
      <c r="E143" s="11"/>
      <c r="F143" s="11"/>
      <c r="G143" s="32">
        <v>4.5335618010000003</v>
      </c>
    </row>
    <row r="144" spans="1:7">
      <c r="A144" s="15">
        <v>58</v>
      </c>
      <c r="B144" s="11"/>
      <c r="C144" s="11"/>
      <c r="D144" s="11"/>
      <c r="E144" s="11"/>
      <c r="F144" s="11"/>
      <c r="G144" s="32"/>
    </row>
    <row r="145" spans="1:7">
      <c r="A145" s="15">
        <v>59</v>
      </c>
      <c r="B145" s="11"/>
      <c r="C145" s="11"/>
      <c r="D145" s="11"/>
      <c r="E145" s="11"/>
      <c r="F145" s="11"/>
      <c r="G145" s="32">
        <v>6.9961153920000001</v>
      </c>
    </row>
    <row r="146" spans="1:7">
      <c r="A146" s="15">
        <v>60</v>
      </c>
      <c r="B146" s="11"/>
      <c r="C146" s="11"/>
      <c r="D146" s="11"/>
      <c r="E146" s="11"/>
      <c r="F146" s="11"/>
      <c r="G146" s="32"/>
    </row>
    <row r="147" spans="1:7">
      <c r="A147" s="15">
        <v>61</v>
      </c>
      <c r="B147" s="11"/>
      <c r="C147" s="11"/>
      <c r="D147" s="11"/>
      <c r="E147" s="11"/>
      <c r="F147" s="11"/>
      <c r="G147" s="32"/>
    </row>
    <row r="148" spans="1:7">
      <c r="A148" s="15">
        <v>62</v>
      </c>
      <c r="B148" s="11"/>
      <c r="C148" s="11"/>
      <c r="D148" s="11"/>
      <c r="E148" s="11"/>
      <c r="F148" s="11"/>
      <c r="G148" s="32">
        <v>4.6092911240000003</v>
      </c>
    </row>
    <row r="149" spans="1:7">
      <c r="A149" s="15">
        <v>63</v>
      </c>
      <c r="B149" s="11"/>
      <c r="C149" s="11"/>
      <c r="D149" s="11"/>
      <c r="E149" s="11"/>
      <c r="F149" s="11"/>
      <c r="G149" s="32"/>
    </row>
    <row r="150" spans="1:7">
      <c r="A150" s="15">
        <v>64</v>
      </c>
      <c r="B150" s="11"/>
      <c r="C150" s="11"/>
      <c r="D150" s="11"/>
      <c r="E150" s="11"/>
      <c r="F150" s="11"/>
      <c r="G150" s="32">
        <v>0</v>
      </c>
    </row>
    <row r="151" spans="1:7">
      <c r="A151" s="15">
        <v>65</v>
      </c>
      <c r="B151" s="11"/>
      <c r="C151" s="11"/>
      <c r="D151" s="11"/>
      <c r="E151" s="11"/>
      <c r="F151" s="11"/>
      <c r="G151" s="32"/>
    </row>
    <row r="152" spans="1:7">
      <c r="A152" s="15">
        <v>66</v>
      </c>
      <c r="B152" s="11"/>
      <c r="C152" s="11"/>
      <c r="D152" s="11"/>
      <c r="E152" s="11"/>
      <c r="F152" s="11"/>
      <c r="G152" s="32">
        <v>3.5106204019999998</v>
      </c>
    </row>
    <row r="153" spans="1:7">
      <c r="A153" s="15">
        <v>67</v>
      </c>
      <c r="B153" s="11"/>
      <c r="C153" s="11"/>
      <c r="D153" s="11"/>
      <c r="E153" s="11"/>
      <c r="F153" s="11"/>
      <c r="G153" s="32"/>
    </row>
    <row r="154" spans="1:7">
      <c r="A154" s="15">
        <v>68</v>
      </c>
      <c r="B154" s="11"/>
      <c r="C154" s="11"/>
      <c r="D154" s="11"/>
      <c r="E154" s="11"/>
      <c r="F154" s="11"/>
      <c r="G154" s="32"/>
    </row>
    <row r="155" spans="1:7">
      <c r="A155" s="15">
        <v>69</v>
      </c>
      <c r="B155" s="11"/>
      <c r="C155" s="11"/>
      <c r="D155" s="11"/>
      <c r="E155" s="11"/>
      <c r="F155" s="11"/>
      <c r="G155" s="32">
        <v>0</v>
      </c>
    </row>
    <row r="156" spans="1:7">
      <c r="A156" s="15">
        <v>70</v>
      </c>
      <c r="B156" s="11"/>
      <c r="C156" s="11"/>
      <c r="D156" s="11"/>
      <c r="E156" s="11"/>
      <c r="F156" s="11"/>
      <c r="G156" s="32"/>
    </row>
    <row r="157" spans="1:7">
      <c r="A157" s="15">
        <v>71</v>
      </c>
      <c r="B157" s="11"/>
      <c r="C157" s="11"/>
      <c r="D157" s="11"/>
      <c r="E157" s="11"/>
      <c r="F157" s="11"/>
      <c r="G157" s="32">
        <v>0</v>
      </c>
    </row>
    <row r="158" spans="1:7" ht="15.75" thickBot="1">
      <c r="A158" s="17">
        <v>72</v>
      </c>
      <c r="B158" s="18"/>
      <c r="C158" s="18"/>
      <c r="D158" s="18"/>
      <c r="E158" s="18"/>
      <c r="F158" s="18"/>
      <c r="G158" s="32">
        <v>0</v>
      </c>
    </row>
    <row r="160" spans="1:7" ht="15.75" thickBot="1"/>
    <row r="161" spans="1:7">
      <c r="A161" s="12" t="s">
        <v>13</v>
      </c>
      <c r="B161" s="13" t="s">
        <v>27</v>
      </c>
      <c r="C161" s="13" t="s">
        <v>18</v>
      </c>
      <c r="D161" s="13" t="s">
        <v>42</v>
      </c>
      <c r="E161" s="13" t="s">
        <v>23</v>
      </c>
      <c r="F161" s="13" t="s">
        <v>32</v>
      </c>
      <c r="G161" s="14" t="s">
        <v>37</v>
      </c>
    </row>
    <row r="162" spans="1:7">
      <c r="A162" s="15">
        <v>1</v>
      </c>
      <c r="B162" s="33">
        <v>10.40873465</v>
      </c>
      <c r="C162" s="33">
        <v>9.0794620300000002</v>
      </c>
      <c r="D162" s="33">
        <v>6.9046777029999999</v>
      </c>
      <c r="E162" s="33">
        <v>10.03751209</v>
      </c>
      <c r="F162" s="33">
        <v>9.3827385000000003</v>
      </c>
      <c r="G162" s="33">
        <v>8.9029316220000005</v>
      </c>
    </row>
    <row r="163" spans="1:7">
      <c r="A163" s="15">
        <v>2</v>
      </c>
      <c r="B163" s="32"/>
      <c r="C163" s="32"/>
      <c r="D163" s="32"/>
      <c r="E163" s="32"/>
      <c r="F163" s="32"/>
      <c r="G163" s="32"/>
    </row>
    <row r="164" spans="1:7">
      <c r="A164" s="15">
        <v>3</v>
      </c>
      <c r="B164" s="33">
        <v>8.0208013670000007</v>
      </c>
      <c r="C164" s="33">
        <v>8.1839211600000006</v>
      </c>
      <c r="D164" s="33">
        <v>3.5674063280000001</v>
      </c>
      <c r="E164" s="33">
        <v>7.9772026010000001</v>
      </c>
      <c r="F164" s="33">
        <v>5.1545886090000002</v>
      </c>
      <c r="G164" s="33">
        <v>4.8414445160000001</v>
      </c>
    </row>
    <row r="165" spans="1:7">
      <c r="A165" s="15">
        <v>4</v>
      </c>
      <c r="B165" s="32"/>
      <c r="C165" s="32"/>
      <c r="D165" s="32"/>
      <c r="E165" s="32"/>
      <c r="F165" s="32"/>
      <c r="G165" s="32"/>
    </row>
    <row r="166" spans="1:7">
      <c r="A166" s="15">
        <v>5</v>
      </c>
      <c r="B166" s="32"/>
      <c r="C166" s="32"/>
      <c r="D166" s="32">
        <v>0</v>
      </c>
      <c r="E166" s="32"/>
      <c r="F166" s="32"/>
      <c r="G166" s="32">
        <v>4.1003140030000003</v>
      </c>
    </row>
    <row r="167" spans="1:7">
      <c r="A167" s="15">
        <v>6</v>
      </c>
      <c r="B167" s="33">
        <v>7.9208535009999999</v>
      </c>
      <c r="C167" s="32"/>
      <c r="D167" s="32"/>
      <c r="E167" s="32"/>
      <c r="F167" s="32">
        <v>9.1696523980000002</v>
      </c>
      <c r="G167" s="32"/>
    </row>
    <row r="168" spans="1:7">
      <c r="A168" s="15">
        <v>7</v>
      </c>
      <c r="B168" s="32"/>
      <c r="C168" s="32">
        <v>8.6782209100000003</v>
      </c>
      <c r="D168" s="32">
        <v>0</v>
      </c>
      <c r="E168" s="33">
        <v>6.6377489279999997</v>
      </c>
      <c r="F168" s="32"/>
      <c r="G168" s="32">
        <v>0</v>
      </c>
    </row>
    <row r="169" spans="1:7">
      <c r="A169" s="15">
        <v>8</v>
      </c>
      <c r="B169" s="33">
        <v>8.0209410640000005</v>
      </c>
      <c r="C169" s="32"/>
      <c r="D169" s="32"/>
      <c r="E169" s="32"/>
      <c r="F169" s="32">
        <v>3.9605265119999999</v>
      </c>
      <c r="G169" s="32"/>
    </row>
    <row r="170" spans="1:7">
      <c r="A170" s="15">
        <v>9</v>
      </c>
      <c r="B170" s="32"/>
      <c r="C170" s="32">
        <v>8.0578871000000003</v>
      </c>
      <c r="D170" s="32"/>
      <c r="E170" s="32">
        <v>6.1746385779999997</v>
      </c>
      <c r="F170" s="32"/>
      <c r="G170" s="32"/>
    </row>
    <row r="171" spans="1:7">
      <c r="A171" s="15">
        <v>10</v>
      </c>
      <c r="B171" s="32">
        <v>5.6815813019999997</v>
      </c>
      <c r="C171" s="32"/>
      <c r="D171" s="32">
        <v>0</v>
      </c>
      <c r="E171" s="32"/>
      <c r="F171" s="32">
        <v>0</v>
      </c>
      <c r="G171" s="32">
        <v>0</v>
      </c>
    </row>
    <row r="172" spans="1:7">
      <c r="A172" s="15">
        <v>11</v>
      </c>
      <c r="B172" s="32"/>
      <c r="C172" s="32">
        <v>7.6817588700000003</v>
      </c>
      <c r="D172" s="32"/>
      <c r="E172" s="32">
        <v>4.9021960499999997</v>
      </c>
      <c r="F172" s="32"/>
      <c r="G172" s="32"/>
    </row>
    <row r="173" spans="1:7">
      <c r="A173" s="15">
        <v>12</v>
      </c>
      <c r="B173" s="32"/>
      <c r="C173" s="32"/>
      <c r="D173" s="32">
        <v>0</v>
      </c>
      <c r="E173" s="32"/>
      <c r="F173" s="32"/>
      <c r="G173" s="32">
        <v>0</v>
      </c>
    </row>
    <row r="174" spans="1:7">
      <c r="A174" s="15">
        <v>13</v>
      </c>
      <c r="B174" s="33">
        <v>0</v>
      </c>
      <c r="C174" s="32"/>
      <c r="D174" s="32"/>
      <c r="E174" s="32"/>
      <c r="F174" s="32">
        <v>0</v>
      </c>
      <c r="G174" s="32"/>
    </row>
    <row r="175" spans="1:7">
      <c r="A175" s="15">
        <v>14</v>
      </c>
      <c r="B175" s="32"/>
      <c r="C175" s="32">
        <v>0</v>
      </c>
      <c r="D175" s="32">
        <v>0</v>
      </c>
      <c r="E175" s="33">
        <v>5.6507746000000001</v>
      </c>
      <c r="F175" s="32"/>
      <c r="G175" s="32">
        <v>0</v>
      </c>
    </row>
    <row r="176" spans="1:7">
      <c r="A176" s="15">
        <v>15</v>
      </c>
      <c r="B176" s="32">
        <v>4.6846299560000002</v>
      </c>
      <c r="C176" s="32"/>
      <c r="D176" s="32"/>
      <c r="E176" s="32"/>
      <c r="F176" s="32">
        <v>0</v>
      </c>
      <c r="G176" s="16"/>
    </row>
    <row r="177" spans="1:7">
      <c r="A177" s="15">
        <v>16</v>
      </c>
      <c r="B177" s="32"/>
      <c r="C177" s="32">
        <v>0</v>
      </c>
      <c r="D177" s="32"/>
      <c r="E177" s="32">
        <v>6.3871703100000001</v>
      </c>
      <c r="F177" s="32"/>
      <c r="G177" s="21"/>
    </row>
    <row r="178" spans="1:7">
      <c r="A178" s="15">
        <v>17</v>
      </c>
      <c r="B178" s="32">
        <v>0</v>
      </c>
      <c r="C178" s="32"/>
      <c r="D178" s="32">
        <v>0</v>
      </c>
      <c r="E178" s="32"/>
      <c r="F178" s="32">
        <v>0</v>
      </c>
      <c r="G178" s="21"/>
    </row>
    <row r="179" spans="1:7">
      <c r="A179" s="15">
        <v>18</v>
      </c>
      <c r="B179" s="32"/>
      <c r="C179" s="32">
        <v>7.986717466</v>
      </c>
      <c r="D179" s="32">
        <v>0</v>
      </c>
      <c r="E179" s="32">
        <v>5.9758043609999998</v>
      </c>
      <c r="F179" s="32"/>
      <c r="G179" s="21"/>
    </row>
    <row r="180" spans="1:7">
      <c r="A180" s="15">
        <v>19</v>
      </c>
      <c r="B180" s="32"/>
      <c r="C180" s="32"/>
      <c r="D180" s="11"/>
      <c r="E180" s="32"/>
      <c r="F180" s="32"/>
      <c r="G180" s="21"/>
    </row>
    <row r="181" spans="1:7">
      <c r="A181" s="15">
        <v>20</v>
      </c>
      <c r="B181" s="32">
        <v>0</v>
      </c>
      <c r="C181" s="32"/>
      <c r="D181" s="20"/>
      <c r="E181" s="32"/>
      <c r="F181" s="32">
        <v>0</v>
      </c>
      <c r="G181" s="21"/>
    </row>
    <row r="182" spans="1:7">
      <c r="A182" s="15">
        <v>21</v>
      </c>
      <c r="B182" s="32"/>
      <c r="C182" s="32">
        <v>0</v>
      </c>
      <c r="D182" s="20"/>
      <c r="E182" s="32">
        <v>4.3169720529999998</v>
      </c>
      <c r="F182" s="32"/>
      <c r="G182" s="21"/>
    </row>
    <row r="183" spans="1:7">
      <c r="A183" s="15">
        <v>22</v>
      </c>
      <c r="B183" s="32">
        <v>0</v>
      </c>
      <c r="C183" s="20"/>
      <c r="D183" s="20"/>
      <c r="E183" s="32"/>
      <c r="F183" s="32">
        <v>0</v>
      </c>
      <c r="G183" s="21"/>
    </row>
    <row r="184" spans="1:7">
      <c r="A184" s="15">
        <v>23</v>
      </c>
      <c r="B184" s="32"/>
      <c r="C184" s="20"/>
      <c r="D184" s="20"/>
      <c r="E184" s="32">
        <v>3.8766103759999999</v>
      </c>
      <c r="F184" s="32"/>
      <c r="G184" s="21"/>
    </row>
    <row r="185" spans="1:7">
      <c r="A185" s="15">
        <v>24</v>
      </c>
      <c r="B185" s="32">
        <v>0</v>
      </c>
      <c r="C185" s="20"/>
      <c r="D185" s="20"/>
      <c r="E185" s="32"/>
      <c r="F185" s="32">
        <v>0</v>
      </c>
      <c r="G185" s="21"/>
    </row>
    <row r="186" spans="1:7">
      <c r="A186" s="15">
        <v>25</v>
      </c>
      <c r="B186" s="32"/>
      <c r="C186" s="20"/>
      <c r="D186" s="20"/>
      <c r="E186" s="32">
        <v>3.5637420579999999</v>
      </c>
      <c r="F186" s="32"/>
      <c r="G186" s="21"/>
    </row>
    <row r="187" spans="1:7">
      <c r="A187" s="15">
        <v>26</v>
      </c>
      <c r="B187" s="32"/>
      <c r="C187" s="20"/>
      <c r="D187" s="20"/>
      <c r="E187" s="32"/>
      <c r="F187" s="32"/>
      <c r="G187" s="21"/>
    </row>
    <row r="188" spans="1:7">
      <c r="A188" s="15">
        <v>27</v>
      </c>
      <c r="B188" s="32">
        <v>0</v>
      </c>
      <c r="C188" s="20"/>
      <c r="D188" s="20"/>
      <c r="E188" s="32"/>
      <c r="F188" s="32">
        <v>3.9741154660000002</v>
      </c>
      <c r="G188" s="21"/>
    </row>
    <row r="189" spans="1:7">
      <c r="A189" s="15">
        <v>28</v>
      </c>
      <c r="B189" s="32"/>
      <c r="C189" s="20"/>
      <c r="D189" s="20"/>
      <c r="E189" s="32">
        <v>6.6377489279999997</v>
      </c>
      <c r="F189" s="32">
        <v>0</v>
      </c>
      <c r="G189" s="21"/>
    </row>
    <row r="190" spans="1:7">
      <c r="A190" s="15">
        <v>29</v>
      </c>
      <c r="B190" s="32">
        <v>0</v>
      </c>
      <c r="C190" s="20"/>
      <c r="D190" s="20"/>
      <c r="E190" s="32"/>
      <c r="F190" s="11"/>
      <c r="G190" s="21"/>
    </row>
    <row r="191" spans="1:7">
      <c r="A191" s="15">
        <v>30</v>
      </c>
      <c r="B191" s="32"/>
      <c r="C191" s="20"/>
      <c r="D191" s="20"/>
      <c r="E191" s="32">
        <v>9.9735148000000002</v>
      </c>
      <c r="F191" s="20"/>
      <c r="G191" s="21"/>
    </row>
    <row r="192" spans="1:7">
      <c r="A192" s="15">
        <v>31</v>
      </c>
      <c r="B192" s="32">
        <v>0</v>
      </c>
      <c r="C192" s="20"/>
      <c r="D192" s="20"/>
      <c r="E192" s="32"/>
      <c r="F192" s="20"/>
      <c r="G192" s="21"/>
    </row>
    <row r="193" spans="1:7">
      <c r="A193" s="15">
        <v>32</v>
      </c>
      <c r="B193" s="11"/>
      <c r="C193" s="20"/>
      <c r="D193" s="20"/>
      <c r="E193" s="32">
        <v>9.3036284699999996</v>
      </c>
      <c r="F193" s="20"/>
      <c r="G193" s="21"/>
    </row>
    <row r="194" spans="1:7">
      <c r="A194" s="15">
        <v>33</v>
      </c>
      <c r="B194" s="20"/>
      <c r="C194" s="20"/>
      <c r="D194" s="20"/>
      <c r="E194" s="32"/>
      <c r="F194" s="20"/>
      <c r="G194" s="21"/>
    </row>
    <row r="195" spans="1:7">
      <c r="A195" s="15">
        <v>34</v>
      </c>
      <c r="B195" s="20"/>
      <c r="C195" s="20"/>
      <c r="D195" s="20"/>
      <c r="E195" s="32"/>
      <c r="F195" s="20"/>
      <c r="G195" s="21"/>
    </row>
    <row r="196" spans="1:7">
      <c r="A196" s="15">
        <v>35</v>
      </c>
      <c r="B196" s="20"/>
      <c r="C196" s="20"/>
      <c r="D196" s="20"/>
      <c r="E196" s="32">
        <v>7.638053846</v>
      </c>
      <c r="F196" s="20"/>
      <c r="G196" s="21"/>
    </row>
    <row r="197" spans="1:7">
      <c r="A197" s="15">
        <v>36</v>
      </c>
      <c r="B197" s="20"/>
      <c r="C197" s="20"/>
      <c r="D197" s="20"/>
      <c r="E197" s="32"/>
      <c r="F197" s="20"/>
      <c r="G197" s="21"/>
    </row>
    <row r="198" spans="1:7">
      <c r="A198" s="15">
        <v>37</v>
      </c>
      <c r="B198" s="20"/>
      <c r="C198" s="20"/>
      <c r="D198" s="20"/>
      <c r="E198" s="32">
        <v>6.6507737259999997</v>
      </c>
      <c r="F198" s="20"/>
      <c r="G198" s="21"/>
    </row>
    <row r="199" spans="1:7">
      <c r="A199" s="15">
        <v>38</v>
      </c>
      <c r="B199" s="20"/>
      <c r="C199" s="20"/>
      <c r="D199" s="20"/>
      <c r="E199" s="32"/>
      <c r="F199" s="20"/>
      <c r="G199" s="21"/>
    </row>
    <row r="200" spans="1:7">
      <c r="A200" s="15">
        <v>39</v>
      </c>
      <c r="B200" s="20"/>
      <c r="C200" s="20"/>
      <c r="D200" s="20"/>
      <c r="E200" s="32">
        <v>7.1743427779999998</v>
      </c>
      <c r="F200" s="20"/>
      <c r="G200" s="21"/>
    </row>
    <row r="201" spans="1:7">
      <c r="A201" s="15">
        <v>40</v>
      </c>
      <c r="B201" s="20"/>
      <c r="C201" s="20"/>
      <c r="D201" s="20"/>
      <c r="E201" s="32"/>
      <c r="F201" s="20"/>
      <c r="G201" s="21"/>
    </row>
    <row r="202" spans="1:7">
      <c r="A202" s="15">
        <v>41</v>
      </c>
      <c r="B202" s="20"/>
      <c r="C202" s="20"/>
      <c r="D202" s="20"/>
      <c r="E202" s="32"/>
      <c r="F202" s="20"/>
      <c r="G202" s="21"/>
    </row>
    <row r="203" spans="1:7">
      <c r="A203" s="15">
        <v>42</v>
      </c>
      <c r="B203" s="20"/>
      <c r="C203" s="20"/>
      <c r="D203" s="20"/>
      <c r="E203" s="32">
        <v>10.36235138</v>
      </c>
      <c r="F203" s="20"/>
      <c r="G203" s="21"/>
    </row>
    <row r="204" spans="1:7">
      <c r="A204" s="15">
        <v>43</v>
      </c>
      <c r="B204" s="20"/>
      <c r="C204" s="20"/>
      <c r="D204" s="20"/>
      <c r="E204" s="32"/>
      <c r="F204" s="20"/>
      <c r="G204" s="21"/>
    </row>
    <row r="205" spans="1:7">
      <c r="A205" s="15">
        <v>44</v>
      </c>
      <c r="B205" s="20"/>
      <c r="C205" s="20"/>
      <c r="D205" s="20"/>
      <c r="E205" s="32">
        <v>7.3713088009999996</v>
      </c>
      <c r="F205" s="20"/>
      <c r="G205" s="21"/>
    </row>
    <row r="206" spans="1:7">
      <c r="A206" s="15">
        <v>45</v>
      </c>
      <c r="B206" s="20"/>
      <c r="C206" s="20"/>
      <c r="D206" s="20"/>
      <c r="E206" s="32"/>
      <c r="F206" s="20"/>
      <c r="G206" s="21"/>
    </row>
    <row r="207" spans="1:7">
      <c r="A207" s="15">
        <v>46</v>
      </c>
      <c r="B207" s="20"/>
      <c r="C207" s="20"/>
      <c r="D207" s="20"/>
      <c r="E207" s="32">
        <v>8.3871339099999993</v>
      </c>
      <c r="F207" s="20"/>
      <c r="G207" s="21"/>
    </row>
    <row r="208" spans="1:7">
      <c r="A208" s="15">
        <v>47</v>
      </c>
      <c r="B208" s="20"/>
      <c r="C208" s="20"/>
      <c r="D208" s="20"/>
      <c r="E208" s="32"/>
      <c r="F208" s="20"/>
      <c r="G208" s="21"/>
    </row>
    <row r="209" spans="1:7">
      <c r="A209" s="15">
        <v>48</v>
      </c>
      <c r="B209" s="20"/>
      <c r="C209" s="20"/>
      <c r="D209" s="20"/>
      <c r="E209" s="32"/>
      <c r="F209" s="20"/>
      <c r="G209" s="21"/>
    </row>
    <row r="210" spans="1:7">
      <c r="A210" s="15">
        <v>49</v>
      </c>
      <c r="B210" s="20"/>
      <c r="C210" s="20"/>
      <c r="D210" s="20"/>
      <c r="E210" s="32">
        <v>0</v>
      </c>
      <c r="F210" s="20"/>
      <c r="G210" s="21"/>
    </row>
    <row r="211" spans="1:7">
      <c r="A211" s="15">
        <v>50</v>
      </c>
      <c r="B211" s="20"/>
      <c r="C211" s="20"/>
      <c r="D211" s="20"/>
      <c r="E211" s="32"/>
      <c r="F211" s="20"/>
      <c r="G211" s="21"/>
    </row>
    <row r="212" spans="1:7">
      <c r="A212" s="15">
        <v>51</v>
      </c>
      <c r="B212" s="20"/>
      <c r="C212" s="20"/>
      <c r="D212" s="20"/>
      <c r="E212" s="32">
        <v>4.5871157870000001</v>
      </c>
      <c r="F212" s="20"/>
      <c r="G212" s="21"/>
    </row>
    <row r="213" spans="1:7">
      <c r="A213" s="15">
        <v>52</v>
      </c>
      <c r="B213" s="20"/>
      <c r="C213" s="20"/>
      <c r="D213" s="20"/>
      <c r="E213" s="32"/>
      <c r="F213" s="20"/>
      <c r="G213" s="21"/>
    </row>
    <row r="214" spans="1:7">
      <c r="A214" s="15">
        <v>53</v>
      </c>
      <c r="B214" s="20"/>
      <c r="C214" s="20"/>
      <c r="D214" s="20"/>
      <c r="E214" s="32">
        <v>8.3867990470000002</v>
      </c>
      <c r="F214" s="20"/>
      <c r="G214" s="21"/>
    </row>
    <row r="215" spans="1:7">
      <c r="A215" s="15">
        <v>54</v>
      </c>
      <c r="B215" s="20"/>
      <c r="C215" s="20"/>
      <c r="D215" s="20"/>
      <c r="E215" s="32"/>
      <c r="F215" s="20"/>
      <c r="G215" s="21"/>
    </row>
    <row r="216" spans="1:7">
      <c r="A216" s="15">
        <v>55</v>
      </c>
      <c r="B216" s="20"/>
      <c r="C216" s="20"/>
      <c r="D216" s="20"/>
      <c r="E216" s="32"/>
      <c r="F216" s="20"/>
      <c r="G216" s="21"/>
    </row>
    <row r="217" spans="1:7">
      <c r="A217" s="15">
        <v>56</v>
      </c>
      <c r="B217" s="20"/>
      <c r="C217" s="20"/>
      <c r="D217" s="20"/>
      <c r="E217" s="32">
        <v>6.9771077579999998</v>
      </c>
      <c r="F217" s="20"/>
      <c r="G217" s="21"/>
    </row>
    <row r="218" spans="1:7">
      <c r="A218" s="15">
        <v>57</v>
      </c>
      <c r="B218" s="20"/>
      <c r="C218" s="20"/>
      <c r="D218" s="20"/>
      <c r="E218" s="32"/>
      <c r="F218" s="20"/>
      <c r="G218" s="21"/>
    </row>
    <row r="219" spans="1:7">
      <c r="A219" s="15">
        <v>58</v>
      </c>
      <c r="B219" s="20"/>
      <c r="C219" s="20"/>
      <c r="D219" s="20"/>
      <c r="E219" s="32">
        <v>7.1743139820000001</v>
      </c>
      <c r="F219" s="20"/>
      <c r="G219" s="21"/>
    </row>
    <row r="220" spans="1:7">
      <c r="A220" s="15">
        <v>59</v>
      </c>
      <c r="B220" s="20"/>
      <c r="C220" s="20"/>
      <c r="D220" s="20"/>
      <c r="E220" s="32"/>
      <c r="F220" s="20"/>
      <c r="G220" s="21"/>
    </row>
    <row r="221" spans="1:7">
      <c r="A221" s="15">
        <v>60</v>
      </c>
      <c r="B221" s="20"/>
      <c r="C221" s="20"/>
      <c r="D221" s="20"/>
      <c r="E221" s="32">
        <v>6.6380404070000001</v>
      </c>
      <c r="F221" s="20"/>
      <c r="G221" s="21"/>
    </row>
    <row r="222" spans="1:7">
      <c r="A222" s="15">
        <v>61</v>
      </c>
      <c r="B222" s="20"/>
      <c r="C222" s="20"/>
      <c r="D222" s="20"/>
      <c r="E222" s="32"/>
      <c r="F222" s="20"/>
      <c r="G222" s="21"/>
    </row>
    <row r="223" spans="1:7">
      <c r="A223" s="15">
        <v>62</v>
      </c>
      <c r="B223" s="20"/>
      <c r="C223" s="20"/>
      <c r="D223" s="20"/>
      <c r="E223" s="32"/>
      <c r="F223" s="20"/>
      <c r="G223" s="21"/>
    </row>
    <row r="224" spans="1:7">
      <c r="A224" s="15">
        <v>63</v>
      </c>
      <c r="B224" s="20"/>
      <c r="C224" s="20"/>
      <c r="D224" s="20"/>
      <c r="E224" s="32">
        <v>3.785680852</v>
      </c>
      <c r="F224" s="20"/>
      <c r="G224" s="21"/>
    </row>
    <row r="225" spans="1:7">
      <c r="A225" s="15">
        <v>64</v>
      </c>
      <c r="B225" s="20"/>
      <c r="C225" s="20"/>
      <c r="D225" s="20"/>
      <c r="E225" s="32"/>
      <c r="F225" s="20"/>
      <c r="G225" s="21"/>
    </row>
    <row r="226" spans="1:7">
      <c r="A226" s="15">
        <v>65</v>
      </c>
      <c r="B226" s="20"/>
      <c r="C226" s="20"/>
      <c r="D226" s="20"/>
      <c r="E226" s="32">
        <v>7.1743184189999996</v>
      </c>
      <c r="F226" s="20"/>
      <c r="G226" s="21"/>
    </row>
    <row r="227" spans="1:7">
      <c r="A227" s="15">
        <v>66</v>
      </c>
      <c r="B227" s="20"/>
      <c r="C227" s="20"/>
      <c r="D227" s="20"/>
      <c r="E227" s="32"/>
      <c r="F227" s="20"/>
      <c r="G227" s="21"/>
    </row>
    <row r="228" spans="1:7">
      <c r="A228" s="15">
        <v>67</v>
      </c>
      <c r="B228" s="20"/>
      <c r="C228" s="20"/>
      <c r="D228" s="20"/>
      <c r="E228" s="32">
        <v>7.064961329</v>
      </c>
      <c r="F228" s="20"/>
      <c r="G228" s="21"/>
    </row>
    <row r="229" spans="1:7">
      <c r="A229" s="15">
        <v>68</v>
      </c>
      <c r="B229" s="20"/>
      <c r="C229" s="20"/>
      <c r="D229" s="20"/>
      <c r="E229" s="32"/>
      <c r="F229" s="20"/>
      <c r="G229" s="21"/>
    </row>
    <row r="230" spans="1:7">
      <c r="A230" s="15">
        <v>69</v>
      </c>
      <c r="B230" s="20"/>
      <c r="C230" s="20"/>
      <c r="D230" s="20"/>
      <c r="E230" s="32"/>
      <c r="F230" s="20"/>
      <c r="G230" s="21"/>
    </row>
    <row r="231" spans="1:7">
      <c r="A231" s="15">
        <v>70</v>
      </c>
      <c r="B231" s="20"/>
      <c r="C231" s="20"/>
      <c r="D231" s="20"/>
      <c r="E231" s="32">
        <v>0</v>
      </c>
      <c r="F231" s="20"/>
      <c r="G231" s="21"/>
    </row>
    <row r="232" spans="1:7">
      <c r="A232" s="15">
        <v>71</v>
      </c>
      <c r="B232" s="20"/>
      <c r="C232" s="20"/>
      <c r="D232" s="20"/>
      <c r="E232" s="32"/>
      <c r="F232" s="20"/>
      <c r="G232" s="21"/>
    </row>
    <row r="233" spans="1:7">
      <c r="A233" s="15">
        <v>72</v>
      </c>
      <c r="B233" s="20"/>
      <c r="C233" s="20"/>
      <c r="D233" s="20"/>
      <c r="E233" s="32">
        <v>5.977111345</v>
      </c>
      <c r="F233" s="20"/>
      <c r="G233" s="21"/>
    </row>
    <row r="234" spans="1:7">
      <c r="A234" s="15">
        <v>73</v>
      </c>
      <c r="B234" s="20"/>
      <c r="C234" s="20"/>
      <c r="D234" s="20"/>
      <c r="E234" s="32"/>
      <c r="F234" s="20"/>
      <c r="G234" s="21"/>
    </row>
    <row r="235" spans="1:7">
      <c r="A235" s="15">
        <v>74</v>
      </c>
      <c r="B235" s="20"/>
      <c r="C235" s="20"/>
      <c r="D235" s="20"/>
      <c r="E235" s="32">
        <v>6.6137150650000001</v>
      </c>
      <c r="F235" s="20"/>
      <c r="G235" s="21"/>
    </row>
    <row r="236" spans="1:7" ht="15.75" thickBot="1">
      <c r="A236" s="17">
        <v>75</v>
      </c>
      <c r="B236" s="22"/>
      <c r="C236" s="22"/>
      <c r="D236" s="22"/>
      <c r="E236" s="18"/>
      <c r="F236" s="22"/>
      <c r="G236" s="23"/>
    </row>
    <row r="239" spans="1:7" ht="15.75" thickBot="1"/>
    <row r="240" spans="1:7">
      <c r="A240" s="12" t="s">
        <v>13</v>
      </c>
      <c r="B240" s="13" t="s">
        <v>28</v>
      </c>
      <c r="C240" s="13" t="s">
        <v>19</v>
      </c>
      <c r="D240" s="13" t="s">
        <v>43</v>
      </c>
      <c r="E240" s="13" t="s">
        <v>24</v>
      </c>
      <c r="F240" s="13" t="s">
        <v>33</v>
      </c>
      <c r="G240" s="14" t="s">
        <v>38</v>
      </c>
    </row>
    <row r="241" spans="1:7">
      <c r="A241" s="15">
        <v>1</v>
      </c>
      <c r="B241" s="33">
        <v>11.97355482</v>
      </c>
      <c r="C241" s="33">
        <v>11.5012364</v>
      </c>
      <c r="D241" s="33">
        <v>11.2848176</v>
      </c>
      <c r="E241" s="33">
        <v>11.51807039</v>
      </c>
      <c r="F241" s="33">
        <v>4.8852581260000001</v>
      </c>
      <c r="G241" s="34">
        <v>11.704402050000001</v>
      </c>
    </row>
    <row r="242" spans="1:7">
      <c r="A242" s="15">
        <v>2</v>
      </c>
      <c r="B242" s="32"/>
      <c r="C242" s="32"/>
      <c r="D242" s="32"/>
      <c r="E242" s="32"/>
      <c r="F242" s="32"/>
      <c r="G242" s="35"/>
    </row>
    <row r="243" spans="1:7">
      <c r="A243" s="15">
        <v>3</v>
      </c>
      <c r="B243" s="33">
        <v>11.215132369999999</v>
      </c>
      <c r="C243" s="33">
        <v>10.329398299999999</v>
      </c>
      <c r="D243" s="33">
        <v>9.0005028800000009</v>
      </c>
      <c r="E243" s="33">
        <v>9.0757943799999996</v>
      </c>
      <c r="F243" s="33">
        <v>6.1767171090000001</v>
      </c>
      <c r="G243" s="34">
        <v>11.20711017</v>
      </c>
    </row>
    <row r="244" spans="1:7">
      <c r="A244" s="15">
        <v>4</v>
      </c>
      <c r="B244" s="32"/>
      <c r="C244" s="32"/>
      <c r="D244" s="32"/>
      <c r="E244" s="32"/>
      <c r="F244" s="32"/>
      <c r="G244" s="35"/>
    </row>
    <row r="245" spans="1:7">
      <c r="A245" s="15">
        <v>5</v>
      </c>
      <c r="B245" s="32"/>
      <c r="C245" s="32"/>
      <c r="D245" s="33">
        <v>7.4107330640000004</v>
      </c>
      <c r="E245" s="32"/>
      <c r="F245" s="32"/>
      <c r="G245" s="35">
        <v>8.700387697</v>
      </c>
    </row>
    <row r="246" spans="1:7">
      <c r="A246" s="15">
        <v>6</v>
      </c>
      <c r="B246" s="33">
        <v>9.4453853999999993</v>
      </c>
      <c r="C246" s="32"/>
      <c r="D246" s="32"/>
      <c r="E246" s="32"/>
      <c r="F246" s="32">
        <v>5.5377788160000003</v>
      </c>
      <c r="G246" s="35"/>
    </row>
    <row r="247" spans="1:7">
      <c r="A247" s="15">
        <v>7</v>
      </c>
      <c r="B247" s="32"/>
      <c r="C247" s="32">
        <v>8.6663417000000003</v>
      </c>
      <c r="D247" s="33">
        <v>5.7505524689999996</v>
      </c>
      <c r="E247" s="33">
        <v>7.6804739030000002</v>
      </c>
      <c r="F247" s="32"/>
      <c r="G247" s="35">
        <v>7.701225268</v>
      </c>
    </row>
    <row r="248" spans="1:7">
      <c r="A248" s="15">
        <v>8</v>
      </c>
      <c r="B248" s="33">
        <v>8.4500226999999999</v>
      </c>
      <c r="C248" s="32"/>
      <c r="D248" s="32"/>
      <c r="E248" s="32"/>
      <c r="F248" s="32">
        <v>7.0853204109999997</v>
      </c>
      <c r="G248" s="35"/>
    </row>
    <row r="249" spans="1:7">
      <c r="A249" s="15">
        <v>9</v>
      </c>
      <c r="B249" s="32"/>
      <c r="C249" s="32">
        <v>6.9723716900000001</v>
      </c>
      <c r="D249" s="32"/>
      <c r="E249" s="33">
        <v>8.0602822100000004</v>
      </c>
      <c r="F249" s="32"/>
      <c r="G249" s="35"/>
    </row>
    <row r="250" spans="1:7">
      <c r="A250" s="15">
        <v>10</v>
      </c>
      <c r="B250" s="33">
        <v>8.4501314300000008</v>
      </c>
      <c r="C250" s="32"/>
      <c r="D250" s="33">
        <v>7.0006912640000003</v>
      </c>
      <c r="E250" s="32"/>
      <c r="F250" s="32">
        <v>5.1637165420000004</v>
      </c>
      <c r="G250" s="35">
        <v>4.509493451</v>
      </c>
    </row>
    <row r="251" spans="1:7">
      <c r="A251" s="15">
        <v>11</v>
      </c>
      <c r="B251" s="32"/>
      <c r="C251" s="32">
        <v>6.9723716900000001</v>
      </c>
      <c r="D251" s="32"/>
      <c r="E251" s="33">
        <v>7.6841539870000002</v>
      </c>
      <c r="F251" s="32"/>
      <c r="G251" s="35"/>
    </row>
    <row r="252" spans="1:7">
      <c r="A252" s="15">
        <v>12</v>
      </c>
      <c r="B252" s="32"/>
      <c r="C252" s="32"/>
      <c r="D252" s="33">
        <v>4.3289312119999996</v>
      </c>
      <c r="E252" s="32"/>
      <c r="F252" s="32"/>
      <c r="G252" s="35">
        <v>8.0401750080000003</v>
      </c>
    </row>
    <row r="253" spans="1:7">
      <c r="A253" s="15">
        <v>13</v>
      </c>
      <c r="B253" s="33">
        <v>10.470852989999999</v>
      </c>
      <c r="C253" s="32"/>
      <c r="D253" s="32"/>
      <c r="E253" s="32"/>
      <c r="F253" s="32">
        <v>0</v>
      </c>
      <c r="G253" s="35"/>
    </row>
    <row r="254" spans="1:7">
      <c r="A254" s="15">
        <v>14</v>
      </c>
      <c r="B254" s="32"/>
      <c r="C254" s="32">
        <v>5.3247113920000002</v>
      </c>
      <c r="D254" s="33">
        <v>4.4868746929999999</v>
      </c>
      <c r="E254" s="33">
        <v>5.8025134129999998</v>
      </c>
      <c r="F254" s="32"/>
      <c r="G254" s="35">
        <v>3.929364546</v>
      </c>
    </row>
    <row r="255" spans="1:7">
      <c r="A255" s="15">
        <v>15</v>
      </c>
      <c r="B255" s="33">
        <v>7.7012325290000003</v>
      </c>
      <c r="C255" s="32"/>
      <c r="D255" s="32"/>
      <c r="E255" s="32"/>
      <c r="F255" s="32">
        <v>0</v>
      </c>
      <c r="G255" s="35"/>
    </row>
    <row r="256" spans="1:7">
      <c r="A256" s="15">
        <v>16</v>
      </c>
      <c r="B256" s="32"/>
      <c r="C256" s="32">
        <v>4.8973651990000002</v>
      </c>
      <c r="D256" s="32"/>
      <c r="E256" s="33">
        <v>4.6497616400000004</v>
      </c>
      <c r="F256" s="32"/>
      <c r="G256" s="35"/>
    </row>
    <row r="257" spans="1:7">
      <c r="A257" s="15">
        <v>17</v>
      </c>
      <c r="B257" s="32">
        <v>6.5268656710000004</v>
      </c>
      <c r="C257" s="32"/>
      <c r="D257" s="33">
        <v>0</v>
      </c>
      <c r="E257" s="32"/>
      <c r="F257" s="32">
        <v>4.6854033529999999</v>
      </c>
      <c r="G257" s="35">
        <v>0</v>
      </c>
    </row>
    <row r="258" spans="1:7">
      <c r="A258" s="15">
        <v>18</v>
      </c>
      <c r="B258" s="32"/>
      <c r="C258" s="32">
        <v>7.9721388800000001</v>
      </c>
      <c r="D258" s="32"/>
      <c r="E258" s="33">
        <v>5.8606841059999999</v>
      </c>
      <c r="F258" s="32"/>
      <c r="G258" s="35"/>
    </row>
    <row r="259" spans="1:7">
      <c r="A259" s="15">
        <v>19</v>
      </c>
      <c r="B259" s="32"/>
      <c r="C259" s="32"/>
      <c r="D259" s="32">
        <v>3.8229326619999999</v>
      </c>
      <c r="E259" s="32"/>
      <c r="F259" s="32"/>
      <c r="G259" s="35">
        <v>0</v>
      </c>
    </row>
    <row r="260" spans="1:7">
      <c r="A260" s="15">
        <v>20</v>
      </c>
      <c r="B260" s="32">
        <v>0</v>
      </c>
      <c r="C260" s="32"/>
      <c r="D260" s="32"/>
      <c r="E260" s="32"/>
      <c r="F260" s="32">
        <v>0</v>
      </c>
      <c r="G260" s="35"/>
    </row>
    <row r="261" spans="1:7">
      <c r="A261" s="15">
        <v>21</v>
      </c>
      <c r="B261" s="32"/>
      <c r="C261" s="32">
        <v>7.3823392200000004</v>
      </c>
      <c r="D261" s="32">
        <v>0</v>
      </c>
      <c r="E261" s="32">
        <v>0</v>
      </c>
      <c r="F261" s="32"/>
      <c r="G261" s="35">
        <v>0</v>
      </c>
    </row>
    <row r="262" spans="1:7">
      <c r="A262" s="15">
        <v>22</v>
      </c>
      <c r="B262" s="32">
        <v>8.4499502</v>
      </c>
      <c r="C262" s="32"/>
      <c r="D262" s="32"/>
      <c r="E262" s="32"/>
      <c r="F262" s="32">
        <v>0</v>
      </c>
      <c r="G262" s="35"/>
    </row>
    <row r="263" spans="1:7">
      <c r="A263" s="15">
        <v>23</v>
      </c>
      <c r="B263" s="32"/>
      <c r="C263" s="32">
        <v>5.97190596</v>
      </c>
      <c r="D263" s="32"/>
      <c r="E263" s="32">
        <v>4.3995525869999996</v>
      </c>
      <c r="F263" s="32"/>
      <c r="G263" s="35"/>
    </row>
    <row r="264" spans="1:7">
      <c r="A264" s="15">
        <v>24</v>
      </c>
      <c r="B264" s="32">
        <v>8.7009279399999997</v>
      </c>
      <c r="C264" s="32"/>
      <c r="D264" s="32">
        <v>0</v>
      </c>
      <c r="E264" s="32"/>
      <c r="F264" s="32">
        <v>0</v>
      </c>
      <c r="G264" s="35">
        <v>0</v>
      </c>
    </row>
    <row r="265" spans="1:7">
      <c r="A265" s="15">
        <v>25</v>
      </c>
      <c r="B265" s="32"/>
      <c r="C265" s="32">
        <v>4.625749613</v>
      </c>
      <c r="D265" s="32"/>
      <c r="E265" s="32">
        <v>0</v>
      </c>
      <c r="F265" s="32"/>
      <c r="G265" s="35"/>
    </row>
    <row r="266" spans="1:7">
      <c r="A266" s="15">
        <v>26</v>
      </c>
      <c r="B266" s="32"/>
      <c r="C266" s="32"/>
      <c r="D266" s="32">
        <v>0</v>
      </c>
      <c r="E266" s="32"/>
      <c r="F266" s="32"/>
      <c r="G266" s="35">
        <v>0</v>
      </c>
    </row>
    <row r="267" spans="1:7">
      <c r="A267" s="15">
        <v>27</v>
      </c>
      <c r="B267" s="32">
        <v>4.4156233089999999</v>
      </c>
      <c r="C267" s="32"/>
      <c r="D267" s="32"/>
      <c r="E267" s="32"/>
      <c r="F267" s="32">
        <v>0</v>
      </c>
      <c r="G267" s="35"/>
    </row>
    <row r="268" spans="1:7">
      <c r="A268" s="15">
        <v>28</v>
      </c>
      <c r="B268" s="32"/>
      <c r="C268" s="32">
        <v>0</v>
      </c>
      <c r="D268" s="32">
        <v>0</v>
      </c>
      <c r="E268" s="32">
        <v>6.6497520090000002</v>
      </c>
      <c r="F268" s="32">
        <v>0</v>
      </c>
      <c r="G268" s="35">
        <v>0</v>
      </c>
    </row>
    <row r="269" spans="1:7">
      <c r="A269" s="15">
        <v>29</v>
      </c>
      <c r="B269" s="32">
        <v>7.0402894549999999</v>
      </c>
      <c r="C269" s="32"/>
      <c r="D269" s="32"/>
      <c r="E269" s="32"/>
      <c r="F269" s="11"/>
      <c r="G269" s="35"/>
    </row>
    <row r="270" spans="1:7">
      <c r="A270" s="15">
        <v>30</v>
      </c>
      <c r="B270" s="32"/>
      <c r="C270" s="32">
        <v>5.6439651380000004</v>
      </c>
      <c r="D270" s="32"/>
      <c r="E270" s="32">
        <v>5.6446374720000003</v>
      </c>
      <c r="F270" s="20"/>
      <c r="G270" s="35"/>
    </row>
    <row r="271" spans="1:7">
      <c r="A271" s="15">
        <v>31</v>
      </c>
      <c r="B271" s="32">
        <v>6.2374980789999999</v>
      </c>
      <c r="C271" s="32"/>
      <c r="D271" s="32">
        <v>0</v>
      </c>
      <c r="E271" s="32"/>
      <c r="F271" s="20"/>
      <c r="G271" s="35">
        <v>0</v>
      </c>
    </row>
    <row r="272" spans="1:7">
      <c r="A272" s="15">
        <v>32</v>
      </c>
      <c r="B272" s="32"/>
      <c r="C272" s="32">
        <v>6.6332229399999996</v>
      </c>
      <c r="D272" s="32"/>
      <c r="E272" s="32">
        <v>3.987851649</v>
      </c>
      <c r="F272" s="20"/>
      <c r="G272" s="35"/>
    </row>
    <row r="273" spans="1:7">
      <c r="A273" s="15">
        <v>33</v>
      </c>
      <c r="B273" s="32"/>
      <c r="C273" s="32"/>
      <c r="D273" s="32">
        <v>0</v>
      </c>
      <c r="E273" s="32"/>
      <c r="F273" s="20"/>
      <c r="G273" s="35">
        <v>0</v>
      </c>
    </row>
    <row r="274" spans="1:7">
      <c r="A274" s="15">
        <v>34</v>
      </c>
      <c r="B274" s="32">
        <v>7.0402875969999998</v>
      </c>
      <c r="C274" s="32"/>
      <c r="D274" s="20"/>
      <c r="E274" s="32"/>
      <c r="F274" s="20"/>
      <c r="G274" s="35">
        <v>0</v>
      </c>
    </row>
    <row r="275" spans="1:7">
      <c r="A275" s="15">
        <v>35</v>
      </c>
      <c r="B275" s="32"/>
      <c r="C275" s="32">
        <v>4.8646273520000003</v>
      </c>
      <c r="D275" s="20"/>
      <c r="E275" s="32">
        <v>3.987851649</v>
      </c>
      <c r="F275" s="20"/>
      <c r="G275" s="16"/>
    </row>
    <row r="276" spans="1:7">
      <c r="A276" s="15">
        <v>36</v>
      </c>
      <c r="B276" s="32">
        <v>0</v>
      </c>
      <c r="C276" s="32"/>
      <c r="D276" s="20"/>
      <c r="E276" s="32"/>
      <c r="F276" s="20"/>
      <c r="G276" s="21"/>
    </row>
    <row r="277" spans="1:7">
      <c r="A277" s="15">
        <v>37</v>
      </c>
      <c r="B277" s="32"/>
      <c r="C277" s="32">
        <v>4.0439219800000004</v>
      </c>
      <c r="D277" s="20"/>
      <c r="E277" s="32">
        <v>0</v>
      </c>
      <c r="F277" s="20"/>
      <c r="G277" s="21"/>
    </row>
    <row r="278" spans="1:7">
      <c r="A278" s="15">
        <v>38</v>
      </c>
      <c r="B278" s="32">
        <v>6.7012175989999996</v>
      </c>
      <c r="C278" s="32"/>
      <c r="D278" s="20"/>
      <c r="E278" s="32"/>
      <c r="F278" s="20"/>
      <c r="G278" s="21"/>
    </row>
    <row r="279" spans="1:7">
      <c r="A279" s="15">
        <v>39</v>
      </c>
      <c r="B279" s="32"/>
      <c r="C279" s="32">
        <v>5.9723721479999998</v>
      </c>
      <c r="D279" s="20"/>
      <c r="E279" s="32">
        <v>3.9831570140000001</v>
      </c>
      <c r="F279" s="20"/>
      <c r="G279" s="21"/>
    </row>
    <row r="280" spans="1:7">
      <c r="A280" s="15">
        <v>40</v>
      </c>
      <c r="B280" s="32"/>
      <c r="C280" s="32"/>
      <c r="D280" s="20"/>
      <c r="E280" s="32"/>
      <c r="F280" s="20"/>
      <c r="G280" s="21"/>
    </row>
    <row r="281" spans="1:7">
      <c r="A281" s="15">
        <v>41</v>
      </c>
      <c r="B281" s="32">
        <v>5.0338983529999997</v>
      </c>
      <c r="C281" s="32"/>
      <c r="D281" s="20"/>
      <c r="E281" s="32"/>
      <c r="F281" s="20"/>
      <c r="G281" s="21"/>
    </row>
    <row r="282" spans="1:7">
      <c r="A282" s="15">
        <v>42</v>
      </c>
      <c r="B282" s="32"/>
      <c r="C282" s="32">
        <v>8.6330705000000005</v>
      </c>
      <c r="D282" s="20"/>
      <c r="E282" s="32">
        <v>0</v>
      </c>
      <c r="F282" s="20"/>
      <c r="G282" s="21"/>
    </row>
    <row r="283" spans="1:7">
      <c r="A283" s="15">
        <v>43</v>
      </c>
      <c r="B283" s="32">
        <v>6.450329934</v>
      </c>
      <c r="C283" s="32"/>
      <c r="D283" s="20"/>
      <c r="E283" s="32"/>
      <c r="F283" s="20"/>
      <c r="G283" s="21"/>
    </row>
    <row r="284" spans="1:7">
      <c r="A284" s="15">
        <v>44</v>
      </c>
      <c r="B284" s="32"/>
      <c r="C284" s="32">
        <v>8.3821037</v>
      </c>
      <c r="D284" s="20"/>
      <c r="E284" s="32">
        <v>0</v>
      </c>
      <c r="F284" s="20"/>
      <c r="G284" s="21"/>
    </row>
    <row r="285" spans="1:7">
      <c r="A285" s="15">
        <v>45</v>
      </c>
      <c r="B285" s="32">
        <v>4.5261369340000002</v>
      </c>
      <c r="C285" s="32"/>
      <c r="D285" s="20"/>
      <c r="E285" s="32"/>
      <c r="F285" s="20"/>
      <c r="G285" s="21"/>
    </row>
    <row r="286" spans="1:7">
      <c r="A286" s="15">
        <v>46</v>
      </c>
      <c r="B286" s="32"/>
      <c r="C286" s="32">
        <v>7.9721388800000001</v>
      </c>
      <c r="D286" s="20"/>
      <c r="E286" s="32">
        <v>0</v>
      </c>
      <c r="F286" s="20"/>
      <c r="G286" s="21"/>
    </row>
    <row r="287" spans="1:7">
      <c r="A287" s="15">
        <v>47</v>
      </c>
      <c r="B287" s="32"/>
      <c r="C287" s="32"/>
      <c r="D287" s="20"/>
      <c r="E287" s="32"/>
      <c r="F287" s="20"/>
      <c r="G287" s="21"/>
    </row>
    <row r="288" spans="1:7">
      <c r="A288" s="15">
        <v>48</v>
      </c>
      <c r="B288" s="32">
        <v>4.7883876499999998</v>
      </c>
      <c r="C288" s="32"/>
      <c r="D288" s="20"/>
      <c r="E288" s="32"/>
      <c r="F288" s="20"/>
      <c r="G288" s="21"/>
    </row>
    <row r="289" spans="1:7">
      <c r="A289" s="15">
        <v>49</v>
      </c>
      <c r="B289" s="32"/>
      <c r="C289" s="32">
        <v>6.6329180169999997</v>
      </c>
      <c r="D289" s="20"/>
      <c r="E289" s="32">
        <v>0</v>
      </c>
      <c r="F289" s="20"/>
      <c r="G289" s="21"/>
    </row>
    <row r="290" spans="1:7">
      <c r="A290" s="15">
        <v>50</v>
      </c>
      <c r="B290" s="32">
        <v>4.697082752</v>
      </c>
      <c r="C290" s="32"/>
      <c r="D290" s="20"/>
      <c r="E290" s="32"/>
      <c r="F290" s="20"/>
      <c r="G290" s="21"/>
    </row>
    <row r="291" spans="1:7">
      <c r="A291" s="15">
        <v>51</v>
      </c>
      <c r="B291" s="32"/>
      <c r="C291" s="32">
        <v>9.5417945</v>
      </c>
      <c r="D291" s="20"/>
      <c r="E291" s="32">
        <v>0</v>
      </c>
      <c r="F291" s="20"/>
      <c r="G291" s="21"/>
    </row>
    <row r="292" spans="1:7">
      <c r="A292" s="15">
        <v>52</v>
      </c>
      <c r="B292" s="32">
        <v>4.7137010420000003</v>
      </c>
      <c r="C292" s="32"/>
      <c r="D292" s="20"/>
      <c r="E292" s="11"/>
      <c r="F292" s="20"/>
      <c r="G292" s="21"/>
    </row>
    <row r="293" spans="1:7">
      <c r="A293" s="15">
        <v>53</v>
      </c>
      <c r="B293" s="32"/>
      <c r="C293" s="32">
        <v>4.7857788469999996</v>
      </c>
      <c r="D293" s="20"/>
      <c r="E293" s="20"/>
      <c r="F293" s="20"/>
      <c r="G293" s="21"/>
    </row>
    <row r="294" spans="1:7">
      <c r="A294" s="15">
        <v>54</v>
      </c>
      <c r="B294" s="32"/>
      <c r="C294" s="32"/>
      <c r="D294" s="20"/>
      <c r="E294" s="20"/>
      <c r="F294" s="20"/>
      <c r="G294" s="21"/>
    </row>
    <row r="295" spans="1:7">
      <c r="A295" s="15">
        <v>55</v>
      </c>
      <c r="B295" s="32">
        <v>0</v>
      </c>
      <c r="C295" s="32"/>
      <c r="D295" s="20"/>
      <c r="E295" s="20"/>
      <c r="F295" s="20"/>
      <c r="G295" s="21"/>
    </row>
    <row r="296" spans="1:7">
      <c r="A296" s="15">
        <v>56</v>
      </c>
      <c r="B296" s="32"/>
      <c r="C296" s="32">
        <v>4.3260678800000001</v>
      </c>
      <c r="D296" s="20"/>
      <c r="E296" s="20"/>
      <c r="F296" s="20"/>
      <c r="G296" s="21"/>
    </row>
    <row r="297" spans="1:7">
      <c r="A297" s="15">
        <v>57</v>
      </c>
      <c r="B297" s="32">
        <v>0</v>
      </c>
      <c r="C297" s="32"/>
      <c r="D297" s="20"/>
      <c r="E297" s="20"/>
      <c r="F297" s="20"/>
      <c r="G297" s="21"/>
    </row>
    <row r="298" spans="1:7">
      <c r="A298" s="15">
        <v>58</v>
      </c>
      <c r="B298" s="32"/>
      <c r="C298" s="32">
        <v>3.8613636140000001</v>
      </c>
      <c r="D298" s="20"/>
      <c r="E298" s="20"/>
      <c r="F298" s="20"/>
      <c r="G298" s="21"/>
    </row>
    <row r="299" spans="1:7">
      <c r="A299" s="15">
        <v>59</v>
      </c>
      <c r="B299" s="32">
        <v>0</v>
      </c>
      <c r="C299" s="32"/>
      <c r="D299" s="20"/>
      <c r="E299" s="20"/>
      <c r="F299" s="20"/>
      <c r="G299" s="21"/>
    </row>
    <row r="300" spans="1:7">
      <c r="A300" s="15">
        <v>60</v>
      </c>
      <c r="B300" s="32"/>
      <c r="C300" s="32">
        <v>5.6332119509999998</v>
      </c>
      <c r="D300" s="20"/>
      <c r="E300" s="20"/>
      <c r="F300" s="20"/>
      <c r="G300" s="21"/>
    </row>
    <row r="301" spans="1:7">
      <c r="A301" s="15">
        <v>61</v>
      </c>
      <c r="B301" s="32"/>
      <c r="C301" s="32"/>
      <c r="D301" s="20"/>
      <c r="E301" s="20"/>
      <c r="F301" s="20"/>
      <c r="G301" s="21"/>
    </row>
    <row r="302" spans="1:7">
      <c r="A302" s="15">
        <v>62</v>
      </c>
      <c r="B302" s="32">
        <v>3.6281211299999998</v>
      </c>
      <c r="C302" s="32"/>
      <c r="D302" s="20"/>
      <c r="E302" s="20"/>
      <c r="F302" s="20"/>
      <c r="G302" s="21"/>
    </row>
    <row r="303" spans="1:7">
      <c r="A303" s="15">
        <v>63</v>
      </c>
      <c r="B303" s="32"/>
      <c r="C303" s="32">
        <v>0</v>
      </c>
      <c r="D303" s="20"/>
      <c r="E303" s="20"/>
      <c r="F303" s="20"/>
      <c r="G303" s="21"/>
    </row>
    <row r="304" spans="1:7">
      <c r="A304" s="15">
        <v>64</v>
      </c>
      <c r="B304" s="32">
        <v>5.4503311569999999</v>
      </c>
      <c r="C304" s="32"/>
      <c r="D304" s="20"/>
      <c r="E304" s="20"/>
      <c r="F304" s="20"/>
      <c r="G304" s="21"/>
    </row>
    <row r="305" spans="1:7">
      <c r="A305" s="15">
        <v>65</v>
      </c>
      <c r="B305" s="32"/>
      <c r="C305" s="32">
        <v>3.4797552089999999</v>
      </c>
      <c r="D305" s="20"/>
      <c r="E305" s="20"/>
      <c r="F305" s="20"/>
      <c r="G305" s="21"/>
    </row>
    <row r="306" spans="1:7">
      <c r="A306" s="15">
        <v>66</v>
      </c>
      <c r="B306" s="32">
        <v>0</v>
      </c>
      <c r="C306" s="32"/>
      <c r="D306" s="20"/>
      <c r="E306" s="20"/>
      <c r="F306" s="20"/>
      <c r="G306" s="21"/>
    </row>
    <row r="307" spans="1:7">
      <c r="A307" s="15">
        <v>67</v>
      </c>
      <c r="B307" s="32"/>
      <c r="C307" s="32">
        <v>0</v>
      </c>
      <c r="D307" s="20"/>
      <c r="E307" s="20"/>
      <c r="F307" s="20"/>
      <c r="G307" s="21"/>
    </row>
    <row r="308" spans="1:7">
      <c r="A308" s="15">
        <v>68</v>
      </c>
      <c r="B308" s="32"/>
      <c r="C308" s="32"/>
      <c r="D308" s="20"/>
      <c r="E308" s="20"/>
      <c r="F308" s="20"/>
      <c r="G308" s="21"/>
    </row>
    <row r="309" spans="1:7">
      <c r="A309" s="15">
        <v>69</v>
      </c>
      <c r="B309" s="32">
        <v>5.9401666359999998</v>
      </c>
      <c r="C309" s="32"/>
      <c r="D309" s="20"/>
      <c r="E309" s="20"/>
      <c r="F309" s="20"/>
      <c r="G309" s="21"/>
    </row>
    <row r="310" spans="1:7">
      <c r="A310" s="15">
        <v>70</v>
      </c>
      <c r="B310" s="32"/>
      <c r="C310" s="32">
        <v>3.7880472360000002</v>
      </c>
      <c r="D310" s="20"/>
      <c r="E310" s="20"/>
      <c r="F310" s="20"/>
      <c r="G310" s="21"/>
    </row>
    <row r="311" spans="1:7">
      <c r="A311" s="15">
        <v>71</v>
      </c>
      <c r="B311" s="32">
        <v>0</v>
      </c>
      <c r="C311" s="32"/>
      <c r="D311" s="20"/>
      <c r="E311" s="20"/>
      <c r="F311" s="20"/>
      <c r="G311" s="21"/>
    </row>
    <row r="312" spans="1:7">
      <c r="A312" s="15">
        <v>72</v>
      </c>
      <c r="B312" s="32"/>
      <c r="C312" s="32">
        <v>4.4430369699999996</v>
      </c>
      <c r="D312" s="20"/>
      <c r="E312" s="20"/>
      <c r="F312" s="20"/>
      <c r="G312" s="21"/>
    </row>
    <row r="313" spans="1:7">
      <c r="A313" s="15">
        <v>73</v>
      </c>
      <c r="B313" s="32">
        <v>3.6281211299999998</v>
      </c>
      <c r="C313" s="32"/>
      <c r="D313" s="20"/>
      <c r="E313" s="20"/>
      <c r="F313" s="20"/>
      <c r="G313" s="21"/>
    </row>
    <row r="314" spans="1:7">
      <c r="A314" s="15">
        <v>74</v>
      </c>
      <c r="B314" s="11"/>
      <c r="C314" s="32">
        <v>0</v>
      </c>
      <c r="D314" s="20"/>
      <c r="E314" s="20"/>
      <c r="F314" s="20"/>
      <c r="G314" s="21"/>
    </row>
    <row r="315" spans="1:7" ht="15.75" thickBot="1">
      <c r="A315" s="17">
        <v>75</v>
      </c>
      <c r="B315" s="18"/>
      <c r="C315" s="18"/>
      <c r="D315" s="22"/>
      <c r="E315" s="22"/>
      <c r="F315" s="22"/>
      <c r="G315" s="2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"/>
  <sheetViews>
    <sheetView tabSelected="1" topLeftCell="A7" workbookViewId="0">
      <selection activeCell="O19" sqref="O19"/>
    </sheetView>
  </sheetViews>
  <sheetFormatPr defaultRowHeight="15"/>
  <cols>
    <col min="1" max="1" width="15.42578125" customWidth="1"/>
    <col min="2" max="2" width="14.28515625" customWidth="1"/>
    <col min="3" max="3" width="13.85546875" customWidth="1"/>
    <col min="4" max="4" width="17.42578125" customWidth="1"/>
    <col min="5" max="5" width="13.140625" customWidth="1"/>
    <col min="6" max="6" width="14.7109375" customWidth="1"/>
  </cols>
  <sheetData>
    <row r="1" spans="1:6">
      <c r="A1" s="5" t="s">
        <v>0</v>
      </c>
      <c r="B1" s="5" t="s">
        <v>6</v>
      </c>
      <c r="C1" s="5" t="s">
        <v>5</v>
      </c>
      <c r="D1" s="5" t="s">
        <v>1</v>
      </c>
      <c r="E1" s="5" t="s">
        <v>3</v>
      </c>
      <c r="F1" s="5" t="s">
        <v>4</v>
      </c>
    </row>
    <row r="2" spans="1:6">
      <c r="A2" s="1">
        <v>217</v>
      </c>
      <c r="B2" s="1">
        <v>1</v>
      </c>
      <c r="C2" s="1" t="s">
        <v>7</v>
      </c>
      <c r="D2" s="2">
        <v>40991</v>
      </c>
      <c r="E2" s="1">
        <v>9.3156000000000003E-2</v>
      </c>
      <c r="F2" s="1">
        <f>LOG10(1+E2)</f>
        <v>3.8682142832395433E-2</v>
      </c>
    </row>
    <row r="3" spans="1:6">
      <c r="A3" s="1">
        <v>234</v>
      </c>
      <c r="B3" s="1">
        <v>4</v>
      </c>
      <c r="C3" s="1" t="s">
        <v>8</v>
      </c>
      <c r="D3" s="2">
        <v>40991</v>
      </c>
      <c r="E3" s="1">
        <v>40.668325000000003</v>
      </c>
      <c r="F3" s="1">
        <f>LOG10(1+E3)</f>
        <v>1.6198060428648129</v>
      </c>
    </row>
    <row r="4" spans="1:6">
      <c r="A4" s="1">
        <v>234</v>
      </c>
      <c r="B4" s="1">
        <v>4</v>
      </c>
      <c r="C4" s="1" t="s">
        <v>9</v>
      </c>
      <c r="D4" s="2">
        <v>40991</v>
      </c>
      <c r="E4" s="1">
        <v>3.4694970000000001</v>
      </c>
      <c r="F4" s="1">
        <f>LOG10(1+E4)</f>
        <v>0.65025865010817963</v>
      </c>
    </row>
    <row r="5" spans="1:6">
      <c r="A5" s="1">
        <v>234</v>
      </c>
      <c r="B5" s="1">
        <v>4</v>
      </c>
      <c r="C5" s="1" t="s">
        <v>10</v>
      </c>
      <c r="D5" s="2">
        <v>40991</v>
      </c>
      <c r="E5" s="1">
        <v>43.973703</v>
      </c>
      <c r="F5" s="1">
        <f>LOG10(1+E5)</f>
        <v>1.65295864754699</v>
      </c>
    </row>
    <row r="6" spans="1:6">
      <c r="A6" s="1">
        <v>292</v>
      </c>
      <c r="B6" s="1">
        <v>9</v>
      </c>
      <c r="C6" s="1" t="s">
        <v>8</v>
      </c>
      <c r="D6" s="2">
        <v>41019</v>
      </c>
      <c r="E6" s="1">
        <v>9.3156000000000003E-2</v>
      </c>
      <c r="F6" s="1">
        <f>LOG10(1+E6)</f>
        <v>3.8682142832395433E-2</v>
      </c>
    </row>
    <row r="8" spans="1:6" ht="15.75" thickBot="1"/>
    <row r="9" spans="1:6">
      <c r="A9" s="24" t="s">
        <v>5</v>
      </c>
      <c r="B9" s="25" t="s">
        <v>53</v>
      </c>
      <c r="C9" s="25" t="s">
        <v>54</v>
      </c>
      <c r="D9" s="26" t="s">
        <v>55</v>
      </c>
    </row>
    <row r="10" spans="1:6">
      <c r="A10" s="15" t="s">
        <v>7</v>
      </c>
      <c r="B10" s="11">
        <v>3.8682143000000002E-2</v>
      </c>
      <c r="C10" s="11">
        <v>0</v>
      </c>
      <c r="D10" s="16">
        <v>0</v>
      </c>
    </row>
    <row r="11" spans="1:6">
      <c r="A11" s="15" t="s">
        <v>8</v>
      </c>
      <c r="B11" s="11">
        <v>0</v>
      </c>
      <c r="C11" s="11">
        <v>1.6198060430000001</v>
      </c>
      <c r="D11" s="16">
        <v>3.8682143000000002E-2</v>
      </c>
    </row>
    <row r="12" spans="1:6">
      <c r="A12" s="15" t="s">
        <v>9</v>
      </c>
      <c r="B12" s="11">
        <v>0</v>
      </c>
      <c r="C12" s="11">
        <v>0.65025865000000005</v>
      </c>
      <c r="D12" s="16">
        <v>0</v>
      </c>
    </row>
    <row r="13" spans="1:6" ht="15.75" thickBot="1">
      <c r="A13" s="17" t="s">
        <v>10</v>
      </c>
      <c r="B13" s="18">
        <v>0</v>
      </c>
      <c r="C13" s="18">
        <v>1.652958648</v>
      </c>
      <c r="D13" s="19"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E20" sqref="E20"/>
    </sheetView>
  </sheetViews>
  <sheetFormatPr defaultRowHeight="15"/>
  <cols>
    <col min="1" max="1" width="9" customWidth="1"/>
    <col min="2" max="2" width="9.140625" customWidth="1"/>
    <col min="3" max="3" width="13.7109375" customWidth="1"/>
    <col min="4" max="4" width="14.85546875" customWidth="1"/>
    <col min="5" max="5" width="11.5703125" customWidth="1"/>
    <col min="6" max="7" width="9.28515625" customWidth="1"/>
  </cols>
  <sheetData>
    <row r="1" spans="1:9" ht="33.75" customHeight="1">
      <c r="A1" s="38" t="s">
        <v>56</v>
      </c>
      <c r="B1" s="45" t="s">
        <v>57</v>
      </c>
      <c r="C1" s="45"/>
      <c r="D1" s="39" t="s">
        <v>58</v>
      </c>
      <c r="E1" s="39" t="s">
        <v>59</v>
      </c>
      <c r="F1" s="45" t="s">
        <v>60</v>
      </c>
      <c r="G1" s="45"/>
      <c r="H1" s="43" t="s">
        <v>61</v>
      </c>
      <c r="I1" s="43"/>
    </row>
    <row r="2" spans="1:9" ht="15.75">
      <c r="A2" s="36" t="s">
        <v>62</v>
      </c>
      <c r="B2" s="44" t="s">
        <v>67</v>
      </c>
      <c r="C2" s="44"/>
      <c r="D2" s="37">
        <v>40813</v>
      </c>
      <c r="E2" s="36" t="s">
        <v>69</v>
      </c>
      <c r="F2" s="44">
        <v>43</v>
      </c>
      <c r="G2" s="44"/>
      <c r="H2" s="44" t="s">
        <v>71</v>
      </c>
      <c r="I2" s="44"/>
    </row>
    <row r="3" spans="1:9" ht="15.75">
      <c r="A3" s="36" t="s">
        <v>63</v>
      </c>
      <c r="B3" s="44" t="s">
        <v>68</v>
      </c>
      <c r="C3" s="44"/>
      <c r="D3" s="37">
        <v>40799</v>
      </c>
      <c r="E3" s="36" t="s">
        <v>69</v>
      </c>
      <c r="F3" s="44">
        <v>23</v>
      </c>
      <c r="G3" s="44"/>
      <c r="H3" s="44" t="s">
        <v>72</v>
      </c>
      <c r="I3" s="44"/>
    </row>
    <row r="4" spans="1:9" ht="15.75">
      <c r="A4" s="36">
        <v>8055</v>
      </c>
      <c r="B4" s="44" t="s">
        <v>68</v>
      </c>
      <c r="C4" s="44"/>
      <c r="D4" s="37">
        <v>40989</v>
      </c>
      <c r="E4" s="36" t="s">
        <v>69</v>
      </c>
      <c r="F4" s="44">
        <v>2.42</v>
      </c>
      <c r="G4" s="44"/>
      <c r="H4" s="44" t="s">
        <v>71</v>
      </c>
      <c r="I4" s="44"/>
    </row>
    <row r="5" spans="1:9" ht="15.75">
      <c r="A5" s="36" t="s">
        <v>64</v>
      </c>
      <c r="B5" s="44" t="s">
        <v>68</v>
      </c>
      <c r="C5" s="44"/>
      <c r="D5" s="37">
        <v>40926</v>
      </c>
      <c r="E5" s="36" t="s">
        <v>70</v>
      </c>
      <c r="F5" s="44" t="s">
        <v>73</v>
      </c>
      <c r="G5" s="44"/>
      <c r="H5" s="44" t="s">
        <v>72</v>
      </c>
      <c r="I5" s="44"/>
    </row>
    <row r="6" spans="1:9" ht="15.75">
      <c r="A6" s="36" t="s">
        <v>65</v>
      </c>
      <c r="B6" s="44" t="s">
        <v>67</v>
      </c>
      <c r="C6" s="44"/>
      <c r="D6" s="37">
        <v>40935</v>
      </c>
      <c r="E6" s="36" t="s">
        <v>70</v>
      </c>
      <c r="F6" s="44" t="s">
        <v>74</v>
      </c>
      <c r="G6" s="44"/>
      <c r="H6" s="44" t="s">
        <v>71</v>
      </c>
      <c r="I6" s="44"/>
    </row>
    <row r="7" spans="1:9" ht="15.75">
      <c r="A7" s="40" t="s">
        <v>66</v>
      </c>
      <c r="B7" s="42" t="s">
        <v>67</v>
      </c>
      <c r="C7" s="42"/>
      <c r="D7" s="41">
        <v>40935</v>
      </c>
      <c r="E7" s="40" t="s">
        <v>70</v>
      </c>
      <c r="F7" s="42" t="s">
        <v>75</v>
      </c>
      <c r="G7" s="42"/>
      <c r="H7" s="42" t="s">
        <v>71</v>
      </c>
      <c r="I7" s="42"/>
    </row>
  </sheetData>
  <mergeCells count="21">
    <mergeCell ref="B1:C1"/>
    <mergeCell ref="F1:G1"/>
    <mergeCell ref="B2:C2"/>
    <mergeCell ref="B3:C3"/>
    <mergeCell ref="B4:C4"/>
    <mergeCell ref="B6:C6"/>
    <mergeCell ref="B7:C7"/>
    <mergeCell ref="F2:G2"/>
    <mergeCell ref="F3:G3"/>
    <mergeCell ref="F4:G4"/>
    <mergeCell ref="F5:G5"/>
    <mergeCell ref="F6:G6"/>
    <mergeCell ref="F7:G7"/>
    <mergeCell ref="B5:C5"/>
    <mergeCell ref="H7:I7"/>
    <mergeCell ref="H1:I1"/>
    <mergeCell ref="H2:I2"/>
    <mergeCell ref="H3:I3"/>
    <mergeCell ref="H4:I4"/>
    <mergeCell ref="H5:I5"/>
    <mergeCell ref="H6:I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8"/>
    </sheetView>
  </sheetViews>
  <sheetFormatPr defaultRowHeight="15"/>
  <cols>
    <col min="1" max="1" width="16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Raw MPN Data</vt:lpstr>
      <vt:lpstr>Data in Chart forms</vt:lpstr>
      <vt:lpstr>Normal Shedder Charts</vt:lpstr>
      <vt:lpstr>High Shedder Strain Charts</vt:lpstr>
      <vt:lpstr>Dose vs. Time Graphs</vt:lpstr>
      <vt:lpstr>Tissue MPN Graphs</vt:lpstr>
      <vt:lpstr>Virulence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Lizzy Antaki</dc:creator>
  <cp:lastModifiedBy>lizzy</cp:lastModifiedBy>
  <cp:lastPrinted>2012-05-09T08:54:16Z</cp:lastPrinted>
  <dcterms:created xsi:type="dcterms:W3CDTF">2012-02-21T04:20:15Z</dcterms:created>
  <dcterms:modified xsi:type="dcterms:W3CDTF">2020-01-22T22:18:41Z</dcterms:modified>
</cp:coreProperties>
</file>