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yleeherzog/Desktop/"/>
    </mc:Choice>
  </mc:AlternateContent>
  <xr:revisionPtr revIDLastSave="0" documentId="13_ncr:1_{5B0807FD-ABA6-2B46-9BA2-6EEB154ADF2A}" xr6:coauthVersionLast="47" xr6:coauthVersionMax="47" xr10:uidLastSave="{00000000-0000-0000-0000-000000000000}"/>
  <bookViews>
    <workbookView xWindow="380" yWindow="460" windowWidth="28040" windowHeight="17040" activeTab="6" xr2:uid="{CB0EEC06-30B5-864A-9D4E-2344EA873E46}"/>
  </bookViews>
  <sheets>
    <sheet name="Rmegacantha" sheetId="1" r:id="rId1"/>
    <sheet name="Rmegacantha_egg_diameters" sheetId="2" r:id="rId2"/>
    <sheet name="Rbutlerae" sheetId="3" r:id="rId3"/>
    <sheet name="Rjensenae" sheetId="5" r:id="rId4"/>
    <sheet name="Rschaeffneri" sheetId="6" r:id="rId5"/>
    <sheet name="Rmozambiquensis" sheetId="7" r:id="rId6"/>
    <sheet name="Rhexacantha" sheetId="8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43" i="8" l="1"/>
  <c r="AN43" i="8"/>
  <c r="AM43" i="8"/>
  <c r="S43" i="8"/>
  <c r="P43" i="8"/>
  <c r="N43" i="8"/>
  <c r="I43" i="8"/>
  <c r="CA42" i="8"/>
  <c r="BZ42" i="8"/>
  <c r="BY42" i="8"/>
  <c r="BX42" i="8"/>
  <c r="BW42" i="8"/>
  <c r="BV42" i="8"/>
  <c r="BU42" i="8"/>
  <c r="BT42" i="8"/>
  <c r="BS42" i="8"/>
  <c r="BR42" i="8"/>
  <c r="BQ42" i="8"/>
  <c r="BP42" i="8"/>
  <c r="BO42" i="8"/>
  <c r="BN42" i="8"/>
  <c r="BM42" i="8"/>
  <c r="BL42" i="8"/>
  <c r="BK42" i="8"/>
  <c r="BJ42" i="8"/>
  <c r="BI42" i="8"/>
  <c r="BI43" i="8" s="1"/>
  <c r="BH42" i="8"/>
  <c r="BG42" i="8"/>
  <c r="BE42" i="8"/>
  <c r="BD42" i="8"/>
  <c r="BC42" i="8"/>
  <c r="AU42" i="8"/>
  <c r="AU43" i="8" s="1"/>
  <c r="AT42" i="8"/>
  <c r="AT43" i="8" s="1"/>
  <c r="AS42" i="8"/>
  <c r="AR42" i="8"/>
  <c r="AQ42" i="8"/>
  <c r="AP42" i="8"/>
  <c r="AN42" i="8"/>
  <c r="AM42" i="8"/>
  <c r="AL42" i="8"/>
  <c r="AL43" i="8" s="1"/>
  <c r="AK42" i="8"/>
  <c r="AK43" i="8" s="1"/>
  <c r="AE42" i="8"/>
  <c r="AD42" i="8"/>
  <c r="AC42" i="8"/>
  <c r="AC43" i="8" s="1"/>
  <c r="AB42" i="8"/>
  <c r="AB43" i="8" s="1"/>
  <c r="AA42" i="8"/>
  <c r="AA43" i="8" s="1"/>
  <c r="Z42" i="8"/>
  <c r="Z43" i="8" s="1"/>
  <c r="Y42" i="8"/>
  <c r="Y43" i="8" s="1"/>
  <c r="X42" i="8"/>
  <c r="X43" i="8" s="1"/>
  <c r="W42" i="8"/>
  <c r="V42" i="8"/>
  <c r="T42" i="8"/>
  <c r="T43" i="8" s="1"/>
  <c r="S42" i="8"/>
  <c r="P42" i="8"/>
  <c r="N42" i="8"/>
  <c r="L42" i="8"/>
  <c r="L43" i="8" s="1"/>
  <c r="J42" i="8"/>
  <c r="J43" i="8" s="1"/>
  <c r="I42" i="8"/>
  <c r="CA41" i="8"/>
  <c r="BZ41" i="8"/>
  <c r="BY41" i="8"/>
  <c r="BX41" i="8"/>
  <c r="BW41" i="8"/>
  <c r="BV41" i="8"/>
  <c r="BU41" i="8"/>
  <c r="BT41" i="8"/>
  <c r="BS41" i="8"/>
  <c r="BR41" i="8"/>
  <c r="BQ41" i="8"/>
  <c r="BP41" i="8"/>
  <c r="BO41" i="8"/>
  <c r="BN41" i="8"/>
  <c r="BM41" i="8"/>
  <c r="BL41" i="8"/>
  <c r="BK41" i="8"/>
  <c r="BJ41" i="8"/>
  <c r="BI41" i="8"/>
  <c r="BH41" i="8"/>
  <c r="BG41" i="8"/>
  <c r="BE41" i="8"/>
  <c r="BD41" i="8"/>
  <c r="BC41" i="8"/>
  <c r="AU41" i="8"/>
  <c r="AT41" i="8"/>
  <c r="AS41" i="8"/>
  <c r="AR41" i="8"/>
  <c r="AQ41" i="8"/>
  <c r="AP41" i="8"/>
  <c r="AN41" i="8"/>
  <c r="AM41" i="8"/>
  <c r="AL41" i="8"/>
  <c r="AE41" i="8"/>
  <c r="AD41" i="8"/>
  <c r="AC41" i="8"/>
  <c r="AB41" i="8"/>
  <c r="AA41" i="8"/>
  <c r="Z41" i="8"/>
  <c r="Y41" i="8"/>
  <c r="X41" i="8"/>
  <c r="W41" i="8"/>
  <c r="V41" i="8"/>
  <c r="T41" i="8"/>
  <c r="S41" i="8"/>
  <c r="P41" i="8"/>
  <c r="N41" i="8"/>
  <c r="L41" i="8"/>
  <c r="J41" i="8"/>
  <c r="I41" i="8"/>
  <c r="CA40" i="8"/>
  <c r="BZ40" i="8"/>
  <c r="BY40" i="8"/>
  <c r="BX40" i="8"/>
  <c r="BW40" i="8"/>
  <c r="BV40" i="8"/>
  <c r="BU40" i="8"/>
  <c r="BT40" i="8"/>
  <c r="BS40" i="8"/>
  <c r="BR40" i="8"/>
  <c r="BQ40" i="8"/>
  <c r="BP40" i="8"/>
  <c r="BO40" i="8"/>
  <c r="BN40" i="8"/>
  <c r="BM40" i="8"/>
  <c r="BL40" i="8"/>
  <c r="BK40" i="8"/>
  <c r="BJ40" i="8"/>
  <c r="BI40" i="8"/>
  <c r="BH40" i="8"/>
  <c r="BG40" i="8"/>
  <c r="BE40" i="8"/>
  <c r="BD40" i="8"/>
  <c r="BC40" i="8"/>
  <c r="AU40" i="8"/>
  <c r="AT40" i="8"/>
  <c r="AS40" i="8"/>
  <c r="AR40" i="8"/>
  <c r="AQ40" i="8"/>
  <c r="AP40" i="8"/>
  <c r="AN40" i="8"/>
  <c r="AM40" i="8"/>
  <c r="AL40" i="8"/>
  <c r="AF40" i="8"/>
  <c r="AE40" i="8"/>
  <c r="AD40" i="8"/>
  <c r="AC40" i="8"/>
  <c r="AB40" i="8"/>
  <c r="AA40" i="8"/>
  <c r="Z40" i="8"/>
  <c r="Y40" i="8"/>
  <c r="X40" i="8"/>
  <c r="W40" i="8"/>
  <c r="V40" i="8"/>
  <c r="T40" i="8"/>
  <c r="S40" i="8"/>
  <c r="P40" i="8"/>
  <c r="N40" i="8"/>
  <c r="L40" i="8"/>
  <c r="J40" i="8"/>
  <c r="I40" i="8"/>
  <c r="CA39" i="8"/>
  <c r="BZ39" i="8"/>
  <c r="BY39" i="8"/>
  <c r="BX39" i="8"/>
  <c r="BW39" i="8"/>
  <c r="BV39" i="8"/>
  <c r="BU39" i="8"/>
  <c r="BT39" i="8"/>
  <c r="BS39" i="8"/>
  <c r="BR39" i="8"/>
  <c r="BQ39" i="8"/>
  <c r="BP39" i="8"/>
  <c r="BO39" i="8"/>
  <c r="BN39" i="8"/>
  <c r="BM39" i="8"/>
  <c r="BL39" i="8"/>
  <c r="BK39" i="8"/>
  <c r="BJ39" i="8"/>
  <c r="BI39" i="8"/>
  <c r="BH39" i="8"/>
  <c r="BG39" i="8"/>
  <c r="BE39" i="8"/>
  <c r="BD39" i="8"/>
  <c r="BC39" i="8"/>
  <c r="AU39" i="8"/>
  <c r="AT39" i="8"/>
  <c r="AS39" i="8"/>
  <c r="AR39" i="8"/>
  <c r="AQ39" i="8"/>
  <c r="AP39" i="8"/>
  <c r="AN39" i="8"/>
  <c r="AM39" i="8"/>
  <c r="AL39" i="8"/>
  <c r="AJ39" i="8"/>
  <c r="AE39" i="8"/>
  <c r="AD39" i="8"/>
  <c r="AC39" i="8"/>
  <c r="AB39" i="8"/>
  <c r="AA39" i="8"/>
  <c r="Z39" i="8"/>
  <c r="Y39" i="8"/>
  <c r="X39" i="8"/>
  <c r="W39" i="8"/>
  <c r="V39" i="8"/>
  <c r="T39" i="8"/>
  <c r="S39" i="8"/>
  <c r="P39" i="8"/>
  <c r="N39" i="8"/>
  <c r="L39" i="8"/>
  <c r="J39" i="8"/>
  <c r="I39" i="8"/>
  <c r="CA38" i="8"/>
  <c r="BZ38" i="8"/>
  <c r="BY38" i="8"/>
  <c r="BX38" i="8"/>
  <c r="BW38" i="8"/>
  <c r="BV38" i="8"/>
  <c r="BU38" i="8"/>
  <c r="BT38" i="8"/>
  <c r="BS38" i="8"/>
  <c r="BR38" i="8"/>
  <c r="BQ38" i="8"/>
  <c r="BP38" i="8"/>
  <c r="BO38" i="8"/>
  <c r="BN38" i="8"/>
  <c r="BM38" i="8"/>
  <c r="BL38" i="8"/>
  <c r="BK38" i="8"/>
  <c r="BJ38" i="8"/>
  <c r="BI38" i="8"/>
  <c r="BH38" i="8"/>
  <c r="BG38" i="8"/>
  <c r="BE38" i="8"/>
  <c r="BD38" i="8"/>
  <c r="BC38" i="8"/>
  <c r="AU38" i="8"/>
  <c r="AT38" i="8"/>
  <c r="AS38" i="8"/>
  <c r="AR38" i="8"/>
  <c r="AQ38" i="8"/>
  <c r="AP38" i="8"/>
  <c r="AN38" i="8"/>
  <c r="AM38" i="8"/>
  <c r="AL38" i="8"/>
  <c r="AH38" i="8"/>
  <c r="AE38" i="8"/>
  <c r="AD38" i="8"/>
  <c r="AC38" i="8"/>
  <c r="AB38" i="8"/>
  <c r="AA38" i="8"/>
  <c r="Z38" i="8"/>
  <c r="Y38" i="8"/>
  <c r="X38" i="8"/>
  <c r="W38" i="8"/>
  <c r="V38" i="8"/>
  <c r="T38" i="8"/>
  <c r="S38" i="8"/>
  <c r="R38" i="8"/>
  <c r="Q38" i="8"/>
  <c r="P38" i="8"/>
  <c r="N38" i="8"/>
  <c r="L38" i="8"/>
  <c r="J38" i="8"/>
  <c r="I38" i="8"/>
  <c r="AO37" i="8"/>
  <c r="AO36" i="8"/>
  <c r="AO40" i="8" s="1"/>
  <c r="AZ35" i="8"/>
  <c r="AY35" i="8"/>
  <c r="AX35" i="8"/>
  <c r="AW35" i="8"/>
  <c r="AO35" i="8"/>
  <c r="AK35" i="8"/>
  <c r="BA35" i="8" s="1"/>
  <c r="AI35" i="8"/>
  <c r="AF35" i="8"/>
  <c r="AG35" i="8" s="1"/>
  <c r="U35" i="8"/>
  <c r="O35" i="8"/>
  <c r="O39" i="8" s="1"/>
  <c r="K35" i="8"/>
  <c r="H35" i="8"/>
  <c r="AO34" i="8"/>
  <c r="AY33" i="8"/>
  <c r="BB32" i="8"/>
  <c r="BA32" i="8"/>
  <c r="AZ32" i="8"/>
  <c r="AY32" i="8"/>
  <c r="AK32" i="8"/>
  <c r="AJ32" i="8"/>
  <c r="AI32" i="8"/>
  <c r="K32" i="8"/>
  <c r="H32" i="8"/>
  <c r="AF29" i="8"/>
  <c r="AG29" i="8" s="1"/>
  <c r="X29" i="8"/>
  <c r="O29" i="8"/>
  <c r="AO28" i="8"/>
  <c r="AY28" i="8" s="1"/>
  <c r="AY27" i="8"/>
  <c r="AO27" i="8"/>
  <c r="AO26" i="8"/>
  <c r="AY26" i="8" s="1"/>
  <c r="AI26" i="8"/>
  <c r="AF26" i="8"/>
  <c r="AG26" i="8" s="1"/>
  <c r="U26" i="8"/>
  <c r="O26" i="8"/>
  <c r="K26" i="8"/>
  <c r="H26" i="8"/>
  <c r="AY25" i="8"/>
  <c r="AY24" i="8"/>
  <c r="AO23" i="8"/>
  <c r="AY23" i="8" s="1"/>
  <c r="AI23" i="8"/>
  <c r="AG23" i="8"/>
  <c r="U23" i="8"/>
  <c r="O23" i="8"/>
  <c r="K23" i="8"/>
  <c r="H23" i="8"/>
  <c r="AY22" i="8"/>
  <c r="AY21" i="8"/>
  <c r="BB20" i="8"/>
  <c r="BA20" i="8"/>
  <c r="AZ20" i="8"/>
  <c r="AY20" i="8"/>
  <c r="AY19" i="8"/>
  <c r="AY18" i="8"/>
  <c r="AY17" i="8"/>
  <c r="AX17" i="8"/>
  <c r="AW17" i="8"/>
  <c r="AK17" i="8"/>
  <c r="BA17" i="8" s="1"/>
  <c r="AJ17" i="8"/>
  <c r="AZ17" i="8" s="1"/>
  <c r="AI17" i="8"/>
  <c r="AF17" i="8"/>
  <c r="AG17" i="8" s="1"/>
  <c r="O17" i="8"/>
  <c r="K17" i="8"/>
  <c r="H17" i="8"/>
  <c r="AO15" i="8"/>
  <c r="AY15" i="8" s="1"/>
  <c r="BB14" i="8"/>
  <c r="BB39" i="8" s="1"/>
  <c r="AX14" i="8"/>
  <c r="AX40" i="8" s="1"/>
  <c r="AW14" i="8"/>
  <c r="AO14" i="8"/>
  <c r="AY14" i="8" s="1"/>
  <c r="AK14" i="8"/>
  <c r="AK38" i="8" s="1"/>
  <c r="AJ14" i="8"/>
  <c r="AZ14" i="8" s="1"/>
  <c r="AI14" i="8"/>
  <c r="AF14" i="8"/>
  <c r="AG14" i="8" s="1"/>
  <c r="U14" i="8"/>
  <c r="O14" i="8"/>
  <c r="M14" i="8"/>
  <c r="M40" i="8" s="1"/>
  <c r="K14" i="8"/>
  <c r="H14" i="8"/>
  <c r="AO12" i="8"/>
  <c r="AY12" i="8" s="1"/>
  <c r="AY11" i="8"/>
  <c r="AI11" i="8"/>
  <c r="AF11" i="8"/>
  <c r="AG11" i="8" s="1"/>
  <c r="U11" i="8"/>
  <c r="O11" i="8"/>
  <c r="K11" i="8"/>
  <c r="H11" i="8"/>
  <c r="AY10" i="8"/>
  <c r="AY9" i="8"/>
  <c r="BA8" i="8"/>
  <c r="AZ8" i="8"/>
  <c r="AY8" i="8"/>
  <c r="AX8" i="8"/>
  <c r="AX39" i="8" s="1"/>
  <c r="AW8" i="8"/>
  <c r="AW40" i="8" s="1"/>
  <c r="AJ8" i="8"/>
  <c r="AJ42" i="8" s="1"/>
  <c r="AJ43" i="8" s="1"/>
  <c r="AI8" i="8"/>
  <c r="AG8" i="8"/>
  <c r="AG39" i="8" s="1"/>
  <c r="AF8" i="8"/>
  <c r="AF39" i="8" s="1"/>
  <c r="U8" i="8"/>
  <c r="O8" i="8"/>
  <c r="O38" i="8" s="1"/>
  <c r="K8" i="8"/>
  <c r="H8" i="8"/>
  <c r="H39" i="8" s="1"/>
  <c r="AO7" i="8"/>
  <c r="AY7" i="8" s="1"/>
  <c r="AY6" i="8"/>
  <c r="BA5" i="8"/>
  <c r="AZ5" i="8"/>
  <c r="AY5" i="8"/>
  <c r="AO5" i="8"/>
  <c r="AO39" i="8" s="1"/>
  <c r="AI5" i="8"/>
  <c r="AI39" i="8" s="1"/>
  <c r="U5" i="8"/>
  <c r="U41" i="8" s="1"/>
  <c r="K5" i="8"/>
  <c r="K41" i="8" s="1"/>
  <c r="AY39" i="8" l="1"/>
  <c r="AZ39" i="8"/>
  <c r="AK39" i="8"/>
  <c r="O40" i="8"/>
  <c r="AG40" i="8"/>
  <c r="AY40" i="8"/>
  <c r="M41" i="8"/>
  <c r="AW41" i="8"/>
  <c r="K42" i="8"/>
  <c r="K43" i="8" s="1"/>
  <c r="U42" i="8"/>
  <c r="U43" i="8" s="1"/>
  <c r="H38" i="8"/>
  <c r="AF38" i="8"/>
  <c r="AW38" i="8"/>
  <c r="K39" i="8"/>
  <c r="U39" i="8"/>
  <c r="H40" i="8"/>
  <c r="AI40" i="8"/>
  <c r="AZ40" i="8"/>
  <c r="AF41" i="8"/>
  <c r="AO41" i="8"/>
  <c r="AX41" i="8"/>
  <c r="BA14" i="8"/>
  <c r="BA39" i="8" s="1"/>
  <c r="AG38" i="8"/>
  <c r="AO38" i="8"/>
  <c r="AX38" i="8"/>
  <c r="AJ40" i="8"/>
  <c r="O41" i="8"/>
  <c r="AG41" i="8"/>
  <c r="AY41" i="8"/>
  <c r="M42" i="8"/>
  <c r="M43" i="8" s="1"/>
  <c r="AW42" i="8"/>
  <c r="AW43" i="8" s="1"/>
  <c r="AY38" i="8"/>
  <c r="M39" i="8"/>
  <c r="AW39" i="8"/>
  <c r="AK40" i="8"/>
  <c r="H41" i="8"/>
  <c r="AI41" i="8"/>
  <c r="AZ41" i="8"/>
  <c r="AF42" i="8"/>
  <c r="AF43" i="8" s="1"/>
  <c r="AO42" i="8"/>
  <c r="AX42" i="8"/>
  <c r="AX43" i="8" s="1"/>
  <c r="K38" i="8"/>
  <c r="AI38" i="8"/>
  <c r="AZ38" i="8"/>
  <c r="K40" i="8"/>
  <c r="U40" i="8"/>
  <c r="AJ41" i="8"/>
  <c r="O42" i="8"/>
  <c r="O43" i="8" s="1"/>
  <c r="AG42" i="8"/>
  <c r="AG43" i="8" s="1"/>
  <c r="AY42" i="8"/>
  <c r="AJ38" i="8"/>
  <c r="BA38" i="8"/>
  <c r="AK41" i="8"/>
  <c r="H42" i="8"/>
  <c r="H43" i="8" s="1"/>
  <c r="AI42" i="8"/>
  <c r="AI43" i="8" s="1"/>
  <c r="AZ42" i="8"/>
  <c r="M38" i="8"/>
  <c r="U38" i="8"/>
  <c r="BA40" i="8" l="1"/>
  <c r="BA41" i="8"/>
  <c r="BA42" i="8"/>
  <c r="BU76" i="7" l="1"/>
  <c r="BN76" i="7"/>
  <c r="BM76" i="7"/>
  <c r="BG76" i="7"/>
  <c r="BF76" i="7"/>
  <c r="BE76" i="7"/>
  <c r="BD76" i="7"/>
  <c r="BC76" i="7"/>
  <c r="BB76" i="7"/>
  <c r="AY76" i="7"/>
  <c r="AR76" i="7"/>
  <c r="AQ76" i="7"/>
  <c r="AK76" i="7"/>
  <c r="AJ76" i="7"/>
  <c r="AI76" i="7"/>
  <c r="AH76" i="7"/>
  <c r="AF76" i="7"/>
  <c r="AC76" i="7"/>
  <c r="AB76" i="7"/>
  <c r="AA76" i="7"/>
  <c r="Z76" i="7"/>
  <c r="Y76" i="7"/>
  <c r="X76" i="7"/>
  <c r="S76" i="7"/>
  <c r="R76" i="7"/>
  <c r="Q76" i="7"/>
  <c r="P76" i="7"/>
  <c r="O76" i="7"/>
  <c r="N76" i="7"/>
  <c r="J76" i="7"/>
  <c r="CW75" i="7"/>
  <c r="CV75" i="7"/>
  <c r="CU75" i="7"/>
  <c r="CT75" i="7"/>
  <c r="CS75" i="7"/>
  <c r="CR75" i="7"/>
  <c r="CQ75" i="7"/>
  <c r="CP75" i="7"/>
  <c r="CO75" i="7"/>
  <c r="CN75" i="7"/>
  <c r="CM75" i="7"/>
  <c r="CL75" i="7"/>
  <c r="CK75" i="7"/>
  <c r="CJ75" i="7"/>
  <c r="CI75" i="7"/>
  <c r="CH75" i="7"/>
  <c r="CG75" i="7"/>
  <c r="CF75" i="7"/>
  <c r="CE75" i="7"/>
  <c r="CD75" i="7"/>
  <c r="CC75" i="7"/>
  <c r="CB75" i="7"/>
  <c r="BX75" i="7"/>
  <c r="BW75" i="7"/>
  <c r="BV75" i="7"/>
  <c r="BU75" i="7"/>
  <c r="BN75" i="7"/>
  <c r="BM75" i="7"/>
  <c r="BL75" i="7"/>
  <c r="BK75" i="7"/>
  <c r="BJ75" i="7"/>
  <c r="BI75" i="7"/>
  <c r="BH75" i="7"/>
  <c r="BG75" i="7"/>
  <c r="BF75" i="7"/>
  <c r="BE75" i="7"/>
  <c r="BD75" i="7"/>
  <c r="BC75" i="7"/>
  <c r="BB75" i="7"/>
  <c r="BA75" i="7"/>
  <c r="AY75" i="7"/>
  <c r="AX75" i="7"/>
  <c r="AW75" i="7"/>
  <c r="AR75" i="7"/>
  <c r="AQ75" i="7"/>
  <c r="AP75" i="7"/>
  <c r="AO75" i="7"/>
  <c r="AN75" i="7"/>
  <c r="AM75" i="7"/>
  <c r="AK75" i="7"/>
  <c r="AJ75" i="7"/>
  <c r="AI75" i="7"/>
  <c r="AH75" i="7"/>
  <c r="AF75" i="7"/>
  <c r="AE75" i="7"/>
  <c r="AD75" i="7"/>
  <c r="AC75" i="7"/>
  <c r="AB75" i="7"/>
  <c r="AA75" i="7"/>
  <c r="Z75" i="7"/>
  <c r="Y75" i="7"/>
  <c r="X75" i="7"/>
  <c r="W75" i="7"/>
  <c r="V75" i="7"/>
  <c r="S75" i="7"/>
  <c r="R75" i="7"/>
  <c r="Q75" i="7"/>
  <c r="P75" i="7"/>
  <c r="O75" i="7"/>
  <c r="N75" i="7"/>
  <c r="J75" i="7"/>
  <c r="CW74" i="7"/>
  <c r="CV74" i="7"/>
  <c r="CU74" i="7"/>
  <c r="CT74" i="7"/>
  <c r="CS74" i="7"/>
  <c r="CR74" i="7"/>
  <c r="CQ74" i="7"/>
  <c r="CP74" i="7"/>
  <c r="CO74" i="7"/>
  <c r="CN74" i="7"/>
  <c r="CM74" i="7"/>
  <c r="CL74" i="7"/>
  <c r="CK74" i="7"/>
  <c r="CJ74" i="7"/>
  <c r="CI74" i="7"/>
  <c r="CH74" i="7"/>
  <c r="CG74" i="7"/>
  <c r="CF74" i="7"/>
  <c r="CE74" i="7"/>
  <c r="CD74" i="7"/>
  <c r="CC74" i="7"/>
  <c r="CB74" i="7"/>
  <c r="BX74" i="7"/>
  <c r="BW74" i="7"/>
  <c r="BV74" i="7"/>
  <c r="BU74" i="7"/>
  <c r="BN74" i="7"/>
  <c r="BM74" i="7"/>
  <c r="BL74" i="7"/>
  <c r="BK74" i="7"/>
  <c r="BJ74" i="7"/>
  <c r="BI74" i="7"/>
  <c r="BH74" i="7"/>
  <c r="BG74" i="7"/>
  <c r="BF74" i="7"/>
  <c r="BE74" i="7"/>
  <c r="BD74" i="7"/>
  <c r="BC74" i="7"/>
  <c r="BB74" i="7"/>
  <c r="BA74" i="7"/>
  <c r="AY74" i="7"/>
  <c r="AX74" i="7"/>
  <c r="AW74" i="7"/>
  <c r="AR74" i="7"/>
  <c r="AQ74" i="7"/>
  <c r="AP74" i="7"/>
  <c r="AO74" i="7"/>
  <c r="AN74" i="7"/>
  <c r="AM74" i="7"/>
  <c r="AK74" i="7"/>
  <c r="AJ74" i="7"/>
  <c r="AI74" i="7"/>
  <c r="AH74" i="7"/>
  <c r="AF74" i="7"/>
  <c r="AE74" i="7"/>
  <c r="AD74" i="7"/>
  <c r="AC74" i="7"/>
  <c r="AB74" i="7"/>
  <c r="AA74" i="7"/>
  <c r="Z74" i="7"/>
  <c r="Y74" i="7"/>
  <c r="X74" i="7"/>
  <c r="W74" i="7"/>
  <c r="V74" i="7"/>
  <c r="S74" i="7"/>
  <c r="R74" i="7"/>
  <c r="Q74" i="7"/>
  <c r="P74" i="7"/>
  <c r="O74" i="7"/>
  <c r="N74" i="7"/>
  <c r="J74" i="7"/>
  <c r="CW73" i="7"/>
  <c r="CV73" i="7"/>
  <c r="CU73" i="7"/>
  <c r="CT73" i="7"/>
  <c r="CS73" i="7"/>
  <c r="CR73" i="7"/>
  <c r="CQ73" i="7"/>
  <c r="CP73" i="7"/>
  <c r="CO73" i="7"/>
  <c r="CN73" i="7"/>
  <c r="CM73" i="7"/>
  <c r="CL73" i="7"/>
  <c r="CK73" i="7"/>
  <c r="CJ73" i="7"/>
  <c r="CI73" i="7"/>
  <c r="CH73" i="7"/>
  <c r="CG73" i="7"/>
  <c r="CF73" i="7"/>
  <c r="CE73" i="7"/>
  <c r="CD73" i="7"/>
  <c r="CC73" i="7"/>
  <c r="CB73" i="7"/>
  <c r="BX73" i="7"/>
  <c r="BW73" i="7"/>
  <c r="BV73" i="7"/>
  <c r="BU73" i="7"/>
  <c r="BN73" i="7"/>
  <c r="BM73" i="7"/>
  <c r="BL73" i="7"/>
  <c r="BK73" i="7"/>
  <c r="BJ73" i="7"/>
  <c r="BI73" i="7"/>
  <c r="BH73" i="7"/>
  <c r="BG73" i="7"/>
  <c r="BF73" i="7"/>
  <c r="BE73" i="7"/>
  <c r="BD73" i="7"/>
  <c r="BC73" i="7"/>
  <c r="BB73" i="7"/>
  <c r="BA73" i="7"/>
  <c r="AY73" i="7"/>
  <c r="AX73" i="7"/>
  <c r="AW73" i="7"/>
  <c r="AR73" i="7"/>
  <c r="AQ73" i="7"/>
  <c r="AP73" i="7"/>
  <c r="AO73" i="7"/>
  <c r="AN73" i="7"/>
  <c r="AM73" i="7"/>
  <c r="AK73" i="7"/>
  <c r="AJ73" i="7"/>
  <c r="AI73" i="7"/>
  <c r="AH73" i="7"/>
  <c r="AF73" i="7"/>
  <c r="AE73" i="7"/>
  <c r="AD73" i="7"/>
  <c r="AC73" i="7"/>
  <c r="AB73" i="7"/>
  <c r="AA73" i="7"/>
  <c r="Z73" i="7"/>
  <c r="Y73" i="7"/>
  <c r="X73" i="7"/>
  <c r="W73" i="7"/>
  <c r="V73" i="7"/>
  <c r="S73" i="7"/>
  <c r="R73" i="7"/>
  <c r="Q73" i="7"/>
  <c r="P73" i="7"/>
  <c r="O73" i="7"/>
  <c r="N73" i="7"/>
  <c r="J73" i="7"/>
  <c r="CW72" i="7"/>
  <c r="CV72" i="7"/>
  <c r="CU72" i="7"/>
  <c r="CT72" i="7"/>
  <c r="CS72" i="7"/>
  <c r="CR72" i="7"/>
  <c r="CQ72" i="7"/>
  <c r="CP72" i="7"/>
  <c r="CO72" i="7"/>
  <c r="CN72" i="7"/>
  <c r="CM72" i="7"/>
  <c r="CL72" i="7"/>
  <c r="CK72" i="7"/>
  <c r="CJ72" i="7"/>
  <c r="CI72" i="7"/>
  <c r="CH72" i="7"/>
  <c r="CG72" i="7"/>
  <c r="CF72" i="7"/>
  <c r="CE72" i="7"/>
  <c r="CD72" i="7"/>
  <c r="CC72" i="7"/>
  <c r="CB72" i="7"/>
  <c r="BX72" i="7"/>
  <c r="BW72" i="7"/>
  <c r="BV72" i="7"/>
  <c r="BU72" i="7"/>
  <c r="BN72" i="7"/>
  <c r="BM72" i="7"/>
  <c r="BL72" i="7"/>
  <c r="BK72" i="7"/>
  <c r="BJ72" i="7"/>
  <c r="BI72" i="7"/>
  <c r="BH72" i="7"/>
  <c r="BG72" i="7"/>
  <c r="BF72" i="7"/>
  <c r="BE72" i="7"/>
  <c r="BD72" i="7"/>
  <c r="BC72" i="7"/>
  <c r="BB72" i="7"/>
  <c r="BA72" i="7"/>
  <c r="AY72" i="7"/>
  <c r="AX72" i="7"/>
  <c r="AW72" i="7"/>
  <c r="AV72" i="7"/>
  <c r="AU72" i="7"/>
  <c r="AT72" i="7"/>
  <c r="AR72" i="7"/>
  <c r="AQ72" i="7"/>
  <c r="AP72" i="7"/>
  <c r="AO72" i="7"/>
  <c r="AN72" i="7"/>
  <c r="AM72" i="7"/>
  <c r="AK72" i="7"/>
  <c r="AJ72" i="7"/>
  <c r="AI72" i="7"/>
  <c r="AH72" i="7"/>
  <c r="AF72" i="7"/>
  <c r="AE72" i="7"/>
  <c r="AD72" i="7"/>
  <c r="AC72" i="7"/>
  <c r="AB72" i="7"/>
  <c r="AA72" i="7"/>
  <c r="Z72" i="7"/>
  <c r="Y72" i="7"/>
  <c r="X72" i="7"/>
  <c r="W72" i="7"/>
  <c r="V72" i="7"/>
  <c r="S72" i="7"/>
  <c r="R72" i="7"/>
  <c r="Q72" i="7"/>
  <c r="P72" i="7"/>
  <c r="O72" i="7"/>
  <c r="N72" i="7"/>
  <c r="J72" i="7"/>
  <c r="CW71" i="7"/>
  <c r="CV71" i="7"/>
  <c r="CU71" i="7"/>
  <c r="CT71" i="7"/>
  <c r="CS71" i="7"/>
  <c r="CR71" i="7"/>
  <c r="CQ71" i="7"/>
  <c r="CP71" i="7"/>
  <c r="CO71" i="7"/>
  <c r="CN71" i="7"/>
  <c r="CM71" i="7"/>
  <c r="CL71" i="7"/>
  <c r="CK71" i="7"/>
  <c r="CJ71" i="7"/>
  <c r="CI71" i="7"/>
  <c r="CH71" i="7"/>
  <c r="CG71" i="7"/>
  <c r="CF71" i="7"/>
  <c r="CE71" i="7"/>
  <c r="CD71" i="7"/>
  <c r="CC71" i="7"/>
  <c r="CB71" i="7"/>
  <c r="BX71" i="7"/>
  <c r="BW71" i="7"/>
  <c r="BV71" i="7"/>
  <c r="BU71" i="7"/>
  <c r="BN71" i="7"/>
  <c r="BM71" i="7"/>
  <c r="BL71" i="7"/>
  <c r="BK71" i="7"/>
  <c r="BI71" i="7"/>
  <c r="BH71" i="7"/>
  <c r="BG71" i="7"/>
  <c r="BF71" i="7"/>
  <c r="BE71" i="7"/>
  <c r="BD71" i="7"/>
  <c r="BC71" i="7"/>
  <c r="BB71" i="7"/>
  <c r="BA71" i="7"/>
  <c r="AY71" i="7"/>
  <c r="AX71" i="7"/>
  <c r="AW71" i="7"/>
  <c r="AV71" i="7"/>
  <c r="AU71" i="7"/>
  <c r="AT71" i="7"/>
  <c r="AR71" i="7"/>
  <c r="AQ71" i="7"/>
  <c r="AP71" i="7"/>
  <c r="AO71" i="7"/>
  <c r="AN71" i="7"/>
  <c r="AM71" i="7"/>
  <c r="AK71" i="7"/>
  <c r="AJ71" i="7"/>
  <c r="AI71" i="7"/>
  <c r="AH71" i="7"/>
  <c r="AF71" i="7"/>
  <c r="AE71" i="7"/>
  <c r="AD71" i="7"/>
  <c r="AC71" i="7"/>
  <c r="AB71" i="7"/>
  <c r="AA71" i="7"/>
  <c r="Z71" i="7"/>
  <c r="Y71" i="7"/>
  <c r="X71" i="7"/>
  <c r="W71" i="7"/>
  <c r="V71" i="7"/>
  <c r="S71" i="7"/>
  <c r="R71" i="7"/>
  <c r="Q71" i="7"/>
  <c r="P71" i="7"/>
  <c r="O71" i="7"/>
  <c r="N71" i="7"/>
  <c r="J71" i="7"/>
  <c r="BT68" i="7"/>
  <c r="BS68" i="7"/>
  <c r="BR68" i="7"/>
  <c r="BP68" i="7"/>
  <c r="BQ68" i="7" s="1"/>
  <c r="AG68" i="7"/>
  <c r="T68" i="7"/>
  <c r="L68" i="7"/>
  <c r="I68" i="7"/>
  <c r="BR67" i="7"/>
  <c r="BR66" i="7"/>
  <c r="BR65" i="7"/>
  <c r="AZ65" i="7"/>
  <c r="L65" i="7"/>
  <c r="I65" i="7"/>
  <c r="BR64" i="7"/>
  <c r="BR63" i="7"/>
  <c r="BT62" i="7"/>
  <c r="BS62" i="7"/>
  <c r="BR62" i="7"/>
  <c r="BP62" i="7"/>
  <c r="BQ62" i="7" s="1"/>
  <c r="AG62" i="7"/>
  <c r="T62" i="7"/>
  <c r="T73" i="7" s="1"/>
  <c r="L62" i="7"/>
  <c r="I62" i="7"/>
  <c r="BR61" i="7"/>
  <c r="BR60" i="7"/>
  <c r="BT59" i="7"/>
  <c r="BS59" i="7"/>
  <c r="BR59" i="7"/>
  <c r="BP59" i="7"/>
  <c r="BQ59" i="7" s="1"/>
  <c r="AZ59" i="7"/>
  <c r="L59" i="7"/>
  <c r="I59" i="7"/>
  <c r="BR58" i="7"/>
  <c r="BR57" i="7"/>
  <c r="BT56" i="7"/>
  <c r="BS56" i="7"/>
  <c r="BR56" i="7"/>
  <c r="BQ56" i="7"/>
  <c r="BP56" i="7"/>
  <c r="AG56" i="7"/>
  <c r="U56" i="7"/>
  <c r="K56" i="7"/>
  <c r="L56" i="7" s="1"/>
  <c r="I56" i="7"/>
  <c r="BR55" i="7"/>
  <c r="BR54" i="7"/>
  <c r="BT53" i="7"/>
  <c r="BS53" i="7"/>
  <c r="BR53" i="7"/>
  <c r="BP53" i="7"/>
  <c r="BQ53" i="7" s="1"/>
  <c r="K53" i="7"/>
  <c r="L53" i="7" s="1"/>
  <c r="I53" i="7"/>
  <c r="BR52" i="7"/>
  <c r="BR51" i="7"/>
  <c r="BR50" i="7"/>
  <c r="AG50" i="7"/>
  <c r="U50" i="7"/>
  <c r="K50" i="7"/>
  <c r="L50" i="7" s="1"/>
  <c r="I50" i="7"/>
  <c r="BR49" i="7"/>
  <c r="BR48" i="7"/>
  <c r="BT47" i="7"/>
  <c r="BS47" i="7"/>
  <c r="BR47" i="7"/>
  <c r="BP47" i="7"/>
  <c r="BQ47" i="7" s="1"/>
  <c r="AG47" i="7"/>
  <c r="U47" i="7"/>
  <c r="K47" i="7"/>
  <c r="L47" i="7" s="1"/>
  <c r="I47" i="7"/>
  <c r="BR46" i="7"/>
  <c r="BR45" i="7"/>
  <c r="BT44" i="7"/>
  <c r="BS44" i="7"/>
  <c r="BR44" i="7"/>
  <c r="AG44" i="7"/>
  <c r="K44" i="7"/>
  <c r="L44" i="7" s="1"/>
  <c r="I44" i="7"/>
  <c r="BR43" i="7"/>
  <c r="BR42" i="7"/>
  <c r="BT41" i="7"/>
  <c r="BS41" i="7"/>
  <c r="BR41" i="7"/>
  <c r="BP41" i="7"/>
  <c r="BQ41" i="7" s="1"/>
  <c r="AL41" i="7"/>
  <c r="AL72" i="7" s="1"/>
  <c r="K41" i="7"/>
  <c r="L41" i="7" s="1"/>
  <c r="I41" i="7"/>
  <c r="BR40" i="7"/>
  <c r="BR39" i="7"/>
  <c r="BT38" i="7"/>
  <c r="BS38" i="7"/>
  <c r="BR38" i="7"/>
  <c r="BP38" i="7"/>
  <c r="BQ38" i="7" s="1"/>
  <c r="AZ38" i="7"/>
  <c r="AZ75" i="7" s="1"/>
  <c r="U38" i="7"/>
  <c r="M38" i="7"/>
  <c r="L38" i="7"/>
  <c r="I38" i="7"/>
  <c r="BR37" i="7"/>
  <c r="BR36" i="7"/>
  <c r="BR35" i="7"/>
  <c r="BQ35" i="7"/>
  <c r="BP35" i="7"/>
  <c r="AG35" i="7"/>
  <c r="U35" i="7"/>
  <c r="L35" i="7"/>
  <c r="I35" i="7"/>
  <c r="BR34" i="7"/>
  <c r="BR33" i="7"/>
  <c r="BT32" i="7"/>
  <c r="BS32" i="7"/>
  <c r="BR32" i="7"/>
  <c r="BP32" i="7"/>
  <c r="BQ32" i="7" s="1"/>
  <c r="AG32" i="7"/>
  <c r="U32" i="7"/>
  <c r="M32" i="7"/>
  <c r="L32" i="7"/>
  <c r="I32" i="7"/>
  <c r="BR31" i="7"/>
  <c r="BR30" i="7"/>
  <c r="BT29" i="7"/>
  <c r="BS29" i="7"/>
  <c r="BR29" i="7"/>
  <c r="BP29" i="7"/>
  <c r="BQ29" i="7" s="1"/>
  <c r="AG29" i="7"/>
  <c r="U29" i="7"/>
  <c r="L29" i="7"/>
  <c r="I29" i="7"/>
  <c r="BR28" i="7"/>
  <c r="BR27" i="7"/>
  <c r="BT26" i="7"/>
  <c r="BS26" i="7"/>
  <c r="BR26" i="7"/>
  <c r="BP26" i="7"/>
  <c r="BQ26" i="7" s="1"/>
  <c r="AG26" i="7"/>
  <c r="U26" i="7"/>
  <c r="L26" i="7"/>
  <c r="BR25" i="7"/>
  <c r="BZ24" i="7"/>
  <c r="BR24" i="7"/>
  <c r="BZ23" i="7"/>
  <c r="BT23" i="7"/>
  <c r="BS23" i="7"/>
  <c r="BR23" i="7"/>
  <c r="BP23" i="7"/>
  <c r="BQ23" i="7" s="1"/>
  <c r="AG23" i="7"/>
  <c r="M23" i="7"/>
  <c r="L23" i="7"/>
  <c r="I23" i="7"/>
  <c r="BR22" i="7"/>
  <c r="BR21" i="7"/>
  <c r="BR20" i="7"/>
  <c r="BP20" i="7"/>
  <c r="BQ20" i="7" s="1"/>
  <c r="AG20" i="7"/>
  <c r="L20" i="7"/>
  <c r="BR19" i="7"/>
  <c r="BR18" i="7"/>
  <c r="BZ17" i="7"/>
  <c r="BZ75" i="7" s="1"/>
  <c r="BT17" i="7"/>
  <c r="BS17" i="7"/>
  <c r="BR17" i="7"/>
  <c r="BQ17" i="7"/>
  <c r="BP17" i="7"/>
  <c r="AG17" i="7"/>
  <c r="L17" i="7"/>
  <c r="I17" i="7"/>
  <c r="BR16" i="7"/>
  <c r="BR15" i="7"/>
  <c r="BT14" i="7"/>
  <c r="BS14" i="7"/>
  <c r="BR14" i="7"/>
  <c r="BP14" i="7"/>
  <c r="BQ14" i="7" s="1"/>
  <c r="AG14" i="7"/>
  <c r="U14" i="7"/>
  <c r="M14" i="7"/>
  <c r="M73" i="7" s="1"/>
  <c r="L14" i="7"/>
  <c r="I14" i="7"/>
  <c r="BR13" i="7"/>
  <c r="BR12" i="7"/>
  <c r="BT11" i="7"/>
  <c r="BS11" i="7"/>
  <c r="BR11" i="7"/>
  <c r="BQ11" i="7"/>
  <c r="BR10" i="7"/>
  <c r="BR9" i="7"/>
  <c r="BT8" i="7"/>
  <c r="BS8" i="7"/>
  <c r="BR8" i="7"/>
  <c r="BP8" i="7"/>
  <c r="BQ8" i="7" s="1"/>
  <c r="AG8" i="7"/>
  <c r="U8" i="7"/>
  <c r="L8" i="7"/>
  <c r="K8" i="7"/>
  <c r="I8" i="7"/>
  <c r="BR7" i="7"/>
  <c r="BR6" i="7"/>
  <c r="BT5" i="7"/>
  <c r="BT72" i="7" s="1"/>
  <c r="BS5" i="7"/>
  <c r="BS72" i="7" s="1"/>
  <c r="BR5" i="7"/>
  <c r="BR75" i="7" s="1"/>
  <c r="BQ5" i="7"/>
  <c r="BP5" i="7"/>
  <c r="BP74" i="7" s="1"/>
  <c r="AG5" i="7"/>
  <c r="AG75" i="7" s="1"/>
  <c r="U5" i="7"/>
  <c r="U73" i="7" s="1"/>
  <c r="K5" i="7"/>
  <c r="K76" i="7" s="1"/>
  <c r="I5" i="7"/>
  <c r="I75" i="7" s="1"/>
  <c r="BQ75" i="7" l="1"/>
  <c r="AL73" i="7"/>
  <c r="AZ74" i="7"/>
  <c r="BQ74" i="7"/>
  <c r="BZ74" i="7"/>
  <c r="BS75" i="7"/>
  <c r="T76" i="7"/>
  <c r="BP73" i="7"/>
  <c r="I74" i="7"/>
  <c r="AG74" i="7"/>
  <c r="BR74" i="7"/>
  <c r="K75" i="7"/>
  <c r="BT75" i="7"/>
  <c r="M76" i="7"/>
  <c r="U76" i="7"/>
  <c r="AG76" i="7"/>
  <c r="I71" i="7"/>
  <c r="AG71" i="7"/>
  <c r="BP71" i="7"/>
  <c r="I72" i="7"/>
  <c r="AG72" i="7"/>
  <c r="AZ73" i="7"/>
  <c r="BQ73" i="7"/>
  <c r="BZ73" i="7"/>
  <c r="BS74" i="7"/>
  <c r="T75" i="7"/>
  <c r="AZ76" i="7"/>
  <c r="L5" i="7"/>
  <c r="BQ71" i="7"/>
  <c r="BZ71" i="7"/>
  <c r="BP72" i="7"/>
  <c r="I73" i="7"/>
  <c r="AG73" i="7"/>
  <c r="BR73" i="7"/>
  <c r="K74" i="7"/>
  <c r="BT74" i="7"/>
  <c r="M75" i="7"/>
  <c r="U75" i="7"/>
  <c r="BP76" i="7"/>
  <c r="K71" i="7"/>
  <c r="AZ71" i="7"/>
  <c r="BR71" i="7"/>
  <c r="K72" i="7"/>
  <c r="AZ72" i="7"/>
  <c r="BQ72" i="7"/>
  <c r="BZ72" i="7"/>
  <c r="BS73" i="7"/>
  <c r="T74" i="7"/>
  <c r="AL75" i="7"/>
  <c r="BQ76" i="7"/>
  <c r="T71" i="7"/>
  <c r="BS71" i="7"/>
  <c r="T72" i="7"/>
  <c r="BR72" i="7"/>
  <c r="K73" i="7"/>
  <c r="BT73" i="7"/>
  <c r="M74" i="7"/>
  <c r="U74" i="7"/>
  <c r="BP75" i="7"/>
  <c r="I76" i="7"/>
  <c r="BS76" i="7"/>
  <c r="M71" i="7"/>
  <c r="U71" i="7"/>
  <c r="BT71" i="7"/>
  <c r="M72" i="7"/>
  <c r="U72" i="7"/>
  <c r="AL74" i="7"/>
  <c r="AL76" i="7"/>
  <c r="BT76" i="7"/>
  <c r="AL71" i="7"/>
  <c r="L73" i="7" l="1"/>
  <c r="L72" i="7"/>
  <c r="L71" i="7"/>
  <c r="L74" i="7"/>
  <c r="L75" i="7"/>
  <c r="L76" i="7"/>
  <c r="Z53" i="6" l="1"/>
  <c r="Y53" i="6"/>
  <c r="CL51" i="6"/>
  <c r="CK51" i="6"/>
  <c r="CJ51" i="6"/>
  <c r="CI51" i="6"/>
  <c r="CH51" i="6"/>
  <c r="CG51" i="6"/>
  <c r="CF51" i="6"/>
  <c r="CE51" i="6"/>
  <c r="CD51" i="6"/>
  <c r="CC51" i="6"/>
  <c r="CB51" i="6"/>
  <c r="CA51" i="6"/>
  <c r="BZ51" i="6"/>
  <c r="BY51" i="6"/>
  <c r="BX51" i="6"/>
  <c r="BW51" i="6"/>
  <c r="BV51" i="6"/>
  <c r="BU51" i="6"/>
  <c r="BT51" i="6"/>
  <c r="BS51" i="6"/>
  <c r="BR51" i="6"/>
  <c r="BQ51" i="6"/>
  <c r="BP51" i="6"/>
  <c r="BO51" i="6"/>
  <c r="BN51" i="6"/>
  <c r="BM51" i="6"/>
  <c r="BL51" i="6"/>
  <c r="BK51" i="6"/>
  <c r="BI51" i="6"/>
  <c r="BF51" i="6"/>
  <c r="BE51" i="6"/>
  <c r="BD51" i="6"/>
  <c r="AV51" i="6"/>
  <c r="AV52" i="6" s="1"/>
  <c r="AU51" i="6"/>
  <c r="AU52" i="6" s="1"/>
  <c r="AT51" i="6"/>
  <c r="AS51" i="6"/>
  <c r="AR51" i="6"/>
  <c r="AQ51" i="6"/>
  <c r="AO51" i="6"/>
  <c r="AO52" i="6" s="1"/>
  <c r="AN51" i="6"/>
  <c r="AN52" i="6" s="1"/>
  <c r="AM51" i="6"/>
  <c r="AM52" i="6" s="1"/>
  <c r="AI51" i="6"/>
  <c r="AF51" i="6"/>
  <c r="AE51" i="6"/>
  <c r="AD51" i="6"/>
  <c r="AD52" i="6" s="1"/>
  <c r="AC51" i="6"/>
  <c r="AC52" i="6" s="1"/>
  <c r="AA51" i="6"/>
  <c r="AA52" i="6" s="1"/>
  <c r="Z51" i="6"/>
  <c r="Z52" i="6" s="1"/>
  <c r="X51" i="6"/>
  <c r="W51" i="6"/>
  <c r="U51" i="6"/>
  <c r="U52" i="6" s="1"/>
  <c r="T51" i="6"/>
  <c r="T52" i="6" s="1"/>
  <c r="Q51" i="6"/>
  <c r="Q52" i="6" s="1"/>
  <c r="O51" i="6"/>
  <c r="O52" i="6" s="1"/>
  <c r="N51" i="6"/>
  <c r="N52" i="6" s="1"/>
  <c r="M51" i="6"/>
  <c r="M52" i="6" s="1"/>
  <c r="K51" i="6"/>
  <c r="K52" i="6" s="1"/>
  <c r="J51" i="6"/>
  <c r="J52" i="6" s="1"/>
  <c r="CL50" i="6"/>
  <c r="CK50" i="6"/>
  <c r="CJ50" i="6"/>
  <c r="CI50" i="6"/>
  <c r="CH50" i="6"/>
  <c r="CG50" i="6"/>
  <c r="CF50" i="6"/>
  <c r="CE50" i="6"/>
  <c r="CD50" i="6"/>
  <c r="CC50" i="6"/>
  <c r="CB50" i="6"/>
  <c r="CA50" i="6"/>
  <c r="BZ50" i="6"/>
  <c r="BY50" i="6"/>
  <c r="BX50" i="6"/>
  <c r="BW50" i="6"/>
  <c r="BV50" i="6"/>
  <c r="BU50" i="6"/>
  <c r="BT50" i="6"/>
  <c r="BS50" i="6"/>
  <c r="BR50" i="6"/>
  <c r="BQ50" i="6"/>
  <c r="BP50" i="6"/>
  <c r="BO50" i="6"/>
  <c r="BN50" i="6"/>
  <c r="BM50" i="6"/>
  <c r="BL50" i="6"/>
  <c r="BK50" i="6"/>
  <c r="BI50" i="6"/>
  <c r="BF50" i="6"/>
  <c r="BE50" i="6"/>
  <c r="BD50" i="6"/>
  <c r="AV50" i="6"/>
  <c r="AU50" i="6"/>
  <c r="AT50" i="6"/>
  <c r="AS50" i="6"/>
  <c r="AR50" i="6"/>
  <c r="AQ50" i="6"/>
  <c r="AO50" i="6"/>
  <c r="AN50" i="6"/>
  <c r="AM50" i="6"/>
  <c r="AI50" i="6"/>
  <c r="AF50" i="6"/>
  <c r="AE50" i="6"/>
  <c r="AD50" i="6"/>
  <c r="AC50" i="6"/>
  <c r="AA50" i="6"/>
  <c r="Z50" i="6"/>
  <c r="X50" i="6"/>
  <c r="W50" i="6"/>
  <c r="U50" i="6"/>
  <c r="T50" i="6"/>
  <c r="Q50" i="6"/>
  <c r="O50" i="6"/>
  <c r="N50" i="6"/>
  <c r="M50" i="6"/>
  <c r="K50" i="6"/>
  <c r="J50" i="6"/>
  <c r="CL49" i="6"/>
  <c r="CK49" i="6"/>
  <c r="CJ49" i="6"/>
  <c r="CI49" i="6"/>
  <c r="CH49" i="6"/>
  <c r="CG49" i="6"/>
  <c r="CF49" i="6"/>
  <c r="CE49" i="6"/>
  <c r="CD49" i="6"/>
  <c r="CC49" i="6"/>
  <c r="CB49" i="6"/>
  <c r="CA49" i="6"/>
  <c r="BZ49" i="6"/>
  <c r="BY49" i="6"/>
  <c r="BX49" i="6"/>
  <c r="BW49" i="6"/>
  <c r="BV49" i="6"/>
  <c r="BU49" i="6"/>
  <c r="BT49" i="6"/>
  <c r="BS49" i="6"/>
  <c r="BR49" i="6"/>
  <c r="BQ49" i="6"/>
  <c r="BP49" i="6"/>
  <c r="BO49" i="6"/>
  <c r="BN49" i="6"/>
  <c r="BM49" i="6"/>
  <c r="BL49" i="6"/>
  <c r="BK49" i="6"/>
  <c r="BI49" i="6"/>
  <c r="BF49" i="6"/>
  <c r="BE49" i="6"/>
  <c r="BD49" i="6"/>
  <c r="AV49" i="6"/>
  <c r="AU49" i="6"/>
  <c r="AT49" i="6"/>
  <c r="AS49" i="6"/>
  <c r="AR49" i="6"/>
  <c r="AQ49" i="6"/>
  <c r="AO49" i="6"/>
  <c r="AN49" i="6"/>
  <c r="AM49" i="6"/>
  <c r="AI49" i="6"/>
  <c r="AF49" i="6"/>
  <c r="AE49" i="6"/>
  <c r="AD49" i="6"/>
  <c r="AC49" i="6"/>
  <c r="AA49" i="6"/>
  <c r="Z49" i="6"/>
  <c r="X49" i="6"/>
  <c r="W49" i="6"/>
  <c r="U49" i="6"/>
  <c r="T49" i="6"/>
  <c r="Q49" i="6"/>
  <c r="O49" i="6"/>
  <c r="N49" i="6"/>
  <c r="M49" i="6"/>
  <c r="K49" i="6"/>
  <c r="J49" i="6"/>
  <c r="CL48" i="6"/>
  <c r="CK48" i="6"/>
  <c r="CJ48" i="6"/>
  <c r="CI48" i="6"/>
  <c r="CH48" i="6"/>
  <c r="CG48" i="6"/>
  <c r="CF48" i="6"/>
  <c r="CE48" i="6"/>
  <c r="CD48" i="6"/>
  <c r="CC48" i="6"/>
  <c r="CB48" i="6"/>
  <c r="CA48" i="6"/>
  <c r="BZ48" i="6"/>
  <c r="BY48" i="6"/>
  <c r="BX48" i="6"/>
  <c r="BW48" i="6"/>
  <c r="BV48" i="6"/>
  <c r="BU48" i="6"/>
  <c r="BT48" i="6"/>
  <c r="BS48" i="6"/>
  <c r="BR48" i="6"/>
  <c r="BQ48" i="6"/>
  <c r="BP48" i="6"/>
  <c r="BO48" i="6"/>
  <c r="BN48" i="6"/>
  <c r="BM48" i="6"/>
  <c r="BL48" i="6"/>
  <c r="BK48" i="6"/>
  <c r="BI48" i="6"/>
  <c r="BF48" i="6"/>
  <c r="BE48" i="6"/>
  <c r="BD48" i="6"/>
  <c r="AV48" i="6"/>
  <c r="AU48" i="6"/>
  <c r="AT48" i="6"/>
  <c r="AS48" i="6"/>
  <c r="AR48" i="6"/>
  <c r="AQ48" i="6"/>
  <c r="AO48" i="6"/>
  <c r="AN48" i="6"/>
  <c r="AM48" i="6"/>
  <c r="AI48" i="6"/>
  <c r="AF48" i="6"/>
  <c r="AE48" i="6"/>
  <c r="AD48" i="6"/>
  <c r="AC48" i="6"/>
  <c r="AA48" i="6"/>
  <c r="Z48" i="6"/>
  <c r="X48" i="6"/>
  <c r="W48" i="6"/>
  <c r="U48" i="6"/>
  <c r="T48" i="6"/>
  <c r="Q48" i="6"/>
  <c r="O48" i="6"/>
  <c r="N48" i="6"/>
  <c r="M48" i="6"/>
  <c r="K48" i="6"/>
  <c r="J48" i="6"/>
  <c r="CL47" i="6"/>
  <c r="CK47" i="6"/>
  <c r="CJ47" i="6"/>
  <c r="CI47" i="6"/>
  <c r="CH47" i="6"/>
  <c r="CG47" i="6"/>
  <c r="CF47" i="6"/>
  <c r="CE47" i="6"/>
  <c r="CD47" i="6"/>
  <c r="CC47" i="6"/>
  <c r="CB47" i="6"/>
  <c r="CA47" i="6"/>
  <c r="BZ47" i="6"/>
  <c r="BY47" i="6"/>
  <c r="BX47" i="6"/>
  <c r="BW47" i="6"/>
  <c r="BV47" i="6"/>
  <c r="BU47" i="6"/>
  <c r="BT47" i="6"/>
  <c r="BS47" i="6"/>
  <c r="BR47" i="6"/>
  <c r="BQ47" i="6"/>
  <c r="BP47" i="6"/>
  <c r="BO47" i="6"/>
  <c r="BN47" i="6"/>
  <c r="BM47" i="6"/>
  <c r="BL47" i="6"/>
  <c r="BK47" i="6"/>
  <c r="BI47" i="6"/>
  <c r="BF47" i="6"/>
  <c r="BE47" i="6"/>
  <c r="BD47" i="6"/>
  <c r="AV47" i="6"/>
  <c r="AU47" i="6"/>
  <c r="AS47" i="6"/>
  <c r="AR47" i="6"/>
  <c r="AQ47" i="6"/>
  <c r="AO47" i="6"/>
  <c r="AN47" i="6"/>
  <c r="AI47" i="6"/>
  <c r="AF47" i="6"/>
  <c r="AE47" i="6"/>
  <c r="AD47" i="6"/>
  <c r="AC47" i="6"/>
  <c r="AA47" i="6"/>
  <c r="Z47" i="6"/>
  <c r="X47" i="6"/>
  <c r="W47" i="6"/>
  <c r="U47" i="6"/>
  <c r="T47" i="6"/>
  <c r="S47" i="6"/>
  <c r="Q47" i="6"/>
  <c r="O47" i="6"/>
  <c r="N47" i="6"/>
  <c r="M47" i="6"/>
  <c r="K47" i="6"/>
  <c r="J47" i="6"/>
  <c r="P44" i="6"/>
  <c r="AH44" i="6" s="1"/>
  <c r="I44" i="6"/>
  <c r="AZ43" i="6"/>
  <c r="AZ42" i="6"/>
  <c r="BB41" i="6"/>
  <c r="BA41" i="6"/>
  <c r="AX41" i="6"/>
  <c r="AY41" i="6" s="1"/>
  <c r="AH41" i="6"/>
  <c r="I41" i="6"/>
  <c r="AZ39" i="6"/>
  <c r="BB38" i="6"/>
  <c r="AZ38" i="6"/>
  <c r="AX38" i="6"/>
  <c r="AK38" i="6"/>
  <c r="BA38" i="6" s="1"/>
  <c r="AJ38" i="6"/>
  <c r="AY38" i="6" s="1"/>
  <c r="V38" i="6"/>
  <c r="P38" i="6"/>
  <c r="AH38" i="6" s="1"/>
  <c r="L38" i="6"/>
  <c r="I38" i="6"/>
  <c r="AZ37" i="6"/>
  <c r="AZ36" i="6"/>
  <c r="BB35" i="6"/>
  <c r="BA35" i="6"/>
  <c r="AZ35" i="6"/>
  <c r="AY35" i="6"/>
  <c r="AG35" i="6"/>
  <c r="AH35" i="6" s="1"/>
  <c r="V35" i="6"/>
  <c r="P35" i="6"/>
  <c r="L35" i="6"/>
  <c r="I35" i="6"/>
  <c r="AZ34" i="6"/>
  <c r="AZ33" i="6"/>
  <c r="BC32" i="6"/>
  <c r="BB32" i="6"/>
  <c r="AZ32" i="6"/>
  <c r="AK32" i="6"/>
  <c r="BA32" i="6" s="1"/>
  <c r="AJ32" i="6"/>
  <c r="AY32" i="6" s="1"/>
  <c r="AG32" i="6"/>
  <c r="AH32" i="6" s="1"/>
  <c r="V32" i="6"/>
  <c r="P32" i="6"/>
  <c r="L32" i="6"/>
  <c r="I32" i="6"/>
  <c r="AZ31" i="6"/>
  <c r="AZ30" i="6"/>
  <c r="BC29" i="6"/>
  <c r="BB29" i="6"/>
  <c r="BA29" i="6"/>
  <c r="AZ29" i="6"/>
  <c r="AX29" i="6"/>
  <c r="AY29" i="6" s="1"/>
  <c r="AJ29" i="6"/>
  <c r="AZ28" i="6"/>
  <c r="AP28" i="6"/>
  <c r="AP27" i="6"/>
  <c r="AZ27" i="6" s="1"/>
  <c r="AP26" i="6"/>
  <c r="AP48" i="6" s="1"/>
  <c r="AL26" i="6"/>
  <c r="AL49" i="6" s="1"/>
  <c r="AK26" i="6"/>
  <c r="BA26" i="6" s="1"/>
  <c r="AJ26" i="6"/>
  <c r="AY26" i="6" s="1"/>
  <c r="AG26" i="6"/>
  <c r="AG51" i="6" s="1"/>
  <c r="AG52" i="6" s="1"/>
  <c r="AB26" i="6"/>
  <c r="AB50" i="6" s="1"/>
  <c r="V26" i="6"/>
  <c r="P26" i="6"/>
  <c r="P48" i="6" s="1"/>
  <c r="L26" i="6"/>
  <c r="I26" i="6"/>
  <c r="AZ25" i="6"/>
  <c r="AZ24" i="6"/>
  <c r="AG24" i="6"/>
  <c r="AG53" i="6" s="1"/>
  <c r="BC23" i="6"/>
  <c r="BB23" i="6"/>
  <c r="BA23" i="6"/>
  <c r="AZ23" i="6"/>
  <c r="AY23" i="6"/>
  <c r="AH23" i="6"/>
  <c r="Y23" i="6"/>
  <c r="Y51" i="6" s="1"/>
  <c r="Y52" i="6" s="1"/>
  <c r="V23" i="6"/>
  <c r="R23" i="6"/>
  <c r="R47" i="6" s="1"/>
  <c r="L23" i="6"/>
  <c r="I23" i="6"/>
  <c r="AZ22" i="6"/>
  <c r="AZ21" i="6"/>
  <c r="BC20" i="6"/>
  <c r="BB20" i="6"/>
  <c r="BA20" i="6"/>
  <c r="AZ20" i="6"/>
  <c r="AY20" i="6"/>
  <c r="AH20" i="6"/>
  <c r="V20" i="6"/>
  <c r="V49" i="6" s="1"/>
  <c r="L20" i="6"/>
  <c r="L49" i="6" s="1"/>
  <c r="I20" i="6"/>
  <c r="I50" i="6" s="1"/>
  <c r="AZ19" i="6"/>
  <c r="AZ18" i="6"/>
  <c r="BC17" i="6"/>
  <c r="AZ17" i="6"/>
  <c r="AY17" i="6"/>
  <c r="AZ16" i="6"/>
  <c r="AZ15" i="6"/>
  <c r="BC14" i="6"/>
  <c r="BB14" i="6"/>
  <c r="AZ14" i="6"/>
  <c r="AK14" i="6"/>
  <c r="BA14" i="6" s="1"/>
  <c r="AJ14" i="6"/>
  <c r="AY14" i="6" s="1"/>
  <c r="AZ13" i="6"/>
  <c r="AZ12" i="6"/>
  <c r="BC11" i="6"/>
  <c r="BB11" i="6"/>
  <c r="AZ11" i="6"/>
  <c r="AX11" i="6"/>
  <c r="AY11" i="6" s="1"/>
  <c r="AK11" i="6"/>
  <c r="AK49" i="6" s="1"/>
  <c r="AJ11" i="6"/>
  <c r="AJ50" i="6" s="1"/>
  <c r="AZ10" i="6"/>
  <c r="AZ9" i="6"/>
  <c r="BC8" i="6"/>
  <c r="BB8" i="6"/>
  <c r="BA8" i="6"/>
  <c r="AZ8" i="6"/>
  <c r="AY8" i="6"/>
  <c r="AX8" i="6"/>
  <c r="AZ7" i="6"/>
  <c r="AZ6" i="6"/>
  <c r="BC5" i="6"/>
  <c r="BC47" i="6" s="1"/>
  <c r="BB5" i="6"/>
  <c r="BA5" i="6"/>
  <c r="AZ5" i="6"/>
  <c r="AY5" i="6"/>
  <c r="AX5" i="6"/>
  <c r="BL61" i="5"/>
  <c r="AX61" i="5"/>
  <c r="AU61" i="5"/>
  <c r="T61" i="5"/>
  <c r="K61" i="5"/>
  <c r="CW60" i="5"/>
  <c r="CV60" i="5"/>
  <c r="CU60" i="5"/>
  <c r="CT60" i="5"/>
  <c r="CS60" i="5"/>
  <c r="CR60" i="5"/>
  <c r="CQ60" i="5"/>
  <c r="CP60" i="5"/>
  <c r="CO60" i="5"/>
  <c r="CN60" i="5"/>
  <c r="CM60" i="5"/>
  <c r="CL60" i="5"/>
  <c r="CK60" i="5"/>
  <c r="CJ60" i="5"/>
  <c r="CI60" i="5"/>
  <c r="CH60" i="5"/>
  <c r="CG60" i="5"/>
  <c r="CF60" i="5"/>
  <c r="CE60" i="5"/>
  <c r="CD60" i="5"/>
  <c r="CC60" i="5"/>
  <c r="CB60" i="5"/>
  <c r="BZ60" i="5"/>
  <c r="BW60" i="5"/>
  <c r="BV60" i="5"/>
  <c r="BU60" i="5"/>
  <c r="BM60" i="5"/>
  <c r="BM61" i="5" s="1"/>
  <c r="BL60" i="5"/>
  <c r="BK60" i="5"/>
  <c r="BJ60" i="5"/>
  <c r="BI60" i="5"/>
  <c r="BH60" i="5"/>
  <c r="BF60" i="5"/>
  <c r="BF61" i="5" s="1"/>
  <c r="BE60" i="5"/>
  <c r="BE61" i="5" s="1"/>
  <c r="AZ60" i="5"/>
  <c r="AX60" i="5"/>
  <c r="AW60" i="5"/>
  <c r="AV60" i="5"/>
  <c r="AU60" i="5"/>
  <c r="AT60" i="5"/>
  <c r="AT61" i="5" s="1"/>
  <c r="AN60" i="5"/>
  <c r="AM60" i="5"/>
  <c r="AL60" i="5"/>
  <c r="AL61" i="5" s="1"/>
  <c r="AK60" i="5"/>
  <c r="AK61" i="5" s="1"/>
  <c r="AJ60" i="5"/>
  <c r="AJ61" i="5" s="1"/>
  <c r="AI60" i="5"/>
  <c r="AI61" i="5" s="1"/>
  <c r="AE60" i="5"/>
  <c r="AD60" i="5"/>
  <c r="AC60" i="5"/>
  <c r="AC61" i="5" s="1"/>
  <c r="AB60" i="5"/>
  <c r="AB61" i="5" s="1"/>
  <c r="AA60" i="5"/>
  <c r="AA61" i="5" s="1"/>
  <c r="Y60" i="5"/>
  <c r="Y61" i="5" s="1"/>
  <c r="X60" i="5"/>
  <c r="X61" i="5" s="1"/>
  <c r="W60" i="5"/>
  <c r="V60" i="5"/>
  <c r="T60" i="5"/>
  <c r="R60" i="5"/>
  <c r="R61" i="5" s="1"/>
  <c r="P60" i="5"/>
  <c r="P61" i="5" s="1"/>
  <c r="O60" i="5"/>
  <c r="O61" i="5" s="1"/>
  <c r="N60" i="5"/>
  <c r="N61" i="5" s="1"/>
  <c r="K60" i="5"/>
  <c r="J60" i="5"/>
  <c r="J61" i="5" s="1"/>
  <c r="CW59" i="5"/>
  <c r="CV59" i="5"/>
  <c r="CU59" i="5"/>
  <c r="CT59" i="5"/>
  <c r="CS59" i="5"/>
  <c r="CR59" i="5"/>
  <c r="CQ59" i="5"/>
  <c r="CP59" i="5"/>
  <c r="CO59" i="5"/>
  <c r="CN59" i="5"/>
  <c r="CM59" i="5"/>
  <c r="CL59" i="5"/>
  <c r="CK59" i="5"/>
  <c r="CJ59" i="5"/>
  <c r="CI59" i="5"/>
  <c r="CH59" i="5"/>
  <c r="CG59" i="5"/>
  <c r="CF59" i="5"/>
  <c r="CE59" i="5"/>
  <c r="CD59" i="5"/>
  <c r="CC59" i="5"/>
  <c r="CB59" i="5"/>
  <c r="BZ59" i="5"/>
  <c r="BW59" i="5"/>
  <c r="BV59" i="5"/>
  <c r="BU59" i="5"/>
  <c r="BM59" i="5"/>
  <c r="BL59" i="5"/>
  <c r="BK59" i="5"/>
  <c r="BJ59" i="5"/>
  <c r="BI59" i="5"/>
  <c r="BH59" i="5"/>
  <c r="BF59" i="5"/>
  <c r="BE59" i="5"/>
  <c r="AZ59" i="5"/>
  <c r="AX59" i="5"/>
  <c r="AW59" i="5"/>
  <c r="AV59" i="5"/>
  <c r="AU59" i="5"/>
  <c r="AT59" i="5"/>
  <c r="AN59" i="5"/>
  <c r="AM59" i="5"/>
  <c r="AL59" i="5"/>
  <c r="AK59" i="5"/>
  <c r="AJ59" i="5"/>
  <c r="AI59" i="5"/>
  <c r="AE59" i="5"/>
  <c r="AD59" i="5"/>
  <c r="AC59" i="5"/>
  <c r="AB59" i="5"/>
  <c r="AA59" i="5"/>
  <c r="Y59" i="5"/>
  <c r="X59" i="5"/>
  <c r="W59" i="5"/>
  <c r="V59" i="5"/>
  <c r="T59" i="5"/>
  <c r="R59" i="5"/>
  <c r="P59" i="5"/>
  <c r="O59" i="5"/>
  <c r="N59" i="5"/>
  <c r="K59" i="5"/>
  <c r="J59" i="5"/>
  <c r="CW58" i="5"/>
  <c r="CV58" i="5"/>
  <c r="CU58" i="5"/>
  <c r="CT58" i="5"/>
  <c r="CS58" i="5"/>
  <c r="CR58" i="5"/>
  <c r="CQ58" i="5"/>
  <c r="CP58" i="5"/>
  <c r="CO58" i="5"/>
  <c r="CN58" i="5"/>
  <c r="CM58" i="5"/>
  <c r="CL58" i="5"/>
  <c r="CK58" i="5"/>
  <c r="CJ58" i="5"/>
  <c r="CI58" i="5"/>
  <c r="CH58" i="5"/>
  <c r="CG58" i="5"/>
  <c r="CF58" i="5"/>
  <c r="CE58" i="5"/>
  <c r="CD58" i="5"/>
  <c r="CC58" i="5"/>
  <c r="CB58" i="5"/>
  <c r="BZ58" i="5"/>
  <c r="BW58" i="5"/>
  <c r="BV58" i="5"/>
  <c r="BU58" i="5"/>
  <c r="BM58" i="5"/>
  <c r="BL58" i="5"/>
  <c r="BK58" i="5"/>
  <c r="BJ58" i="5"/>
  <c r="BI58" i="5"/>
  <c r="BH58" i="5"/>
  <c r="BF58" i="5"/>
  <c r="BE58" i="5"/>
  <c r="AZ58" i="5"/>
  <c r="AX58" i="5"/>
  <c r="AW58" i="5"/>
  <c r="AV58" i="5"/>
  <c r="AU58" i="5"/>
  <c r="AT58" i="5"/>
  <c r="AN58" i="5"/>
  <c r="AM58" i="5"/>
  <c r="AL58" i="5"/>
  <c r="AK58" i="5"/>
  <c r="AJ58" i="5"/>
  <c r="AI58" i="5"/>
  <c r="AE58" i="5"/>
  <c r="AD58" i="5"/>
  <c r="AC58" i="5"/>
  <c r="AB58" i="5"/>
  <c r="AA58" i="5"/>
  <c r="Y58" i="5"/>
  <c r="X58" i="5"/>
  <c r="W58" i="5"/>
  <c r="V58" i="5"/>
  <c r="T58" i="5"/>
  <c r="R58" i="5"/>
  <c r="P58" i="5"/>
  <c r="O58" i="5"/>
  <c r="N58" i="5"/>
  <c r="K58" i="5"/>
  <c r="J58" i="5"/>
  <c r="CW57" i="5"/>
  <c r="CV57" i="5"/>
  <c r="CU57" i="5"/>
  <c r="CT57" i="5"/>
  <c r="CS57" i="5"/>
  <c r="CR57" i="5"/>
  <c r="CQ57" i="5"/>
  <c r="CP57" i="5"/>
  <c r="CO57" i="5"/>
  <c r="CN57" i="5"/>
  <c r="CM57" i="5"/>
  <c r="CL57" i="5"/>
  <c r="CK57" i="5"/>
  <c r="CJ57" i="5"/>
  <c r="CI57" i="5"/>
  <c r="CH57" i="5"/>
  <c r="CG57" i="5"/>
  <c r="CF57" i="5"/>
  <c r="CE57" i="5"/>
  <c r="CD57" i="5"/>
  <c r="CC57" i="5"/>
  <c r="CB57" i="5"/>
  <c r="BZ57" i="5"/>
  <c r="BW57" i="5"/>
  <c r="BV57" i="5"/>
  <c r="BU57" i="5"/>
  <c r="BM57" i="5"/>
  <c r="BL57" i="5"/>
  <c r="BK57" i="5"/>
  <c r="BJ57" i="5"/>
  <c r="BI57" i="5"/>
  <c r="BH57" i="5"/>
  <c r="BF57" i="5"/>
  <c r="BE57" i="5"/>
  <c r="AZ57" i="5"/>
  <c r="AX57" i="5"/>
  <c r="AW57" i="5"/>
  <c r="AV57" i="5"/>
  <c r="AU57" i="5"/>
  <c r="AT57" i="5"/>
  <c r="AN57" i="5"/>
  <c r="AM57" i="5"/>
  <c r="AL57" i="5"/>
  <c r="AK57" i="5"/>
  <c r="AJ57" i="5"/>
  <c r="AI57" i="5"/>
  <c r="AF57" i="5"/>
  <c r="AE57" i="5"/>
  <c r="AD57" i="5"/>
  <c r="AC57" i="5"/>
  <c r="AB57" i="5"/>
  <c r="AA57" i="5"/>
  <c r="Y57" i="5"/>
  <c r="X57" i="5"/>
  <c r="W57" i="5"/>
  <c r="V57" i="5"/>
  <c r="T57" i="5"/>
  <c r="R57" i="5"/>
  <c r="P57" i="5"/>
  <c r="O57" i="5"/>
  <c r="N57" i="5"/>
  <c r="K57" i="5"/>
  <c r="J57" i="5"/>
  <c r="CW56" i="5"/>
  <c r="CV56" i="5"/>
  <c r="CU56" i="5"/>
  <c r="CT56" i="5"/>
  <c r="CS56" i="5"/>
  <c r="CR56" i="5"/>
  <c r="CQ56" i="5"/>
  <c r="CP56" i="5"/>
  <c r="CO56" i="5"/>
  <c r="CN56" i="5"/>
  <c r="CM56" i="5"/>
  <c r="CL56" i="5"/>
  <c r="CK56" i="5"/>
  <c r="CJ56" i="5"/>
  <c r="CI56" i="5"/>
  <c r="CH56" i="5"/>
  <c r="CG56" i="5"/>
  <c r="CF56" i="5"/>
  <c r="CE56" i="5"/>
  <c r="CD56" i="5"/>
  <c r="CC56" i="5"/>
  <c r="CB56" i="5"/>
  <c r="BZ56" i="5"/>
  <c r="BW56" i="5"/>
  <c r="BV56" i="5"/>
  <c r="BU56" i="5"/>
  <c r="BM56" i="5"/>
  <c r="BK56" i="5"/>
  <c r="BJ56" i="5"/>
  <c r="BI56" i="5"/>
  <c r="BH56" i="5"/>
  <c r="BF56" i="5"/>
  <c r="BE56" i="5"/>
  <c r="BD56" i="5"/>
  <c r="BC56" i="5"/>
  <c r="AZ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I56" i="5"/>
  <c r="AF56" i="5"/>
  <c r="AE56" i="5"/>
  <c r="AD56" i="5"/>
  <c r="AC56" i="5"/>
  <c r="AB56" i="5"/>
  <c r="AA56" i="5"/>
  <c r="Z56" i="5"/>
  <c r="Y56" i="5"/>
  <c r="X56" i="5"/>
  <c r="W56" i="5"/>
  <c r="V56" i="5"/>
  <c r="T56" i="5"/>
  <c r="R56" i="5"/>
  <c r="P56" i="5"/>
  <c r="O56" i="5"/>
  <c r="N56" i="5"/>
  <c r="K56" i="5"/>
  <c r="J56" i="5"/>
  <c r="BS53" i="5"/>
  <c r="BR53" i="5"/>
  <c r="BQ53" i="5"/>
  <c r="BO53" i="5"/>
  <c r="BD53" i="5"/>
  <c r="BD58" i="5" s="1"/>
  <c r="BA53" i="5"/>
  <c r="BP53" i="5" s="1"/>
  <c r="AG53" i="5"/>
  <c r="S53" i="5"/>
  <c r="S58" i="5" s="1"/>
  <c r="L53" i="5"/>
  <c r="I53" i="5"/>
  <c r="BQ52" i="5"/>
  <c r="BQ51" i="5"/>
  <c r="BS50" i="5"/>
  <c r="BQ50" i="5"/>
  <c r="BO50" i="5"/>
  <c r="BP50" i="5" s="1"/>
  <c r="BB50" i="5"/>
  <c r="BR50" i="5" s="1"/>
  <c r="BA50" i="5"/>
  <c r="AG50" i="5"/>
  <c r="L50" i="5"/>
  <c r="I50" i="5"/>
  <c r="BT47" i="5"/>
  <c r="BS47" i="5"/>
  <c r="BR47" i="5"/>
  <c r="BQ47" i="5"/>
  <c r="BO47" i="5"/>
  <c r="BB47" i="5"/>
  <c r="BA47" i="5"/>
  <c r="BP47" i="5" s="1"/>
  <c r="BQ46" i="5"/>
  <c r="BQ45" i="5"/>
  <c r="BS44" i="5"/>
  <c r="BQ44" i="5"/>
  <c r="BO44" i="5"/>
  <c r="BP44" i="5" s="1"/>
  <c r="BB44" i="5"/>
  <c r="BR44" i="5" s="1"/>
  <c r="BA44" i="5"/>
  <c r="BQ43" i="5"/>
  <c r="BQ42" i="5"/>
  <c r="BT41" i="5"/>
  <c r="BS41" i="5"/>
  <c r="BR41" i="5"/>
  <c r="BQ41" i="5"/>
  <c r="BO41" i="5"/>
  <c r="BB41" i="5"/>
  <c r="BA41" i="5"/>
  <c r="AY41" i="5"/>
  <c r="AH41" i="5"/>
  <c r="AH58" i="5" s="1"/>
  <c r="U41" i="5"/>
  <c r="Q41" i="5"/>
  <c r="AG41" i="5" s="1"/>
  <c r="M41" i="5"/>
  <c r="L41" i="5"/>
  <c r="I41" i="5"/>
  <c r="BQ40" i="5"/>
  <c r="BQ39" i="5"/>
  <c r="BS38" i="5"/>
  <c r="BQ38" i="5"/>
  <c r="BO38" i="5"/>
  <c r="BB38" i="5"/>
  <c r="BR38" i="5" s="1"/>
  <c r="BA38" i="5"/>
  <c r="BP38" i="5" s="1"/>
  <c r="AF38" i="5"/>
  <c r="AF59" i="5" s="1"/>
  <c r="U38" i="5"/>
  <c r="Q38" i="5"/>
  <c r="AG38" i="5" s="1"/>
  <c r="M38" i="5"/>
  <c r="L38" i="5"/>
  <c r="I38" i="5"/>
  <c r="BQ37" i="5"/>
  <c r="BQ36" i="5"/>
  <c r="BT35" i="5"/>
  <c r="BT56" i="5" s="1"/>
  <c r="BS35" i="5"/>
  <c r="BR35" i="5"/>
  <c r="BQ35" i="5"/>
  <c r="BB35" i="5"/>
  <c r="BA35" i="5"/>
  <c r="BQ34" i="5"/>
  <c r="BQ33" i="5"/>
  <c r="BS32" i="5"/>
  <c r="BQ32" i="5"/>
  <c r="BO32" i="5"/>
  <c r="BB32" i="5"/>
  <c r="BR32" i="5" s="1"/>
  <c r="BA32" i="5"/>
  <c r="BP32" i="5" s="1"/>
  <c r="BQ31" i="5"/>
  <c r="BQ30" i="5"/>
  <c r="BS29" i="5"/>
  <c r="BQ29" i="5"/>
  <c r="BO29" i="5"/>
  <c r="BB29" i="5"/>
  <c r="BR29" i="5" s="1"/>
  <c r="BA29" i="5"/>
  <c r="BP29" i="5" s="1"/>
  <c r="BG28" i="5"/>
  <c r="BG60" i="5" s="1"/>
  <c r="BQ27" i="5"/>
  <c r="BS26" i="5"/>
  <c r="BQ26" i="5"/>
  <c r="BP26" i="5"/>
  <c r="BO26" i="5"/>
  <c r="BC26" i="5"/>
  <c r="BC58" i="5" s="1"/>
  <c r="BB26" i="5"/>
  <c r="BB59" i="5" s="1"/>
  <c r="BA26" i="5"/>
  <c r="BQ25" i="5"/>
  <c r="BQ24" i="5"/>
  <c r="BS23" i="5"/>
  <c r="BR23" i="5"/>
  <c r="BQ23" i="5"/>
  <c r="BO23" i="5"/>
  <c r="BP23" i="5" s="1"/>
  <c r="BQ22" i="5"/>
  <c r="BQ21" i="5"/>
  <c r="BS20" i="5"/>
  <c r="BR20" i="5"/>
  <c r="BQ20" i="5"/>
  <c r="BP20" i="5"/>
  <c r="BO20" i="5"/>
  <c r="BA20" i="5"/>
  <c r="AG20" i="5"/>
  <c r="U20" i="5"/>
  <c r="M20" i="5"/>
  <c r="L20" i="5"/>
  <c r="I20" i="5"/>
  <c r="BQ19" i="5"/>
  <c r="BQ18" i="5"/>
  <c r="BS17" i="5"/>
  <c r="BR17" i="5"/>
  <c r="BQ17" i="5"/>
  <c r="BO17" i="5"/>
  <c r="BA17" i="5"/>
  <c r="BA59" i="5" s="1"/>
  <c r="AG17" i="5"/>
  <c r="U17" i="5"/>
  <c r="M17" i="5"/>
  <c r="L17" i="5"/>
  <c r="I17" i="5"/>
  <c r="BQ16" i="5"/>
  <c r="BQ15" i="5"/>
  <c r="BS14" i="5"/>
  <c r="BR14" i="5"/>
  <c r="BQ14" i="5"/>
  <c r="BO14" i="5"/>
  <c r="BP14" i="5" s="1"/>
  <c r="AY14" i="5"/>
  <c r="AG14" i="5"/>
  <c r="M14" i="5"/>
  <c r="L14" i="5"/>
  <c r="I14" i="5"/>
  <c r="BQ13" i="5"/>
  <c r="BQ12" i="5"/>
  <c r="BS11" i="5"/>
  <c r="BR11" i="5"/>
  <c r="BQ11" i="5"/>
  <c r="BO11" i="5"/>
  <c r="BP11" i="5" s="1"/>
  <c r="AY11" i="5"/>
  <c r="AY60" i="5" s="1"/>
  <c r="AY61" i="5" s="1"/>
  <c r="AG11" i="5"/>
  <c r="U11" i="5"/>
  <c r="M11" i="5"/>
  <c r="L11" i="5"/>
  <c r="I11" i="5"/>
  <c r="BQ10" i="5"/>
  <c r="BQ9" i="5"/>
  <c r="BS8" i="5"/>
  <c r="BR8" i="5"/>
  <c r="BQ8" i="5"/>
  <c r="BP8" i="5"/>
  <c r="BO8" i="5"/>
  <c r="AG8" i="5"/>
  <c r="U8" i="5"/>
  <c r="U60" i="5" s="1"/>
  <c r="U61" i="5" s="1"/>
  <c r="M8" i="5"/>
  <c r="L8" i="5"/>
  <c r="I8" i="5"/>
  <c r="BQ6" i="5"/>
  <c r="BS5" i="5"/>
  <c r="BS59" i="5" s="1"/>
  <c r="BR5" i="5"/>
  <c r="BQ5" i="5"/>
  <c r="BO5" i="5"/>
  <c r="BO60" i="5" s="1"/>
  <c r="BO61" i="5" s="1"/>
  <c r="AG5" i="5"/>
  <c r="AG59" i="5" s="1"/>
  <c r="M5" i="5"/>
  <c r="M60" i="5" s="1"/>
  <c r="M61" i="5" s="1"/>
  <c r="L5" i="5"/>
  <c r="L60" i="5" s="1"/>
  <c r="L61" i="5" s="1"/>
  <c r="I5" i="5"/>
  <c r="I58" i="5" s="1"/>
  <c r="AY51" i="6" l="1"/>
  <c r="AY52" i="6" s="1"/>
  <c r="L47" i="6"/>
  <c r="AB47" i="6"/>
  <c r="AJ47" i="6"/>
  <c r="I48" i="6"/>
  <c r="AK50" i="6"/>
  <c r="BC50" i="6"/>
  <c r="P51" i="6"/>
  <c r="P52" i="6" s="1"/>
  <c r="AP51" i="6"/>
  <c r="AZ51" i="6"/>
  <c r="BA11" i="6"/>
  <c r="BA48" i="6" s="1"/>
  <c r="AK47" i="6"/>
  <c r="AB48" i="6"/>
  <c r="AJ48" i="6"/>
  <c r="Y49" i="6"/>
  <c r="AG49" i="6"/>
  <c r="AY49" i="6"/>
  <c r="L50" i="6"/>
  <c r="V50" i="6"/>
  <c r="AL50" i="6"/>
  <c r="I51" i="6"/>
  <c r="I52" i="6" s="1"/>
  <c r="AZ26" i="6"/>
  <c r="AZ48" i="6" s="1"/>
  <c r="V47" i="6"/>
  <c r="AL47" i="6"/>
  <c r="AK48" i="6"/>
  <c r="BC48" i="6"/>
  <c r="P49" i="6"/>
  <c r="AP49" i="6"/>
  <c r="AZ49" i="6"/>
  <c r="AB51" i="6"/>
  <c r="AB52" i="6" s="1"/>
  <c r="AJ51" i="6"/>
  <c r="AJ52" i="6" s="1"/>
  <c r="BB51" i="6"/>
  <c r="BB52" i="6" s="1"/>
  <c r="AH24" i="6"/>
  <c r="AH53" i="6" s="1"/>
  <c r="AY47" i="6"/>
  <c r="L48" i="6"/>
  <c r="V48" i="6"/>
  <c r="AL48" i="6"/>
  <c r="I49" i="6"/>
  <c r="AK51" i="6"/>
  <c r="AK52" i="6" s="1"/>
  <c r="BC51" i="6"/>
  <c r="BC52" i="6" s="1"/>
  <c r="AH26" i="6"/>
  <c r="BB26" i="6"/>
  <c r="BB50" i="6" s="1"/>
  <c r="P47" i="6"/>
  <c r="AZ47" i="6"/>
  <c r="AB49" i="6"/>
  <c r="AJ49" i="6"/>
  <c r="BB49" i="6"/>
  <c r="Y50" i="6"/>
  <c r="AG50" i="6"/>
  <c r="AY50" i="6"/>
  <c r="L51" i="6"/>
  <c r="L52" i="6" s="1"/>
  <c r="V51" i="6"/>
  <c r="V52" i="6" s="1"/>
  <c r="AL51" i="6"/>
  <c r="AL52" i="6" s="1"/>
  <c r="I47" i="6"/>
  <c r="Y47" i="6"/>
  <c r="AG47" i="6"/>
  <c r="AP47" i="6"/>
  <c r="BC49" i="6"/>
  <c r="P50" i="6"/>
  <c r="AP50" i="6"/>
  <c r="AZ50" i="6"/>
  <c r="BB47" i="6"/>
  <c r="Y48" i="6"/>
  <c r="AG48" i="6"/>
  <c r="AY48" i="6"/>
  <c r="BA57" i="5"/>
  <c r="L58" i="5"/>
  <c r="BO58" i="5"/>
  <c r="I59" i="5"/>
  <c r="Q59" i="5"/>
  <c r="AH59" i="5"/>
  <c r="BC59" i="5"/>
  <c r="BT59" i="5"/>
  <c r="BP5" i="5"/>
  <c r="AG57" i="5"/>
  <c r="BB57" i="5"/>
  <c r="BS57" i="5"/>
  <c r="M58" i="5"/>
  <c r="U58" i="5"/>
  <c r="AY58" i="5"/>
  <c r="BG58" i="5"/>
  <c r="BD59" i="5"/>
  <c r="AF60" i="5"/>
  <c r="AF61" i="5" s="1"/>
  <c r="BA60" i="5"/>
  <c r="BA61" i="5" s="1"/>
  <c r="BR60" i="5"/>
  <c r="BR61" i="5" s="1"/>
  <c r="BP17" i="5"/>
  <c r="BR26" i="5"/>
  <c r="BR59" i="5" s="1"/>
  <c r="I56" i="5"/>
  <c r="Q56" i="5"/>
  <c r="AG56" i="5"/>
  <c r="BO56" i="5"/>
  <c r="I57" i="5"/>
  <c r="Q57" i="5"/>
  <c r="AH57" i="5"/>
  <c r="BC57" i="5"/>
  <c r="BT57" i="5"/>
  <c r="S59" i="5"/>
  <c r="AG60" i="5"/>
  <c r="AG61" i="5" s="1"/>
  <c r="BB60" i="5"/>
  <c r="BB61" i="5" s="1"/>
  <c r="BS60" i="5"/>
  <c r="BS61" i="5" s="1"/>
  <c r="AH56" i="5"/>
  <c r="BD57" i="5"/>
  <c r="AF58" i="5"/>
  <c r="BA58" i="5"/>
  <c r="BR58" i="5"/>
  <c r="L59" i="5"/>
  <c r="BO59" i="5"/>
  <c r="I60" i="5"/>
  <c r="I61" i="5" s="1"/>
  <c r="Q60" i="5"/>
  <c r="Q61" i="5" s="1"/>
  <c r="AH60" i="5"/>
  <c r="AH61" i="5" s="1"/>
  <c r="BC60" i="5"/>
  <c r="BC61" i="5" s="1"/>
  <c r="BT60" i="5"/>
  <c r="BT61" i="5" s="1"/>
  <c r="AY56" i="5"/>
  <c r="BG56" i="5"/>
  <c r="BQ56" i="5"/>
  <c r="S57" i="5"/>
  <c r="AG58" i="5"/>
  <c r="BB58" i="5"/>
  <c r="BS58" i="5"/>
  <c r="M59" i="5"/>
  <c r="U59" i="5"/>
  <c r="AY59" i="5"/>
  <c r="BG59" i="5"/>
  <c r="BD60" i="5"/>
  <c r="BD61" i="5" s="1"/>
  <c r="S56" i="5"/>
  <c r="L56" i="5"/>
  <c r="BR56" i="5"/>
  <c r="L57" i="5"/>
  <c r="BO57" i="5"/>
  <c r="Q58" i="5"/>
  <c r="BT58" i="5"/>
  <c r="BQ59" i="5"/>
  <c r="S60" i="5"/>
  <c r="S61" i="5" s="1"/>
  <c r="BQ28" i="5"/>
  <c r="BQ57" i="5" s="1"/>
  <c r="M56" i="5"/>
  <c r="U56" i="5"/>
  <c r="BA56" i="5"/>
  <c r="BS56" i="5"/>
  <c r="M57" i="5"/>
  <c r="U57" i="5"/>
  <c r="AY57" i="5"/>
  <c r="BG57" i="5"/>
  <c r="BB56" i="5"/>
  <c r="AH48" i="6" l="1"/>
  <c r="AH47" i="6"/>
  <c r="AH50" i="6"/>
  <c r="AH49" i="6"/>
  <c r="AH51" i="6"/>
  <c r="AH52" i="6" s="1"/>
  <c r="BA49" i="6"/>
  <c r="BB48" i="6"/>
  <c r="BA51" i="6"/>
  <c r="BA52" i="6" s="1"/>
  <c r="BA50" i="6"/>
  <c r="BA47" i="6"/>
  <c r="BP60" i="5"/>
  <c r="BP61" i="5" s="1"/>
  <c r="BP57" i="5"/>
  <c r="BP59" i="5"/>
  <c r="BP56" i="5"/>
  <c r="BP58" i="5"/>
  <c r="BQ58" i="5"/>
  <c r="BQ60" i="5"/>
  <c r="BR57" i="5"/>
  <c r="DA45" i="3" l="1"/>
  <c r="CZ45" i="3"/>
  <c r="CY45" i="3"/>
  <c r="CX45" i="3"/>
  <c r="CW45" i="3"/>
  <c r="CV45" i="3"/>
  <c r="CU45" i="3"/>
  <c r="CT45" i="3"/>
  <c r="CS45" i="3"/>
  <c r="CR45" i="3"/>
  <c r="CQ45" i="3"/>
  <c r="CP45" i="3"/>
  <c r="CO45" i="3"/>
  <c r="CN45" i="3"/>
  <c r="CM45" i="3"/>
  <c r="CL45" i="3"/>
  <c r="CK45" i="3"/>
  <c r="CJ45" i="3"/>
  <c r="CI45" i="3"/>
  <c r="CH45" i="3"/>
  <c r="CG45" i="3"/>
  <c r="CF45" i="3"/>
  <c r="CE45" i="3"/>
  <c r="CD45" i="3"/>
  <c r="CC45" i="3"/>
  <c r="BZ45" i="3"/>
  <c r="BZ46" i="3" s="1"/>
  <c r="BX45" i="3"/>
  <c r="BW45" i="3"/>
  <c r="BV45" i="3"/>
  <c r="BN45" i="3"/>
  <c r="BN46" i="3" s="1"/>
  <c r="BM45" i="3"/>
  <c r="BM46" i="3" s="1"/>
  <c r="BL45" i="3"/>
  <c r="BK45" i="3"/>
  <c r="BJ45" i="3"/>
  <c r="BI45" i="3"/>
  <c r="BG45" i="3"/>
  <c r="BG46" i="3" s="1"/>
  <c r="BF45" i="3"/>
  <c r="BF46" i="3" s="1"/>
  <c r="BE45" i="3"/>
  <c r="BE46" i="3" s="1"/>
  <c r="BA45" i="3"/>
  <c r="AX45" i="3"/>
  <c r="AX46" i="3" s="1"/>
  <c r="AW45" i="3"/>
  <c r="AW46" i="3" s="1"/>
  <c r="AK45" i="3"/>
  <c r="AK46" i="3" s="1"/>
  <c r="AG45" i="3"/>
  <c r="AF45" i="3"/>
  <c r="Y45" i="3"/>
  <c r="X45" i="3"/>
  <c r="V45" i="3"/>
  <c r="U45" i="3"/>
  <c r="T45" i="3"/>
  <c r="T46" i="3" s="1"/>
  <c r="R45" i="3"/>
  <c r="R46" i="3" s="1"/>
  <c r="P45" i="3"/>
  <c r="P46" i="3" s="1"/>
  <c r="M45" i="3"/>
  <c r="M46" i="3" s="1"/>
  <c r="L45" i="3"/>
  <c r="L46" i="3" s="1"/>
  <c r="K45" i="3"/>
  <c r="K46" i="3" s="1"/>
  <c r="DA44" i="3"/>
  <c r="CZ44" i="3"/>
  <c r="CY44" i="3"/>
  <c r="CX44" i="3"/>
  <c r="CW44" i="3"/>
  <c r="CV44" i="3"/>
  <c r="CU44" i="3"/>
  <c r="CT44" i="3"/>
  <c r="CS44" i="3"/>
  <c r="CR44" i="3"/>
  <c r="CQ44" i="3"/>
  <c r="CP44" i="3"/>
  <c r="CO44" i="3"/>
  <c r="CN44" i="3"/>
  <c r="CM44" i="3"/>
  <c r="CL44" i="3"/>
  <c r="CK44" i="3"/>
  <c r="CJ44" i="3"/>
  <c r="CI44" i="3"/>
  <c r="CH44" i="3"/>
  <c r="CG44" i="3"/>
  <c r="CF44" i="3"/>
  <c r="CE44" i="3"/>
  <c r="CD44" i="3"/>
  <c r="CC44" i="3"/>
  <c r="BZ44" i="3"/>
  <c r="BX44" i="3"/>
  <c r="BW44" i="3"/>
  <c r="BV44" i="3"/>
  <c r="BN44" i="3"/>
  <c r="BM44" i="3"/>
  <c r="BL44" i="3"/>
  <c r="BK44" i="3"/>
  <c r="BJ44" i="3"/>
  <c r="BI44" i="3"/>
  <c r="BG44" i="3"/>
  <c r="BF44" i="3"/>
  <c r="BE44" i="3"/>
  <c r="BA44" i="3"/>
  <c r="AX44" i="3"/>
  <c r="AW44" i="3"/>
  <c r="AK44" i="3"/>
  <c r="AG44" i="3"/>
  <c r="AF44" i="3"/>
  <c r="Y44" i="3"/>
  <c r="X44" i="3"/>
  <c r="V44" i="3"/>
  <c r="U44" i="3"/>
  <c r="T44" i="3"/>
  <c r="R44" i="3"/>
  <c r="P44" i="3"/>
  <c r="M44" i="3"/>
  <c r="L44" i="3"/>
  <c r="K44" i="3"/>
  <c r="DA43" i="3"/>
  <c r="CZ43" i="3"/>
  <c r="CY43" i="3"/>
  <c r="CX43" i="3"/>
  <c r="CW43" i="3"/>
  <c r="CV43" i="3"/>
  <c r="CU43" i="3"/>
  <c r="CT43" i="3"/>
  <c r="CS43" i="3"/>
  <c r="CR43" i="3"/>
  <c r="CQ43" i="3"/>
  <c r="CP43" i="3"/>
  <c r="CO43" i="3"/>
  <c r="CN43" i="3"/>
  <c r="CM43" i="3"/>
  <c r="CL43" i="3"/>
  <c r="CK43" i="3"/>
  <c r="CJ43" i="3"/>
  <c r="CI43" i="3"/>
  <c r="CH43" i="3"/>
  <c r="CG43" i="3"/>
  <c r="CF43" i="3"/>
  <c r="CE43" i="3"/>
  <c r="CD43" i="3"/>
  <c r="CC43" i="3"/>
  <c r="BZ43" i="3"/>
  <c r="BX43" i="3"/>
  <c r="BW43" i="3"/>
  <c r="BV43" i="3"/>
  <c r="BN43" i="3"/>
  <c r="BM43" i="3"/>
  <c r="BL43" i="3"/>
  <c r="BK43" i="3"/>
  <c r="BJ43" i="3"/>
  <c r="BI43" i="3"/>
  <c r="BG43" i="3"/>
  <c r="BF43" i="3"/>
  <c r="BE43" i="3"/>
  <c r="BA43" i="3"/>
  <c r="AX43" i="3"/>
  <c r="AW43" i="3"/>
  <c r="AK43" i="3"/>
  <c r="AG43" i="3"/>
  <c r="AF43" i="3"/>
  <c r="Y43" i="3"/>
  <c r="X43" i="3"/>
  <c r="V43" i="3"/>
  <c r="U43" i="3"/>
  <c r="T43" i="3"/>
  <c r="R43" i="3"/>
  <c r="P43" i="3"/>
  <c r="M43" i="3"/>
  <c r="L43" i="3"/>
  <c r="K43" i="3"/>
  <c r="DA42" i="3"/>
  <c r="CZ42" i="3"/>
  <c r="CY42" i="3"/>
  <c r="CX42" i="3"/>
  <c r="CW42" i="3"/>
  <c r="CV42" i="3"/>
  <c r="CU42" i="3"/>
  <c r="CT42" i="3"/>
  <c r="CS42" i="3"/>
  <c r="CR42" i="3"/>
  <c r="CQ42" i="3"/>
  <c r="CP42" i="3"/>
  <c r="CO42" i="3"/>
  <c r="CN42" i="3"/>
  <c r="CM42" i="3"/>
  <c r="CL42" i="3"/>
  <c r="CK42" i="3"/>
  <c r="CJ42" i="3"/>
  <c r="CI42" i="3"/>
  <c r="CH42" i="3"/>
  <c r="CG42" i="3"/>
  <c r="CF42" i="3"/>
  <c r="CE42" i="3"/>
  <c r="CD42" i="3"/>
  <c r="CC42" i="3"/>
  <c r="BZ42" i="3"/>
  <c r="BX42" i="3"/>
  <c r="BW42" i="3"/>
  <c r="BV42" i="3"/>
  <c r="BN42" i="3"/>
  <c r="BM42" i="3"/>
  <c r="BL42" i="3"/>
  <c r="BK42" i="3"/>
  <c r="BJ42" i="3"/>
  <c r="BI42" i="3"/>
  <c r="BG42" i="3"/>
  <c r="BF42" i="3"/>
  <c r="BE42" i="3"/>
  <c r="BA42" i="3"/>
  <c r="AX42" i="3"/>
  <c r="AW42" i="3"/>
  <c r="AK42" i="3"/>
  <c r="AG42" i="3"/>
  <c r="AF42" i="3"/>
  <c r="AD42" i="3"/>
  <c r="Y42" i="3"/>
  <c r="X42" i="3"/>
  <c r="V42" i="3"/>
  <c r="U42" i="3"/>
  <c r="T42" i="3"/>
  <c r="R42" i="3"/>
  <c r="P42" i="3"/>
  <c r="M42" i="3"/>
  <c r="L42" i="3"/>
  <c r="K42" i="3"/>
  <c r="DA41" i="3"/>
  <c r="CZ41" i="3"/>
  <c r="CY41" i="3"/>
  <c r="CX41" i="3"/>
  <c r="CW41" i="3"/>
  <c r="CV41" i="3"/>
  <c r="CU41" i="3"/>
  <c r="CT41" i="3"/>
  <c r="CS41" i="3"/>
  <c r="CR41" i="3"/>
  <c r="CQ41" i="3"/>
  <c r="CP41" i="3"/>
  <c r="CO41" i="3"/>
  <c r="CN41" i="3"/>
  <c r="CM41" i="3"/>
  <c r="CL41" i="3"/>
  <c r="CK41" i="3"/>
  <c r="CJ41" i="3"/>
  <c r="CI41" i="3"/>
  <c r="CH41" i="3"/>
  <c r="CG41" i="3"/>
  <c r="CF41" i="3"/>
  <c r="CE41" i="3"/>
  <c r="CD41" i="3"/>
  <c r="CC41" i="3"/>
  <c r="BZ41" i="3"/>
  <c r="BX41" i="3"/>
  <c r="BW41" i="3"/>
  <c r="BV41" i="3"/>
  <c r="BN41" i="3"/>
  <c r="BM41" i="3"/>
  <c r="BL41" i="3"/>
  <c r="BK41" i="3"/>
  <c r="BJ41" i="3"/>
  <c r="BI41" i="3"/>
  <c r="BG41" i="3"/>
  <c r="BF41" i="3"/>
  <c r="BE41" i="3"/>
  <c r="BA41" i="3"/>
  <c r="AX41" i="3"/>
  <c r="AW41" i="3"/>
  <c r="AS41" i="3"/>
  <c r="AK41" i="3"/>
  <c r="AG41" i="3"/>
  <c r="AF41" i="3"/>
  <c r="AD41" i="3"/>
  <c r="AC41" i="3"/>
  <c r="AB41" i="3"/>
  <c r="AA41" i="3"/>
  <c r="Z41" i="3"/>
  <c r="Y41" i="3"/>
  <c r="X41" i="3"/>
  <c r="V41" i="3"/>
  <c r="U41" i="3"/>
  <c r="T41" i="3"/>
  <c r="R41" i="3"/>
  <c r="P41" i="3"/>
  <c r="M41" i="3"/>
  <c r="L41" i="3"/>
  <c r="K41" i="3"/>
  <c r="CA40" i="3"/>
  <c r="BR40" i="3"/>
  <c r="CA39" i="3"/>
  <c r="BR39" i="3"/>
  <c r="CA38" i="3"/>
  <c r="BT38" i="3"/>
  <c r="BS38" i="3"/>
  <c r="BR38" i="3"/>
  <c r="BR34" i="3"/>
  <c r="BR33" i="3"/>
  <c r="BT32" i="3"/>
  <c r="BS32" i="3"/>
  <c r="BR32" i="3"/>
  <c r="BP32" i="3"/>
  <c r="BQ32" i="3" s="1"/>
  <c r="J32" i="3"/>
  <c r="BR31" i="3"/>
  <c r="BR30" i="3"/>
  <c r="BT29" i="3"/>
  <c r="BR29" i="3"/>
  <c r="BP29" i="3"/>
  <c r="BC29" i="3"/>
  <c r="BS29" i="3" s="1"/>
  <c r="BB29" i="3"/>
  <c r="BR27" i="3"/>
  <c r="BT26" i="3"/>
  <c r="BS26" i="3"/>
  <c r="BR26" i="3"/>
  <c r="BP26" i="3"/>
  <c r="BQ26" i="3" s="1"/>
  <c r="BR25" i="3"/>
  <c r="BR24" i="3"/>
  <c r="BT23" i="3"/>
  <c r="BS23" i="3"/>
  <c r="BR23" i="3"/>
  <c r="BP23" i="3"/>
  <c r="BQ23" i="3" s="1"/>
  <c r="BR21" i="3"/>
  <c r="W21" i="3"/>
  <c r="BU20" i="3"/>
  <c r="BT20" i="3"/>
  <c r="BR20" i="3"/>
  <c r="BP20" i="3"/>
  <c r="BC20" i="3"/>
  <c r="BS20" i="3" s="1"/>
  <c r="BB20" i="3"/>
  <c r="AI20" i="3"/>
  <c r="W20" i="3"/>
  <c r="N20" i="3"/>
  <c r="J20" i="3"/>
  <c r="CA18" i="3"/>
  <c r="BH18" i="3"/>
  <c r="BR18" i="3" s="1"/>
  <c r="CA17" i="3"/>
  <c r="BU17" i="3"/>
  <c r="BP17" i="3"/>
  <c r="BQ17" i="3" s="1"/>
  <c r="BH17" i="3"/>
  <c r="BR17" i="3" s="1"/>
  <c r="BD17" i="3"/>
  <c r="BT17" i="3" s="1"/>
  <c r="BC17" i="3"/>
  <c r="BS17" i="3" s="1"/>
  <c r="BB17" i="3"/>
  <c r="AH17" i="3"/>
  <c r="W17" i="3"/>
  <c r="S17" i="3"/>
  <c r="Q17" i="3"/>
  <c r="Q42" i="3" s="1"/>
  <c r="N17" i="3"/>
  <c r="O17" i="3" s="1"/>
  <c r="J17" i="3"/>
  <c r="CA16" i="3"/>
  <c r="BR16" i="3"/>
  <c r="CA15" i="3"/>
  <c r="BR15" i="3"/>
  <c r="CA14" i="3"/>
  <c r="BU14" i="3"/>
  <c r="BT14" i="3"/>
  <c r="BR14" i="3"/>
  <c r="BP14" i="3"/>
  <c r="BC14" i="3"/>
  <c r="BS14" i="3" s="1"/>
  <c r="BB14" i="3"/>
  <c r="BQ14" i="3" s="1"/>
  <c r="CA13" i="3"/>
  <c r="CA12" i="3"/>
  <c r="BR12" i="3"/>
  <c r="CA11" i="3"/>
  <c r="BU11" i="3"/>
  <c r="BR11" i="3"/>
  <c r="BP11" i="3"/>
  <c r="BD11" i="3"/>
  <c r="BT11" i="3" s="1"/>
  <c r="BC11" i="3"/>
  <c r="BS11" i="3" s="1"/>
  <c r="BB11" i="3"/>
  <c r="BQ11" i="3" s="1"/>
  <c r="BR9" i="3"/>
  <c r="BH9" i="3"/>
  <c r="BU8" i="3"/>
  <c r="BP8" i="3"/>
  <c r="BH8" i="3"/>
  <c r="BR8" i="3" s="1"/>
  <c r="BD8" i="3"/>
  <c r="BT8" i="3" s="1"/>
  <c r="BC8" i="3"/>
  <c r="BS8" i="3" s="1"/>
  <c r="BB8" i="3"/>
  <c r="BQ8" i="3" s="1"/>
  <c r="CA7" i="3"/>
  <c r="CA6" i="3"/>
  <c r="BH6" i="3"/>
  <c r="BR6" i="3" s="1"/>
  <c r="BU5" i="3"/>
  <c r="BH5" i="3"/>
  <c r="BR5" i="3" s="1"/>
  <c r="BD5" i="3"/>
  <c r="BD43" i="3" s="1"/>
  <c r="BC5" i="3"/>
  <c r="BC44" i="3" s="1"/>
  <c r="BB5" i="3"/>
  <c r="AT5" i="3"/>
  <c r="AT41" i="3" s="1"/>
  <c r="AJ5" i="3"/>
  <c r="AJ43" i="3" s="1"/>
  <c r="AH5" i="3"/>
  <c r="W5" i="3"/>
  <c r="S5" i="3"/>
  <c r="N5" i="3"/>
  <c r="N43" i="3" s="1"/>
  <c r="J5" i="3"/>
  <c r="S44" i="3" l="1"/>
  <c r="BQ20" i="3"/>
  <c r="AH44" i="3"/>
  <c r="BQ29" i="3"/>
  <c r="BQ44" i="3" s="1"/>
  <c r="W42" i="3"/>
  <c r="BS5" i="3"/>
  <c r="BU43" i="3"/>
  <c r="BP42" i="3"/>
  <c r="AI5" i="3"/>
  <c r="BT5" i="3"/>
  <c r="BT41" i="3" s="1"/>
  <c r="AI17" i="3"/>
  <c r="AI44" i="3" s="1"/>
  <c r="J45" i="3"/>
  <c r="J46" i="3" s="1"/>
  <c r="BB41" i="3"/>
  <c r="CA45" i="3"/>
  <c r="BQ45" i="3"/>
  <c r="BQ46" i="3" s="1"/>
  <c r="BQ41" i="3"/>
  <c r="BQ43" i="3"/>
  <c r="BQ42" i="3"/>
  <c r="BT44" i="3"/>
  <c r="BS41" i="3"/>
  <c r="BR45" i="3"/>
  <c r="BR41" i="3"/>
  <c r="BR44" i="3"/>
  <c r="BR43" i="3"/>
  <c r="BR42" i="3"/>
  <c r="S41" i="3"/>
  <c r="AJ41" i="3"/>
  <c r="BC41" i="3"/>
  <c r="J42" i="3"/>
  <c r="BH42" i="3"/>
  <c r="W43" i="3"/>
  <c r="BD44" i="3"/>
  <c r="BU44" i="3"/>
  <c r="S45" i="3"/>
  <c r="S46" i="3" s="1"/>
  <c r="BB45" i="3"/>
  <c r="BB46" i="3" s="1"/>
  <c r="BS45" i="3"/>
  <c r="BS46" i="3" s="1"/>
  <c r="BD41" i="3"/>
  <c r="BU41" i="3"/>
  <c r="S42" i="3"/>
  <c r="CA42" i="3"/>
  <c r="BP43" i="3"/>
  <c r="N44" i="3"/>
  <c r="AJ44" i="3"/>
  <c r="AH45" i="3"/>
  <c r="AH46" i="3" s="1"/>
  <c r="BC45" i="3"/>
  <c r="BC46" i="3" s="1"/>
  <c r="BT45" i="3"/>
  <c r="BT46" i="3" s="1"/>
  <c r="BB42" i="3"/>
  <c r="BS42" i="3"/>
  <c r="Q43" i="3"/>
  <c r="BH43" i="3"/>
  <c r="W44" i="3"/>
  <c r="BD45" i="3"/>
  <c r="BD46" i="3" s="1"/>
  <c r="BU45" i="3"/>
  <c r="BU46" i="3" s="1"/>
  <c r="N41" i="3"/>
  <c r="AH42" i="3"/>
  <c r="BC42" i="3"/>
  <c r="BT42" i="3"/>
  <c r="J43" i="3"/>
  <c r="CA43" i="3"/>
  <c r="BP44" i="3"/>
  <c r="N45" i="3"/>
  <c r="N46" i="3" s="1"/>
  <c r="AJ45" i="3"/>
  <c r="AJ46" i="3" s="1"/>
  <c r="O5" i="3"/>
  <c r="W41" i="3"/>
  <c r="BP41" i="3"/>
  <c r="N42" i="3"/>
  <c r="BD42" i="3"/>
  <c r="BU42" i="3"/>
  <c r="S43" i="3"/>
  <c r="BB43" i="3"/>
  <c r="BS43" i="3"/>
  <c r="Q44" i="3"/>
  <c r="BH44" i="3"/>
  <c r="W45" i="3"/>
  <c r="BH41" i="3"/>
  <c r="AJ42" i="3"/>
  <c r="AH43" i="3"/>
  <c r="BC43" i="3"/>
  <c r="BT43" i="3"/>
  <c r="J44" i="3"/>
  <c r="CA44" i="3"/>
  <c r="BP45" i="3"/>
  <c r="BP46" i="3" s="1"/>
  <c r="Q41" i="3"/>
  <c r="AH41" i="3"/>
  <c r="CA41" i="3"/>
  <c r="AI43" i="3"/>
  <c r="BB44" i="3"/>
  <c r="BS44" i="3"/>
  <c r="Q45" i="3"/>
  <c r="Q46" i="3" s="1"/>
  <c r="BH45" i="3"/>
  <c r="J41" i="3"/>
  <c r="AI41" i="3" l="1"/>
  <c r="AI42" i="3"/>
  <c r="AI45" i="3"/>
  <c r="AI46" i="3" s="1"/>
  <c r="O42" i="3"/>
  <c r="O45" i="3"/>
  <c r="O46" i="3" s="1"/>
  <c r="O41" i="3"/>
  <c r="O44" i="3"/>
  <c r="O43" i="3"/>
  <c r="A16" i="2" l="1"/>
  <c r="A14" i="2"/>
  <c r="A13" i="2"/>
  <c r="A12" i="2"/>
  <c r="A11" i="2"/>
  <c r="DB64" i="1" l="1"/>
  <c r="DA64" i="1"/>
  <c r="CZ64" i="1"/>
  <c r="CY64" i="1"/>
  <c r="CX64" i="1"/>
  <c r="CW64" i="1"/>
  <c r="CV64" i="1"/>
  <c r="CU64" i="1"/>
  <c r="CT64" i="1"/>
  <c r="CS64" i="1"/>
  <c r="CR64" i="1"/>
  <c r="CQ64" i="1"/>
  <c r="CP64" i="1"/>
  <c r="CO64" i="1"/>
  <c r="CN64" i="1"/>
  <c r="CM64" i="1"/>
  <c r="CL64" i="1"/>
  <c r="CK64" i="1"/>
  <c r="CJ64" i="1"/>
  <c r="CI64" i="1"/>
  <c r="CH64" i="1"/>
  <c r="CG64" i="1"/>
  <c r="CF64" i="1"/>
  <c r="CE64" i="1"/>
  <c r="CD64" i="1"/>
  <c r="CA64" i="1"/>
  <c r="CA65" i="1" s="1"/>
  <c r="BX64" i="1"/>
  <c r="BW64" i="1"/>
  <c r="BV64" i="1"/>
  <c r="BN64" i="1"/>
  <c r="BN65" i="1" s="1"/>
  <c r="BM64" i="1"/>
  <c r="BM65" i="1" s="1"/>
  <c r="BL64" i="1"/>
  <c r="BK64" i="1"/>
  <c r="BJ64" i="1"/>
  <c r="BI64" i="1"/>
  <c r="BG64" i="1"/>
  <c r="BG65" i="1" s="1"/>
  <c r="BF64" i="1"/>
  <c r="BF65" i="1" s="1"/>
  <c r="BE64" i="1"/>
  <c r="BE65" i="1" s="1"/>
  <c r="BA64" i="1"/>
  <c r="AX64" i="1"/>
  <c r="AW64" i="1"/>
  <c r="AU64" i="1"/>
  <c r="AU65" i="1" s="1"/>
  <c r="AT64" i="1"/>
  <c r="AT65" i="1" s="1"/>
  <c r="AR64" i="1"/>
  <c r="AR65" i="1" s="1"/>
  <c r="AK64" i="1"/>
  <c r="AK65" i="1" s="1"/>
  <c r="AG64" i="1"/>
  <c r="AF64" i="1"/>
  <c r="AE64" i="1"/>
  <c r="AE65" i="1" s="1"/>
  <c r="AD64" i="1"/>
  <c r="AD65" i="1" s="1"/>
  <c r="AA64" i="1"/>
  <c r="Y64" i="1"/>
  <c r="X64" i="1"/>
  <c r="V64" i="1"/>
  <c r="V65" i="1" s="1"/>
  <c r="U64" i="1"/>
  <c r="U65" i="1" s="1"/>
  <c r="T64" i="1"/>
  <c r="T65" i="1" s="1"/>
  <c r="R64" i="1"/>
  <c r="R65" i="1" s="1"/>
  <c r="Q64" i="1"/>
  <c r="Q65" i="1" s="1"/>
  <c r="P64" i="1"/>
  <c r="P65" i="1" s="1"/>
  <c r="L64" i="1"/>
  <c r="L65" i="1" s="1"/>
  <c r="K64" i="1"/>
  <c r="K65" i="1" s="1"/>
  <c r="J64" i="1"/>
  <c r="J65" i="1" s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A63" i="1"/>
  <c r="BX63" i="1"/>
  <c r="BW63" i="1"/>
  <c r="BV63" i="1"/>
  <c r="BN63" i="1"/>
  <c r="BM63" i="1"/>
  <c r="BL63" i="1"/>
  <c r="BK63" i="1"/>
  <c r="BJ63" i="1"/>
  <c r="BI63" i="1"/>
  <c r="BG63" i="1"/>
  <c r="BF63" i="1"/>
  <c r="BE63" i="1"/>
  <c r="BA63" i="1"/>
  <c r="AX63" i="1"/>
  <c r="AW63" i="1"/>
  <c r="AU63" i="1"/>
  <c r="AT63" i="1"/>
  <c r="AR63" i="1"/>
  <c r="AK63" i="1"/>
  <c r="AG63" i="1"/>
  <c r="AF63" i="1"/>
  <c r="AE63" i="1"/>
  <c r="AD63" i="1"/>
  <c r="AA63" i="1"/>
  <c r="Y63" i="1"/>
  <c r="X63" i="1"/>
  <c r="V63" i="1"/>
  <c r="U63" i="1"/>
  <c r="T63" i="1"/>
  <c r="R63" i="1"/>
  <c r="Q63" i="1"/>
  <c r="P63" i="1"/>
  <c r="L63" i="1"/>
  <c r="K63" i="1"/>
  <c r="J63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A62" i="1"/>
  <c r="BX62" i="1"/>
  <c r="BW62" i="1"/>
  <c r="BV62" i="1"/>
  <c r="BN62" i="1"/>
  <c r="BM62" i="1"/>
  <c r="BL62" i="1"/>
  <c r="BK62" i="1"/>
  <c r="BJ62" i="1"/>
  <c r="BI62" i="1"/>
  <c r="BG62" i="1"/>
  <c r="BF62" i="1"/>
  <c r="BE62" i="1"/>
  <c r="BA62" i="1"/>
  <c r="AX62" i="1"/>
  <c r="AW62" i="1"/>
  <c r="AU62" i="1"/>
  <c r="AT62" i="1"/>
  <c r="AR62" i="1"/>
  <c r="AK62" i="1"/>
  <c r="AG62" i="1"/>
  <c r="AF62" i="1"/>
  <c r="AE62" i="1"/>
  <c r="AD62" i="1"/>
  <c r="AA62" i="1"/>
  <c r="Y62" i="1"/>
  <c r="X62" i="1"/>
  <c r="V62" i="1"/>
  <c r="U62" i="1"/>
  <c r="T62" i="1"/>
  <c r="R62" i="1"/>
  <c r="Q62" i="1"/>
  <c r="P62" i="1"/>
  <c r="L62" i="1"/>
  <c r="K62" i="1"/>
  <c r="J62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A61" i="1"/>
  <c r="BX61" i="1"/>
  <c r="BW61" i="1"/>
  <c r="BV61" i="1"/>
  <c r="BN61" i="1"/>
  <c r="BM61" i="1"/>
  <c r="BL61" i="1"/>
  <c r="BK61" i="1"/>
  <c r="BJ61" i="1"/>
  <c r="BI61" i="1"/>
  <c r="BG61" i="1"/>
  <c r="BF61" i="1"/>
  <c r="BE61" i="1"/>
  <c r="BA61" i="1"/>
  <c r="AX61" i="1"/>
  <c r="AW61" i="1"/>
  <c r="AU61" i="1"/>
  <c r="AT61" i="1"/>
  <c r="AR61" i="1"/>
  <c r="AK61" i="1"/>
  <c r="AG61" i="1"/>
  <c r="AF61" i="1"/>
  <c r="AE61" i="1"/>
  <c r="AD61" i="1"/>
  <c r="AA61" i="1"/>
  <c r="Y61" i="1"/>
  <c r="X61" i="1"/>
  <c r="V61" i="1"/>
  <c r="U61" i="1"/>
  <c r="T61" i="1"/>
  <c r="R61" i="1"/>
  <c r="Q61" i="1"/>
  <c r="P61" i="1"/>
  <c r="L61" i="1"/>
  <c r="K61" i="1"/>
  <c r="J61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P60" i="1"/>
  <c r="CO60" i="1"/>
  <c r="CN60" i="1"/>
  <c r="CM60" i="1"/>
  <c r="CL60" i="1"/>
  <c r="CK60" i="1"/>
  <c r="CJ60" i="1"/>
  <c r="CI60" i="1"/>
  <c r="CH60" i="1"/>
  <c r="CG60" i="1"/>
  <c r="CF60" i="1"/>
  <c r="CE60" i="1"/>
  <c r="CD60" i="1"/>
  <c r="CA60" i="1"/>
  <c r="BX60" i="1"/>
  <c r="BW60" i="1"/>
  <c r="BV60" i="1"/>
  <c r="BN60" i="1"/>
  <c r="BM60" i="1"/>
  <c r="BL60" i="1"/>
  <c r="BK60" i="1"/>
  <c r="BJ60" i="1"/>
  <c r="BI60" i="1"/>
  <c r="BG60" i="1"/>
  <c r="BF60" i="1"/>
  <c r="BE60" i="1"/>
  <c r="BA60" i="1"/>
  <c r="AX60" i="1"/>
  <c r="AW60" i="1"/>
  <c r="AU60" i="1"/>
  <c r="AT60" i="1"/>
  <c r="AS60" i="1"/>
  <c r="AR60" i="1"/>
  <c r="AK60" i="1"/>
  <c r="AG60" i="1"/>
  <c r="AF60" i="1"/>
  <c r="AE60" i="1"/>
  <c r="AD60" i="1"/>
  <c r="AA60" i="1"/>
  <c r="Y60" i="1"/>
  <c r="X60" i="1"/>
  <c r="V60" i="1"/>
  <c r="U60" i="1"/>
  <c r="T60" i="1"/>
  <c r="R60" i="1"/>
  <c r="Q60" i="1"/>
  <c r="P60" i="1"/>
  <c r="L60" i="1"/>
  <c r="K60" i="1"/>
  <c r="J60" i="1"/>
  <c r="CB59" i="1"/>
  <c r="CB58" i="1"/>
  <c r="BR58" i="1"/>
  <c r="Z58" i="1"/>
  <c r="CB57" i="1"/>
  <c r="BU57" i="1"/>
  <c r="BT57" i="1"/>
  <c r="BS57" i="1"/>
  <c r="BR57" i="1"/>
  <c r="BP57" i="1"/>
  <c r="BQ57" i="1" s="1"/>
  <c r="AH57" i="1"/>
  <c r="W57" i="1"/>
  <c r="S57" i="1"/>
  <c r="AI57" i="1" s="1"/>
  <c r="N57" i="1"/>
  <c r="M57" i="1"/>
  <c r="I57" i="1"/>
  <c r="BH56" i="1"/>
  <c r="BR56" i="1" s="1"/>
  <c r="BH55" i="1"/>
  <c r="BR55" i="1" s="1"/>
  <c r="BP54" i="1"/>
  <c r="BH54" i="1"/>
  <c r="BR54" i="1" s="1"/>
  <c r="BD54" i="1"/>
  <c r="BC54" i="1"/>
  <c r="BB54" i="1"/>
  <c r="Z54" i="1"/>
  <c r="W54" i="1"/>
  <c r="S54" i="1"/>
  <c r="AI54" i="1" s="1"/>
  <c r="N54" i="1"/>
  <c r="O54" i="1" s="1"/>
  <c r="M54" i="1"/>
  <c r="I54" i="1"/>
  <c r="BH53" i="1"/>
  <c r="BR53" i="1" s="1"/>
  <c r="CB52" i="1"/>
  <c r="BR52" i="1"/>
  <c r="BH52" i="1"/>
  <c r="BU51" i="1"/>
  <c r="BS51" i="1"/>
  <c r="BP51" i="1"/>
  <c r="BQ51" i="1" s="1"/>
  <c r="BH51" i="1"/>
  <c r="BR51" i="1" s="1"/>
  <c r="BD51" i="1"/>
  <c r="BT51" i="1" s="1"/>
  <c r="BB51" i="1"/>
  <c r="AH51" i="1"/>
  <c r="AC51" i="1"/>
  <c r="AC64" i="1" s="1"/>
  <c r="AC65" i="1" s="1"/>
  <c r="W51" i="1"/>
  <c r="S51" i="1"/>
  <c r="AI51" i="1" s="1"/>
  <c r="N51" i="1"/>
  <c r="O51" i="1" s="1"/>
  <c r="M51" i="1"/>
  <c r="I51" i="1"/>
  <c r="CB49" i="1"/>
  <c r="BR49" i="1"/>
  <c r="CB48" i="1"/>
  <c r="BT48" i="1"/>
  <c r="BR48" i="1"/>
  <c r="BP48" i="1"/>
  <c r="BC48" i="1"/>
  <c r="BS48" i="1" s="1"/>
  <c r="BB48" i="1"/>
  <c r="AH48" i="1"/>
  <c r="AI48" i="1" s="1"/>
  <c r="Z48" i="1"/>
  <c r="W48" i="1"/>
  <c r="S48" i="1"/>
  <c r="N48" i="1"/>
  <c r="O48" i="1" s="1"/>
  <c r="M48" i="1"/>
  <c r="I48" i="1"/>
  <c r="CB47" i="1"/>
  <c r="CB46" i="1"/>
  <c r="CB45" i="1"/>
  <c r="BT45" i="1"/>
  <c r="BR45" i="1"/>
  <c r="BP45" i="1"/>
  <c r="BC45" i="1"/>
  <c r="BS45" i="1" s="1"/>
  <c r="BB45" i="1"/>
  <c r="AI45" i="1"/>
  <c r="Z45" i="1"/>
  <c r="N45" i="1"/>
  <c r="O45" i="1" s="1"/>
  <c r="M45" i="1"/>
  <c r="I45" i="1"/>
  <c r="CB44" i="1"/>
  <c r="BH44" i="1"/>
  <c r="BR43" i="1"/>
  <c r="BH43" i="1"/>
  <c r="BU42" i="1"/>
  <c r="BT42" i="1"/>
  <c r="BR42" i="1"/>
  <c r="BH42" i="1"/>
  <c r="BD42" i="1"/>
  <c r="BC42" i="1"/>
  <c r="BS42" i="1" s="1"/>
  <c r="BB42" i="1"/>
  <c r="AH42" i="1"/>
  <c r="Z42" i="1"/>
  <c r="W42" i="1"/>
  <c r="S42" i="1"/>
  <c r="N42" i="1"/>
  <c r="O42" i="1" s="1"/>
  <c r="M42" i="1"/>
  <c r="I42" i="1"/>
  <c r="BR40" i="1"/>
  <c r="CB39" i="1"/>
  <c r="BU39" i="1"/>
  <c r="BR39" i="1"/>
  <c r="BC39" i="1"/>
  <c r="BB39" i="1"/>
  <c r="AH39" i="1"/>
  <c r="AI39" i="1" s="1"/>
  <c r="Z39" i="1"/>
  <c r="W39" i="1"/>
  <c r="S39" i="1"/>
  <c r="N39" i="1"/>
  <c r="O39" i="1" s="1"/>
  <c r="M39" i="1"/>
  <c r="I39" i="1"/>
  <c r="BR38" i="1"/>
  <c r="BR37" i="1"/>
  <c r="BU36" i="1"/>
  <c r="BT36" i="1"/>
  <c r="BR36" i="1"/>
  <c r="BP36" i="1"/>
  <c r="BC36" i="1"/>
  <c r="BS36" i="1" s="1"/>
  <c r="BB36" i="1"/>
  <c r="AH36" i="1"/>
  <c r="Z36" i="1"/>
  <c r="W36" i="1"/>
  <c r="S36" i="1"/>
  <c r="N36" i="1"/>
  <c r="O36" i="1" s="1"/>
  <c r="M36" i="1"/>
  <c r="I36" i="1"/>
  <c r="BR35" i="1"/>
  <c r="BR34" i="1"/>
  <c r="BT33" i="1"/>
  <c r="BR33" i="1"/>
  <c r="BP33" i="1"/>
  <c r="BC33" i="1"/>
  <c r="BS33" i="1" s="1"/>
  <c r="BB33" i="1"/>
  <c r="AH33" i="1"/>
  <c r="AI33" i="1" s="1"/>
  <c r="Z33" i="1"/>
  <c r="W33" i="1"/>
  <c r="S33" i="1"/>
  <c r="N33" i="1"/>
  <c r="O33" i="1" s="1"/>
  <c r="M33" i="1"/>
  <c r="I33" i="1"/>
  <c r="BH32" i="1"/>
  <c r="BR32" i="1" s="1"/>
  <c r="BH31" i="1"/>
  <c r="BR31" i="1" s="1"/>
  <c r="BR30" i="1"/>
  <c r="BP30" i="1"/>
  <c r="BH30" i="1"/>
  <c r="BD30" i="1"/>
  <c r="BT30" i="1" s="1"/>
  <c r="BC30" i="1"/>
  <c r="BS30" i="1" s="1"/>
  <c r="BB30" i="1"/>
  <c r="BQ30" i="1" s="1"/>
  <c r="AH30" i="1"/>
  <c r="AI30" i="1" s="1"/>
  <c r="W30" i="1"/>
  <c r="S30" i="1"/>
  <c r="N30" i="1"/>
  <c r="O30" i="1" s="1"/>
  <c r="M30" i="1"/>
  <c r="I30" i="1"/>
  <c r="BR29" i="1"/>
  <c r="BH29" i="1"/>
  <c r="BR28" i="1"/>
  <c r="BH28" i="1"/>
  <c r="CB27" i="1"/>
  <c r="BU27" i="1"/>
  <c r="BH27" i="1"/>
  <c r="BR27" i="1" s="1"/>
  <c r="BD27" i="1"/>
  <c r="BT27" i="1" s="1"/>
  <c r="BC27" i="1"/>
  <c r="BS27" i="1" s="1"/>
  <c r="BB27" i="1"/>
  <c r="AI27" i="1"/>
  <c r="Z27" i="1"/>
  <c r="W27" i="1"/>
  <c r="N27" i="1"/>
  <c r="O27" i="1" s="1"/>
  <c r="M27" i="1"/>
  <c r="BR25" i="1"/>
  <c r="BU24" i="1"/>
  <c r="BT24" i="1"/>
  <c r="BR24" i="1"/>
  <c r="BP24" i="1"/>
  <c r="BQ24" i="1" s="1"/>
  <c r="BC24" i="1"/>
  <c r="BS24" i="1" s="1"/>
  <c r="BB24" i="1"/>
  <c r="AY24" i="1"/>
  <c r="AZ24" i="1" s="1"/>
  <c r="AQ24" i="1"/>
  <c r="AJ24" i="1"/>
  <c r="AI24" i="1"/>
  <c r="Z24" i="1"/>
  <c r="W24" i="1"/>
  <c r="O24" i="1"/>
  <c r="N24" i="1"/>
  <c r="M24" i="1"/>
  <c r="I24" i="1"/>
  <c r="BR22" i="1"/>
  <c r="BT21" i="1"/>
  <c r="BS21" i="1"/>
  <c r="BR21" i="1"/>
  <c r="BP21" i="1"/>
  <c r="BD21" i="1"/>
  <c r="BB21" i="1"/>
  <c r="AH21" i="1"/>
  <c r="AI21" i="1" s="1"/>
  <c r="S21" i="1"/>
  <c r="N21" i="1"/>
  <c r="O21" i="1" s="1"/>
  <c r="M21" i="1"/>
  <c r="I21" i="1"/>
  <c r="BH20" i="1"/>
  <c r="BR20" i="1" s="1"/>
  <c r="BR19" i="1"/>
  <c r="BH19" i="1"/>
  <c r="CB18" i="1"/>
  <c r="BU18" i="1"/>
  <c r="BS18" i="1"/>
  <c r="BR18" i="1"/>
  <c r="BP18" i="1"/>
  <c r="BH18" i="1"/>
  <c r="BD18" i="1"/>
  <c r="BT18" i="1" s="1"/>
  <c r="BC18" i="1"/>
  <c r="BB18" i="1"/>
  <c r="BQ18" i="1" s="1"/>
  <c r="S18" i="1"/>
  <c r="O18" i="1"/>
  <c r="N18" i="1"/>
  <c r="M18" i="1"/>
  <c r="I18" i="1"/>
  <c r="BH17" i="1"/>
  <c r="BH16" i="1"/>
  <c r="BR16" i="1" s="1"/>
  <c r="BU15" i="1"/>
  <c r="BH15" i="1"/>
  <c r="BR15" i="1" s="1"/>
  <c r="BD15" i="1"/>
  <c r="BB15" i="1"/>
  <c r="BH14" i="1"/>
  <c r="BR14" i="1" s="1"/>
  <c r="BR13" i="1"/>
  <c r="BU12" i="1"/>
  <c r="BR12" i="1"/>
  <c r="BP12" i="1"/>
  <c r="BH12" i="1"/>
  <c r="BD12" i="1"/>
  <c r="BT12" i="1" s="1"/>
  <c r="BC12" i="1"/>
  <c r="BS12" i="1" s="1"/>
  <c r="BB12" i="1"/>
  <c r="AY12" i="1"/>
  <c r="AJ12" i="1"/>
  <c r="AI12" i="1"/>
  <c r="Z12" i="1"/>
  <c r="Z63" i="1" s="1"/>
  <c r="W12" i="1"/>
  <c r="N12" i="1"/>
  <c r="O12" i="1" s="1"/>
  <c r="M12" i="1"/>
  <c r="I12" i="1"/>
  <c r="BH11" i="1"/>
  <c r="BR11" i="1" s="1"/>
  <c r="BH10" i="1"/>
  <c r="BR10" i="1" s="1"/>
  <c r="CB9" i="1"/>
  <c r="BU9" i="1"/>
  <c r="BP9" i="1"/>
  <c r="BH9" i="1"/>
  <c r="BD9" i="1"/>
  <c r="BC9" i="1"/>
  <c r="BB9" i="1"/>
  <c r="AY9" i="1"/>
  <c r="AZ9" i="1" s="1"/>
  <c r="AJ9" i="1"/>
  <c r="AI9" i="1"/>
  <c r="W9" i="1"/>
  <c r="N9" i="1"/>
  <c r="O9" i="1" s="1"/>
  <c r="M9" i="1"/>
  <c r="I9" i="1"/>
  <c r="BR8" i="1"/>
  <c r="BR7" i="1"/>
  <c r="CB6" i="1"/>
  <c r="BT6" i="1"/>
  <c r="BS6" i="1"/>
  <c r="BR6" i="1"/>
  <c r="BP6" i="1"/>
  <c r="AY6" i="1"/>
  <c r="AQ6" i="1"/>
  <c r="AQ60" i="1" s="1"/>
  <c r="AJ6" i="1"/>
  <c r="AZ6" i="1" s="1"/>
  <c r="AH6" i="1"/>
  <c r="W6" i="1"/>
  <c r="O6" i="1"/>
  <c r="N6" i="1"/>
  <c r="M6" i="1"/>
  <c r="I6" i="1"/>
  <c r="AY64" i="1" l="1"/>
  <c r="AY65" i="1" s="1"/>
  <c r="BB61" i="1"/>
  <c r="BQ36" i="1"/>
  <c r="I63" i="1"/>
  <c r="I70" i="1" s="1"/>
  <c r="M60" i="1"/>
  <c r="BP64" i="1"/>
  <c r="BP65" i="1" s="1"/>
  <c r="BC62" i="1"/>
  <c r="AZ12" i="1"/>
  <c r="AZ64" i="1" s="1"/>
  <c r="AZ65" i="1" s="1"/>
  <c r="AI42" i="1"/>
  <c r="BQ54" i="1"/>
  <c r="N61" i="1"/>
  <c r="BD62" i="1"/>
  <c r="BQ12" i="1"/>
  <c r="BQ33" i="1"/>
  <c r="BQ45" i="1"/>
  <c r="O62" i="1"/>
  <c r="BH64" i="1"/>
  <c r="S64" i="1"/>
  <c r="S65" i="1" s="1"/>
  <c r="W62" i="1"/>
  <c r="BQ21" i="1"/>
  <c r="AH63" i="1"/>
  <c r="CB61" i="1"/>
  <c r="BU62" i="1"/>
  <c r="AI36" i="1"/>
  <c r="N60" i="1"/>
  <c r="CB60" i="1"/>
  <c r="O61" i="1"/>
  <c r="W61" i="1"/>
  <c r="BC61" i="1"/>
  <c r="BT61" i="1"/>
  <c r="I62" i="1"/>
  <c r="I69" i="1" s="1"/>
  <c r="AH62" i="1"/>
  <c r="S63" i="1"/>
  <c r="AJ63" i="1"/>
  <c r="AY63" i="1"/>
  <c r="BP63" i="1"/>
  <c r="M64" i="1"/>
  <c r="M65" i="1" s="1"/>
  <c r="AQ64" i="1"/>
  <c r="AQ65" i="1" s="1"/>
  <c r="BR64" i="1"/>
  <c r="CB64" i="1"/>
  <c r="BS9" i="1"/>
  <c r="BS62" i="1" s="1"/>
  <c r="BQ6" i="1"/>
  <c r="BT9" i="1"/>
  <c r="BT62" i="1" s="1"/>
  <c r="O60" i="1"/>
  <c r="W60" i="1"/>
  <c r="BB60" i="1"/>
  <c r="BD61" i="1"/>
  <c r="BU61" i="1"/>
  <c r="Z62" i="1"/>
  <c r="AC63" i="1"/>
  <c r="BH63" i="1"/>
  <c r="N64" i="1"/>
  <c r="N65" i="1" s="1"/>
  <c r="BB64" i="1"/>
  <c r="BB65" i="1" s="1"/>
  <c r="BC60" i="1"/>
  <c r="BT60" i="1"/>
  <c r="I61" i="1"/>
  <c r="I68" i="1" s="1"/>
  <c r="AH61" i="1"/>
  <c r="S62" i="1"/>
  <c r="AJ62" i="1"/>
  <c r="AY62" i="1"/>
  <c r="BP62" i="1"/>
  <c r="M63" i="1"/>
  <c r="AQ63" i="1"/>
  <c r="CB63" i="1"/>
  <c r="O64" i="1"/>
  <c r="O65" i="1" s="1"/>
  <c r="W64" i="1"/>
  <c r="W65" i="1" s="1"/>
  <c r="BC64" i="1"/>
  <c r="BC65" i="1" s="1"/>
  <c r="BT64" i="1"/>
  <c r="BT65" i="1" s="1"/>
  <c r="I60" i="1"/>
  <c r="I67" i="1" s="1"/>
  <c r="AH60" i="1"/>
  <c r="BD60" i="1"/>
  <c r="BU60" i="1"/>
  <c r="Z61" i="1"/>
  <c r="AC62" i="1"/>
  <c r="BH62" i="1"/>
  <c r="N63" i="1"/>
  <c r="BB63" i="1"/>
  <c r="BD64" i="1"/>
  <c r="BD65" i="1" s="1"/>
  <c r="BU64" i="1"/>
  <c r="BU65" i="1" s="1"/>
  <c r="Z60" i="1"/>
  <c r="S61" i="1"/>
  <c r="AJ61" i="1"/>
  <c r="AY61" i="1"/>
  <c r="BP61" i="1"/>
  <c r="M62" i="1"/>
  <c r="AQ62" i="1"/>
  <c r="CB62" i="1"/>
  <c r="O63" i="1"/>
  <c r="W63" i="1"/>
  <c r="BC63" i="1"/>
  <c r="BT63" i="1"/>
  <c r="I64" i="1"/>
  <c r="I65" i="1" s="1"/>
  <c r="AH64" i="1"/>
  <c r="AH65" i="1" s="1"/>
  <c r="AI6" i="1"/>
  <c r="S60" i="1"/>
  <c r="AJ60" i="1"/>
  <c r="AC61" i="1"/>
  <c r="BH61" i="1"/>
  <c r="N62" i="1"/>
  <c r="BB62" i="1"/>
  <c r="BD63" i="1"/>
  <c r="BU63" i="1"/>
  <c r="Z64" i="1"/>
  <c r="AI18" i="1"/>
  <c r="BQ9" i="1"/>
  <c r="AC60" i="1"/>
  <c r="AY60" i="1"/>
  <c r="BP60" i="1"/>
  <c r="M61" i="1"/>
  <c r="AQ61" i="1"/>
  <c r="AJ64" i="1"/>
  <c r="AJ65" i="1" s="1"/>
  <c r="BR9" i="1"/>
  <c r="BR63" i="1" s="1"/>
  <c r="BH60" i="1"/>
  <c r="AZ62" i="1" l="1"/>
  <c r="AZ61" i="1"/>
  <c r="BS63" i="1"/>
  <c r="BS61" i="1"/>
  <c r="BS64" i="1"/>
  <c r="BS65" i="1" s="1"/>
  <c r="BS60" i="1"/>
  <c r="AZ63" i="1"/>
  <c r="AZ60" i="1"/>
  <c r="AI63" i="1"/>
  <c r="AI64" i="1"/>
  <c r="AI65" i="1" s="1"/>
  <c r="AI60" i="1"/>
  <c r="AI61" i="1"/>
  <c r="AI62" i="1"/>
  <c r="BR62" i="1"/>
  <c r="BQ64" i="1"/>
  <c r="BQ65" i="1" s="1"/>
  <c r="BQ60" i="1"/>
  <c r="BQ61" i="1"/>
  <c r="BQ62" i="1"/>
  <c r="BQ63" i="1"/>
  <c r="BR61" i="1"/>
  <c r="BR60" i="1"/>
</calcChain>
</file>

<file path=xl/sharedStrings.xml><?xml version="1.0" encoding="utf-8"?>
<sst xmlns="http://schemas.openxmlformats.org/spreadsheetml/2006/main" count="5281" uniqueCount="436">
  <si>
    <t>Specimen ID</t>
  </si>
  <si>
    <t>Complete?</t>
  </si>
  <si>
    <t>Host species</t>
  </si>
  <si>
    <t>Maturity?</t>
  </si>
  <si>
    <t>Gravid?</t>
  </si>
  <si>
    <t>No. tentacles out</t>
  </si>
  <si>
    <t>Position of uterus</t>
  </si>
  <si>
    <t>Notes</t>
  </si>
  <si>
    <t>Total length</t>
  </si>
  <si>
    <t>Proglottids</t>
  </si>
  <si>
    <r>
      <t xml:space="preserve">Terminal </t>
    </r>
    <r>
      <rPr>
        <b/>
        <sz val="12"/>
        <color theme="5"/>
        <rFont val="Calibri (Body)"/>
      </rPr>
      <t>(or posterior-most)</t>
    </r>
    <r>
      <rPr>
        <b/>
        <sz val="12"/>
        <color theme="4"/>
        <rFont val="Calibri"/>
        <family val="2"/>
        <scheme val="minor"/>
      </rPr>
      <t xml:space="preserve"> proglottid (mature)</t>
    </r>
  </si>
  <si>
    <t>Testes (mature)</t>
  </si>
  <si>
    <t>Cirrus sac  (mature)</t>
  </si>
  <si>
    <t>Ovary  (mature)</t>
  </si>
  <si>
    <t>Mehlis gland  (mature)</t>
  </si>
  <si>
    <t>Vitellaria (mature)</t>
  </si>
  <si>
    <t>Genital pore  (mature)</t>
  </si>
  <si>
    <t>Terminal proglottid (gravid)</t>
  </si>
  <si>
    <t>Testes (gravid)</t>
  </si>
  <si>
    <t>Cirrus sac (gravid)</t>
  </si>
  <si>
    <t>Ovary (gravid)</t>
  </si>
  <si>
    <t>Mehlis gland (gravid)</t>
  </si>
  <si>
    <t>Vitellaria (gravid)</t>
  </si>
  <si>
    <t>Genital pore (gravid)</t>
  </si>
  <si>
    <t>Eggs</t>
  </si>
  <si>
    <t>Scolex</t>
  </si>
  <si>
    <t>Ratios</t>
  </si>
  <si>
    <t>Tentacles</t>
  </si>
  <si>
    <t>Armature</t>
  </si>
  <si>
    <t>Total length (NOT incl. tentacles)</t>
  </si>
  <si>
    <t>Length of non-proglotized region</t>
  </si>
  <si>
    <t>Total number of proglottids</t>
  </si>
  <si>
    <t>Number of mature proglottids (inc. gravid progs)</t>
  </si>
  <si>
    <t>Number of mature proglottids (NOT inc. gravid progs)</t>
  </si>
  <si>
    <t>Number of immature proglottids</t>
  </si>
  <si>
    <t>Proportion of proglottids that are immature</t>
  </si>
  <si>
    <t>Number of gravid proglottids</t>
  </si>
  <si>
    <t>Posterior-most  imm. progl. length</t>
  </si>
  <si>
    <t>Posterior-most  imm. progl. width</t>
  </si>
  <si>
    <t>Length (mature)</t>
  </si>
  <si>
    <t>Max width (mature)</t>
  </si>
  <si>
    <t>Total number</t>
  </si>
  <si>
    <t>Number post-poral</t>
  </si>
  <si>
    <t>Number pre-poral</t>
  </si>
  <si>
    <t>Length</t>
  </si>
  <si>
    <t>Width</t>
  </si>
  <si>
    <t>Number of lobes</t>
  </si>
  <si>
    <t>Longest lobe length</t>
  </si>
  <si>
    <t>Max total ovary width</t>
  </si>
  <si>
    <t>Max length</t>
  </si>
  <si>
    <t>Follicle length</t>
  </si>
  <si>
    <t>Follicle width</t>
  </si>
  <si>
    <t>Distance from posterior</t>
  </si>
  <si>
    <t>Percentage from posterior</t>
  </si>
  <si>
    <t>Length (gravid)</t>
  </si>
  <si>
    <t>Max width (gravid)</t>
  </si>
  <si>
    <t>Max width</t>
  </si>
  <si>
    <t>Egg diameter</t>
  </si>
  <si>
    <t>Pars vaginalis length</t>
  </si>
  <si>
    <t>Pars bulbosa length</t>
  </si>
  <si>
    <t>Pars post-bulbosa length</t>
  </si>
  <si>
    <t>Pars vaginalis width (at mid)</t>
  </si>
  <si>
    <t>Pars bulbosa width (at mid)</t>
  </si>
  <si>
    <t>Bulb length</t>
  </si>
  <si>
    <t>Bulb width</t>
  </si>
  <si>
    <t>Retractor muscle width (within bulbs)</t>
  </si>
  <si>
    <t>Bothrial length</t>
  </si>
  <si>
    <t>Bothrial width</t>
  </si>
  <si>
    <t>Pars bothrialis length</t>
  </si>
  <si>
    <t>Pars bothrialis width</t>
  </si>
  <si>
    <t>Location of max width</t>
  </si>
  <si>
    <t>Scolex width : length</t>
  </si>
  <si>
    <t>Bulb width : length</t>
  </si>
  <si>
    <t>Pars bothrialis length : pars vaginalis length</t>
  </si>
  <si>
    <t>Pars bothrialis length : pars bulbosa length</t>
  </si>
  <si>
    <t xml:space="preserve">Maximum tentacle length </t>
  </si>
  <si>
    <t>Tentacle width at base (no hooks)</t>
  </si>
  <si>
    <t>Tentacle diameter at basal swelling (no hooks)</t>
  </si>
  <si>
    <t>Metabasal tentacle width (no hooks)</t>
  </si>
  <si>
    <t>No. rows of hooks in basal armature</t>
  </si>
  <si>
    <t>No. hooks per row in basal armature</t>
  </si>
  <si>
    <t>Total no. hooks in basal armature</t>
  </si>
  <si>
    <t>No. hooks per row in metabasal armature</t>
  </si>
  <si>
    <t>Distance between 1(1')</t>
  </si>
  <si>
    <t>Macrohook length</t>
  </si>
  <si>
    <t>Macrohook base</t>
  </si>
  <si>
    <t>Macrohook height</t>
  </si>
  <si>
    <t>Hook 1(1') length</t>
  </si>
  <si>
    <t>Hook 1(1') base</t>
  </si>
  <si>
    <t>Hook 1(1') height</t>
  </si>
  <si>
    <t>Hook 2(2') length</t>
  </si>
  <si>
    <t>Hook  2(2') base</t>
  </si>
  <si>
    <t>Hook 2(2') height</t>
  </si>
  <si>
    <t>Hook 3(3') length</t>
  </si>
  <si>
    <t>Hook  3(3') base</t>
  </si>
  <si>
    <t>Hook 3(3') height</t>
  </si>
  <si>
    <t>Hook 4(4') length</t>
  </si>
  <si>
    <t>Hook  4(4') base</t>
  </si>
  <si>
    <t>Hook 4(4') height</t>
  </si>
  <si>
    <t>Hook 5(5') length</t>
  </si>
  <si>
    <t>Hook 5(5') base</t>
  </si>
  <si>
    <t>Hook 5(5') height</t>
  </si>
  <si>
    <t>Hook 6(6') length</t>
  </si>
  <si>
    <t>Hook 6(6') base</t>
  </si>
  <si>
    <t>Hook 6(6') height</t>
  </si>
  <si>
    <t>Hook 7(7') length</t>
  </si>
  <si>
    <t>Hook 7(7') base</t>
  </si>
  <si>
    <t>Hook 7(7') height</t>
  </si>
  <si>
    <t>CH-15-1</t>
  </si>
  <si>
    <t>complete</t>
  </si>
  <si>
    <t>Rhinoptera brasiliensis</t>
  </si>
  <si>
    <t>mature</t>
  </si>
  <si>
    <t>yes</t>
  </si>
  <si>
    <t>dorsal</t>
  </si>
  <si>
    <t>whole worm + hooks drawn</t>
  </si>
  <si>
    <t>NA</t>
  </si>
  <si>
    <t>gravid prog</t>
  </si>
  <si>
    <t>CH-15-2</t>
  </si>
  <si>
    <t>9 to 10</t>
  </si>
  <si>
    <t>CH-15-3</t>
  </si>
  <si>
    <t>8 to 9</t>
  </si>
  <si>
    <t>CH-18-2</t>
  </si>
  <si>
    <t>Rhinoptera bonasus</t>
  </si>
  <si>
    <t>immature</t>
  </si>
  <si>
    <t>no</t>
  </si>
  <si>
    <t>hooks drawn</t>
  </si>
  <si>
    <t xml:space="preserve">9 to 10 </t>
  </si>
  <si>
    <t>CH-18-3</t>
  </si>
  <si>
    <t>bothria</t>
  </si>
  <si>
    <t>10 to 11</t>
  </si>
  <si>
    <t>CH-18-4</t>
  </si>
  <si>
    <t>bulbs</t>
  </si>
  <si>
    <t>CH-32-1</t>
  </si>
  <si>
    <t>ventral</t>
  </si>
  <si>
    <t>7 to 8</t>
  </si>
  <si>
    <t>CH-32-2</t>
  </si>
  <si>
    <t>incomplete</t>
  </si>
  <si>
    <t>terminal gravid proglottid dehisced or broken off</t>
  </si>
  <si>
    <t>8 to 9?</t>
  </si>
  <si>
    <t>MS05-49-1</t>
  </si>
  <si>
    <t>tentacle barely out past basal armature</t>
  </si>
  <si>
    <t>MS05-49-2</t>
  </si>
  <si>
    <t>MS05-299-1</t>
  </si>
  <si>
    <t>TP drawn</t>
  </si>
  <si>
    <t>10?</t>
  </si>
  <si>
    <t>MS05-299-2</t>
  </si>
  <si>
    <t>MS05-299-3</t>
  </si>
  <si>
    <t>11?</t>
  </si>
  <si>
    <t>MS05-300-1</t>
  </si>
  <si>
    <t>﻿88</t>
  </si>
  <si>
    <t>9?</t>
  </si>
  <si>
    <t>MS05-300-2</t>
  </si>
  <si>
    <t>term prog</t>
  </si>
  <si>
    <t>(max width</t>
  </si>
  <si>
    <t>at prog)</t>
  </si>
  <si>
    <t>SE-84-1</t>
  </si>
  <si>
    <t>Rhinoptera marginata</t>
  </si>
  <si>
    <t>recently mature</t>
  </si>
  <si>
    <t>SE-138-1</t>
  </si>
  <si>
    <t>Holotype (USNM 1369398)</t>
  </si>
  <si>
    <t>broken into several fragments</t>
  </si>
  <si>
    <t>﻿37</t>
  </si>
  <si>
    <t>﻿33</t>
  </si>
  <si>
    <t>﻿427</t>
  </si>
  <si>
    <t>﻿71</t>
  </si>
  <si>
    <t>﻿82</t>
  </si>
  <si>
    <t>minimum</t>
  </si>
  <si>
    <t>8 to 11</t>
  </si>
  <si>
    <t>maximum</t>
  </si>
  <si>
    <t>average</t>
  </si>
  <si>
    <t>standard deviation</t>
  </si>
  <si>
    <t>no. measurements</t>
  </si>
  <si>
    <t>no. worms measured</t>
  </si>
  <si>
    <r>
      <rPr>
        <sz val="12"/>
        <rFont val="Calibri (Body)"/>
      </rPr>
      <t>scolex drawn</t>
    </r>
    <r>
      <rPr>
        <sz val="12"/>
        <rFont val="Calibri"/>
        <family val="2"/>
        <scheme val="minor"/>
      </rPr>
      <t>; TP slightly side-mounted; cirrus out in some prog</t>
    </r>
  </si>
  <si>
    <r>
      <rPr>
        <sz val="12"/>
        <rFont val="Calibri (Body)"/>
      </rPr>
      <t>hooks drawn;</t>
    </r>
    <r>
      <rPr>
        <sz val="12"/>
        <rFont val="Calibri"/>
        <family val="2"/>
        <scheme val="minor"/>
      </rPr>
      <t xml:space="preserve"> cut in half for good flattening</t>
    </r>
  </si>
  <si>
    <t>minimum (mm)</t>
  </si>
  <si>
    <t>maximum (mm)</t>
  </si>
  <si>
    <t>average (mm)</t>
  </si>
  <si>
    <t>standard deviation (mm)</t>
  </si>
  <si>
    <t>(in T-1)</t>
  </si>
  <si>
    <t>Length of basal armature)</t>
  </si>
  <si>
    <t>terminal gravid prog slightly torn</t>
  </si>
  <si>
    <t>scolex side-mounted</t>
  </si>
  <si>
    <t>TP very mature</t>
  </si>
  <si>
    <t>very mature TP</t>
  </si>
  <si>
    <t>TP side-mounted</t>
  </si>
  <si>
    <t>lactophenol</t>
  </si>
  <si>
    <t>glycerin</t>
  </si>
  <si>
    <t>standard dev</t>
  </si>
  <si>
    <t>no. worms</t>
  </si>
  <si>
    <t>NT-105-1</t>
  </si>
  <si>
    <t>Pastinachus ater</t>
  </si>
  <si>
    <t>gravid</t>
  </si>
  <si>
    <t>terminal 2 progs detached</t>
  </si>
  <si>
    <t>AU-85-1</t>
  </si>
  <si>
    <t>incomplete (imm)</t>
  </si>
  <si>
    <t>Rhinoptera neglecta</t>
  </si>
  <si>
    <t>IMMATURE</t>
  </si>
  <si>
    <t>8 to 10</t>
  </si>
  <si>
    <t>KA-71-1</t>
  </si>
  <si>
    <t>Himantura tutul</t>
  </si>
  <si>
    <t>9 to 11</t>
  </si>
  <si>
    <t>KA-71-2</t>
  </si>
  <si>
    <t>NT-87-1</t>
  </si>
  <si>
    <t>dorsal?</t>
  </si>
  <si>
    <t>SAM 44088 (holotype)</t>
  </si>
  <si>
    <t>terminal end broken off</t>
  </si>
  <si>
    <t>Dasyatis fluviorum</t>
  </si>
  <si>
    <t>tentacles barely out beyond basal armature</t>
  </si>
  <si>
    <t>﻿35</t>
  </si>
  <si>
    <t>﻿496</t>
  </si>
  <si>
    <t>SAM 22773-2 (paratype)</t>
  </si>
  <si>
    <t>imm; incomplete</t>
  </si>
  <si>
    <t>tentacles out</t>
  </si>
  <si>
    <t>SAM 22773-3 (paratype)</t>
  </si>
  <si>
    <t>SAM 22773-6 (paratype)</t>
  </si>
  <si>
    <t>imm; scol only</t>
  </si>
  <si>
    <t>SAM 22773-7 (paratype)</t>
  </si>
  <si>
    <t>SAM 22773-8 (paratype)</t>
  </si>
  <si>
    <t>progs only</t>
  </si>
  <si>
    <t>USNM 79701 (paratype)</t>
  </si>
  <si>
    <t>tentacles very far our</t>
  </si>
  <si>
    <t>8 to 12</t>
  </si>
  <si>
    <t>stained with Carmine blue? mounted by I. Beveridge?</t>
  </si>
  <si>
    <r>
      <t xml:space="preserve">Terminal </t>
    </r>
    <r>
      <rPr>
        <b/>
        <sz val="12"/>
        <color theme="5"/>
        <rFont val="Calibri (Body)"/>
      </rPr>
      <t>(or posterior-most)</t>
    </r>
    <r>
      <rPr>
        <b/>
        <sz val="12"/>
        <color theme="4"/>
        <rFont val="Calibri"/>
        <family val="2"/>
        <scheme val="minor"/>
      </rPr>
      <t xml:space="preserve"> </t>
    </r>
    <r>
      <rPr>
        <b/>
        <sz val="12"/>
        <rFont val="Calibri (Body)"/>
      </rPr>
      <t>mature proglottid</t>
    </r>
  </si>
  <si>
    <t>Length of basal armature )</t>
  </si>
  <si>
    <t>possibly incomplete</t>
  </si>
  <si>
    <t>tentacles barely out</t>
  </si>
  <si>
    <t>KSH specimen?</t>
  </si>
  <si>
    <t>Tentacles out?</t>
  </si>
  <si>
    <r>
      <t xml:space="preserve">Terminal proglottid (or </t>
    </r>
    <r>
      <rPr>
        <b/>
        <sz val="12"/>
        <color theme="5"/>
        <rFont val="Calibri (Body)"/>
      </rPr>
      <t>terminal-most mat prog in grav worms)</t>
    </r>
  </si>
  <si>
    <r>
      <t xml:space="preserve">Testes (TP or </t>
    </r>
    <r>
      <rPr>
        <b/>
        <sz val="12"/>
        <color theme="5"/>
        <rFont val="Calibri (Body)"/>
      </rPr>
      <t>terminal-most mat prog in grav worms)</t>
    </r>
  </si>
  <si>
    <r>
      <t xml:space="preserve">Cirrus sac (TP or </t>
    </r>
    <r>
      <rPr>
        <b/>
        <sz val="12"/>
        <color theme="5"/>
        <rFont val="Calibri (Body)"/>
      </rPr>
      <t>terminal-most mat prog in grav worms)</t>
    </r>
  </si>
  <si>
    <r>
      <t xml:space="preserve">Ovary (TP or </t>
    </r>
    <r>
      <rPr>
        <b/>
        <sz val="12"/>
        <color theme="5"/>
        <rFont val="Calibri (Body)"/>
      </rPr>
      <t>terminal-most mat prog in grav worms)</t>
    </r>
  </si>
  <si>
    <r>
      <t>Mehlis gland (TP</t>
    </r>
    <r>
      <rPr>
        <b/>
        <sz val="12"/>
        <color theme="5"/>
        <rFont val="Calibri (Body)"/>
      </rPr>
      <t xml:space="preserve"> or terminal-most mat prog in grav worms)</t>
    </r>
  </si>
  <si>
    <r>
      <t xml:space="preserve">Vitellaria (TP or </t>
    </r>
    <r>
      <rPr>
        <b/>
        <sz val="12"/>
        <color theme="5"/>
        <rFont val="Calibri (Body)"/>
      </rPr>
      <t>terminal-most mat prog in grav worms)</t>
    </r>
  </si>
  <si>
    <r>
      <t xml:space="preserve">Genital pore (TP </t>
    </r>
    <r>
      <rPr>
        <b/>
        <sz val="12"/>
        <color theme="5"/>
        <rFont val="Calibri (Body)"/>
      </rPr>
      <t>or terminal-most mat prog in grav worms)</t>
    </r>
  </si>
  <si>
    <t>Vitelline follicles (gravid)</t>
  </si>
  <si>
    <t>Total number (mature prog)</t>
  </si>
  <si>
    <t>Number post-poral (mature prog)</t>
  </si>
  <si>
    <t>Number pre-poral (mature prog)</t>
  </si>
  <si>
    <t>Length (mature prog)</t>
  </si>
  <si>
    <t>Width (mature prog)</t>
  </si>
  <si>
    <t>Length (term mat prog)</t>
  </si>
  <si>
    <t>Width (term mat prog)</t>
  </si>
  <si>
    <t>Longest lobe length (term mat prog)</t>
  </si>
  <si>
    <t>Max width (term mat prog)</t>
  </si>
  <si>
    <t>Follicle length (mature prog)</t>
  </si>
  <si>
    <t>Follicle width (mature prog)</t>
  </si>
  <si>
    <t>Total number (gravid prog)</t>
  </si>
  <si>
    <t>Number post-poral (gravid prog)</t>
  </si>
  <si>
    <t>Number pre-pora (gravid prog)</t>
  </si>
  <si>
    <t>Length (gravid prog)</t>
  </si>
  <si>
    <t>Width (gravid prog)</t>
  </si>
  <si>
    <t>Everted width at base (gravid prog)</t>
  </si>
  <si>
    <t>Everted width at tip (gravid prog)</t>
  </si>
  <si>
    <t>No. lobes</t>
  </si>
  <si>
    <t>Longest lobe length (gravid prog)</t>
  </si>
  <si>
    <t>Max width (gravid prog)</t>
  </si>
  <si>
    <t>Follicle length (gravid prog)</t>
  </si>
  <si>
    <t>Follicle width (gravid prog)</t>
  </si>
  <si>
    <t>Distance from posterior (gravid prog)</t>
  </si>
  <si>
    <t>Percentage from posterior (gravid prog)</t>
  </si>
  <si>
    <t>Length of basal armature</t>
  </si>
  <si>
    <t>Hook  6(6') base</t>
  </si>
  <si>
    <t>Hook  7(7') base</t>
  </si>
  <si>
    <t>CM03-31-2</t>
  </si>
  <si>
    <t>R. neglecta</t>
  </si>
  <si>
    <t>very mature</t>
  </si>
  <si>
    <t>no (a few small eggs in post uterus)</t>
  </si>
  <si>
    <t>side-mounted</t>
  </si>
  <si>
    <t>CM03-31-3</t>
  </si>
  <si>
    <t>complete (T-1 torn)</t>
  </si>
  <si>
    <t>tentacles partly out</t>
  </si>
  <si>
    <t>CM03-31-4</t>
  </si>
  <si>
    <t>cirrus everted</t>
  </si>
  <si>
    <t>CM03-31-5</t>
  </si>
  <si>
    <t>T-1 slightly side-mounted</t>
  </si>
  <si>
    <t>CM03-31-6</t>
  </si>
  <si>
    <t>a little bit side-mounted</t>
  </si>
  <si>
    <t>CM03-31-7</t>
  </si>
  <si>
    <t>CM03-31-8</t>
  </si>
  <si>
    <t>changes from 7 to 6 hooks per row at distal end of tentacle</t>
  </si>
  <si>
    <t>7 to 6</t>
  </si>
  <si>
    <t>CM03-31-9</t>
  </si>
  <si>
    <t>metabasal barely out; basal armature drawn</t>
  </si>
  <si>
    <t>6 to 7</t>
  </si>
  <si>
    <t>AU-85-2</t>
  </si>
  <si>
    <t>CM03-29-1</t>
  </si>
  <si>
    <t>A. ocellatus</t>
  </si>
  <si>
    <t>incomplete (broken)</t>
  </si>
  <si>
    <t>broken at anterior strobila</t>
  </si>
  <si>
    <t>7?</t>
  </si>
  <si>
    <t>CM03-29-2</t>
  </si>
  <si>
    <t>strobila side-mounted; clear view of genital pores</t>
  </si>
  <si>
    <t>CM03-29-3</t>
  </si>
  <si>
    <t>cirrus everted in gravid prog</t>
  </si>
  <si>
    <r>
      <t>AHC 35449 (</t>
    </r>
    <r>
      <rPr>
        <i/>
        <sz val="12"/>
        <color theme="1"/>
        <rFont val="Calibri"/>
        <family val="2"/>
        <scheme val="minor"/>
      </rPr>
      <t>P. jensenae</t>
    </r>
    <r>
      <rPr>
        <sz val="12"/>
        <color theme="1"/>
        <rFont val="Calibri"/>
        <family val="2"/>
        <scheme val="minor"/>
      </rPr>
      <t xml:space="preserve"> paratype)</t>
    </r>
  </si>
  <si>
    <r>
      <t>"</t>
    </r>
    <r>
      <rPr>
        <i/>
        <sz val="12"/>
        <color theme="1"/>
        <rFont val="Calibri"/>
        <family val="2"/>
        <scheme val="minor"/>
      </rPr>
      <t>Himantura uarnak</t>
    </r>
    <r>
      <rPr>
        <sz val="12"/>
        <color theme="1"/>
        <rFont val="Calibri"/>
        <family val="2"/>
        <scheme val="minor"/>
      </rPr>
      <t>"</t>
    </r>
  </si>
  <si>
    <t>incomplete; scol only</t>
  </si>
  <si>
    <r>
      <t>AHC 35450 (</t>
    </r>
    <r>
      <rPr>
        <i/>
        <sz val="12"/>
        <color theme="1"/>
        <rFont val="Calibri"/>
        <family val="2"/>
        <scheme val="minor"/>
      </rPr>
      <t>P. jensenae</t>
    </r>
    <r>
      <rPr>
        <sz val="12"/>
        <color theme="1"/>
        <rFont val="Calibri"/>
        <family val="2"/>
        <scheme val="minor"/>
      </rPr>
      <t xml:space="preserve"> paratype)</t>
    </r>
  </si>
  <si>
    <r>
      <t>"</t>
    </r>
    <r>
      <rPr>
        <i/>
        <sz val="12"/>
        <color theme="1"/>
        <rFont val="Calibri"/>
        <family val="2"/>
        <scheme val="minor"/>
      </rPr>
      <t>Pastinachus sephen</t>
    </r>
    <r>
      <rPr>
        <sz val="12"/>
        <color theme="1"/>
        <rFont val="Calibri"/>
        <family val="2"/>
        <scheme val="minor"/>
      </rPr>
      <t>"</t>
    </r>
  </si>
  <si>
    <t>573
575
576</t>
  </si>
  <si>
    <r>
      <t>AHC 35443 (</t>
    </r>
    <r>
      <rPr>
        <i/>
        <sz val="12"/>
        <color theme="1"/>
        <rFont val="Calibri"/>
        <family val="2"/>
        <scheme val="minor"/>
      </rPr>
      <t>P. jensenae</t>
    </r>
    <r>
      <rPr>
        <sz val="12"/>
        <color theme="1"/>
        <rFont val="Calibri"/>
        <family val="2"/>
        <scheme val="minor"/>
      </rPr>
      <t xml:space="preserve"> paratype)</t>
    </r>
  </si>
  <si>
    <r>
      <rPr>
        <i/>
        <sz val="12"/>
        <color theme="1"/>
        <rFont val="Calibri"/>
        <family val="2"/>
        <scheme val="minor"/>
      </rPr>
      <t>Rhinoptera neglecta</t>
    </r>
    <r>
      <rPr>
        <sz val="12"/>
        <color theme="1"/>
        <rFont val="Calibri"/>
        <family val="2"/>
        <scheme val="minor"/>
      </rPr>
      <t xml:space="preserve"> (CM03-31)</t>
    </r>
  </si>
  <si>
    <r>
      <t>AHC 35448 (</t>
    </r>
    <r>
      <rPr>
        <i/>
        <sz val="12"/>
        <color theme="1"/>
        <rFont val="Calibri"/>
        <family val="2"/>
        <scheme val="minor"/>
      </rPr>
      <t>P. jensenae</t>
    </r>
    <r>
      <rPr>
        <sz val="12"/>
        <color theme="1"/>
        <rFont val="Calibri"/>
        <family val="2"/>
        <scheme val="minor"/>
      </rPr>
      <t xml:space="preserve"> paratype)</t>
    </r>
  </si>
  <si>
    <t>6 to 8</t>
  </si>
  <si>
    <t>Terminal proglottid (mature)</t>
  </si>
  <si>
    <t>Testes</t>
  </si>
  <si>
    <t>Cirrus sac</t>
  </si>
  <si>
    <t>Ovary</t>
  </si>
  <si>
    <t>Mehlis gland</t>
  </si>
  <si>
    <t>Vitellaria</t>
  </si>
  <si>
    <t>Genital pore</t>
  </si>
  <si>
    <t>Hook 8(8') length</t>
  </si>
  <si>
    <t>Hook 8(8') base</t>
  </si>
  <si>
    <t>Hook 8(8') height</t>
  </si>
  <si>
    <t>Hook 9(9') length</t>
  </si>
  <si>
    <t>Hook 9(9') base</t>
  </si>
  <si>
    <t>Hook 9(9') height</t>
  </si>
  <si>
    <t>KA-32-1</t>
  </si>
  <si>
    <t>scol only</t>
  </si>
  <si>
    <t>P. ater</t>
  </si>
  <si>
    <t>can't tell if immature or broken</t>
  </si>
  <si>
    <t>5 or 6</t>
  </si>
  <si>
    <t>8 distal</t>
  </si>
  <si>
    <t>9 basal</t>
  </si>
  <si>
    <t>KA-44-1</t>
  </si>
  <si>
    <t>P. solocirostris</t>
  </si>
  <si>
    <t>broken, not immature</t>
  </si>
  <si>
    <t>KA-44-2</t>
  </si>
  <si>
    <t>immature, not broken</t>
  </si>
  <si>
    <t>KA-44-3</t>
  </si>
  <si>
    <t>8–7 distal</t>
  </si>
  <si>
    <t>KA-44-4</t>
  </si>
  <si>
    <t>BO-164-1</t>
  </si>
  <si>
    <t>nice strobila; scolex okay</t>
  </si>
  <si>
    <t>TP</t>
  </si>
  <si>
    <t>BO-164-2</t>
  </si>
  <si>
    <t>whole worm drawn</t>
  </si>
  <si>
    <t>TP (grav)</t>
  </si>
  <si>
    <t>BO-164-3</t>
  </si>
  <si>
    <t>nice strobila</t>
  </si>
  <si>
    <t>BO-177-1</t>
  </si>
  <si>
    <t>terminal proglottid broken off</t>
  </si>
  <si>
    <t>BO-177-2</t>
  </si>
  <si>
    <t>slight break in posterior margin of TP; TP slightly side-mounted</t>
  </si>
  <si>
    <t>BO-177-3</t>
  </si>
  <si>
    <t>strobila side-mounted</t>
  </si>
  <si>
    <t>BO-177-4</t>
  </si>
  <si>
    <t>AHC 35424</t>
  </si>
  <si>
    <t>P. gracilicaudus</t>
  </si>
  <si>
    <t>TO; ex BO-99</t>
  </si>
  <si>
    <t>﻿66</t>
  </si>
  <si>
    <t>﻿590</t>
  </si>
  <si>
    <t>﻿91</t>
  </si>
  <si>
    <t>﻿31</t>
  </si>
  <si>
    <t>﻿215</t>
  </si>
  <si>
    <t>﻿25</t>
  </si>
  <si>
    <t>AHC 35423</t>
  </si>
  <si>
    <t>ot measuring scol features; ex BO-99</t>
  </si>
  <si>
    <t>`</t>
  </si>
  <si>
    <t>Distance from posterior (mature prog)</t>
  </si>
  <si>
    <t>Percentage from posterior (mature prog)</t>
  </si>
  <si>
    <t>Total number (gravid)</t>
  </si>
  <si>
    <t>Number post-poral (gravid)</t>
  </si>
  <si>
    <t>Number pre-poral (gravid)</t>
  </si>
  <si>
    <t>Number of lobes (gravid prog)</t>
  </si>
  <si>
    <t>Max length (gravid prog)</t>
  </si>
  <si>
    <t>MZ-1-1</t>
  </si>
  <si>
    <t>R. jayakari</t>
  </si>
  <si>
    <t>MZ-1-2</t>
  </si>
  <si>
    <t>MZ-1-3</t>
  </si>
  <si>
    <t>complete (imm)</t>
  </si>
  <si>
    <t>immature-strobila and proglottids not measured; 6 hooks per row distally</t>
  </si>
  <si>
    <t>MZ-1-5</t>
  </si>
  <si>
    <t>complete (TP partly off)</t>
  </si>
  <si>
    <t>?</t>
  </si>
  <si>
    <t>MZ-1-6</t>
  </si>
  <si>
    <t>(tilted)</t>
  </si>
  <si>
    <t>MZ-1-7</t>
  </si>
  <si>
    <t>MZ-3-1</t>
  </si>
  <si>
    <t>complete (curvy)</t>
  </si>
  <si>
    <t>TP slightly side-mounted</t>
  </si>
  <si>
    <t>MZ-3-4</t>
  </si>
  <si>
    <t>MZ-3-5</t>
  </si>
  <si>
    <t>MZ-3-6</t>
  </si>
  <si>
    <t>MZ-3-7</t>
  </si>
  <si>
    <t>tentacles retracted</t>
  </si>
  <si>
    <t>MZ-4-2</t>
  </si>
  <si>
    <t>complete (torn)</t>
  </si>
  <si>
    <t>torn at T-4; tentacles partly out</t>
  </si>
  <si>
    <t>MZ-4-3</t>
  </si>
  <si>
    <t>MZ-4-4</t>
  </si>
  <si>
    <t>tentacles very far out; TP side-mounted</t>
  </si>
  <si>
    <t>MZ-4-5</t>
  </si>
  <si>
    <t>MZ-4-6</t>
  </si>
  <si>
    <t>MZ-4-7</t>
  </si>
  <si>
    <t>gravid but gravid TP broken; cirrus out</t>
  </si>
  <si>
    <t>MZ-4-8</t>
  </si>
  <si>
    <t>1 (barely)</t>
  </si>
  <si>
    <t>single tentacle barely out</t>
  </si>
  <si>
    <t>MZ-4-9</t>
  </si>
  <si>
    <t>HOLOTYPE</t>
  </si>
  <si>
    <t>MZ-4-10</t>
  </si>
  <si>
    <t>TP slightly broken</t>
  </si>
  <si>
    <t>MZ-4-11</t>
  </si>
  <si>
    <t>MZ-4-12</t>
  </si>
  <si>
    <t>total no. measurements</t>
  </si>
  <si>
    <t>BJ-1-1</t>
  </si>
  <si>
    <t>complete; broken</t>
  </si>
  <si>
    <t>two breaks in TP</t>
  </si>
  <si>
    <t>BJ-1-2</t>
  </si>
  <si>
    <t>small break in TP</t>
  </si>
  <si>
    <t>BJ-1-3</t>
  </si>
  <si>
    <t>break in anterior strobila and small break in TP</t>
  </si>
  <si>
    <t>BJ-355-1</t>
  </si>
  <si>
    <t>complete; in pieces</t>
  </si>
  <si>
    <t>in three pieces</t>
  </si>
  <si>
    <t>5 to 6</t>
  </si>
  <si>
    <t>BJ-355-2</t>
  </si>
  <si>
    <t>in three pieces; side-mounted</t>
  </si>
  <si>
    <t>BJ-317-1</t>
  </si>
  <si>
    <t>scolex drawn</t>
  </si>
  <si>
    <t>BJ-317-2</t>
  </si>
  <si>
    <t>BJ-317-3</t>
  </si>
  <si>
    <t>break in strob between T-1 and T-2</t>
  </si>
  <si>
    <t>BJ-317-4</t>
  </si>
  <si>
    <t>free mature proglottid only</t>
  </si>
  <si>
    <t>72 (base)</t>
  </si>
  <si>
    <t>(everted)</t>
  </si>
  <si>
    <t>36 (tip)</t>
  </si>
  <si>
    <t>BJ-672-1</t>
  </si>
  <si>
    <t>BJ-707-1</t>
  </si>
  <si>
    <t>5 to 7</t>
  </si>
  <si>
    <t>no. specimens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</si>
</sst>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5"/>
      <name val="Calibri (Body)"/>
    </font>
    <font>
      <sz val="12"/>
      <color theme="4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5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C00000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 (Body)"/>
    </font>
    <font>
      <sz val="12"/>
      <name val="Calibri (Body)"/>
    </font>
    <font>
      <sz val="8"/>
      <color theme="1"/>
      <name val="Calibri"/>
      <family val="2"/>
      <scheme val="minor"/>
    </font>
    <font>
      <sz val="8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3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auto="1"/>
      </right>
      <top/>
      <bottom style="thin">
        <color rgb="FF000000"/>
      </bottom>
      <diagonal/>
    </border>
    <border>
      <left style="double">
        <color auto="1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double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427">
    <xf numFmtId="0" fontId="0" fillId="0" borderId="0" xfId="0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textRotation="90" wrapText="1"/>
    </xf>
    <xf numFmtId="0" fontId="3" fillId="0" borderId="0" xfId="0" applyFont="1" applyAlignment="1">
      <alignment horizontal="left" textRotation="90" wrapText="1"/>
    </xf>
    <xf numFmtId="0" fontId="3" fillId="0" borderId="4" xfId="0" applyFont="1" applyBorder="1" applyAlignment="1">
      <alignment horizontal="left" textRotation="90" wrapText="1"/>
    </xf>
    <xf numFmtId="0" fontId="4" fillId="0" borderId="0" xfId="0" applyFont="1" applyAlignment="1">
      <alignment horizontal="left" textRotation="90" wrapText="1"/>
    </xf>
    <xf numFmtId="0" fontId="5" fillId="0" borderId="0" xfId="0" applyFont="1" applyAlignment="1">
      <alignment horizontal="left" textRotation="90" wrapText="1"/>
    </xf>
    <xf numFmtId="0" fontId="7" fillId="0" borderId="0" xfId="0" applyFont="1" applyAlignment="1">
      <alignment horizontal="left" textRotation="90" wrapText="1"/>
    </xf>
    <xf numFmtId="10" fontId="5" fillId="0" borderId="0" xfId="0" applyNumberFormat="1" applyFont="1" applyAlignment="1">
      <alignment horizontal="left" textRotation="90" wrapText="1"/>
    </xf>
    <xf numFmtId="0" fontId="2" fillId="0" borderId="0" xfId="0" applyFont="1" applyAlignment="1">
      <alignment horizontal="left" textRotation="90" wrapText="1"/>
    </xf>
    <xf numFmtId="0" fontId="0" fillId="0" borderId="0" xfId="0" applyAlignment="1">
      <alignment horizontal="left" textRotation="90" wrapText="1"/>
    </xf>
    <xf numFmtId="10" fontId="2" fillId="0" borderId="0" xfId="0" applyNumberFormat="1" applyFont="1" applyAlignment="1">
      <alignment horizontal="left" textRotation="90" wrapText="1"/>
    </xf>
    <xf numFmtId="10" fontId="2" fillId="0" borderId="2" xfId="0" applyNumberFormat="1" applyFont="1" applyBorder="1" applyAlignment="1">
      <alignment horizontal="left" textRotation="90" wrapText="1"/>
    </xf>
    <xf numFmtId="0" fontId="4" fillId="0" borderId="2" xfId="0" applyFont="1" applyBorder="1" applyAlignment="1">
      <alignment horizontal="left" textRotation="90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8" fillId="0" borderId="5" xfId="0" applyFont="1" applyBorder="1" applyAlignment="1">
      <alignment horizontal="left" textRotation="90" wrapText="1"/>
    </xf>
    <xf numFmtId="0" fontId="8" fillId="0" borderId="0" xfId="0" applyFont="1" applyAlignment="1">
      <alignment horizontal="left" textRotation="90" wrapText="1"/>
    </xf>
    <xf numFmtId="0" fontId="7" fillId="0" borderId="0" xfId="0" applyFont="1" applyAlignment="1">
      <alignment horizontal="left" textRotation="90"/>
    </xf>
    <xf numFmtId="10" fontId="7" fillId="0" borderId="0" xfId="0" applyNumberFormat="1" applyFont="1" applyAlignment="1">
      <alignment horizontal="left" textRotation="90" wrapText="1"/>
    </xf>
    <xf numFmtId="0" fontId="8" fillId="0" borderId="0" xfId="0" applyFont="1" applyAlignment="1">
      <alignment horizontal="left" textRotation="90"/>
    </xf>
    <xf numFmtId="10" fontId="0" fillId="0" borderId="0" xfId="0" applyNumberFormat="1" applyAlignment="1">
      <alignment horizontal="left" textRotation="90" wrapText="1"/>
    </xf>
    <xf numFmtId="10" fontId="0" fillId="0" borderId="2" xfId="0" applyNumberFormat="1" applyBorder="1" applyAlignment="1">
      <alignment horizontal="left" textRotation="90" wrapText="1"/>
    </xf>
    <xf numFmtId="0" fontId="8" fillId="0" borderId="3" xfId="0" applyFont="1" applyBorder="1" applyAlignment="1">
      <alignment horizontal="left" textRotation="90" wrapText="1"/>
    </xf>
    <xf numFmtId="0" fontId="8" fillId="0" borderId="2" xfId="0" applyFont="1" applyBorder="1" applyAlignment="1">
      <alignment horizontal="left" textRotation="90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textRotation="90" wrapText="1"/>
    </xf>
    <xf numFmtId="0" fontId="3" fillId="0" borderId="8" xfId="0" applyFont="1" applyBorder="1" applyAlignment="1">
      <alignment horizontal="left" textRotation="90" wrapText="1"/>
    </xf>
    <xf numFmtId="0" fontId="3" fillId="0" borderId="9" xfId="0" applyFont="1" applyBorder="1" applyAlignment="1">
      <alignment horizontal="left" textRotation="90" wrapText="1"/>
    </xf>
    <xf numFmtId="0" fontId="8" fillId="0" borderId="10" xfId="0" applyFont="1" applyBorder="1" applyAlignment="1">
      <alignment horizontal="left" textRotation="90" wrapText="1"/>
    </xf>
    <xf numFmtId="0" fontId="8" fillId="0" borderId="8" xfId="0" applyFont="1" applyBorder="1" applyAlignment="1">
      <alignment horizontal="left" textRotation="90" wrapText="1"/>
    </xf>
    <xf numFmtId="0" fontId="7" fillId="0" borderId="8" xfId="0" applyFont="1" applyBorder="1" applyAlignment="1">
      <alignment horizontal="left" textRotation="90"/>
    </xf>
    <xf numFmtId="0" fontId="7" fillId="0" borderId="8" xfId="0" applyFont="1" applyBorder="1" applyAlignment="1">
      <alignment horizontal="left" textRotation="90" wrapText="1"/>
    </xf>
    <xf numFmtId="10" fontId="7" fillId="0" borderId="8" xfId="0" applyNumberFormat="1" applyFont="1" applyBorder="1" applyAlignment="1">
      <alignment horizontal="left" textRotation="90" wrapText="1"/>
    </xf>
    <xf numFmtId="0" fontId="8" fillId="0" borderId="8" xfId="0" applyFont="1" applyBorder="1" applyAlignment="1">
      <alignment horizontal="left" textRotation="90"/>
    </xf>
    <xf numFmtId="0" fontId="0" fillId="0" borderId="8" xfId="0" applyBorder="1" applyAlignment="1">
      <alignment horizontal="left" textRotation="90" wrapText="1"/>
    </xf>
    <xf numFmtId="10" fontId="0" fillId="0" borderId="8" xfId="0" applyNumberFormat="1" applyBorder="1" applyAlignment="1">
      <alignment horizontal="left" textRotation="90" wrapText="1"/>
    </xf>
    <xf numFmtId="10" fontId="0" fillId="0" borderId="11" xfId="0" applyNumberFormat="1" applyBorder="1" applyAlignment="1">
      <alignment horizontal="left" textRotation="90" wrapText="1"/>
    </xf>
    <xf numFmtId="0" fontId="8" fillId="0" borderId="7" xfId="0" applyFont="1" applyBorder="1" applyAlignment="1">
      <alignment horizontal="left" textRotation="90" wrapText="1"/>
    </xf>
    <xf numFmtId="0" fontId="8" fillId="0" borderId="6" xfId="0" applyFont="1" applyBorder="1" applyAlignment="1">
      <alignment horizontal="left" textRotation="90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9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right" vertical="center"/>
    </xf>
    <xf numFmtId="9" fontId="10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horizontal="right" vertical="center"/>
    </xf>
    <xf numFmtId="9" fontId="0" fillId="3" borderId="0" xfId="0" applyNumberForma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9" fontId="10" fillId="3" borderId="0" xfId="0" applyNumberFormat="1" applyFont="1" applyFill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1" fontId="0" fillId="3" borderId="0" xfId="0" applyNumberFormat="1" applyFill="1" applyAlignment="1">
      <alignment horizontal="right" vertical="center"/>
    </xf>
    <xf numFmtId="164" fontId="0" fillId="3" borderId="0" xfId="0" applyNumberFormat="1" applyFill="1" applyAlignment="1">
      <alignment horizontal="right" vertical="center"/>
    </xf>
    <xf numFmtId="164" fontId="0" fillId="3" borderId="2" xfId="0" applyNumberFormat="1" applyFill="1" applyBorder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0" fillId="0" borderId="4" xfId="0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left" vertical="center" wrapText="1"/>
    </xf>
    <xf numFmtId="0" fontId="8" fillId="3" borderId="0" xfId="0" applyFont="1" applyFill="1" applyAlignment="1">
      <alignment horizontal="right" vertical="center"/>
    </xf>
    <xf numFmtId="9" fontId="7" fillId="3" borderId="0" xfId="0" applyNumberFormat="1" applyFont="1" applyFill="1" applyAlignment="1">
      <alignment horizontal="right" vertical="center"/>
    </xf>
    <xf numFmtId="9" fontId="7" fillId="0" borderId="0" xfId="0" applyNumberFormat="1" applyFont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1" fontId="0" fillId="0" borderId="2" xfId="0" applyNumberFormat="1" applyBorder="1" applyAlignment="1">
      <alignment horizontal="right" vertical="center"/>
    </xf>
    <xf numFmtId="0" fontId="10" fillId="3" borderId="0" xfId="0" applyFont="1" applyFill="1" applyAlignment="1">
      <alignment horizontal="right" vertical="center" wrapText="1"/>
    </xf>
    <xf numFmtId="0" fontId="0" fillId="0" borderId="3" xfId="0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11" fillId="4" borderId="12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vertical="center" wrapText="1"/>
    </xf>
    <xf numFmtId="0" fontId="0" fillId="0" borderId="14" xfId="0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0" fillId="0" borderId="14" xfId="0" applyNumberForma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1" fontId="0" fillId="0" borderId="14" xfId="0" applyNumberFormat="1" applyBorder="1" applyAlignment="1">
      <alignment horizontal="right" vertical="center"/>
    </xf>
    <xf numFmtId="0" fontId="0" fillId="3" borderId="16" xfId="0" applyFill="1" applyBorder="1" applyAlignment="1">
      <alignment vertical="center" wrapText="1"/>
    </xf>
    <xf numFmtId="0" fontId="0" fillId="3" borderId="16" xfId="0" applyFill="1" applyBorder="1" applyAlignment="1">
      <alignment vertical="center"/>
    </xf>
    <xf numFmtId="0" fontId="9" fillId="3" borderId="16" xfId="0" applyFont="1" applyFill="1" applyBorder="1" applyAlignment="1">
      <alignment vertical="center" wrapText="1"/>
    </xf>
    <xf numFmtId="0" fontId="0" fillId="3" borderId="17" xfId="0" applyFill="1" applyBorder="1" applyAlignment="1">
      <alignment vertical="center" wrapText="1"/>
    </xf>
    <xf numFmtId="0" fontId="0" fillId="3" borderId="18" xfId="0" applyFill="1" applyBorder="1" applyAlignment="1">
      <alignment vertic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right" vertical="center"/>
    </xf>
    <xf numFmtId="0" fontId="7" fillId="3" borderId="18" xfId="0" applyFont="1" applyFill="1" applyBorder="1" applyAlignment="1">
      <alignment horizontal="right" vertical="center"/>
    </xf>
    <xf numFmtId="0" fontId="12" fillId="3" borderId="18" xfId="0" applyFont="1" applyFill="1" applyBorder="1" applyAlignment="1">
      <alignment horizontal="right" vertical="center"/>
    </xf>
    <xf numFmtId="9" fontId="7" fillId="3" borderId="18" xfId="0" applyNumberFormat="1" applyFont="1" applyFill="1" applyBorder="1" applyAlignment="1">
      <alignment horizontal="right" vertical="center"/>
    </xf>
    <xf numFmtId="0" fontId="0" fillId="3" borderId="16" xfId="0" applyFill="1" applyBorder="1" applyAlignment="1">
      <alignment horizontal="right" vertical="center"/>
    </xf>
    <xf numFmtId="1" fontId="0" fillId="3" borderId="18" xfId="0" applyNumberFormat="1" applyFill="1" applyBorder="1" applyAlignment="1">
      <alignment horizontal="right" vertical="center"/>
    </xf>
    <xf numFmtId="164" fontId="0" fillId="3" borderId="17" xfId="0" applyNumberFormat="1" applyFill="1" applyBorder="1" applyAlignment="1">
      <alignment horizontal="right" vertical="center"/>
    </xf>
    <xf numFmtId="164" fontId="0" fillId="3" borderId="18" xfId="0" applyNumberFormat="1" applyFill="1" applyBorder="1" applyAlignment="1">
      <alignment horizontal="right" vertical="center"/>
    </xf>
    <xf numFmtId="164" fontId="0" fillId="3" borderId="16" xfId="0" applyNumberFormat="1" applyFill="1" applyBorder="1" applyAlignment="1">
      <alignment horizontal="right" vertical="center"/>
    </xf>
    <xf numFmtId="0" fontId="0" fillId="3" borderId="18" xfId="0" applyFill="1" applyBorder="1" applyAlignment="1">
      <alignment horizontal="right" vertical="center" wrapText="1"/>
    </xf>
    <xf numFmtId="0" fontId="0" fillId="3" borderId="2" xfId="0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12" fillId="3" borderId="0" xfId="0" applyFont="1" applyFill="1" applyAlignment="1">
      <alignment horizontal="right" vertical="center"/>
    </xf>
    <xf numFmtId="164" fontId="0" fillId="3" borderId="3" xfId="0" applyNumberFormat="1" applyFill="1" applyBorder="1" applyAlignment="1">
      <alignment horizontal="right" vertical="center"/>
    </xf>
    <xf numFmtId="0" fontId="0" fillId="3" borderId="20" xfId="0" applyFill="1" applyBorder="1" applyAlignment="1">
      <alignment vertical="center" wrapText="1"/>
    </xf>
    <xf numFmtId="0" fontId="0" fillId="3" borderId="20" xfId="0" applyFill="1" applyBorder="1" applyAlignment="1">
      <alignment vertical="center"/>
    </xf>
    <xf numFmtId="0" fontId="9" fillId="3" borderId="20" xfId="0" applyFont="1" applyFill="1" applyBorder="1" applyAlignment="1">
      <alignment vertical="center" wrapText="1"/>
    </xf>
    <xf numFmtId="0" fontId="0" fillId="3" borderId="21" xfId="0" applyFill="1" applyBorder="1" applyAlignment="1">
      <alignment vertical="center" wrapText="1"/>
    </xf>
    <xf numFmtId="0" fontId="0" fillId="3" borderId="22" xfId="0" applyFill="1" applyBorder="1" applyAlignment="1">
      <alignment vertical="center"/>
    </xf>
    <xf numFmtId="0" fontId="0" fillId="3" borderId="22" xfId="0" applyFill="1" applyBorder="1" applyAlignment="1">
      <alignment horizontal="left" vertical="center"/>
    </xf>
    <xf numFmtId="0" fontId="0" fillId="3" borderId="22" xfId="0" applyFill="1" applyBorder="1" applyAlignment="1">
      <alignment horizontal="right" vertical="center"/>
    </xf>
    <xf numFmtId="0" fontId="0" fillId="3" borderId="23" xfId="0" applyFill="1" applyBorder="1" applyAlignment="1">
      <alignment vertical="center" wrapText="1"/>
    </xf>
    <xf numFmtId="0" fontId="7" fillId="3" borderId="22" xfId="0" applyFont="1" applyFill="1" applyBorder="1" applyAlignment="1">
      <alignment horizontal="right" vertical="center"/>
    </xf>
    <xf numFmtId="9" fontId="0" fillId="3" borderId="22" xfId="0" applyNumberFormat="1" applyFill="1" applyBorder="1" applyAlignment="1">
      <alignment horizontal="right" vertical="center"/>
    </xf>
    <xf numFmtId="0" fontId="0" fillId="3" borderId="20" xfId="0" applyFill="1" applyBorder="1" applyAlignment="1">
      <alignment horizontal="right" vertical="center"/>
    </xf>
    <xf numFmtId="1" fontId="0" fillId="3" borderId="22" xfId="0" applyNumberFormat="1" applyFill="1" applyBorder="1" applyAlignment="1">
      <alignment horizontal="right" vertical="center"/>
    </xf>
    <xf numFmtId="164" fontId="0" fillId="3" borderId="21" xfId="0" applyNumberFormat="1" applyFill="1" applyBorder="1" applyAlignment="1">
      <alignment horizontal="right" vertical="center"/>
    </xf>
    <xf numFmtId="164" fontId="0" fillId="3" borderId="22" xfId="0" applyNumberFormat="1" applyFill="1" applyBorder="1" applyAlignment="1">
      <alignment horizontal="right" vertical="center"/>
    </xf>
    <xf numFmtId="164" fontId="0" fillId="3" borderId="20" xfId="0" applyNumberFormat="1" applyFill="1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right" vertical="center" wrapText="1"/>
    </xf>
    <xf numFmtId="0" fontId="0" fillId="0" borderId="24" xfId="0" applyBorder="1" applyAlignment="1">
      <alignment horizontal="right" vertical="center"/>
    </xf>
    <xf numFmtId="164" fontId="0" fillId="0" borderId="24" xfId="0" applyNumberFormat="1" applyBorder="1" applyAlignment="1">
      <alignment horizontal="right" vertical="center"/>
    </xf>
    <xf numFmtId="1" fontId="0" fillId="0" borderId="25" xfId="0" applyNumberFormat="1" applyBorder="1" applyAlignment="1">
      <alignment horizontal="right" vertical="center"/>
    </xf>
    <xf numFmtId="1" fontId="8" fillId="0" borderId="25" xfId="0" applyNumberFormat="1" applyFont="1" applyBorder="1" applyAlignment="1">
      <alignment horizontal="right" vertical="center"/>
    </xf>
    <xf numFmtId="1" fontId="8" fillId="0" borderId="24" xfId="0" applyNumberFormat="1" applyFont="1" applyBorder="1" applyAlignment="1">
      <alignment horizontal="right" vertical="center"/>
    </xf>
    <xf numFmtId="1" fontId="7" fillId="0" borderId="0" xfId="0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8" fillId="0" borderId="2" xfId="0" applyNumberFormat="1" applyFont="1" applyBorder="1" applyAlignment="1">
      <alignment horizontal="right" vertical="center"/>
    </xf>
    <xf numFmtId="1" fontId="8" fillId="0" borderId="0" xfId="0" applyNumberFormat="1" applyFont="1" applyAlignment="1">
      <alignment horizontal="right" vertical="center" wrapText="1"/>
    </xf>
    <xf numFmtId="1" fontId="13" fillId="0" borderId="0" xfId="0" applyNumberFormat="1" applyFont="1" applyAlignment="1">
      <alignment horizontal="right" vertical="center" wrapText="1"/>
    </xf>
    <xf numFmtId="1" fontId="8" fillId="0" borderId="0" xfId="0" applyNumberFormat="1" applyFont="1" applyAlignment="1">
      <alignment horizontal="left" vertical="center"/>
    </xf>
    <xf numFmtId="1" fontId="3" fillId="0" borderId="4" xfId="0" applyNumberFormat="1" applyFont="1" applyBorder="1" applyAlignment="1">
      <alignment horizontal="right" vertical="center" wrapText="1"/>
    </xf>
    <xf numFmtId="9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 wrapText="1"/>
    </xf>
    <xf numFmtId="164" fontId="13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horizontal="left" vertical="center"/>
    </xf>
    <xf numFmtId="164" fontId="3" fillId="0" borderId="4" xfId="0" applyNumberFormat="1" applyFont="1" applyBorder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3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3" borderId="19" xfId="0" applyFont="1" applyFill="1" applyBorder="1" applyAlignment="1">
      <alignment vertical="center" wrapText="1"/>
    </xf>
    <xf numFmtId="0" fontId="8" fillId="3" borderId="23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0" fontId="7" fillId="0" borderId="0" xfId="0" applyFont="1" applyFill="1" applyAlignment="1">
      <alignment horizontal="left" textRotation="90" wrapText="1"/>
    </xf>
    <xf numFmtId="0" fontId="7" fillId="0" borderId="8" xfId="0" applyFont="1" applyFill="1" applyBorder="1" applyAlignment="1">
      <alignment horizontal="left" textRotation="90" wrapText="1"/>
    </xf>
    <xf numFmtId="0" fontId="0" fillId="0" borderId="0" xfId="0" applyFill="1" applyAlignment="1">
      <alignment horizontal="right" vertical="center"/>
    </xf>
    <xf numFmtId="1" fontId="8" fillId="0" borderId="0" xfId="0" applyNumberFormat="1" applyFont="1" applyFill="1" applyAlignment="1">
      <alignment horizontal="right" vertical="center"/>
    </xf>
    <xf numFmtId="164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0" fillId="0" borderId="24" xfId="0" applyFill="1" applyBorder="1" applyAlignment="1">
      <alignment horizontal="right" vertical="center"/>
    </xf>
    <xf numFmtId="164" fontId="0" fillId="0" borderId="0" xfId="0" applyNumberFormat="1" applyFill="1" applyAlignment="1">
      <alignment horizontal="right" vertical="center"/>
    </xf>
    <xf numFmtId="164" fontId="0" fillId="0" borderId="24" xfId="0" applyNumberFormat="1" applyFill="1" applyBorder="1" applyAlignment="1">
      <alignment horizontal="right" vertical="center"/>
    </xf>
    <xf numFmtId="1" fontId="0" fillId="0" borderId="25" xfId="0" applyNumberFormat="1" applyFill="1" applyBorder="1" applyAlignment="1">
      <alignment horizontal="right" vertical="center"/>
    </xf>
    <xf numFmtId="1" fontId="0" fillId="0" borderId="24" xfId="0" applyNumberFormat="1" applyFill="1" applyBorder="1" applyAlignment="1">
      <alignment horizontal="right" vertical="center"/>
    </xf>
    <xf numFmtId="1" fontId="8" fillId="0" borderId="24" xfId="0" applyNumberFormat="1" applyFont="1" applyFill="1" applyBorder="1" applyAlignment="1">
      <alignment horizontal="right" vertical="center"/>
    </xf>
    <xf numFmtId="1" fontId="8" fillId="0" borderId="25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164" fontId="0" fillId="0" borderId="2" xfId="0" applyNumberFormat="1" applyFill="1" applyBorder="1" applyAlignment="1">
      <alignment horizontal="right" vertical="center"/>
    </xf>
    <xf numFmtId="1" fontId="0" fillId="0" borderId="0" xfId="0" applyNumberFormat="1" applyFill="1" applyAlignment="1">
      <alignment horizontal="right" vertical="center"/>
    </xf>
    <xf numFmtId="1" fontId="0" fillId="0" borderId="2" xfId="0" applyNumberFormat="1" applyFill="1" applyBorder="1" applyAlignment="1">
      <alignment horizontal="right" vertical="center"/>
    </xf>
    <xf numFmtId="1" fontId="8" fillId="0" borderId="2" xfId="0" applyNumberFormat="1" applyFont="1" applyFill="1" applyBorder="1" applyAlignment="1">
      <alignment horizontal="right" vertical="center"/>
    </xf>
    <xf numFmtId="164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left" textRotation="90" wrapText="1"/>
    </xf>
    <xf numFmtId="0" fontId="8" fillId="0" borderId="2" xfId="0" applyFont="1" applyFill="1" applyBorder="1" applyAlignment="1">
      <alignment horizontal="left" textRotation="90" wrapText="1"/>
    </xf>
    <xf numFmtId="0" fontId="8" fillId="0" borderId="3" xfId="0" applyFont="1" applyFill="1" applyBorder="1" applyAlignment="1">
      <alignment horizontal="left" textRotation="90" wrapText="1"/>
    </xf>
    <xf numFmtId="0" fontId="0" fillId="0" borderId="0" xfId="0" applyFill="1" applyAlignment="1">
      <alignment horizontal="left" textRotation="90" wrapText="1"/>
    </xf>
    <xf numFmtId="0" fontId="8" fillId="0" borderId="8" xfId="0" applyFont="1" applyFill="1" applyBorder="1" applyAlignment="1">
      <alignment horizontal="left" textRotation="90" wrapText="1"/>
    </xf>
    <xf numFmtId="0" fontId="8" fillId="0" borderId="6" xfId="0" applyFont="1" applyFill="1" applyBorder="1" applyAlignment="1">
      <alignment horizontal="left" textRotation="90" wrapText="1"/>
    </xf>
    <xf numFmtId="0" fontId="8" fillId="0" borderId="7" xfId="0" applyFont="1" applyFill="1" applyBorder="1" applyAlignment="1">
      <alignment horizontal="left" textRotation="90" wrapText="1"/>
    </xf>
    <xf numFmtId="0" fontId="0" fillId="0" borderId="8" xfId="0" applyFill="1" applyBorder="1" applyAlignment="1">
      <alignment horizontal="left" textRotation="90" wrapText="1"/>
    </xf>
    <xf numFmtId="0" fontId="8" fillId="0" borderId="14" xfId="0" applyFont="1" applyBorder="1" applyAlignment="1">
      <alignment horizontal="right" vertical="center"/>
    </xf>
    <xf numFmtId="0" fontId="8" fillId="3" borderId="18" xfId="0" applyFont="1" applyFill="1" applyBorder="1" applyAlignment="1">
      <alignment horizontal="right" vertical="center"/>
    </xf>
    <xf numFmtId="0" fontId="8" fillId="3" borderId="22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textRotation="90" wrapText="1"/>
    </xf>
    <xf numFmtId="0" fontId="0" fillId="0" borderId="14" xfId="0" applyBorder="1"/>
    <xf numFmtId="0" fontId="2" fillId="0" borderId="0" xfId="0" applyFont="1"/>
    <xf numFmtId="1" fontId="0" fillId="0" borderId="0" xfId="0" applyNumberFormat="1"/>
    <xf numFmtId="164" fontId="0" fillId="0" borderId="0" xfId="0" applyNumberFormat="1"/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10" fillId="0" borderId="0" xfId="0" applyNumberFormat="1" applyFont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8" fillId="3" borderId="5" xfId="0" applyFont="1" applyFill="1" applyBorder="1" applyAlignment="1">
      <alignment horizontal="right" vertical="center"/>
    </xf>
    <xf numFmtId="1" fontId="8" fillId="3" borderId="0" xfId="0" applyNumberFormat="1" applyFont="1" applyFill="1" applyAlignment="1">
      <alignment horizontal="right" vertical="center"/>
    </xf>
    <xf numFmtId="0" fontId="8" fillId="3" borderId="2" xfId="0" applyFont="1" applyFill="1" applyBorder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64" fontId="8" fillId="3" borderId="2" xfId="0" applyNumberFormat="1" applyFont="1" applyFill="1" applyBorder="1" applyAlignment="1">
      <alignment horizontal="right" vertical="center"/>
    </xf>
    <xf numFmtId="9" fontId="8" fillId="3" borderId="0" xfId="0" applyNumberFormat="1" applyFont="1" applyFill="1" applyAlignment="1">
      <alignment horizontal="right" vertical="center"/>
    </xf>
    <xf numFmtId="0" fontId="8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9" fontId="8" fillId="0" borderId="14" xfId="0" applyNumberFormat="1" applyFont="1" applyBorder="1" applyAlignment="1">
      <alignment horizontal="right" vertical="center"/>
    </xf>
    <xf numFmtId="1" fontId="7" fillId="0" borderId="14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" fontId="8" fillId="0" borderId="14" xfId="0" applyNumberFormat="1" applyFont="1" applyBorder="1" applyAlignment="1">
      <alignment horizontal="right" vertical="center"/>
    </xf>
    <xf numFmtId="164" fontId="8" fillId="0" borderId="13" xfId="0" applyNumberFormat="1" applyFont="1" applyBorder="1" applyAlignment="1">
      <alignment horizontal="right" vertical="center"/>
    </xf>
    <xf numFmtId="164" fontId="8" fillId="0" borderId="14" xfId="0" applyNumberFormat="1" applyFont="1" applyBorder="1" applyAlignment="1">
      <alignment horizontal="right" vertical="center"/>
    </xf>
    <xf numFmtId="164" fontId="8" fillId="0" borderId="11" xfId="0" applyNumberFormat="1" applyFont="1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right" vertical="center"/>
    </xf>
    <xf numFmtId="0" fontId="0" fillId="3" borderId="12" xfId="0" applyFill="1" applyBorder="1" applyAlignment="1">
      <alignment vertical="center" wrapText="1"/>
    </xf>
    <xf numFmtId="0" fontId="11" fillId="4" borderId="2" xfId="0" applyFont="1" applyFill="1" applyBorder="1" applyAlignment="1">
      <alignment horizontal="right" vertical="center"/>
    </xf>
    <xf numFmtId="0" fontId="0" fillId="3" borderId="30" xfId="0" applyFill="1" applyBorder="1" applyAlignment="1">
      <alignment vertical="center" wrapText="1"/>
    </xf>
    <xf numFmtId="0" fontId="0" fillId="3" borderId="22" xfId="0" applyFill="1" applyBorder="1" applyAlignment="1">
      <alignment vertical="center" wrapText="1"/>
    </xf>
    <xf numFmtId="164" fontId="8" fillId="3" borderId="22" xfId="0" applyNumberFormat="1" applyFont="1" applyFill="1" applyBorder="1" applyAlignment="1">
      <alignment horizontal="right" vertical="center"/>
    </xf>
    <xf numFmtId="164" fontId="8" fillId="3" borderId="20" xfId="0" applyNumberFormat="1" applyFont="1" applyFill="1" applyBorder="1" applyAlignment="1">
      <alignment horizontal="right" vertical="center"/>
    </xf>
    <xf numFmtId="0" fontId="0" fillId="3" borderId="21" xfId="0" applyFill="1" applyBorder="1" applyAlignment="1">
      <alignment horizontal="right" vertical="center"/>
    </xf>
    <xf numFmtId="0" fontId="11" fillId="4" borderId="20" xfId="0" applyFont="1" applyFill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164" fontId="0" fillId="0" borderId="25" xfId="0" applyNumberFormat="1" applyBorder="1" applyAlignment="1">
      <alignment horizontal="right" vertical="center"/>
    </xf>
    <xf numFmtId="1" fontId="0" fillId="0" borderId="24" xfId="0" applyNumberFormat="1" applyBorder="1" applyAlignment="1">
      <alignment horizontal="right" vertical="center"/>
    </xf>
    <xf numFmtId="1" fontId="0" fillId="0" borderId="0" xfId="0" applyNumberFormat="1" applyAlignment="1">
      <alignment horizontal="right" vertical="center" wrapText="1"/>
    </xf>
    <xf numFmtId="1" fontId="9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left" vertical="center"/>
    </xf>
    <xf numFmtId="1" fontId="2" fillId="0" borderId="4" xfId="0" applyNumberFormat="1" applyFont="1" applyBorder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 wrapText="1"/>
    </xf>
    <xf numFmtId="164" fontId="0" fillId="0" borderId="0" xfId="0" applyNumberFormat="1" applyAlignment="1">
      <alignment horizontal="left" vertical="center"/>
    </xf>
    <xf numFmtId="164" fontId="2" fillId="0" borderId="4" xfId="0" applyNumberFormat="1" applyFont="1" applyBorder="1" applyAlignment="1">
      <alignment horizontal="right" vertical="center" wrapText="1"/>
    </xf>
    <xf numFmtId="165" fontId="0" fillId="0" borderId="0" xfId="0" applyNumberFormat="1" applyAlignment="1">
      <alignment horizontal="right" vertical="center"/>
    </xf>
    <xf numFmtId="0" fontId="8" fillId="3" borderId="26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left" vertical="center" wrapText="1"/>
    </xf>
    <xf numFmtId="0" fontId="13" fillId="3" borderId="28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right" vertical="center" wrapText="1"/>
    </xf>
    <xf numFmtId="1" fontId="8" fillId="3" borderId="0" xfId="0" applyNumberFormat="1" applyFont="1" applyFill="1" applyAlignment="1">
      <alignment horizontal="right" vertical="center" wrapText="1"/>
    </xf>
    <xf numFmtId="9" fontId="8" fillId="3" borderId="18" xfId="0" applyNumberFormat="1" applyFont="1" applyFill="1" applyBorder="1" applyAlignment="1">
      <alignment horizontal="right" vertical="center" wrapText="1"/>
    </xf>
    <xf numFmtId="0" fontId="8" fillId="3" borderId="16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8" fillId="3" borderId="16" xfId="0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10" fontId="8" fillId="3" borderId="0" xfId="0" applyNumberFormat="1" applyFont="1" applyFill="1" applyAlignment="1">
      <alignment horizontal="right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/>
    </xf>
    <xf numFmtId="0" fontId="3" fillId="0" borderId="12" xfId="0" applyFont="1" applyBorder="1" applyAlignment="1">
      <alignment horizontal="left" textRotation="90" wrapText="1"/>
    </xf>
    <xf numFmtId="0" fontId="4" fillId="0" borderId="0" xfId="0" applyFont="1" applyAlignment="1">
      <alignment horizontal="left" textRotation="90"/>
    </xf>
    <xf numFmtId="10" fontId="4" fillId="0" borderId="0" xfId="0" applyNumberFormat="1" applyFont="1" applyAlignment="1">
      <alignment horizontal="left" textRotation="90" wrapText="1"/>
    </xf>
    <xf numFmtId="0" fontId="5" fillId="0" borderId="0" xfId="0" applyFont="1" applyAlignment="1">
      <alignment horizontal="left" textRotation="90"/>
    </xf>
    <xf numFmtId="10" fontId="3" fillId="0" borderId="2" xfId="0" applyNumberFormat="1" applyFont="1" applyBorder="1" applyAlignment="1">
      <alignment horizontal="left" textRotation="90" wrapText="1"/>
    </xf>
    <xf numFmtId="0" fontId="4" fillId="0" borderId="3" xfId="0" applyFont="1" applyBorder="1" applyAlignment="1">
      <alignment horizontal="left" textRotation="90"/>
    </xf>
    <xf numFmtId="0" fontId="4" fillId="0" borderId="2" xfId="0" applyFont="1" applyBorder="1" applyAlignment="1">
      <alignment horizontal="left" textRotation="90"/>
    </xf>
    <xf numFmtId="10" fontId="8" fillId="0" borderId="0" xfId="0" applyNumberFormat="1" applyFont="1" applyAlignment="1">
      <alignment horizontal="left" textRotation="90" wrapText="1"/>
    </xf>
    <xf numFmtId="10" fontId="8" fillId="0" borderId="2" xfId="0" applyNumberFormat="1" applyFont="1" applyBorder="1" applyAlignment="1">
      <alignment horizontal="left" textRotation="90" wrapText="1"/>
    </xf>
    <xf numFmtId="0" fontId="3" fillId="0" borderId="31" xfId="0" applyFont="1" applyBorder="1" applyAlignment="1">
      <alignment horizontal="left" textRotation="90" wrapText="1"/>
    </xf>
    <xf numFmtId="10" fontId="8" fillId="0" borderId="8" xfId="0" applyNumberFormat="1" applyFont="1" applyBorder="1" applyAlignment="1">
      <alignment horizontal="left" textRotation="90" wrapText="1"/>
    </xf>
    <xf numFmtId="10" fontId="8" fillId="0" borderId="11" xfId="0" applyNumberFormat="1" applyFont="1" applyBorder="1" applyAlignment="1">
      <alignment horizontal="left" textRotation="90" wrapText="1"/>
    </xf>
    <xf numFmtId="9" fontId="8" fillId="0" borderId="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9" fontId="8" fillId="3" borderId="2" xfId="0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0" fillId="0" borderId="14" xfId="0" applyBorder="1" applyAlignment="1">
      <alignment vertical="center" wrapText="1"/>
    </xf>
    <xf numFmtId="0" fontId="10" fillId="0" borderId="14" xfId="0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164" fontId="0" fillId="0" borderId="13" xfId="0" applyNumberFormat="1" applyBorder="1" applyAlignment="1">
      <alignment horizontal="right" vertical="center"/>
    </xf>
    <xf numFmtId="164" fontId="0" fillId="0" borderId="14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3" borderId="27" xfId="0" applyFill="1" applyBorder="1" applyAlignment="1">
      <alignment vertical="center" wrapText="1"/>
    </xf>
    <xf numFmtId="0" fontId="0" fillId="3" borderId="18" xfId="0" applyFill="1" applyBorder="1" applyAlignment="1">
      <alignment vertical="center" wrapText="1"/>
    </xf>
    <xf numFmtId="0" fontId="0" fillId="3" borderId="0" xfId="0" applyFill="1" applyAlignment="1">
      <alignment horizontal="right" vertical="center" wrapText="1"/>
    </xf>
    <xf numFmtId="1" fontId="0" fillId="3" borderId="0" xfId="0" applyNumberFormat="1" applyFill="1" applyAlignment="1">
      <alignment horizontal="right" vertical="center" wrapText="1"/>
    </xf>
    <xf numFmtId="0" fontId="0" fillId="0" borderId="20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7" fillId="0" borderId="22" xfId="0" applyFont="1" applyBorder="1" applyAlignment="1">
      <alignment horizontal="right" vertical="center"/>
    </xf>
    <xf numFmtId="164" fontId="7" fillId="0" borderId="22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1" fontId="0" fillId="0" borderId="22" xfId="0" applyNumberForma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164" fontId="0" fillId="0" borderId="22" xfId="0" applyNumberFormat="1" applyBorder="1" applyAlignment="1">
      <alignment horizontal="right" vertical="center"/>
    </xf>
    <xf numFmtId="164" fontId="0" fillId="0" borderId="20" xfId="0" applyNumberFormat="1" applyBorder="1" applyAlignment="1">
      <alignment horizontal="right" vertical="center"/>
    </xf>
    <xf numFmtId="1" fontId="0" fillId="0" borderId="2" xfId="0" applyNumberFormat="1" applyBorder="1" applyAlignment="1">
      <alignment vertical="center"/>
    </xf>
    <xf numFmtId="1" fontId="0" fillId="0" borderId="3" xfId="0" applyNumberFormat="1" applyBorder="1" applyAlignment="1">
      <alignment vertical="center" wrapText="1"/>
    </xf>
    <xf numFmtId="1" fontId="0" fillId="0" borderId="0" xfId="0" applyNumberFormat="1" applyAlignment="1">
      <alignment vertical="center" wrapText="1"/>
    </xf>
    <xf numFmtId="1" fontId="0" fillId="0" borderId="0" xfId="0" applyNumberFormat="1" applyAlignment="1">
      <alignment vertical="center"/>
    </xf>
    <xf numFmtId="1" fontId="0" fillId="0" borderId="32" xfId="0" applyNumberFormat="1" applyBorder="1" applyAlignment="1">
      <alignment horizontal="right"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0" fillId="0" borderId="0" xfId="0" applyNumberForma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" fontId="8" fillId="0" borderId="2" xfId="0" applyNumberFormat="1" applyFont="1" applyBorder="1" applyAlignment="1">
      <alignment vertical="center"/>
    </xf>
    <xf numFmtId="1" fontId="8" fillId="0" borderId="3" xfId="0" applyNumberFormat="1" applyFont="1" applyBorder="1" applyAlignment="1">
      <alignment vertical="center" wrapText="1"/>
    </xf>
    <xf numFmtId="1" fontId="8" fillId="0" borderId="0" xfId="0" applyNumberFormat="1" applyFont="1" applyAlignment="1">
      <alignment vertical="center" wrapText="1"/>
    </xf>
    <xf numFmtId="1" fontId="8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right" vertical="center" wrapText="1"/>
    </xf>
    <xf numFmtId="10" fontId="4" fillId="0" borderId="2" xfId="0" applyNumberFormat="1" applyFont="1" applyBorder="1" applyAlignment="1">
      <alignment horizontal="left" textRotation="90" wrapText="1"/>
    </xf>
    <xf numFmtId="0" fontId="0" fillId="0" borderId="33" xfId="1" applyFont="1" applyFill="1" applyBorder="1" applyAlignment="1">
      <alignment horizontal="right" vertical="center"/>
    </xf>
    <xf numFmtId="0" fontId="0" fillId="0" borderId="1" xfId="1" applyFont="1" applyFill="1" applyAlignment="1">
      <alignment horizontal="right" vertical="center"/>
    </xf>
    <xf numFmtId="0" fontId="0" fillId="0" borderId="34" xfId="1" applyFont="1" applyFill="1" applyBorder="1" applyAlignment="1">
      <alignment horizontal="right" vertical="center"/>
    </xf>
    <xf numFmtId="0" fontId="8" fillId="3" borderId="1" xfId="1" applyFont="1" applyFill="1" applyAlignment="1">
      <alignment horizontal="right" vertical="center"/>
    </xf>
    <xf numFmtId="9" fontId="0" fillId="3" borderId="2" xfId="0" applyNumberFormat="1" applyFill="1" applyBorder="1" applyAlignment="1">
      <alignment horizontal="right" vertical="center"/>
    </xf>
    <xf numFmtId="0" fontId="8" fillId="0" borderId="1" xfId="1" applyFont="1" applyFill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9" fontId="0" fillId="0" borderId="2" xfId="0" applyNumberFormat="1" applyBorder="1" applyAlignment="1">
      <alignment horizontal="right" vertical="center"/>
    </xf>
    <xf numFmtId="0" fontId="0" fillId="3" borderId="11" xfId="0" applyFill="1" applyBorder="1" applyAlignment="1">
      <alignment vertical="center"/>
    </xf>
    <xf numFmtId="0" fontId="0" fillId="3" borderId="13" xfId="0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0" fillId="3" borderId="14" xfId="0" applyFill="1" applyBorder="1" applyAlignment="1">
      <alignment vertical="center"/>
    </xf>
    <xf numFmtId="0" fontId="0" fillId="3" borderId="14" xfId="0" applyFill="1" applyBorder="1" applyAlignment="1">
      <alignment horizontal="left" vertical="center"/>
    </xf>
    <xf numFmtId="0" fontId="0" fillId="3" borderId="15" xfId="0" applyFill="1" applyBorder="1" applyAlignment="1">
      <alignment vertical="center" wrapText="1"/>
    </xf>
    <xf numFmtId="0" fontId="0" fillId="3" borderId="14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" fontId="0" fillId="3" borderId="14" xfId="0" applyNumberFormat="1" applyFill="1" applyBorder="1" applyAlignment="1">
      <alignment horizontal="right" vertical="center"/>
    </xf>
    <xf numFmtId="164" fontId="0" fillId="3" borderId="13" xfId="0" applyNumberFormat="1" applyFill="1" applyBorder="1" applyAlignment="1">
      <alignment horizontal="right" vertical="center"/>
    </xf>
    <xf numFmtId="164" fontId="0" fillId="3" borderId="14" xfId="0" applyNumberFormat="1" applyFill="1" applyBorder="1" applyAlignment="1">
      <alignment horizontal="right" vertical="center"/>
    </xf>
    <xf numFmtId="164" fontId="0" fillId="3" borderId="11" xfId="0" applyNumberFormat="1" applyFill="1" applyBorder="1" applyAlignment="1">
      <alignment horizontal="right" vertical="center"/>
    </xf>
    <xf numFmtId="0" fontId="8" fillId="3" borderId="14" xfId="0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27" xfId="0" applyBorder="1" applyAlignment="1">
      <alignment vertical="center" wrapText="1"/>
    </xf>
    <xf numFmtId="0" fontId="9" fillId="0" borderId="16" xfId="0" applyFont="1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9" fontId="0" fillId="0" borderId="18" xfId="0" applyNumberForma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0" fillId="3" borderId="31" xfId="0" applyFill="1" applyBorder="1" applyAlignment="1">
      <alignment vertical="center" wrapText="1"/>
    </xf>
    <xf numFmtId="0" fontId="9" fillId="3" borderId="11" xfId="0" applyFont="1" applyFill="1" applyBorder="1" applyAlignment="1">
      <alignment vertical="center"/>
    </xf>
    <xf numFmtId="0" fontId="0" fillId="3" borderId="14" xfId="0" applyFill="1" applyBorder="1" applyAlignment="1">
      <alignment vertical="center" wrapText="1"/>
    </xf>
    <xf numFmtId="0" fontId="0" fillId="3" borderId="13" xfId="0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1" fontId="0" fillId="0" borderId="16" xfId="0" applyNumberFormat="1" applyBorder="1" applyAlignment="1">
      <alignment horizontal="right" vertical="center"/>
    </xf>
    <xf numFmtId="164" fontId="0" fillId="0" borderId="17" xfId="0" applyNumberFormat="1" applyBorder="1" applyAlignment="1">
      <alignment horizontal="right" vertical="center"/>
    </xf>
    <xf numFmtId="164" fontId="0" fillId="0" borderId="18" xfId="0" applyNumberFormat="1" applyBorder="1" applyAlignment="1">
      <alignment horizontal="right" vertical="center"/>
    </xf>
    <xf numFmtId="164" fontId="0" fillId="0" borderId="16" xfId="0" applyNumberFormat="1" applyBorder="1" applyAlignment="1">
      <alignment horizontal="right" vertical="center"/>
    </xf>
    <xf numFmtId="1" fontId="0" fillId="0" borderId="17" xfId="0" applyNumberFormat="1" applyBorder="1" applyAlignment="1">
      <alignment horizontal="right" vertical="center"/>
    </xf>
    <xf numFmtId="1" fontId="0" fillId="0" borderId="18" xfId="0" applyNumberFormat="1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1" fontId="0" fillId="0" borderId="3" xfId="0" applyNumberFormat="1" applyBorder="1" applyAlignment="1">
      <alignment horizontal="right"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0" fillId="0" borderId="22" xfId="0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2" fillId="0" borderId="23" xfId="0" applyFont="1" applyBorder="1" applyAlignment="1">
      <alignment horizontal="right" vertical="center" wrapText="1"/>
    </xf>
    <xf numFmtId="0" fontId="0" fillId="0" borderId="21" xfId="0" applyBorder="1" applyAlignment="1">
      <alignment horizontal="right" vertical="center"/>
    </xf>
    <xf numFmtId="10" fontId="8" fillId="0" borderId="6" xfId="0" applyNumberFormat="1" applyFont="1" applyBorder="1" applyAlignment="1">
      <alignment horizontal="left" textRotation="90" wrapText="1"/>
    </xf>
    <xf numFmtId="0" fontId="0" fillId="0" borderId="28" xfId="0" applyBorder="1" applyAlignment="1">
      <alignment vertical="center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29" xfId="0" applyBorder="1" applyAlignment="1">
      <alignment vertical="center" wrapText="1"/>
    </xf>
    <xf numFmtId="0" fontId="8" fillId="3" borderId="20" xfId="0" applyFont="1" applyFill="1" applyBorder="1" applyAlignment="1">
      <alignment vertical="center"/>
    </xf>
    <xf numFmtId="0" fontId="9" fillId="3" borderId="21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vertical="center" wrapText="1"/>
    </xf>
    <xf numFmtId="0" fontId="8" fillId="3" borderId="22" xfId="0" applyFont="1" applyFill="1" applyBorder="1" applyAlignment="1">
      <alignment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vertical="center"/>
    </xf>
    <xf numFmtId="0" fontId="8" fillId="3" borderId="20" xfId="0" applyFont="1" applyFill="1" applyBorder="1" applyAlignment="1">
      <alignment horizontal="right" vertical="center"/>
    </xf>
    <xf numFmtId="1" fontId="8" fillId="3" borderId="22" xfId="0" applyNumberFormat="1" applyFont="1" applyFill="1" applyBorder="1" applyAlignment="1">
      <alignment horizontal="right" vertical="center"/>
    </xf>
    <xf numFmtId="0" fontId="8" fillId="3" borderId="21" xfId="0" applyFont="1" applyFill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0" fontId="4" fillId="0" borderId="3" xfId="0" applyFont="1" applyBorder="1" applyAlignment="1">
      <alignment horizontal="left" textRotation="90" wrapText="1"/>
    </xf>
    <xf numFmtId="0" fontId="8" fillId="0" borderId="3" xfId="0" applyFont="1" applyBorder="1" applyAlignment="1">
      <alignment horizontal="left" textRotation="90"/>
    </xf>
    <xf numFmtId="0" fontId="8" fillId="0" borderId="7" xfId="0" applyFont="1" applyBorder="1" applyAlignment="1">
      <alignment horizontal="left" textRotation="90"/>
    </xf>
    <xf numFmtId="0" fontId="3" fillId="0" borderId="0" xfId="0" applyFont="1" applyAlignment="1">
      <alignment horizontal="left" textRotation="90"/>
    </xf>
    <xf numFmtId="0" fontId="4" fillId="0" borderId="0" xfId="0" applyFont="1" applyAlignment="1">
      <alignment horizontal="center" textRotation="90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15" fillId="0" borderId="4" xfId="0" applyFont="1" applyBorder="1" applyAlignment="1">
      <alignment vertical="center" wrapText="1"/>
    </xf>
    <xf numFmtId="12" fontId="8" fillId="0" borderId="0" xfId="0" applyNumberFormat="1" applyFont="1" applyAlignment="1">
      <alignment horizontal="right" vertical="center"/>
    </xf>
    <xf numFmtId="12" fontId="0" fillId="0" borderId="0" xfId="0" applyNumberFormat="1" applyAlignment="1">
      <alignment horizontal="right" vertical="center"/>
    </xf>
    <xf numFmtId="12" fontId="0" fillId="0" borderId="2" xfId="0" applyNumberFormat="1" applyBorder="1" applyAlignment="1">
      <alignment horizontal="right" vertical="center"/>
    </xf>
    <xf numFmtId="12" fontId="8" fillId="0" borderId="14" xfId="0" applyNumberFormat="1" applyFont="1" applyBorder="1" applyAlignment="1">
      <alignment horizontal="right" vertical="center"/>
    </xf>
    <xf numFmtId="12" fontId="0" fillId="0" borderId="14" xfId="0" applyNumberFormat="1" applyBorder="1" applyAlignment="1">
      <alignment horizontal="right" vertical="center"/>
    </xf>
    <xf numFmtId="12" fontId="0" fillId="0" borderId="11" xfId="0" applyNumberFormat="1" applyBorder="1" applyAlignment="1">
      <alignment horizontal="right" vertical="center"/>
    </xf>
    <xf numFmtId="164" fontId="8" fillId="0" borderId="17" xfId="0" applyNumberFormat="1" applyFont="1" applyBorder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E54F9-0B72-4A49-BEFB-4DB20EBF3B91}">
  <dimension ref="A1:DB70"/>
  <sheetViews>
    <sheetView zoomScale="75" workbookViewId="0">
      <selection activeCell="H45" sqref="H45:H47"/>
    </sheetView>
  </sheetViews>
  <sheetFormatPr baseColWidth="10" defaultColWidth="10.83203125" defaultRowHeight="16" x14ac:dyDescent="0.2"/>
  <cols>
    <col min="1" max="1" width="13" style="49" customWidth="1"/>
    <col min="2" max="2" width="10.33203125" style="130" customWidth="1"/>
    <col min="3" max="3" width="14.6640625" style="131" customWidth="1"/>
    <col min="4" max="4" width="14.83203125" style="130" customWidth="1"/>
    <col min="5" max="5" width="12.33203125" style="45" customWidth="1"/>
    <col min="6" max="6" width="10.33203125" style="132" customWidth="1"/>
    <col min="7" max="7" width="12.1640625" style="45" customWidth="1"/>
    <col min="8" max="8" width="32.83203125" style="159" customWidth="1"/>
    <col min="9" max="18" width="10.83203125" style="45"/>
    <col min="19" max="19" width="15.1640625" style="53" customWidth="1"/>
    <col min="20" max="35" width="10.83203125" style="53"/>
    <col min="36" max="52" width="10.83203125" style="45"/>
    <col min="53" max="53" width="10.83203125" style="49"/>
    <col min="54" max="67" width="10.83203125" style="45"/>
    <col min="68" max="68" width="10.83203125" style="49"/>
    <col min="69" max="71" width="10.83203125" style="45"/>
    <col min="72" max="72" width="10.83203125" style="49"/>
    <col min="73" max="75" width="10.83203125" style="45"/>
    <col min="76" max="76" width="10.83203125" style="49"/>
    <col min="77" max="79" width="10.83203125" style="45"/>
    <col min="80" max="80" width="10.83203125" style="80"/>
    <col min="81" max="16384" width="10.83203125" style="45"/>
  </cols>
  <sheetData>
    <row r="1" spans="1:106" s="14" customFormat="1" ht="16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 t="s">
        <v>8</v>
      </c>
      <c r="J1" s="5"/>
      <c r="K1" s="5" t="s">
        <v>9</v>
      </c>
      <c r="L1" s="5"/>
      <c r="M1" s="5"/>
      <c r="N1" s="5"/>
      <c r="O1" s="5"/>
      <c r="P1" s="5"/>
      <c r="Q1" s="5"/>
      <c r="R1" s="5"/>
      <c r="S1" s="6" t="s">
        <v>10</v>
      </c>
      <c r="T1" s="6"/>
      <c r="U1" s="6" t="s">
        <v>11</v>
      </c>
      <c r="V1" s="6"/>
      <c r="W1" s="6"/>
      <c r="X1" s="6"/>
      <c r="Y1" s="6"/>
      <c r="Z1" s="6" t="s">
        <v>12</v>
      </c>
      <c r="AA1" s="6"/>
      <c r="AB1" s="6" t="s">
        <v>13</v>
      </c>
      <c r="AC1" s="7"/>
      <c r="AD1" s="6"/>
      <c r="AE1" s="6" t="s">
        <v>14</v>
      </c>
      <c r="AF1" s="6" t="s">
        <v>15</v>
      </c>
      <c r="AG1" s="6"/>
      <c r="AH1" s="6" t="s">
        <v>16</v>
      </c>
      <c r="AI1" s="8"/>
      <c r="AJ1" s="5" t="s">
        <v>17</v>
      </c>
      <c r="AK1" s="5"/>
      <c r="AL1" s="9" t="s">
        <v>18</v>
      </c>
      <c r="AM1" s="9"/>
      <c r="AN1" s="9"/>
      <c r="AO1" s="9"/>
      <c r="AP1" s="9"/>
      <c r="AQ1" s="9" t="s">
        <v>19</v>
      </c>
      <c r="AR1" s="9"/>
      <c r="AS1" s="9" t="s">
        <v>20</v>
      </c>
      <c r="AT1" s="10"/>
      <c r="AU1" s="9"/>
      <c r="AV1" s="9" t="s">
        <v>21</v>
      </c>
      <c r="AW1" s="9" t="s">
        <v>22</v>
      </c>
      <c r="AX1" s="9"/>
      <c r="AY1" s="9" t="s">
        <v>23</v>
      </c>
      <c r="AZ1" s="11"/>
      <c r="BA1" s="12" t="s">
        <v>24</v>
      </c>
      <c r="BB1" s="5" t="s">
        <v>25</v>
      </c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13"/>
      <c r="BQ1" s="5" t="s">
        <v>26</v>
      </c>
      <c r="BR1" s="5"/>
      <c r="BS1" s="5"/>
      <c r="BT1" s="13"/>
      <c r="BU1" s="5" t="s">
        <v>27</v>
      </c>
      <c r="BV1" s="5"/>
      <c r="BW1" s="5"/>
      <c r="BX1" s="13"/>
      <c r="BY1" s="5" t="s">
        <v>28</v>
      </c>
      <c r="BZ1" s="5"/>
      <c r="CA1" s="9"/>
      <c r="CB1" s="3"/>
      <c r="CC1" s="5"/>
      <c r="CD1" s="5"/>
      <c r="CE1" s="5"/>
      <c r="CF1" s="5"/>
      <c r="CG1" s="5"/>
      <c r="CH1" s="5"/>
      <c r="CI1" s="5"/>
      <c r="CJ1" s="198"/>
      <c r="CK1" s="198"/>
      <c r="CL1" s="198"/>
      <c r="CM1" s="198"/>
      <c r="CN1" s="198"/>
      <c r="CO1" s="5"/>
      <c r="CP1" s="5"/>
      <c r="CQ1" s="5"/>
      <c r="CR1" s="5"/>
      <c r="CS1" s="5"/>
      <c r="CT1" s="5"/>
      <c r="CU1" s="5"/>
      <c r="CV1" s="5"/>
      <c r="CW1" s="198"/>
      <c r="CX1" s="198"/>
      <c r="CY1" s="198"/>
      <c r="CZ1" s="198"/>
      <c r="DA1" s="198"/>
      <c r="DB1" s="198"/>
    </row>
    <row r="2" spans="1:106" s="14" customFormat="1" ht="16" customHeight="1" x14ac:dyDescent="0.2">
      <c r="A2" s="1"/>
      <c r="B2" s="2"/>
      <c r="C2" s="2"/>
      <c r="D2" s="2"/>
      <c r="E2" s="3"/>
      <c r="F2" s="3"/>
      <c r="G2" s="3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6"/>
      <c r="AE2" s="6"/>
      <c r="AF2" s="6"/>
      <c r="AG2" s="6"/>
      <c r="AH2" s="6"/>
      <c r="AI2" s="8"/>
      <c r="AJ2" s="5"/>
      <c r="AK2" s="5"/>
      <c r="AL2" s="9"/>
      <c r="AM2" s="9"/>
      <c r="AN2" s="9"/>
      <c r="AO2" s="9"/>
      <c r="AP2" s="9"/>
      <c r="AQ2" s="9"/>
      <c r="AR2" s="9"/>
      <c r="AS2" s="9"/>
      <c r="AT2" s="10"/>
      <c r="AU2" s="9"/>
      <c r="AV2" s="9"/>
      <c r="AW2" s="9"/>
      <c r="AX2" s="9"/>
      <c r="AY2" s="9"/>
      <c r="AZ2" s="11"/>
      <c r="BA2" s="12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13"/>
      <c r="BQ2" s="5"/>
      <c r="BR2" s="5"/>
      <c r="BS2" s="5"/>
      <c r="BT2" s="13"/>
      <c r="BU2" s="5"/>
      <c r="BV2" s="5"/>
      <c r="BW2" s="5"/>
      <c r="BX2" s="13"/>
      <c r="BY2" s="5"/>
      <c r="BZ2" s="5"/>
      <c r="CA2" s="9"/>
      <c r="CB2" s="3"/>
      <c r="CC2" s="5"/>
      <c r="CD2" s="5"/>
      <c r="CE2" s="5"/>
      <c r="CF2" s="5"/>
      <c r="CG2" s="5"/>
      <c r="CH2" s="5"/>
      <c r="CI2" s="5"/>
      <c r="CJ2" s="198"/>
      <c r="CK2" s="198"/>
      <c r="CL2" s="198"/>
      <c r="CM2" s="198"/>
      <c r="CN2" s="198"/>
      <c r="CO2" s="5"/>
      <c r="CP2" s="5"/>
      <c r="CQ2" s="5"/>
      <c r="CR2" s="5"/>
      <c r="CS2" s="5"/>
      <c r="CT2" s="5"/>
      <c r="CU2" s="5"/>
      <c r="CV2" s="5"/>
      <c r="CW2" s="198"/>
      <c r="CX2" s="198"/>
      <c r="CY2" s="198"/>
      <c r="CZ2" s="198"/>
      <c r="DA2" s="198"/>
      <c r="DB2" s="198"/>
    </row>
    <row r="3" spans="1:106" s="15" customFormat="1" ht="80" customHeight="1" x14ac:dyDescent="0.2">
      <c r="A3" s="1"/>
      <c r="B3" s="2"/>
      <c r="C3" s="2"/>
      <c r="D3" s="2"/>
      <c r="E3" s="3"/>
      <c r="F3" s="3"/>
      <c r="G3" s="3"/>
      <c r="H3" s="4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6"/>
      <c r="U3" s="6"/>
      <c r="V3" s="6"/>
      <c r="W3" s="6"/>
      <c r="X3" s="6"/>
      <c r="Y3" s="6"/>
      <c r="Z3" s="6"/>
      <c r="AA3" s="6"/>
      <c r="AB3" s="6"/>
      <c r="AC3" s="7"/>
      <c r="AD3" s="6"/>
      <c r="AE3" s="6"/>
      <c r="AF3" s="6"/>
      <c r="AG3" s="6"/>
      <c r="AH3" s="6"/>
      <c r="AI3" s="8"/>
      <c r="AJ3" s="5"/>
      <c r="AK3" s="5"/>
      <c r="AL3" s="9"/>
      <c r="AM3" s="9"/>
      <c r="AN3" s="9"/>
      <c r="AO3" s="9"/>
      <c r="AP3" s="9"/>
      <c r="AQ3" s="9"/>
      <c r="AR3" s="9"/>
      <c r="AS3" s="9"/>
      <c r="AT3" s="10"/>
      <c r="AU3" s="9"/>
      <c r="AV3" s="9"/>
      <c r="AW3" s="9"/>
      <c r="AX3" s="9"/>
      <c r="AY3" s="9"/>
      <c r="AZ3" s="11"/>
      <c r="BA3" s="12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13"/>
      <c r="BQ3" s="5"/>
      <c r="BR3" s="5"/>
      <c r="BS3" s="5"/>
      <c r="BT3" s="13"/>
      <c r="BU3" s="5"/>
      <c r="BV3" s="5"/>
      <c r="BW3" s="5"/>
      <c r="BX3" s="13"/>
      <c r="BY3" s="5"/>
      <c r="BZ3" s="5"/>
      <c r="CA3" s="9"/>
      <c r="CB3" s="3"/>
      <c r="CC3" s="5"/>
      <c r="CD3" s="5"/>
      <c r="CE3" s="5"/>
      <c r="CF3" s="5"/>
      <c r="CG3" s="5"/>
      <c r="CH3" s="5"/>
      <c r="CI3" s="5"/>
      <c r="CJ3" s="198"/>
      <c r="CK3" s="198"/>
      <c r="CL3" s="198"/>
      <c r="CM3" s="198"/>
      <c r="CN3" s="198"/>
      <c r="CO3" s="5"/>
      <c r="CP3" s="5"/>
      <c r="CQ3" s="5"/>
      <c r="CR3" s="5"/>
      <c r="CS3" s="5"/>
      <c r="CT3" s="5"/>
      <c r="CU3" s="5"/>
      <c r="CV3" s="5"/>
      <c r="CW3" s="198"/>
      <c r="CX3" s="198"/>
      <c r="CY3" s="198"/>
      <c r="CZ3" s="198"/>
      <c r="DA3" s="198"/>
      <c r="DB3" s="198"/>
    </row>
    <row r="4" spans="1:106" s="15" customFormat="1" ht="26" customHeight="1" x14ac:dyDescent="0.2">
      <c r="A4" s="1"/>
      <c r="B4" s="2"/>
      <c r="C4" s="2"/>
      <c r="D4" s="2"/>
      <c r="E4" s="3"/>
      <c r="F4" s="3"/>
      <c r="G4" s="3"/>
      <c r="H4" s="4"/>
      <c r="I4" s="16" t="s">
        <v>29</v>
      </c>
      <c r="J4" s="17" t="s">
        <v>30</v>
      </c>
      <c r="K4" s="17" t="s">
        <v>31</v>
      </c>
      <c r="L4" s="17" t="s">
        <v>32</v>
      </c>
      <c r="M4" s="17" t="s">
        <v>33</v>
      </c>
      <c r="N4" s="17" t="s">
        <v>34</v>
      </c>
      <c r="O4" s="17" t="s">
        <v>35</v>
      </c>
      <c r="P4" s="17" t="s">
        <v>36</v>
      </c>
      <c r="Q4" s="17" t="s">
        <v>37</v>
      </c>
      <c r="R4" s="17" t="s">
        <v>38</v>
      </c>
      <c r="S4" s="18" t="s">
        <v>39</v>
      </c>
      <c r="T4" s="7" t="s">
        <v>40</v>
      </c>
      <c r="U4" s="7" t="s">
        <v>41</v>
      </c>
      <c r="V4" s="7" t="s">
        <v>42</v>
      </c>
      <c r="W4" s="7" t="s">
        <v>43</v>
      </c>
      <c r="X4" s="7" t="s">
        <v>44</v>
      </c>
      <c r="Y4" s="167" t="s">
        <v>45</v>
      </c>
      <c r="Z4" s="7" t="s">
        <v>44</v>
      </c>
      <c r="AA4" s="7" t="s">
        <v>45</v>
      </c>
      <c r="AB4" s="7" t="s">
        <v>46</v>
      </c>
      <c r="AC4" s="7" t="s">
        <v>47</v>
      </c>
      <c r="AD4" s="7" t="s">
        <v>48</v>
      </c>
      <c r="AE4" s="7" t="s">
        <v>49</v>
      </c>
      <c r="AF4" s="7" t="s">
        <v>50</v>
      </c>
      <c r="AG4" s="7" t="s">
        <v>51</v>
      </c>
      <c r="AH4" s="7" t="s">
        <v>52</v>
      </c>
      <c r="AI4" s="19" t="s">
        <v>53</v>
      </c>
      <c r="AJ4" s="20" t="s">
        <v>54</v>
      </c>
      <c r="AK4" s="20" t="s">
        <v>55</v>
      </c>
      <c r="AL4" s="10" t="s">
        <v>41</v>
      </c>
      <c r="AM4" s="10" t="s">
        <v>42</v>
      </c>
      <c r="AN4" s="10" t="s">
        <v>43</v>
      </c>
      <c r="AO4" s="10" t="s">
        <v>44</v>
      </c>
      <c r="AP4" s="10" t="s">
        <v>45</v>
      </c>
      <c r="AQ4" s="10" t="s">
        <v>44</v>
      </c>
      <c r="AR4" s="10" t="s">
        <v>45</v>
      </c>
      <c r="AS4" s="10" t="s">
        <v>46</v>
      </c>
      <c r="AT4" s="10" t="s">
        <v>47</v>
      </c>
      <c r="AU4" s="10" t="s">
        <v>56</v>
      </c>
      <c r="AV4" s="10" t="s">
        <v>49</v>
      </c>
      <c r="AW4" s="10" t="s">
        <v>50</v>
      </c>
      <c r="AX4" s="10" t="s">
        <v>51</v>
      </c>
      <c r="AY4" s="10" t="s">
        <v>52</v>
      </c>
      <c r="AZ4" s="21" t="s">
        <v>53</v>
      </c>
      <c r="BA4" s="22" t="s">
        <v>57</v>
      </c>
      <c r="BB4" s="23" t="s">
        <v>8</v>
      </c>
      <c r="BC4" s="17" t="s">
        <v>58</v>
      </c>
      <c r="BD4" s="17" t="s">
        <v>59</v>
      </c>
      <c r="BE4" s="17" t="s">
        <v>60</v>
      </c>
      <c r="BF4" s="17" t="s">
        <v>61</v>
      </c>
      <c r="BG4" s="17" t="s">
        <v>62</v>
      </c>
      <c r="BH4" s="17" t="s">
        <v>63</v>
      </c>
      <c r="BI4" s="17" t="s">
        <v>64</v>
      </c>
      <c r="BJ4" s="17" t="s">
        <v>65</v>
      </c>
      <c r="BK4" s="17" t="s">
        <v>66</v>
      </c>
      <c r="BL4" s="17" t="s">
        <v>67</v>
      </c>
      <c r="BM4" s="17" t="s">
        <v>68</v>
      </c>
      <c r="BN4" s="17" t="s">
        <v>69</v>
      </c>
      <c r="BO4" s="17" t="s">
        <v>70</v>
      </c>
      <c r="BP4" s="24" t="s">
        <v>56</v>
      </c>
      <c r="BQ4" s="17" t="s">
        <v>71</v>
      </c>
      <c r="BR4" s="17" t="s">
        <v>72</v>
      </c>
      <c r="BS4" s="17" t="s">
        <v>73</v>
      </c>
      <c r="BT4" s="24" t="s">
        <v>74</v>
      </c>
      <c r="BU4" s="187" t="s">
        <v>75</v>
      </c>
      <c r="BV4" s="187" t="s">
        <v>76</v>
      </c>
      <c r="BW4" s="187" t="s">
        <v>77</v>
      </c>
      <c r="BX4" s="188" t="s">
        <v>78</v>
      </c>
      <c r="BY4" s="189" t="s">
        <v>79</v>
      </c>
      <c r="BZ4" s="187" t="s">
        <v>80</v>
      </c>
      <c r="CA4" s="190" t="s">
        <v>81</v>
      </c>
      <c r="CB4" s="187" t="s">
        <v>180</v>
      </c>
      <c r="CC4" s="187" t="s">
        <v>82</v>
      </c>
      <c r="CD4" s="188" t="s">
        <v>83</v>
      </c>
      <c r="CE4" s="189" t="s">
        <v>84</v>
      </c>
      <c r="CF4" s="187" t="s">
        <v>85</v>
      </c>
      <c r="CG4" s="188" t="s">
        <v>86</v>
      </c>
      <c r="CH4" s="189" t="s">
        <v>87</v>
      </c>
      <c r="CI4" s="17" t="s">
        <v>88</v>
      </c>
      <c r="CJ4" s="188" t="s">
        <v>89</v>
      </c>
      <c r="CK4" s="189" t="s">
        <v>90</v>
      </c>
      <c r="CL4" s="187" t="s">
        <v>91</v>
      </c>
      <c r="CM4" s="188" t="s">
        <v>92</v>
      </c>
      <c r="CN4" s="189" t="s">
        <v>93</v>
      </c>
      <c r="CO4" s="17" t="s">
        <v>94</v>
      </c>
      <c r="CP4" s="24" t="s">
        <v>95</v>
      </c>
      <c r="CQ4" s="23" t="s">
        <v>96</v>
      </c>
      <c r="CR4" s="17" t="s">
        <v>97</v>
      </c>
      <c r="CS4" s="24" t="s">
        <v>98</v>
      </c>
      <c r="CT4" s="23" t="s">
        <v>99</v>
      </c>
      <c r="CU4" s="17" t="s">
        <v>100</v>
      </c>
      <c r="CV4" s="24" t="s">
        <v>101</v>
      </c>
      <c r="CW4" s="189" t="s">
        <v>102</v>
      </c>
      <c r="CX4" s="187" t="s">
        <v>103</v>
      </c>
      <c r="CY4" s="188" t="s">
        <v>104</v>
      </c>
      <c r="CZ4" s="189" t="s">
        <v>105</v>
      </c>
      <c r="DA4" s="187" t="s">
        <v>106</v>
      </c>
      <c r="DB4" s="188" t="s">
        <v>107</v>
      </c>
    </row>
    <row r="5" spans="1:106" s="15" customFormat="1" ht="72" customHeight="1" x14ac:dyDescent="0.2">
      <c r="A5" s="25"/>
      <c r="B5" s="26"/>
      <c r="C5" s="26"/>
      <c r="D5" s="26"/>
      <c r="E5" s="27"/>
      <c r="F5" s="27"/>
      <c r="G5" s="27"/>
      <c r="H5" s="28"/>
      <c r="I5" s="29"/>
      <c r="J5" s="30"/>
      <c r="K5" s="30"/>
      <c r="L5" s="30"/>
      <c r="M5" s="30"/>
      <c r="N5" s="30"/>
      <c r="O5" s="30"/>
      <c r="P5" s="30"/>
      <c r="Q5" s="30"/>
      <c r="R5" s="30"/>
      <c r="S5" s="31"/>
      <c r="T5" s="32"/>
      <c r="U5" s="32"/>
      <c r="V5" s="32"/>
      <c r="W5" s="32"/>
      <c r="X5" s="32"/>
      <c r="Y5" s="168"/>
      <c r="Z5" s="32"/>
      <c r="AA5" s="32"/>
      <c r="AB5" s="32"/>
      <c r="AC5" s="32"/>
      <c r="AD5" s="32"/>
      <c r="AE5" s="32"/>
      <c r="AF5" s="32"/>
      <c r="AG5" s="32"/>
      <c r="AH5" s="32"/>
      <c r="AI5" s="33"/>
      <c r="AJ5" s="34"/>
      <c r="AK5" s="34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6"/>
      <c r="BA5" s="37"/>
      <c r="BB5" s="38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9"/>
      <c r="BQ5" s="30"/>
      <c r="BR5" s="30"/>
      <c r="BS5" s="30"/>
      <c r="BT5" s="39"/>
      <c r="BU5" s="191"/>
      <c r="BV5" s="191"/>
      <c r="BW5" s="191"/>
      <c r="BX5" s="192"/>
      <c r="BY5" s="193"/>
      <c r="BZ5" s="191"/>
      <c r="CA5" s="194"/>
      <c r="CB5" s="191"/>
      <c r="CC5" s="191"/>
      <c r="CD5" s="192"/>
      <c r="CE5" s="193"/>
      <c r="CF5" s="191"/>
      <c r="CG5" s="192"/>
      <c r="CH5" s="193"/>
      <c r="CI5" s="30"/>
      <c r="CJ5" s="192"/>
      <c r="CK5" s="193"/>
      <c r="CL5" s="191"/>
      <c r="CM5" s="192"/>
      <c r="CN5" s="193"/>
      <c r="CO5" s="30"/>
      <c r="CP5" s="39"/>
      <c r="CQ5" s="38"/>
      <c r="CR5" s="30"/>
      <c r="CS5" s="39"/>
      <c r="CT5" s="38"/>
      <c r="CU5" s="30"/>
      <c r="CV5" s="39"/>
      <c r="CW5" s="193"/>
      <c r="CX5" s="191"/>
      <c r="CY5" s="192"/>
      <c r="CZ5" s="193"/>
      <c r="DA5" s="191"/>
      <c r="DB5" s="192"/>
    </row>
    <row r="6" spans="1:106" x14ac:dyDescent="0.2">
      <c r="A6" s="40" t="s">
        <v>108</v>
      </c>
      <c r="B6" s="41" t="s">
        <v>109</v>
      </c>
      <c r="C6" s="42" t="s">
        <v>110</v>
      </c>
      <c r="D6" s="41" t="s">
        <v>111</v>
      </c>
      <c r="E6" s="43" t="s">
        <v>112</v>
      </c>
      <c r="F6" s="44">
        <v>4</v>
      </c>
      <c r="G6" s="43" t="s">
        <v>113</v>
      </c>
      <c r="H6" s="161" t="s">
        <v>114</v>
      </c>
      <c r="I6" s="45">
        <f>514+708+2067+2611+2001+2005+915+1317+877+1477+785+1349+2051+786+4267</f>
        <v>23730</v>
      </c>
      <c r="J6" s="45">
        <v>85</v>
      </c>
      <c r="K6" s="45">
        <v>39</v>
      </c>
      <c r="L6" s="45">
        <v>9</v>
      </c>
      <c r="M6" s="45">
        <f>L6-P6</f>
        <v>8</v>
      </c>
      <c r="N6" s="45">
        <f>K6-L6</f>
        <v>30</v>
      </c>
      <c r="O6" s="46">
        <f>N6/K6</f>
        <v>0.76923076923076927</v>
      </c>
      <c r="P6" s="47">
        <v>1</v>
      </c>
      <c r="Q6" s="45">
        <v>677</v>
      </c>
      <c r="R6" s="45">
        <v>413</v>
      </c>
      <c r="S6" s="47">
        <v>2532</v>
      </c>
      <c r="T6" s="47">
        <v>401</v>
      </c>
      <c r="U6" s="47">
        <v>57</v>
      </c>
      <c r="V6" s="47">
        <v>34</v>
      </c>
      <c r="W6" s="47">
        <f>U6-V6</f>
        <v>23</v>
      </c>
      <c r="X6" s="47">
        <v>97</v>
      </c>
      <c r="Y6" s="47">
        <v>109</v>
      </c>
      <c r="Z6" s="47">
        <v>241</v>
      </c>
      <c r="AA6" s="47">
        <v>265</v>
      </c>
      <c r="AB6" s="47">
        <v>4</v>
      </c>
      <c r="AC6" s="47">
        <v>523</v>
      </c>
      <c r="AD6" s="47">
        <v>260</v>
      </c>
      <c r="AE6" s="47" t="s">
        <v>115</v>
      </c>
      <c r="AF6" s="47">
        <v>32</v>
      </c>
      <c r="AG6" s="47">
        <v>26</v>
      </c>
      <c r="AH6" s="47">
        <f>850+1002</f>
        <v>1852</v>
      </c>
      <c r="AI6" s="48">
        <f>AH6/S6</f>
        <v>0.73143759873617697</v>
      </c>
      <c r="AJ6" s="45">
        <f>430+519+1075+1236</f>
        <v>3260</v>
      </c>
      <c r="AK6" s="45">
        <v>933</v>
      </c>
      <c r="AL6" s="45" t="s">
        <v>115</v>
      </c>
      <c r="AM6" s="45" t="s">
        <v>115</v>
      </c>
      <c r="AN6" s="45" t="s">
        <v>115</v>
      </c>
      <c r="AO6" s="45" t="s">
        <v>115</v>
      </c>
      <c r="AP6" s="45" t="s">
        <v>115</v>
      </c>
      <c r="AQ6" s="45">
        <f>309+224</f>
        <v>533</v>
      </c>
      <c r="AR6" s="45">
        <v>240</v>
      </c>
      <c r="AS6" s="45">
        <v>4</v>
      </c>
      <c r="AT6" s="45">
        <v>529</v>
      </c>
      <c r="AU6" s="45">
        <v>492</v>
      </c>
      <c r="AV6" s="45" t="s">
        <v>115</v>
      </c>
      <c r="AW6" s="45" t="s">
        <v>115</v>
      </c>
      <c r="AX6" s="45" t="s">
        <v>115</v>
      </c>
      <c r="AY6" s="45">
        <f>614+1520</f>
        <v>2134</v>
      </c>
      <c r="AZ6" s="46">
        <f>AY6/AJ6</f>
        <v>0.65460122699386503</v>
      </c>
      <c r="BA6" s="49">
        <v>19</v>
      </c>
      <c r="BB6" s="45">
        <v>2616</v>
      </c>
      <c r="BC6" s="45">
        <v>1191</v>
      </c>
      <c r="BD6" s="45">
        <v>1458</v>
      </c>
      <c r="BE6" s="45">
        <v>55</v>
      </c>
      <c r="BF6" s="45">
        <v>541</v>
      </c>
      <c r="BG6" s="45">
        <v>503</v>
      </c>
      <c r="BH6" s="45">
        <v>1397</v>
      </c>
      <c r="BI6" s="45">
        <v>185</v>
      </c>
      <c r="BJ6" s="50">
        <v>25</v>
      </c>
      <c r="BK6" s="45">
        <v>407</v>
      </c>
      <c r="BL6" s="45">
        <v>188</v>
      </c>
      <c r="BM6" s="45">
        <v>451</v>
      </c>
      <c r="BN6" s="45">
        <v>604</v>
      </c>
      <c r="BO6" s="45" t="s">
        <v>116</v>
      </c>
      <c r="BP6" s="49">
        <f>AK6</f>
        <v>933</v>
      </c>
      <c r="BQ6" s="51">
        <f>BB6/BP6</f>
        <v>2.8038585209003215</v>
      </c>
      <c r="BR6" s="51">
        <f>BH6/BI6</f>
        <v>7.551351351351351</v>
      </c>
      <c r="BS6" s="51">
        <f>BC6/BM6</f>
        <v>2.6407982261640797</v>
      </c>
      <c r="BT6" s="52">
        <f>BD6/BM6</f>
        <v>3.2328159645232817</v>
      </c>
      <c r="BU6" s="45">
        <v>584</v>
      </c>
      <c r="BV6" s="45">
        <v>68</v>
      </c>
      <c r="BW6" s="45">
        <v>92</v>
      </c>
      <c r="BX6" s="49">
        <v>69</v>
      </c>
      <c r="BY6" s="45">
        <v>10</v>
      </c>
      <c r="BZ6" s="45" t="s">
        <v>115</v>
      </c>
      <c r="CA6" s="45">
        <v>67</v>
      </c>
      <c r="CB6" s="80">
        <f>187+89</f>
        <v>276</v>
      </c>
      <c r="CC6" s="45">
        <v>7</v>
      </c>
      <c r="CD6" s="49" t="s">
        <v>115</v>
      </c>
      <c r="CE6" s="45">
        <v>41</v>
      </c>
      <c r="CF6" s="45">
        <v>20</v>
      </c>
      <c r="CG6" s="49">
        <v>34</v>
      </c>
      <c r="CH6" s="45">
        <v>70</v>
      </c>
      <c r="CI6" s="45">
        <v>61</v>
      </c>
      <c r="CJ6" s="180">
        <v>26</v>
      </c>
      <c r="CK6" s="169">
        <v>66</v>
      </c>
      <c r="CL6" s="169">
        <v>32</v>
      </c>
      <c r="CM6" s="180">
        <v>33</v>
      </c>
      <c r="CN6" s="169" t="s">
        <v>115</v>
      </c>
      <c r="CO6" s="45" t="s">
        <v>115</v>
      </c>
      <c r="CP6" s="49" t="s">
        <v>115</v>
      </c>
      <c r="CQ6" s="45" t="s">
        <v>115</v>
      </c>
      <c r="CR6" s="45" t="s">
        <v>115</v>
      </c>
      <c r="CS6" s="49" t="s">
        <v>115</v>
      </c>
      <c r="CT6" s="45">
        <v>45</v>
      </c>
      <c r="CU6" s="45">
        <v>16</v>
      </c>
      <c r="CV6" s="49">
        <v>29</v>
      </c>
      <c r="CW6" s="169">
        <v>30</v>
      </c>
      <c r="CX6" s="169">
        <v>14</v>
      </c>
      <c r="CY6" s="180">
        <v>17</v>
      </c>
      <c r="CZ6" s="169">
        <v>25</v>
      </c>
      <c r="DA6" s="169">
        <v>12</v>
      </c>
      <c r="DB6" s="180">
        <v>15</v>
      </c>
    </row>
    <row r="7" spans="1:106" x14ac:dyDescent="0.2">
      <c r="A7" s="40"/>
      <c r="B7" s="41"/>
      <c r="C7" s="42"/>
      <c r="D7" s="41"/>
      <c r="E7" s="43"/>
      <c r="F7" s="44"/>
      <c r="G7" s="43"/>
      <c r="H7" s="161"/>
      <c r="P7" s="47"/>
      <c r="S7" s="47"/>
      <c r="T7" s="47"/>
      <c r="U7" s="47"/>
      <c r="V7" s="47"/>
      <c r="W7" s="47"/>
      <c r="X7" s="47">
        <v>96</v>
      </c>
      <c r="Y7" s="47">
        <v>90</v>
      </c>
      <c r="Z7" s="47"/>
      <c r="AA7" s="47"/>
      <c r="AB7" s="47"/>
      <c r="AC7" s="47"/>
      <c r="AD7" s="47"/>
      <c r="AE7" s="47"/>
      <c r="AF7" s="47">
        <v>34</v>
      </c>
      <c r="AG7" s="47">
        <v>24</v>
      </c>
      <c r="AH7" s="47"/>
      <c r="AI7" s="48"/>
      <c r="AZ7" s="46"/>
      <c r="BA7" s="49">
        <v>18</v>
      </c>
      <c r="BH7" s="45">
        <v>1374</v>
      </c>
      <c r="BI7" s="45">
        <v>184</v>
      </c>
      <c r="BJ7" s="50">
        <v>24</v>
      </c>
      <c r="BK7" s="45">
        <v>385</v>
      </c>
      <c r="BL7" s="45">
        <v>196</v>
      </c>
      <c r="BQ7" s="51"/>
      <c r="BR7" s="51">
        <f t="shared" ref="BR7:BR56" si="0">BH7/BI7</f>
        <v>7.4673913043478262</v>
      </c>
      <c r="BS7" s="51"/>
      <c r="BT7" s="52"/>
      <c r="BV7" s="45">
        <v>75</v>
      </c>
      <c r="CD7" s="49"/>
      <c r="CE7" s="45">
        <v>36</v>
      </c>
      <c r="CF7" s="45">
        <v>20</v>
      </c>
      <c r="CG7" s="49">
        <v>23</v>
      </c>
      <c r="CH7" s="45">
        <v>57</v>
      </c>
      <c r="CI7" s="45">
        <v>45</v>
      </c>
      <c r="CJ7" s="180">
        <v>32</v>
      </c>
      <c r="CK7" s="169">
        <v>68</v>
      </c>
      <c r="CL7" s="169">
        <v>45</v>
      </c>
      <c r="CM7" s="180">
        <v>34</v>
      </c>
      <c r="CN7" s="169"/>
      <c r="CP7" s="49"/>
      <c r="CS7" s="49"/>
      <c r="CV7" s="49"/>
      <c r="CW7" s="169">
        <v>31</v>
      </c>
      <c r="CX7" s="169">
        <v>10</v>
      </c>
      <c r="CY7" s="180">
        <v>19</v>
      </c>
      <c r="CZ7" s="169">
        <v>30</v>
      </c>
      <c r="DA7" s="169">
        <v>12</v>
      </c>
      <c r="DB7" s="180">
        <v>17</v>
      </c>
    </row>
    <row r="8" spans="1:106" x14ac:dyDescent="0.2">
      <c r="A8" s="40"/>
      <c r="B8" s="41"/>
      <c r="C8" s="42"/>
      <c r="D8" s="41"/>
      <c r="E8" s="43"/>
      <c r="F8" s="44"/>
      <c r="G8" s="43"/>
      <c r="H8" s="161"/>
      <c r="P8" s="47"/>
      <c r="S8" s="47"/>
      <c r="T8" s="47"/>
      <c r="U8" s="47"/>
      <c r="V8" s="47"/>
      <c r="W8" s="47"/>
      <c r="X8" s="47">
        <v>82</v>
      </c>
      <c r="Y8" s="47">
        <v>102</v>
      </c>
      <c r="Z8" s="47"/>
      <c r="AA8" s="47"/>
      <c r="AB8" s="47"/>
      <c r="AC8" s="47"/>
      <c r="AD8" s="47"/>
      <c r="AE8" s="47"/>
      <c r="AF8" s="47">
        <v>33</v>
      </c>
      <c r="AG8" s="47">
        <v>24</v>
      </c>
      <c r="AH8" s="47"/>
      <c r="AI8" s="48"/>
      <c r="AZ8" s="46"/>
      <c r="BA8" s="49">
        <v>16</v>
      </c>
      <c r="BH8" s="45">
        <v>1367</v>
      </c>
      <c r="BI8" s="45">
        <v>178</v>
      </c>
      <c r="BJ8" s="50">
        <v>29</v>
      </c>
      <c r="BK8" s="45" t="s">
        <v>115</v>
      </c>
      <c r="BL8" s="45" t="s">
        <v>115</v>
      </c>
      <c r="BQ8" s="51"/>
      <c r="BR8" s="51">
        <f t="shared" si="0"/>
        <v>7.6797752808988768</v>
      </c>
      <c r="BS8" s="51"/>
      <c r="BT8" s="52"/>
      <c r="CD8" s="49"/>
      <c r="CE8" s="45">
        <v>40</v>
      </c>
      <c r="CF8" s="45">
        <v>15</v>
      </c>
      <c r="CG8" s="49">
        <v>34</v>
      </c>
      <c r="CH8" s="45">
        <v>66</v>
      </c>
      <c r="CI8" s="45">
        <v>50</v>
      </c>
      <c r="CJ8" s="180">
        <v>28</v>
      </c>
      <c r="CK8" s="169">
        <v>69</v>
      </c>
      <c r="CL8" s="172">
        <v>42</v>
      </c>
      <c r="CM8" s="180">
        <v>32</v>
      </c>
      <c r="CN8" s="169"/>
      <c r="CP8" s="49"/>
      <c r="CS8" s="49"/>
      <c r="CV8" s="49"/>
      <c r="CY8" s="49"/>
      <c r="DB8" s="49"/>
    </row>
    <row r="9" spans="1:106" x14ac:dyDescent="0.2">
      <c r="A9" s="54" t="s">
        <v>117</v>
      </c>
      <c r="B9" s="55" t="s">
        <v>109</v>
      </c>
      <c r="C9" s="56" t="s">
        <v>110</v>
      </c>
      <c r="D9" s="55" t="s">
        <v>111</v>
      </c>
      <c r="E9" s="57" t="s">
        <v>112</v>
      </c>
      <c r="F9" s="58">
        <v>3</v>
      </c>
      <c r="G9" s="57" t="s">
        <v>113</v>
      </c>
      <c r="H9" s="162"/>
      <c r="I9" s="60">
        <f>524+953+3082+1679+2634+2547+2608+1053+3441+1428+1577+1304+1787+1320+2319+871+767+944+769</f>
        <v>31607</v>
      </c>
      <c r="J9" s="60">
        <v>148</v>
      </c>
      <c r="K9" s="60">
        <v>49</v>
      </c>
      <c r="L9" s="60">
        <v>11</v>
      </c>
      <c r="M9" s="60">
        <f t="shared" ref="M9:M57" si="1">L9-P9</f>
        <v>7</v>
      </c>
      <c r="N9" s="60">
        <f>K9-L9</f>
        <v>38</v>
      </c>
      <c r="O9" s="61">
        <f>N9/K9</f>
        <v>0.77551020408163263</v>
      </c>
      <c r="P9" s="62">
        <v>4</v>
      </c>
      <c r="Q9" s="60">
        <v>857</v>
      </c>
      <c r="R9" s="60">
        <v>564</v>
      </c>
      <c r="S9" s="62">
        <v>2016</v>
      </c>
      <c r="T9" s="62">
        <v>488</v>
      </c>
      <c r="U9" s="62">
        <v>57</v>
      </c>
      <c r="V9" s="62">
        <v>34</v>
      </c>
      <c r="W9" s="62">
        <f>U9-V9</f>
        <v>23</v>
      </c>
      <c r="X9" s="62">
        <v>80</v>
      </c>
      <c r="Y9" s="62">
        <v>188</v>
      </c>
      <c r="Z9" s="62" t="s">
        <v>115</v>
      </c>
      <c r="AA9" s="62" t="s">
        <v>115</v>
      </c>
      <c r="AB9" s="62">
        <v>4</v>
      </c>
      <c r="AC9" s="62">
        <v>365</v>
      </c>
      <c r="AD9" s="62">
        <v>404</v>
      </c>
      <c r="AE9" s="62" t="s">
        <v>115</v>
      </c>
      <c r="AF9" s="62">
        <v>23</v>
      </c>
      <c r="AG9" s="62">
        <v>21</v>
      </c>
      <c r="AH9" s="62">
        <v>1432</v>
      </c>
      <c r="AI9" s="63">
        <f>AH9/S9</f>
        <v>0.71031746031746035</v>
      </c>
      <c r="AJ9" s="60">
        <f>775+1742</f>
        <v>2517</v>
      </c>
      <c r="AK9" s="60">
        <v>1209</v>
      </c>
      <c r="AL9" s="60" t="s">
        <v>115</v>
      </c>
      <c r="AM9" s="60" t="s">
        <v>115</v>
      </c>
      <c r="AN9" s="60" t="s">
        <v>115</v>
      </c>
      <c r="AO9" s="60" t="s">
        <v>115</v>
      </c>
      <c r="AP9" s="60" t="s">
        <v>115</v>
      </c>
      <c r="AQ9" s="60">
        <v>311</v>
      </c>
      <c r="AR9" s="60">
        <v>200</v>
      </c>
      <c r="AS9" s="60">
        <v>4</v>
      </c>
      <c r="AT9" s="60">
        <v>258</v>
      </c>
      <c r="AU9" s="60">
        <v>536</v>
      </c>
      <c r="AV9" s="60" t="s">
        <v>115</v>
      </c>
      <c r="AW9" s="60" t="s">
        <v>115</v>
      </c>
      <c r="AX9" s="60" t="s">
        <v>115</v>
      </c>
      <c r="AY9" s="60">
        <f>654+1019</f>
        <v>1673</v>
      </c>
      <c r="AZ9" s="61">
        <f>AY9/AJ9</f>
        <v>0.66468017481128328</v>
      </c>
      <c r="BA9" s="64">
        <v>18</v>
      </c>
      <c r="BB9" s="60">
        <f>907+1183+674+736</f>
        <v>3500</v>
      </c>
      <c r="BC9" s="60">
        <f>1104+1167</f>
        <v>2271</v>
      </c>
      <c r="BD9" s="60">
        <f>368+618+615</f>
        <v>1601</v>
      </c>
      <c r="BE9" s="60">
        <v>59</v>
      </c>
      <c r="BF9" s="60">
        <v>398</v>
      </c>
      <c r="BG9" s="60">
        <v>544</v>
      </c>
      <c r="BH9" s="60">
        <f>706+589+439</f>
        <v>1734</v>
      </c>
      <c r="BI9" s="60">
        <v>201</v>
      </c>
      <c r="BJ9" s="65">
        <v>42</v>
      </c>
      <c r="BK9" s="60">
        <v>330</v>
      </c>
      <c r="BL9" s="60" t="s">
        <v>115</v>
      </c>
      <c r="BM9" s="60">
        <v>369</v>
      </c>
      <c r="BN9" s="60">
        <v>574</v>
      </c>
      <c r="BO9" s="60" t="s">
        <v>116</v>
      </c>
      <c r="BP9" s="64">
        <f>AK9</f>
        <v>1209</v>
      </c>
      <c r="BQ9" s="66">
        <f t="shared" ref="BQ9:BQ57" si="2">BB9/BP9</f>
        <v>2.8949545078577335</v>
      </c>
      <c r="BR9" s="66">
        <f t="shared" si="0"/>
        <v>8.6268656716417915</v>
      </c>
      <c r="BS9" s="66">
        <f t="shared" ref="BS9:BS57" si="3">BC9/BM9</f>
        <v>6.154471544715447</v>
      </c>
      <c r="BT9" s="67">
        <f t="shared" ref="BT9:BT57" si="4">BD9/BM9</f>
        <v>4.3387533875338757</v>
      </c>
      <c r="BU9" s="60">
        <f>336+503</f>
        <v>839</v>
      </c>
      <c r="BV9" s="60">
        <v>91</v>
      </c>
      <c r="BW9" s="60"/>
      <c r="BX9" s="64"/>
      <c r="BY9" s="60" t="s">
        <v>118</v>
      </c>
      <c r="BZ9" s="60" t="s">
        <v>115</v>
      </c>
      <c r="CA9" s="60" t="s">
        <v>115</v>
      </c>
      <c r="CB9" s="72">
        <f>53+220</f>
        <v>273</v>
      </c>
      <c r="CC9" s="60">
        <v>7</v>
      </c>
      <c r="CD9" s="64">
        <v>27</v>
      </c>
      <c r="CE9" s="60">
        <v>46</v>
      </c>
      <c r="CF9" s="60">
        <v>15</v>
      </c>
      <c r="CG9" s="64">
        <v>44</v>
      </c>
      <c r="CH9" s="60">
        <v>74</v>
      </c>
      <c r="CI9" s="60">
        <v>49</v>
      </c>
      <c r="CJ9" s="64">
        <v>43</v>
      </c>
      <c r="CK9" s="60">
        <v>74</v>
      </c>
      <c r="CL9" s="60">
        <v>51</v>
      </c>
      <c r="CM9" s="64">
        <v>50</v>
      </c>
      <c r="CN9" s="60">
        <v>66</v>
      </c>
      <c r="CO9" s="60">
        <v>24</v>
      </c>
      <c r="CP9" s="64">
        <v>49</v>
      </c>
      <c r="CQ9" s="60">
        <v>53</v>
      </c>
      <c r="CR9" s="60">
        <v>15</v>
      </c>
      <c r="CS9" s="64">
        <v>21</v>
      </c>
      <c r="CT9" s="60">
        <v>45</v>
      </c>
      <c r="CU9" s="60">
        <v>19</v>
      </c>
      <c r="CV9" s="64">
        <v>32</v>
      </c>
      <c r="CW9" s="60">
        <v>38</v>
      </c>
      <c r="CX9" s="60">
        <v>21</v>
      </c>
      <c r="CY9" s="64">
        <v>12</v>
      </c>
      <c r="CZ9" s="60">
        <v>35</v>
      </c>
      <c r="DA9" s="60">
        <v>19</v>
      </c>
      <c r="DB9" s="64">
        <v>31</v>
      </c>
    </row>
    <row r="10" spans="1:106" x14ac:dyDescent="0.2">
      <c r="A10" s="54"/>
      <c r="B10" s="55"/>
      <c r="C10" s="56"/>
      <c r="D10" s="55"/>
      <c r="E10" s="57"/>
      <c r="F10" s="58"/>
      <c r="G10" s="57"/>
      <c r="H10" s="162"/>
      <c r="I10" s="60"/>
      <c r="J10" s="60"/>
      <c r="K10" s="60"/>
      <c r="L10" s="60"/>
      <c r="M10" s="60"/>
      <c r="N10" s="60"/>
      <c r="O10" s="60"/>
      <c r="P10" s="62"/>
      <c r="Q10" s="60"/>
      <c r="R10" s="60"/>
      <c r="S10" s="62"/>
      <c r="T10" s="62"/>
      <c r="U10" s="62"/>
      <c r="V10" s="62"/>
      <c r="W10" s="62"/>
      <c r="X10" s="62">
        <v>68</v>
      </c>
      <c r="Y10" s="62">
        <v>156</v>
      </c>
      <c r="Z10" s="62"/>
      <c r="AA10" s="62"/>
      <c r="AB10" s="62"/>
      <c r="AC10" s="62"/>
      <c r="AD10" s="62"/>
      <c r="AE10" s="62"/>
      <c r="AF10" s="62">
        <v>23</v>
      </c>
      <c r="AG10" s="62">
        <v>28</v>
      </c>
      <c r="AH10" s="62"/>
      <c r="AI10" s="63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1"/>
      <c r="BA10" s="64">
        <v>16</v>
      </c>
      <c r="BB10" s="60"/>
      <c r="BC10" s="60"/>
      <c r="BD10" s="60"/>
      <c r="BE10" s="60"/>
      <c r="BF10" s="60"/>
      <c r="BG10" s="60"/>
      <c r="BH10" s="60">
        <f>625+400+475</f>
        <v>1500</v>
      </c>
      <c r="BI10" s="60">
        <v>184</v>
      </c>
      <c r="BJ10" s="65">
        <v>38</v>
      </c>
      <c r="BK10" s="60"/>
      <c r="BL10" s="60"/>
      <c r="BM10" s="60"/>
      <c r="BN10" s="60"/>
      <c r="BO10" s="60"/>
      <c r="BP10" s="64"/>
      <c r="BQ10" s="66"/>
      <c r="BR10" s="66">
        <f t="shared" si="0"/>
        <v>8.1521739130434785</v>
      </c>
      <c r="BS10" s="66"/>
      <c r="BT10" s="67"/>
      <c r="BU10" s="60"/>
      <c r="BV10" s="60">
        <v>77</v>
      </c>
      <c r="BW10" s="60">
        <v>97</v>
      </c>
      <c r="BX10" s="64">
        <v>68</v>
      </c>
      <c r="BY10" s="60"/>
      <c r="BZ10" s="60"/>
      <c r="CA10" s="60"/>
      <c r="CB10" s="72"/>
      <c r="CC10" s="60"/>
      <c r="CD10" s="64"/>
      <c r="CE10" s="60">
        <v>52</v>
      </c>
      <c r="CF10" s="60">
        <v>18</v>
      </c>
      <c r="CG10" s="64">
        <v>44</v>
      </c>
      <c r="CH10" s="60"/>
      <c r="CI10" s="60"/>
      <c r="CJ10" s="64"/>
      <c r="CK10" s="60">
        <v>73</v>
      </c>
      <c r="CL10" s="60">
        <v>34</v>
      </c>
      <c r="CM10" s="64">
        <v>45</v>
      </c>
      <c r="CN10" s="60">
        <v>74</v>
      </c>
      <c r="CO10" s="60">
        <v>25</v>
      </c>
      <c r="CP10" s="64">
        <v>43</v>
      </c>
      <c r="CQ10" s="60">
        <v>65</v>
      </c>
      <c r="CR10" s="60">
        <v>22</v>
      </c>
      <c r="CS10" s="64">
        <v>51</v>
      </c>
      <c r="CT10" s="60">
        <v>48</v>
      </c>
      <c r="CU10" s="60">
        <v>19</v>
      </c>
      <c r="CV10" s="64">
        <v>24</v>
      </c>
      <c r="CW10" s="60">
        <v>39</v>
      </c>
      <c r="CX10" s="60">
        <v>19</v>
      </c>
      <c r="CY10" s="64">
        <v>15</v>
      </c>
      <c r="CZ10" s="60"/>
      <c r="DA10" s="60"/>
      <c r="DB10" s="64"/>
    </row>
    <row r="11" spans="1:106" x14ac:dyDescent="0.2">
      <c r="A11" s="54"/>
      <c r="B11" s="55"/>
      <c r="C11" s="56"/>
      <c r="D11" s="55"/>
      <c r="E11" s="57"/>
      <c r="F11" s="58"/>
      <c r="G11" s="57"/>
      <c r="H11" s="162"/>
      <c r="I11" s="60"/>
      <c r="J11" s="60"/>
      <c r="K11" s="60"/>
      <c r="L11" s="60"/>
      <c r="M11" s="60"/>
      <c r="N11" s="60"/>
      <c r="O11" s="60"/>
      <c r="P11" s="62"/>
      <c r="Q11" s="60"/>
      <c r="R11" s="60"/>
      <c r="S11" s="62"/>
      <c r="T11" s="62"/>
      <c r="U11" s="62"/>
      <c r="V11" s="62"/>
      <c r="W11" s="62"/>
      <c r="X11" s="62">
        <v>81</v>
      </c>
      <c r="Y11" s="62">
        <v>126</v>
      </c>
      <c r="Z11" s="62"/>
      <c r="AA11" s="62"/>
      <c r="AB11" s="62"/>
      <c r="AC11" s="62"/>
      <c r="AD11" s="62"/>
      <c r="AE11" s="62"/>
      <c r="AF11" s="62">
        <v>31</v>
      </c>
      <c r="AG11" s="62">
        <v>29</v>
      </c>
      <c r="AH11" s="62"/>
      <c r="AI11" s="63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1"/>
      <c r="BA11" s="64">
        <v>16</v>
      </c>
      <c r="BB11" s="60"/>
      <c r="BC11" s="60"/>
      <c r="BD11" s="60"/>
      <c r="BE11" s="60"/>
      <c r="BF11" s="60"/>
      <c r="BG11" s="60"/>
      <c r="BH11" s="60">
        <f>518+584+666</f>
        <v>1768</v>
      </c>
      <c r="BI11" s="60">
        <v>203</v>
      </c>
      <c r="BJ11" s="65">
        <v>35</v>
      </c>
      <c r="BK11" s="60"/>
      <c r="BL11" s="60"/>
      <c r="BM11" s="60"/>
      <c r="BN11" s="60"/>
      <c r="BO11" s="60"/>
      <c r="BP11" s="64"/>
      <c r="BQ11" s="66"/>
      <c r="BR11" s="66">
        <f t="shared" si="0"/>
        <v>8.7093596059113292</v>
      </c>
      <c r="BS11" s="66"/>
      <c r="BT11" s="67"/>
      <c r="BU11" s="60"/>
      <c r="BV11" s="60"/>
      <c r="BW11" s="60"/>
      <c r="BX11" s="64"/>
      <c r="BY11" s="60"/>
      <c r="BZ11" s="60"/>
      <c r="CA11" s="60"/>
      <c r="CB11" s="72"/>
      <c r="CC11" s="60"/>
      <c r="CD11" s="64"/>
      <c r="CE11" s="60">
        <v>36</v>
      </c>
      <c r="CF11" s="60">
        <v>15</v>
      </c>
      <c r="CG11" s="64">
        <v>24</v>
      </c>
      <c r="CH11" s="60"/>
      <c r="CI11" s="60"/>
      <c r="CJ11" s="64"/>
      <c r="CK11" s="60">
        <v>71</v>
      </c>
      <c r="CL11" s="60">
        <v>44</v>
      </c>
      <c r="CM11" s="64">
        <v>55</v>
      </c>
      <c r="CN11" s="60">
        <v>70</v>
      </c>
      <c r="CO11" s="60">
        <v>32</v>
      </c>
      <c r="CP11" s="64">
        <v>43</v>
      </c>
      <c r="CQ11" s="60">
        <v>68</v>
      </c>
      <c r="CR11" s="60">
        <v>23</v>
      </c>
      <c r="CS11" s="64">
        <v>55</v>
      </c>
      <c r="CT11" s="60">
        <v>53</v>
      </c>
      <c r="CU11" s="60">
        <v>18</v>
      </c>
      <c r="CV11" s="64">
        <v>28</v>
      </c>
      <c r="CW11" s="60"/>
      <c r="CX11" s="60"/>
      <c r="CY11" s="64"/>
      <c r="CZ11" s="60"/>
      <c r="DA11" s="60"/>
      <c r="DB11" s="64"/>
    </row>
    <row r="12" spans="1:106" x14ac:dyDescent="0.2">
      <c r="A12" s="40" t="s">
        <v>119</v>
      </c>
      <c r="B12" s="41" t="s">
        <v>109</v>
      </c>
      <c r="C12" s="42" t="s">
        <v>110</v>
      </c>
      <c r="D12" s="41" t="s">
        <v>111</v>
      </c>
      <c r="E12" s="43" t="s">
        <v>112</v>
      </c>
      <c r="F12" s="44">
        <v>3</v>
      </c>
      <c r="G12" s="43" t="s">
        <v>113</v>
      </c>
      <c r="H12" s="161" t="s">
        <v>181</v>
      </c>
      <c r="I12" s="45">
        <f>1284+878+2358+1310+2227+2114+1057+1679+2405+1399+3054+2122+991+662+1120+669+1043</f>
        <v>26372</v>
      </c>
      <c r="J12" s="45">
        <v>85</v>
      </c>
      <c r="K12" s="45">
        <v>43</v>
      </c>
      <c r="L12" s="45">
        <v>10</v>
      </c>
      <c r="M12" s="45">
        <f t="shared" si="1"/>
        <v>8</v>
      </c>
      <c r="N12" s="45">
        <f>K12-L12</f>
        <v>33</v>
      </c>
      <c r="O12" s="46">
        <f>N12/K12</f>
        <v>0.76744186046511631</v>
      </c>
      <c r="P12" s="47">
        <v>2</v>
      </c>
      <c r="Q12" s="45">
        <v>880</v>
      </c>
      <c r="R12" s="45">
        <v>365</v>
      </c>
      <c r="S12" s="47">
        <v>2299</v>
      </c>
      <c r="T12" s="47">
        <v>438</v>
      </c>
      <c r="U12" s="47">
        <v>56</v>
      </c>
      <c r="V12" s="47">
        <v>35</v>
      </c>
      <c r="W12" s="47">
        <f>U12-V12</f>
        <v>21</v>
      </c>
      <c r="X12" s="47">
        <v>75</v>
      </c>
      <c r="Y12" s="47">
        <v>116</v>
      </c>
      <c r="Z12" s="47">
        <f>117+254</f>
        <v>371</v>
      </c>
      <c r="AA12" s="47">
        <v>200</v>
      </c>
      <c r="AB12" s="47">
        <v>4</v>
      </c>
      <c r="AC12" s="47">
        <v>436</v>
      </c>
      <c r="AD12" s="47">
        <v>332</v>
      </c>
      <c r="AE12" s="47" t="s">
        <v>115</v>
      </c>
      <c r="AF12" s="47">
        <v>24</v>
      </c>
      <c r="AG12" s="47">
        <v>29</v>
      </c>
      <c r="AH12" s="47">
        <v>1562</v>
      </c>
      <c r="AI12" s="48">
        <f>AH12/S12</f>
        <v>0.67942583732057416</v>
      </c>
      <c r="AJ12" s="45">
        <f>1230+1065</f>
        <v>2295</v>
      </c>
      <c r="AK12" s="45">
        <v>1169</v>
      </c>
      <c r="AL12" s="45" t="s">
        <v>115</v>
      </c>
      <c r="AM12" s="45" t="s">
        <v>115</v>
      </c>
      <c r="AN12" s="45" t="s">
        <v>115</v>
      </c>
      <c r="AO12" s="45" t="s">
        <v>115</v>
      </c>
      <c r="AP12" s="45" t="s">
        <v>115</v>
      </c>
      <c r="AQ12" s="45">
        <v>425</v>
      </c>
      <c r="AR12" s="45">
        <v>216</v>
      </c>
      <c r="AS12" s="45">
        <v>4</v>
      </c>
      <c r="AT12" s="45">
        <v>357</v>
      </c>
      <c r="AU12" s="45">
        <v>664</v>
      </c>
      <c r="AV12" s="45" t="s">
        <v>115</v>
      </c>
      <c r="AW12" s="45" t="s">
        <v>115</v>
      </c>
      <c r="AX12" s="45" t="s">
        <v>115</v>
      </c>
      <c r="AY12" s="45">
        <f>1035+662</f>
        <v>1697</v>
      </c>
      <c r="AZ12" s="46">
        <f>AY12/AJ12</f>
        <v>0.73943355119825704</v>
      </c>
      <c r="BA12" s="49">
        <v>15</v>
      </c>
      <c r="BB12" s="45">
        <f>209+667+853+698+970</f>
        <v>3397</v>
      </c>
      <c r="BC12" s="45">
        <f>212+570+906</f>
        <v>1688</v>
      </c>
      <c r="BD12" s="45">
        <f>396+560+708</f>
        <v>1664</v>
      </c>
      <c r="BE12" s="45">
        <v>49</v>
      </c>
      <c r="BF12" s="45">
        <v>432</v>
      </c>
      <c r="BG12" s="45">
        <v>492</v>
      </c>
      <c r="BH12" s="45">
        <f>234+437+739+356</f>
        <v>1766</v>
      </c>
      <c r="BI12" s="45">
        <v>213</v>
      </c>
      <c r="BJ12" s="50">
        <v>36</v>
      </c>
      <c r="BK12" s="45">
        <v>320</v>
      </c>
      <c r="BL12" s="45">
        <v>238</v>
      </c>
      <c r="BM12" s="45">
        <v>587</v>
      </c>
      <c r="BN12" s="45">
        <v>529</v>
      </c>
      <c r="BO12" s="45" t="s">
        <v>116</v>
      </c>
      <c r="BP12" s="49">
        <f>AK12</f>
        <v>1169</v>
      </c>
      <c r="BQ12" s="51">
        <f t="shared" si="2"/>
        <v>2.90590248075278</v>
      </c>
      <c r="BR12" s="51">
        <f t="shared" si="0"/>
        <v>8.2910798122065721</v>
      </c>
      <c r="BS12" s="51">
        <f t="shared" si="3"/>
        <v>2.8756388415672913</v>
      </c>
      <c r="BT12" s="52">
        <f t="shared" si="4"/>
        <v>2.8347529812606473</v>
      </c>
      <c r="BU12" s="45">
        <f>518+407</f>
        <v>925</v>
      </c>
      <c r="BV12" s="45">
        <v>60</v>
      </c>
      <c r="BW12" s="45">
        <v>81</v>
      </c>
      <c r="BX12" s="49">
        <v>73</v>
      </c>
      <c r="BY12" s="45" t="s">
        <v>120</v>
      </c>
      <c r="BZ12" s="45" t="s">
        <v>115</v>
      </c>
      <c r="CA12" s="45">
        <v>65</v>
      </c>
      <c r="CB12" s="80">
        <v>293</v>
      </c>
      <c r="CC12" s="45">
        <v>7</v>
      </c>
      <c r="CD12" s="49" t="s">
        <v>115</v>
      </c>
      <c r="CE12" s="45">
        <v>48</v>
      </c>
      <c r="CF12" s="45">
        <v>18</v>
      </c>
      <c r="CG12" s="49">
        <v>38</v>
      </c>
      <c r="CH12" s="45">
        <v>74</v>
      </c>
      <c r="CI12" s="45">
        <v>62</v>
      </c>
      <c r="CJ12" s="49">
        <v>45</v>
      </c>
      <c r="CK12" s="45">
        <v>70</v>
      </c>
      <c r="CL12" s="45">
        <v>37</v>
      </c>
      <c r="CM12" s="49">
        <v>44</v>
      </c>
      <c r="CN12" s="45">
        <v>67</v>
      </c>
      <c r="CO12" s="45">
        <v>25</v>
      </c>
      <c r="CP12" s="49">
        <v>57</v>
      </c>
      <c r="CQ12" s="45" t="s">
        <v>115</v>
      </c>
      <c r="CR12" s="45" t="s">
        <v>115</v>
      </c>
      <c r="CS12" s="49" t="s">
        <v>115</v>
      </c>
      <c r="CT12" s="45" t="s">
        <v>115</v>
      </c>
      <c r="CU12" s="45" t="s">
        <v>115</v>
      </c>
      <c r="CV12" s="49" t="s">
        <v>115</v>
      </c>
      <c r="CW12" s="45" t="s">
        <v>115</v>
      </c>
      <c r="CX12" s="45" t="s">
        <v>115</v>
      </c>
      <c r="CY12" s="49" t="s">
        <v>115</v>
      </c>
      <c r="CZ12" s="45" t="s">
        <v>115</v>
      </c>
      <c r="DA12" s="45" t="s">
        <v>115</v>
      </c>
      <c r="DB12" s="49" t="s">
        <v>115</v>
      </c>
    </row>
    <row r="13" spans="1:106" x14ac:dyDescent="0.2">
      <c r="A13" s="40"/>
      <c r="B13" s="41"/>
      <c r="C13" s="42"/>
      <c r="D13" s="41"/>
      <c r="E13" s="43"/>
      <c r="F13" s="44"/>
      <c r="G13" s="43"/>
      <c r="H13" s="161"/>
      <c r="O13" s="46"/>
      <c r="P13" s="47"/>
      <c r="S13" s="47"/>
      <c r="T13" s="47"/>
      <c r="U13" s="47"/>
      <c r="V13" s="47"/>
      <c r="W13" s="47"/>
      <c r="X13" s="47">
        <v>64</v>
      </c>
      <c r="Y13" s="47">
        <v>87</v>
      </c>
      <c r="Z13" s="47"/>
      <c r="AA13" s="47"/>
      <c r="AB13" s="47"/>
      <c r="AC13" s="47"/>
      <c r="AD13" s="47"/>
      <c r="AE13" s="47"/>
      <c r="AF13" s="47">
        <v>19</v>
      </c>
      <c r="AG13" s="47">
        <v>26</v>
      </c>
      <c r="AH13" s="47"/>
      <c r="AI13" s="48"/>
      <c r="AZ13" s="46"/>
      <c r="BA13" s="49">
        <v>18</v>
      </c>
      <c r="BH13" s="45">
        <v>1483</v>
      </c>
      <c r="BI13" s="45">
        <v>205</v>
      </c>
      <c r="BJ13" s="50">
        <v>31</v>
      </c>
      <c r="BK13" s="45">
        <v>354</v>
      </c>
      <c r="BL13" s="45">
        <v>227</v>
      </c>
      <c r="BQ13" s="51"/>
      <c r="BR13" s="51">
        <f t="shared" si="0"/>
        <v>7.2341463414634148</v>
      </c>
      <c r="BS13" s="51"/>
      <c r="BT13" s="52"/>
      <c r="BV13" s="45">
        <v>69</v>
      </c>
      <c r="CB13" s="80">
        <v>272</v>
      </c>
      <c r="CD13" s="49"/>
      <c r="CE13" s="45">
        <v>34</v>
      </c>
      <c r="CF13" s="45">
        <v>17</v>
      </c>
      <c r="CG13" s="49">
        <v>33</v>
      </c>
      <c r="CH13" s="45">
        <v>45</v>
      </c>
      <c r="CI13" s="45">
        <v>47</v>
      </c>
      <c r="CJ13" s="49">
        <v>32</v>
      </c>
      <c r="CK13" s="45">
        <v>64</v>
      </c>
      <c r="CL13" s="45">
        <v>34</v>
      </c>
      <c r="CM13" s="49">
        <v>50</v>
      </c>
      <c r="CN13" s="45">
        <v>58</v>
      </c>
      <c r="CO13" s="45">
        <v>24</v>
      </c>
      <c r="CP13" s="49">
        <v>53</v>
      </c>
      <c r="CS13" s="49"/>
      <c r="CV13" s="49"/>
      <c r="CY13" s="49"/>
      <c r="DB13" s="49"/>
    </row>
    <row r="14" spans="1:106" x14ac:dyDescent="0.2">
      <c r="A14" s="40"/>
      <c r="B14" s="41"/>
      <c r="C14" s="42"/>
      <c r="D14" s="41"/>
      <c r="E14" s="43"/>
      <c r="F14" s="44"/>
      <c r="G14" s="43"/>
      <c r="H14" s="161"/>
      <c r="O14" s="46"/>
      <c r="P14" s="47"/>
      <c r="S14" s="47"/>
      <c r="T14" s="47"/>
      <c r="U14" s="47"/>
      <c r="V14" s="47"/>
      <c r="W14" s="47"/>
      <c r="X14" s="47">
        <v>67</v>
      </c>
      <c r="Y14" s="47">
        <v>105</v>
      </c>
      <c r="Z14" s="47"/>
      <c r="AA14" s="47"/>
      <c r="AB14" s="47"/>
      <c r="AC14" s="47"/>
      <c r="AD14" s="47"/>
      <c r="AE14" s="47"/>
      <c r="AF14" s="47">
        <v>18</v>
      </c>
      <c r="AG14" s="47">
        <v>22</v>
      </c>
      <c r="AH14" s="47"/>
      <c r="AI14" s="48"/>
      <c r="AZ14" s="46"/>
      <c r="BA14" s="49">
        <v>23</v>
      </c>
      <c r="BH14" s="45">
        <f>663+856</f>
        <v>1519</v>
      </c>
      <c r="BI14" s="45">
        <v>232</v>
      </c>
      <c r="BJ14" s="50">
        <v>37</v>
      </c>
      <c r="BK14" s="45">
        <v>375</v>
      </c>
      <c r="BL14" s="45">
        <v>204</v>
      </c>
      <c r="BQ14" s="51"/>
      <c r="BR14" s="51">
        <f t="shared" si="0"/>
        <v>6.5474137931034484</v>
      </c>
      <c r="BS14" s="51"/>
      <c r="BT14" s="52"/>
      <c r="CD14" s="49"/>
      <c r="CE14" s="45">
        <v>44</v>
      </c>
      <c r="CF14" s="45">
        <v>18</v>
      </c>
      <c r="CG14" s="49">
        <v>32</v>
      </c>
      <c r="CH14" s="45">
        <v>70</v>
      </c>
      <c r="CI14" s="45">
        <v>60</v>
      </c>
      <c r="CJ14" s="49">
        <v>40</v>
      </c>
      <c r="CM14" s="49"/>
      <c r="CN14" s="45">
        <v>66</v>
      </c>
      <c r="CO14" s="45">
        <v>36</v>
      </c>
      <c r="CP14" s="49">
        <v>46</v>
      </c>
      <c r="CS14" s="49"/>
      <c r="CV14" s="49"/>
      <c r="CY14" s="49"/>
      <c r="DB14" s="49"/>
    </row>
    <row r="15" spans="1:106" ht="15.75" customHeight="1" x14ac:dyDescent="0.2">
      <c r="A15" s="54" t="s">
        <v>121</v>
      </c>
      <c r="B15" s="55" t="s">
        <v>109</v>
      </c>
      <c r="C15" s="56" t="s">
        <v>122</v>
      </c>
      <c r="D15" s="55" t="s">
        <v>123</v>
      </c>
      <c r="E15" s="70" t="s">
        <v>124</v>
      </c>
      <c r="F15" s="71">
        <v>1</v>
      </c>
      <c r="G15" s="57" t="s">
        <v>115</v>
      </c>
      <c r="H15" s="162" t="s">
        <v>125</v>
      </c>
      <c r="I15" s="60" t="s">
        <v>115</v>
      </c>
      <c r="J15" s="60" t="s">
        <v>115</v>
      </c>
      <c r="K15" s="60" t="s">
        <v>115</v>
      </c>
      <c r="L15" s="60" t="s">
        <v>115</v>
      </c>
      <c r="M15" s="60" t="s">
        <v>115</v>
      </c>
      <c r="N15" s="60" t="s">
        <v>115</v>
      </c>
      <c r="O15" s="61" t="s">
        <v>115</v>
      </c>
      <c r="P15" s="60" t="s">
        <v>115</v>
      </c>
      <c r="Q15" s="60" t="s">
        <v>115</v>
      </c>
      <c r="R15" s="60" t="s">
        <v>115</v>
      </c>
      <c r="S15" s="60" t="s">
        <v>115</v>
      </c>
      <c r="T15" s="60" t="s">
        <v>115</v>
      </c>
      <c r="U15" s="60" t="s">
        <v>115</v>
      </c>
      <c r="V15" s="60" t="s">
        <v>115</v>
      </c>
      <c r="W15" s="60" t="s">
        <v>115</v>
      </c>
      <c r="X15" s="60" t="s">
        <v>115</v>
      </c>
      <c r="Y15" s="60" t="s">
        <v>115</v>
      </c>
      <c r="Z15" s="60" t="s">
        <v>115</v>
      </c>
      <c r="AA15" s="60" t="s">
        <v>115</v>
      </c>
      <c r="AB15" s="60" t="s">
        <v>115</v>
      </c>
      <c r="AC15" s="60" t="s">
        <v>115</v>
      </c>
      <c r="AD15" s="60" t="s">
        <v>115</v>
      </c>
      <c r="AE15" s="60" t="s">
        <v>115</v>
      </c>
      <c r="AF15" s="60" t="s">
        <v>115</v>
      </c>
      <c r="AG15" s="60" t="s">
        <v>115</v>
      </c>
      <c r="AH15" s="60" t="s">
        <v>115</v>
      </c>
      <c r="AI15" s="60" t="s">
        <v>115</v>
      </c>
      <c r="AJ15" s="60" t="s">
        <v>115</v>
      </c>
      <c r="AK15" s="60" t="s">
        <v>115</v>
      </c>
      <c r="AL15" s="60" t="s">
        <v>115</v>
      </c>
      <c r="AM15" s="60" t="s">
        <v>115</v>
      </c>
      <c r="AN15" s="60" t="s">
        <v>115</v>
      </c>
      <c r="AO15" s="60" t="s">
        <v>115</v>
      </c>
      <c r="AP15" s="60" t="s">
        <v>115</v>
      </c>
      <c r="AQ15" s="60" t="s">
        <v>115</v>
      </c>
      <c r="AR15" s="60" t="s">
        <v>115</v>
      </c>
      <c r="AS15" s="60" t="s">
        <v>115</v>
      </c>
      <c r="AT15" s="60" t="s">
        <v>115</v>
      </c>
      <c r="AU15" s="60" t="s">
        <v>115</v>
      </c>
      <c r="AV15" s="60" t="s">
        <v>115</v>
      </c>
      <c r="AW15" s="60" t="s">
        <v>115</v>
      </c>
      <c r="AX15" s="60" t="s">
        <v>115</v>
      </c>
      <c r="AY15" s="60" t="s">
        <v>115</v>
      </c>
      <c r="AZ15" s="60" t="s">
        <v>115</v>
      </c>
      <c r="BA15" s="64" t="s">
        <v>115</v>
      </c>
      <c r="BB15" s="60">
        <f>817+1368+1289</f>
        <v>3474</v>
      </c>
      <c r="BC15" s="60">
        <v>1425</v>
      </c>
      <c r="BD15" s="60">
        <f>782+1204</f>
        <v>1986</v>
      </c>
      <c r="BE15" s="60">
        <v>75</v>
      </c>
      <c r="BF15" s="60">
        <v>685</v>
      </c>
      <c r="BG15" s="60">
        <v>668</v>
      </c>
      <c r="BH15" s="60">
        <f>881+951</f>
        <v>1832</v>
      </c>
      <c r="BI15" s="60">
        <v>208</v>
      </c>
      <c r="BJ15" s="65">
        <v>39</v>
      </c>
      <c r="BK15" s="65">
        <v>569</v>
      </c>
      <c r="BL15" s="60">
        <v>262</v>
      </c>
      <c r="BM15" s="60" t="s">
        <v>115</v>
      </c>
      <c r="BN15" s="60" t="s">
        <v>115</v>
      </c>
      <c r="BO15" s="60" t="s">
        <v>115</v>
      </c>
      <c r="BP15" s="64" t="s">
        <v>115</v>
      </c>
      <c r="BQ15" s="66" t="s">
        <v>115</v>
      </c>
      <c r="BR15" s="66">
        <f t="shared" si="0"/>
        <v>8.8076923076923084</v>
      </c>
      <c r="BS15" s="66" t="s">
        <v>115</v>
      </c>
      <c r="BT15" s="67" t="s">
        <v>115</v>
      </c>
      <c r="BU15" s="60">
        <f>539+502+401</f>
        <v>1442</v>
      </c>
      <c r="BV15" s="60">
        <v>75</v>
      </c>
      <c r="BW15" s="60">
        <v>105</v>
      </c>
      <c r="BX15" s="64">
        <v>101</v>
      </c>
      <c r="BY15" s="60" t="s">
        <v>126</v>
      </c>
      <c r="BZ15" s="60" t="s">
        <v>115</v>
      </c>
      <c r="CA15" s="72">
        <v>67</v>
      </c>
      <c r="CB15" s="72">
        <v>317</v>
      </c>
      <c r="CC15" s="60">
        <v>7</v>
      </c>
      <c r="CD15" s="64" t="s">
        <v>115</v>
      </c>
      <c r="CE15" s="60">
        <v>42</v>
      </c>
      <c r="CF15" s="60">
        <v>17</v>
      </c>
      <c r="CG15" s="64">
        <v>39</v>
      </c>
      <c r="CH15" s="60">
        <v>84</v>
      </c>
      <c r="CI15" s="60">
        <v>75</v>
      </c>
      <c r="CJ15" s="64">
        <v>42</v>
      </c>
      <c r="CK15" s="60">
        <v>67</v>
      </c>
      <c r="CL15" s="60">
        <v>41</v>
      </c>
      <c r="CM15" s="64">
        <v>42</v>
      </c>
      <c r="CN15" s="60" t="s">
        <v>115</v>
      </c>
      <c r="CO15" s="60" t="s">
        <v>115</v>
      </c>
      <c r="CP15" s="64" t="s">
        <v>115</v>
      </c>
      <c r="CQ15" s="60">
        <v>58</v>
      </c>
      <c r="CR15" s="60">
        <v>23</v>
      </c>
      <c r="CS15" s="64">
        <v>40</v>
      </c>
      <c r="CT15" s="60">
        <v>53</v>
      </c>
      <c r="CU15" s="60">
        <v>22</v>
      </c>
      <c r="CV15" s="64">
        <v>31</v>
      </c>
      <c r="CW15" s="60">
        <v>33</v>
      </c>
      <c r="CX15" s="60">
        <v>17</v>
      </c>
      <c r="CY15" s="64">
        <v>20</v>
      </c>
      <c r="CZ15" s="60">
        <v>40</v>
      </c>
      <c r="DA15" s="60">
        <v>23</v>
      </c>
      <c r="DB15" s="64">
        <v>26</v>
      </c>
    </row>
    <row r="16" spans="1:106" x14ac:dyDescent="0.2">
      <c r="A16" s="54"/>
      <c r="B16" s="55"/>
      <c r="C16" s="56"/>
      <c r="D16" s="55"/>
      <c r="E16" s="70"/>
      <c r="F16" s="71"/>
      <c r="G16" s="57"/>
      <c r="H16" s="162"/>
      <c r="I16" s="60"/>
      <c r="J16" s="60"/>
      <c r="K16" s="60"/>
      <c r="L16" s="60"/>
      <c r="M16" s="60"/>
      <c r="N16" s="60"/>
      <c r="O16" s="61"/>
      <c r="P16" s="60"/>
      <c r="Q16" s="60"/>
      <c r="R16" s="60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73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1"/>
      <c r="BA16" s="64"/>
      <c r="BB16" s="60"/>
      <c r="BC16" s="60"/>
      <c r="BD16" s="60"/>
      <c r="BE16" s="60"/>
      <c r="BF16" s="60"/>
      <c r="BG16" s="60"/>
      <c r="BH16" s="60">
        <f>385+626+1042</f>
        <v>2053</v>
      </c>
      <c r="BI16" s="60">
        <v>262</v>
      </c>
      <c r="BJ16" s="65">
        <v>43</v>
      </c>
      <c r="BK16" s="60">
        <v>521</v>
      </c>
      <c r="BL16" s="60"/>
      <c r="BM16" s="60"/>
      <c r="BN16" s="60"/>
      <c r="BO16" s="60"/>
      <c r="BP16" s="64"/>
      <c r="BQ16" s="66"/>
      <c r="BR16" s="66">
        <f t="shared" si="0"/>
        <v>7.83587786259542</v>
      </c>
      <c r="BS16" s="66"/>
      <c r="BT16" s="67"/>
      <c r="BU16" s="60"/>
      <c r="BV16" s="60"/>
      <c r="BW16" s="60"/>
      <c r="BX16" s="64"/>
      <c r="BY16" s="60"/>
      <c r="BZ16" s="60"/>
      <c r="CA16" s="60"/>
      <c r="CB16" s="72"/>
      <c r="CC16" s="60"/>
      <c r="CD16" s="64"/>
      <c r="CE16" s="60">
        <v>59</v>
      </c>
      <c r="CF16" s="60">
        <v>19</v>
      </c>
      <c r="CG16" s="64">
        <v>46</v>
      </c>
      <c r="CH16" s="60">
        <v>81</v>
      </c>
      <c r="CI16" s="60">
        <v>73</v>
      </c>
      <c r="CJ16" s="64">
        <v>34</v>
      </c>
      <c r="CK16" s="60">
        <v>74</v>
      </c>
      <c r="CL16" s="60">
        <v>49</v>
      </c>
      <c r="CM16" s="64">
        <v>33</v>
      </c>
      <c r="CN16" s="60"/>
      <c r="CO16" s="60"/>
      <c r="CP16" s="64"/>
      <c r="CQ16" s="60">
        <v>56</v>
      </c>
      <c r="CR16" s="60">
        <v>25</v>
      </c>
      <c r="CS16" s="64">
        <v>40</v>
      </c>
      <c r="CT16" s="60">
        <v>46</v>
      </c>
      <c r="CU16" s="60">
        <v>20</v>
      </c>
      <c r="CV16" s="64">
        <v>31</v>
      </c>
      <c r="CW16" s="60">
        <v>38</v>
      </c>
      <c r="CX16" s="60">
        <v>17</v>
      </c>
      <c r="CY16" s="64">
        <v>22</v>
      </c>
      <c r="CZ16" s="60">
        <v>40</v>
      </c>
      <c r="DA16" s="60">
        <v>24</v>
      </c>
      <c r="DB16" s="64">
        <v>26</v>
      </c>
    </row>
    <row r="17" spans="1:106" x14ac:dyDescent="0.2">
      <c r="A17" s="54"/>
      <c r="B17" s="55"/>
      <c r="C17" s="56"/>
      <c r="D17" s="55"/>
      <c r="E17" s="70"/>
      <c r="F17" s="71"/>
      <c r="G17" s="57"/>
      <c r="H17" s="162"/>
      <c r="I17" s="60"/>
      <c r="J17" s="60"/>
      <c r="K17" s="60"/>
      <c r="L17" s="60"/>
      <c r="M17" s="60"/>
      <c r="N17" s="60"/>
      <c r="O17" s="61"/>
      <c r="P17" s="60"/>
      <c r="Q17" s="60"/>
      <c r="R17" s="60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73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1"/>
      <c r="BA17" s="64"/>
      <c r="BB17" s="60"/>
      <c r="BC17" s="60"/>
      <c r="BD17" s="60"/>
      <c r="BE17" s="60"/>
      <c r="BF17" s="60"/>
      <c r="BG17" s="60"/>
      <c r="BH17" s="60">
        <f>855+933</f>
        <v>1788</v>
      </c>
      <c r="BI17" s="60"/>
      <c r="BJ17" s="65">
        <v>35</v>
      </c>
      <c r="BK17" s="60"/>
      <c r="BL17" s="60"/>
      <c r="BM17" s="60"/>
      <c r="BN17" s="60"/>
      <c r="BO17" s="60"/>
      <c r="BP17" s="64"/>
      <c r="BQ17" s="66"/>
      <c r="BR17" s="66"/>
      <c r="BS17" s="66"/>
      <c r="BT17" s="67"/>
      <c r="BU17" s="60"/>
      <c r="BV17" s="60"/>
      <c r="BW17" s="60"/>
      <c r="BX17" s="64"/>
      <c r="BY17" s="60"/>
      <c r="BZ17" s="60"/>
      <c r="CA17" s="60"/>
      <c r="CB17" s="72"/>
      <c r="CC17" s="60"/>
      <c r="CD17" s="64"/>
      <c r="CE17" s="60"/>
      <c r="CF17" s="60"/>
      <c r="CG17" s="64"/>
      <c r="CH17" s="60">
        <v>87</v>
      </c>
      <c r="CI17" s="60">
        <v>79</v>
      </c>
      <c r="CJ17" s="64">
        <v>28</v>
      </c>
      <c r="CK17" s="60">
        <v>69</v>
      </c>
      <c r="CL17" s="60">
        <v>32</v>
      </c>
      <c r="CM17" s="64">
        <v>41</v>
      </c>
      <c r="CN17" s="60"/>
      <c r="CO17" s="60"/>
      <c r="CP17" s="64"/>
      <c r="CQ17" s="60"/>
      <c r="CR17" s="60"/>
      <c r="CS17" s="64"/>
      <c r="CT17" s="60">
        <v>41</v>
      </c>
      <c r="CU17" s="60">
        <v>13</v>
      </c>
      <c r="CV17" s="64">
        <v>27</v>
      </c>
      <c r="CW17" s="60">
        <v>39</v>
      </c>
      <c r="CX17" s="60">
        <v>18</v>
      </c>
      <c r="CY17" s="64">
        <v>23</v>
      </c>
      <c r="CZ17" s="60">
        <v>38</v>
      </c>
      <c r="DA17" s="60">
        <v>23</v>
      </c>
      <c r="DB17" s="64">
        <v>25</v>
      </c>
    </row>
    <row r="18" spans="1:106" x14ac:dyDescent="0.2">
      <c r="A18" s="40" t="s">
        <v>127</v>
      </c>
      <c r="B18" s="41" t="s">
        <v>109</v>
      </c>
      <c r="C18" s="42" t="s">
        <v>122</v>
      </c>
      <c r="D18" s="41" t="s">
        <v>111</v>
      </c>
      <c r="E18" s="43" t="s">
        <v>124</v>
      </c>
      <c r="F18" s="44">
        <v>1</v>
      </c>
      <c r="G18" s="43" t="s">
        <v>115</v>
      </c>
      <c r="H18" s="161" t="s">
        <v>173</v>
      </c>
      <c r="I18" s="45">
        <f>1058+1189+1999+915+912+586+848+1061+1715+330+446+1228+1228+1248+2653+2353+2473+887+1995+3443+2011+525+925+1528+1202</f>
        <v>34758</v>
      </c>
      <c r="J18" s="45">
        <v>127</v>
      </c>
      <c r="K18" s="45">
        <v>73</v>
      </c>
      <c r="L18" s="45">
        <v>21</v>
      </c>
      <c r="M18" s="45">
        <f t="shared" si="1"/>
        <v>21</v>
      </c>
      <c r="N18" s="45">
        <f>K18-L18</f>
        <v>52</v>
      </c>
      <c r="O18" s="46">
        <f t="shared" ref="O18:O36" si="5">N18/K18</f>
        <v>0.71232876712328763</v>
      </c>
      <c r="P18" s="53">
        <v>0</v>
      </c>
      <c r="Q18" s="45">
        <v>624</v>
      </c>
      <c r="R18" s="45">
        <v>386</v>
      </c>
      <c r="S18" s="53">
        <f>384+819+426</f>
        <v>1629</v>
      </c>
      <c r="T18" s="53">
        <v>494</v>
      </c>
      <c r="U18" s="53" t="s">
        <v>115</v>
      </c>
      <c r="V18" s="53" t="s">
        <v>115</v>
      </c>
      <c r="W18" s="53" t="s">
        <v>115</v>
      </c>
      <c r="X18" s="53" t="s">
        <v>115</v>
      </c>
      <c r="Y18" s="53" t="s">
        <v>115</v>
      </c>
      <c r="Z18" s="53" t="s">
        <v>115</v>
      </c>
      <c r="AA18" s="53" t="s">
        <v>115</v>
      </c>
      <c r="AB18" s="53" t="s">
        <v>115</v>
      </c>
      <c r="AC18" s="53" t="s">
        <v>115</v>
      </c>
      <c r="AD18" s="53" t="s">
        <v>115</v>
      </c>
      <c r="AE18" s="53" t="s">
        <v>115</v>
      </c>
      <c r="AF18" s="53" t="s">
        <v>115</v>
      </c>
      <c r="AG18" s="53" t="s">
        <v>115</v>
      </c>
      <c r="AH18" s="53">
        <v>1295</v>
      </c>
      <c r="AI18" s="74">
        <f>AH18/S18</f>
        <v>0.7949662369551872</v>
      </c>
      <c r="AJ18" s="45" t="s">
        <v>115</v>
      </c>
      <c r="AK18" s="45" t="s">
        <v>115</v>
      </c>
      <c r="AL18" s="45" t="s">
        <v>115</v>
      </c>
      <c r="AM18" s="45" t="s">
        <v>115</v>
      </c>
      <c r="AN18" s="45" t="s">
        <v>115</v>
      </c>
      <c r="AO18" s="45" t="s">
        <v>115</v>
      </c>
      <c r="AP18" s="45" t="s">
        <v>115</v>
      </c>
      <c r="AQ18" s="45" t="s">
        <v>115</v>
      </c>
      <c r="AR18" s="45" t="s">
        <v>115</v>
      </c>
      <c r="AS18" s="45" t="s">
        <v>115</v>
      </c>
      <c r="AT18" s="45" t="s">
        <v>115</v>
      </c>
      <c r="AU18" s="45" t="s">
        <v>115</v>
      </c>
      <c r="AV18" s="45" t="s">
        <v>115</v>
      </c>
      <c r="AW18" s="45" t="s">
        <v>115</v>
      </c>
      <c r="AX18" s="45" t="s">
        <v>115</v>
      </c>
      <c r="AY18" s="45" t="s">
        <v>115</v>
      </c>
      <c r="AZ18" s="45" t="s">
        <v>115</v>
      </c>
      <c r="BA18" s="49" t="s">
        <v>115</v>
      </c>
      <c r="BB18" s="45">
        <f>242+631+1485+476+1326</f>
        <v>4160</v>
      </c>
      <c r="BC18" s="45">
        <f>821+997</f>
        <v>1818</v>
      </c>
      <c r="BD18" s="45">
        <f>956+1304</f>
        <v>2260</v>
      </c>
      <c r="BE18" s="45">
        <v>101</v>
      </c>
      <c r="BF18" s="45">
        <v>472</v>
      </c>
      <c r="BG18" s="45">
        <v>559</v>
      </c>
      <c r="BH18" s="45">
        <f>1030+1243</f>
        <v>2273</v>
      </c>
      <c r="BI18" s="45">
        <v>235</v>
      </c>
      <c r="BJ18" s="50">
        <v>33</v>
      </c>
      <c r="BK18" s="45">
        <v>441</v>
      </c>
      <c r="BL18" s="45">
        <v>226</v>
      </c>
      <c r="BM18" s="45">
        <v>498</v>
      </c>
      <c r="BN18" s="45">
        <v>657</v>
      </c>
      <c r="BO18" s="45" t="s">
        <v>128</v>
      </c>
      <c r="BP18" s="49">
        <f>BN18</f>
        <v>657</v>
      </c>
      <c r="BQ18" s="51">
        <f t="shared" si="2"/>
        <v>6.3318112633181123</v>
      </c>
      <c r="BR18" s="51">
        <f t="shared" si="0"/>
        <v>9.6723404255319156</v>
      </c>
      <c r="BS18" s="51">
        <f t="shared" si="3"/>
        <v>3.6506024096385543</v>
      </c>
      <c r="BT18" s="52">
        <f t="shared" si="4"/>
        <v>4.5381526104417667</v>
      </c>
      <c r="BU18" s="45">
        <f>127+364</f>
        <v>491</v>
      </c>
      <c r="BV18" s="45">
        <v>75</v>
      </c>
      <c r="BW18" s="45">
        <v>93</v>
      </c>
      <c r="BX18" s="49">
        <v>85</v>
      </c>
      <c r="BY18" s="45" t="s">
        <v>129</v>
      </c>
      <c r="BZ18" s="45" t="s">
        <v>115</v>
      </c>
      <c r="CA18" s="45">
        <v>67</v>
      </c>
      <c r="CB18" s="80">
        <f>263+75</f>
        <v>338</v>
      </c>
      <c r="CC18" s="45">
        <v>7</v>
      </c>
      <c r="CD18" s="49" t="s">
        <v>115</v>
      </c>
      <c r="CE18" s="45">
        <v>42</v>
      </c>
      <c r="CF18" s="45">
        <v>20</v>
      </c>
      <c r="CG18" s="49">
        <v>31</v>
      </c>
      <c r="CH18" s="45">
        <v>63</v>
      </c>
      <c r="CI18" s="45">
        <v>48</v>
      </c>
      <c r="CJ18" s="49">
        <v>20</v>
      </c>
      <c r="CK18" s="45">
        <v>70</v>
      </c>
      <c r="CL18" s="45">
        <v>47</v>
      </c>
      <c r="CM18" s="49">
        <v>27</v>
      </c>
      <c r="CN18" s="45">
        <v>58</v>
      </c>
      <c r="CO18" s="45">
        <v>23</v>
      </c>
      <c r="CP18" s="49">
        <v>41</v>
      </c>
      <c r="CQ18" s="45">
        <v>60</v>
      </c>
      <c r="CR18" s="45">
        <v>20</v>
      </c>
      <c r="CS18" s="49">
        <v>34</v>
      </c>
      <c r="CT18" s="45">
        <v>50</v>
      </c>
      <c r="CU18" s="45">
        <v>16</v>
      </c>
      <c r="CV18" s="49">
        <v>26</v>
      </c>
      <c r="CW18" s="45">
        <v>34</v>
      </c>
      <c r="CX18" s="45">
        <v>12</v>
      </c>
      <c r="CY18" s="49">
        <v>23</v>
      </c>
      <c r="CZ18" s="45">
        <v>36</v>
      </c>
      <c r="DA18" s="45">
        <v>17</v>
      </c>
      <c r="DB18" s="49">
        <v>23</v>
      </c>
    </row>
    <row r="19" spans="1:106" x14ac:dyDescent="0.2">
      <c r="A19" s="40"/>
      <c r="B19" s="41"/>
      <c r="C19" s="42"/>
      <c r="D19" s="41"/>
      <c r="E19" s="43"/>
      <c r="F19" s="44"/>
      <c r="G19" s="43"/>
      <c r="H19" s="161"/>
      <c r="O19" s="46"/>
      <c r="P19" s="53"/>
      <c r="AI19" s="74"/>
      <c r="AZ19" s="46"/>
      <c r="BH19" s="45">
        <f>1012+1301</f>
        <v>2313</v>
      </c>
      <c r="BI19" s="45">
        <v>203</v>
      </c>
      <c r="BJ19" s="50">
        <v>31</v>
      </c>
      <c r="BK19" s="45">
        <v>461</v>
      </c>
      <c r="BL19" s="45">
        <v>195</v>
      </c>
      <c r="BQ19" s="51"/>
      <c r="BR19" s="51">
        <f t="shared" si="0"/>
        <v>11.394088669950738</v>
      </c>
      <c r="BS19" s="51"/>
      <c r="BT19" s="52"/>
      <c r="CD19" s="49"/>
      <c r="CE19" s="45">
        <v>43</v>
      </c>
      <c r="CF19" s="45">
        <v>21</v>
      </c>
      <c r="CG19" s="49">
        <v>24</v>
      </c>
      <c r="CH19" s="45">
        <v>71</v>
      </c>
      <c r="CI19" s="45">
        <v>51</v>
      </c>
      <c r="CJ19" s="49">
        <v>25</v>
      </c>
      <c r="CM19" s="49"/>
      <c r="CP19" s="49"/>
      <c r="CS19" s="49"/>
      <c r="CV19" s="49"/>
      <c r="CW19" s="45">
        <v>32</v>
      </c>
      <c r="CX19" s="45">
        <v>13</v>
      </c>
      <c r="CY19" s="49">
        <v>18</v>
      </c>
      <c r="CZ19" s="45">
        <v>36</v>
      </c>
      <c r="DA19" s="45">
        <v>19</v>
      </c>
      <c r="DB19" s="49">
        <v>15</v>
      </c>
    </row>
    <row r="20" spans="1:106" x14ac:dyDescent="0.2">
      <c r="A20" s="40"/>
      <c r="B20" s="41"/>
      <c r="C20" s="42"/>
      <c r="D20" s="41"/>
      <c r="E20" s="43"/>
      <c r="F20" s="44"/>
      <c r="G20" s="43"/>
      <c r="H20" s="161"/>
      <c r="O20" s="46"/>
      <c r="P20" s="53"/>
      <c r="AI20" s="74"/>
      <c r="AZ20" s="46"/>
      <c r="BH20" s="45">
        <f>280+268+1083+673</f>
        <v>2304</v>
      </c>
      <c r="BI20" s="45">
        <v>230</v>
      </c>
      <c r="BJ20" s="50">
        <v>35</v>
      </c>
      <c r="BK20" s="45">
        <v>443</v>
      </c>
      <c r="BL20" s="45">
        <v>200</v>
      </c>
      <c r="BQ20" s="51"/>
      <c r="BR20" s="51">
        <f t="shared" si="0"/>
        <v>10.017391304347827</v>
      </c>
      <c r="BS20" s="51"/>
      <c r="BT20" s="52"/>
      <c r="CD20" s="49"/>
      <c r="CG20" s="49"/>
      <c r="CJ20" s="49"/>
      <c r="CM20" s="49"/>
      <c r="CP20" s="49"/>
      <c r="CS20" s="49"/>
      <c r="CV20" s="49"/>
      <c r="CY20" s="49"/>
      <c r="DB20" s="49"/>
    </row>
    <row r="21" spans="1:106" x14ac:dyDescent="0.2">
      <c r="A21" s="54" t="s">
        <v>130</v>
      </c>
      <c r="B21" s="55" t="s">
        <v>109</v>
      </c>
      <c r="C21" s="56" t="s">
        <v>122</v>
      </c>
      <c r="D21" s="55" t="s">
        <v>111</v>
      </c>
      <c r="E21" s="57" t="s">
        <v>124</v>
      </c>
      <c r="F21" s="58">
        <v>0</v>
      </c>
      <c r="G21" s="57" t="s">
        <v>113</v>
      </c>
      <c r="H21" s="162"/>
      <c r="I21" s="60">
        <f>1690+2160+4348+2480+2800+2013+3101+89+544+2051+2538+1671+2337+1872</f>
        <v>29694</v>
      </c>
      <c r="J21" s="60">
        <v>257</v>
      </c>
      <c r="K21" s="60">
        <v>53</v>
      </c>
      <c r="L21" s="60">
        <v>13</v>
      </c>
      <c r="M21" s="60">
        <f t="shared" si="1"/>
        <v>13</v>
      </c>
      <c r="N21" s="60">
        <f>K21-L21</f>
        <v>40</v>
      </c>
      <c r="O21" s="61">
        <f t="shared" si="5"/>
        <v>0.75471698113207553</v>
      </c>
      <c r="P21" s="68">
        <v>0</v>
      </c>
      <c r="Q21" s="60">
        <v>803</v>
      </c>
      <c r="R21" s="60">
        <v>583</v>
      </c>
      <c r="S21" s="68">
        <f>985+1110</f>
        <v>2095</v>
      </c>
      <c r="T21" s="68">
        <v>686</v>
      </c>
      <c r="U21" s="68">
        <v>58</v>
      </c>
      <c r="V21" s="68" t="s">
        <v>115</v>
      </c>
      <c r="W21" s="68" t="s">
        <v>115</v>
      </c>
      <c r="X21" s="68">
        <v>73</v>
      </c>
      <c r="Y21" s="68">
        <v>127</v>
      </c>
      <c r="Z21" s="68">
        <v>393</v>
      </c>
      <c r="AA21" s="68">
        <v>350</v>
      </c>
      <c r="AB21" s="68">
        <v>4</v>
      </c>
      <c r="AC21" s="68">
        <v>438</v>
      </c>
      <c r="AD21" s="68">
        <v>475</v>
      </c>
      <c r="AE21" s="68" t="s">
        <v>115</v>
      </c>
      <c r="AF21" s="68">
        <v>18</v>
      </c>
      <c r="AG21" s="68">
        <v>30</v>
      </c>
      <c r="AH21" s="68">
        <f>539+861</f>
        <v>1400</v>
      </c>
      <c r="AI21" s="73">
        <f>AH21/S21</f>
        <v>0.66825775656324582</v>
      </c>
      <c r="AJ21" s="60" t="s">
        <v>115</v>
      </c>
      <c r="AK21" s="60" t="s">
        <v>115</v>
      </c>
      <c r="AL21" s="60" t="s">
        <v>115</v>
      </c>
      <c r="AM21" s="60" t="s">
        <v>115</v>
      </c>
      <c r="AN21" s="60" t="s">
        <v>115</v>
      </c>
      <c r="AO21" s="60" t="s">
        <v>115</v>
      </c>
      <c r="AP21" s="60" t="s">
        <v>115</v>
      </c>
      <c r="AQ21" s="60" t="s">
        <v>115</v>
      </c>
      <c r="AR21" s="60" t="s">
        <v>115</v>
      </c>
      <c r="AS21" s="60" t="s">
        <v>115</v>
      </c>
      <c r="AT21" s="60" t="s">
        <v>115</v>
      </c>
      <c r="AU21" s="60" t="s">
        <v>115</v>
      </c>
      <c r="AV21" s="60" t="s">
        <v>115</v>
      </c>
      <c r="AW21" s="60" t="s">
        <v>115</v>
      </c>
      <c r="AX21" s="60" t="s">
        <v>115</v>
      </c>
      <c r="AY21" s="60" t="s">
        <v>115</v>
      </c>
      <c r="AZ21" s="60" t="s">
        <v>115</v>
      </c>
      <c r="BA21" s="64" t="s">
        <v>115</v>
      </c>
      <c r="BB21" s="60">
        <f>503+1593+1760</f>
        <v>3856</v>
      </c>
      <c r="BC21" s="60">
        <v>1764</v>
      </c>
      <c r="BD21" s="60">
        <f>326+1332</f>
        <v>1658</v>
      </c>
      <c r="BE21" s="60">
        <v>102</v>
      </c>
      <c r="BF21" s="60">
        <v>666</v>
      </c>
      <c r="BG21" s="60">
        <v>741</v>
      </c>
      <c r="BH21" s="60">
        <v>2044</v>
      </c>
      <c r="BI21" s="60">
        <v>252</v>
      </c>
      <c r="BJ21" s="65">
        <v>28</v>
      </c>
      <c r="BK21" s="60">
        <v>505</v>
      </c>
      <c r="BL21" s="60">
        <v>281</v>
      </c>
      <c r="BM21" s="60">
        <v>678</v>
      </c>
      <c r="BN21" s="60">
        <v>686</v>
      </c>
      <c r="BO21" s="60" t="s">
        <v>131</v>
      </c>
      <c r="BP21" s="64">
        <f>BG21</f>
        <v>741</v>
      </c>
      <c r="BQ21" s="66">
        <f t="shared" si="2"/>
        <v>5.2037786774628882</v>
      </c>
      <c r="BR21" s="66">
        <f t="shared" si="0"/>
        <v>8.1111111111111107</v>
      </c>
      <c r="BS21" s="66">
        <f t="shared" si="3"/>
        <v>2.6017699115044248</v>
      </c>
      <c r="BT21" s="67">
        <f t="shared" si="4"/>
        <v>2.4454277286135695</v>
      </c>
      <c r="BU21" s="60" t="s">
        <v>115</v>
      </c>
      <c r="BV21" s="60" t="s">
        <v>115</v>
      </c>
      <c r="BW21" s="60" t="s">
        <v>115</v>
      </c>
      <c r="BX21" s="64" t="s">
        <v>115</v>
      </c>
      <c r="BY21" s="75" t="s">
        <v>115</v>
      </c>
      <c r="BZ21" s="60" t="s">
        <v>115</v>
      </c>
      <c r="CA21" s="60" t="s">
        <v>115</v>
      </c>
      <c r="CB21" s="72" t="s">
        <v>115</v>
      </c>
      <c r="CC21" s="60" t="s">
        <v>115</v>
      </c>
      <c r="CD21" s="64" t="s">
        <v>115</v>
      </c>
      <c r="CE21" s="60" t="s">
        <v>115</v>
      </c>
      <c r="CF21" s="60" t="s">
        <v>115</v>
      </c>
      <c r="CG21" s="64" t="s">
        <v>115</v>
      </c>
      <c r="CH21" s="60" t="s">
        <v>115</v>
      </c>
      <c r="CI21" s="60" t="s">
        <v>115</v>
      </c>
      <c r="CJ21" s="64" t="s">
        <v>115</v>
      </c>
      <c r="CK21" s="60" t="s">
        <v>115</v>
      </c>
      <c r="CL21" s="60" t="s">
        <v>115</v>
      </c>
      <c r="CM21" s="64" t="s">
        <v>115</v>
      </c>
      <c r="CN21" s="60" t="s">
        <v>115</v>
      </c>
      <c r="CO21" s="60" t="s">
        <v>115</v>
      </c>
      <c r="CP21" s="64" t="s">
        <v>115</v>
      </c>
      <c r="CQ21" s="60" t="s">
        <v>115</v>
      </c>
      <c r="CR21" s="60" t="s">
        <v>115</v>
      </c>
      <c r="CS21" s="64" t="s">
        <v>115</v>
      </c>
      <c r="CT21" s="60" t="s">
        <v>115</v>
      </c>
      <c r="CU21" s="60" t="s">
        <v>115</v>
      </c>
      <c r="CV21" s="64" t="s">
        <v>115</v>
      </c>
      <c r="CW21" s="60" t="s">
        <v>115</v>
      </c>
      <c r="CX21" s="60" t="s">
        <v>115</v>
      </c>
      <c r="CY21" s="64" t="s">
        <v>115</v>
      </c>
      <c r="CZ21" s="60" t="s">
        <v>115</v>
      </c>
      <c r="DA21" s="60" t="s">
        <v>115</v>
      </c>
      <c r="DB21" s="64" t="s">
        <v>115</v>
      </c>
    </row>
    <row r="22" spans="1:106" x14ac:dyDescent="0.2">
      <c r="A22" s="54"/>
      <c r="B22" s="55"/>
      <c r="C22" s="56"/>
      <c r="D22" s="55"/>
      <c r="E22" s="57"/>
      <c r="F22" s="58"/>
      <c r="G22" s="57"/>
      <c r="H22" s="162"/>
      <c r="I22" s="60"/>
      <c r="J22" s="60"/>
      <c r="K22" s="60"/>
      <c r="L22" s="60"/>
      <c r="M22" s="60"/>
      <c r="N22" s="60"/>
      <c r="O22" s="61"/>
      <c r="P22" s="68"/>
      <c r="Q22" s="60"/>
      <c r="R22" s="60"/>
      <c r="S22" s="68"/>
      <c r="T22" s="68"/>
      <c r="U22" s="68"/>
      <c r="V22" s="68"/>
      <c r="W22" s="68"/>
      <c r="X22" s="68">
        <v>39</v>
      </c>
      <c r="Y22" s="68">
        <v>146</v>
      </c>
      <c r="Z22" s="68"/>
      <c r="AA22" s="68"/>
      <c r="AB22" s="68"/>
      <c r="AC22" s="68"/>
      <c r="AD22" s="68"/>
      <c r="AE22" s="68"/>
      <c r="AF22" s="68">
        <v>21</v>
      </c>
      <c r="AG22" s="68">
        <v>19</v>
      </c>
      <c r="AH22" s="68"/>
      <c r="AI22" s="73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1"/>
      <c r="BA22" s="64"/>
      <c r="BB22" s="60"/>
      <c r="BC22" s="60"/>
      <c r="BD22" s="60"/>
      <c r="BE22" s="60"/>
      <c r="BF22" s="60"/>
      <c r="BG22" s="60"/>
      <c r="BH22" s="60">
        <v>1966</v>
      </c>
      <c r="BI22" s="60">
        <v>269</v>
      </c>
      <c r="BJ22" s="65">
        <v>34</v>
      </c>
      <c r="BK22" s="60">
        <v>576</v>
      </c>
      <c r="BL22" s="60">
        <v>283</v>
      </c>
      <c r="BM22" s="60"/>
      <c r="BN22" s="60"/>
      <c r="BO22" s="60"/>
      <c r="BP22" s="64"/>
      <c r="BQ22" s="66"/>
      <c r="BR22" s="66">
        <f t="shared" si="0"/>
        <v>7.3085501858736057</v>
      </c>
      <c r="BS22" s="66"/>
      <c r="BT22" s="67"/>
      <c r="BU22" s="60"/>
      <c r="BV22" s="60"/>
      <c r="BW22" s="60"/>
      <c r="BX22" s="64"/>
      <c r="BY22" s="60"/>
      <c r="BZ22" s="60"/>
      <c r="CA22" s="60"/>
      <c r="CB22" s="72"/>
      <c r="CC22" s="60"/>
      <c r="CD22" s="64"/>
      <c r="CE22" s="60"/>
      <c r="CF22" s="60"/>
      <c r="CG22" s="64"/>
      <c r="CH22" s="60"/>
      <c r="CI22" s="60"/>
      <c r="CJ22" s="64"/>
      <c r="CK22" s="60"/>
      <c r="CL22" s="60"/>
      <c r="CM22" s="64"/>
      <c r="CN22" s="60"/>
      <c r="CO22" s="60"/>
      <c r="CP22" s="64"/>
      <c r="CQ22" s="60"/>
      <c r="CR22" s="60"/>
      <c r="CS22" s="64"/>
      <c r="CT22" s="60"/>
      <c r="CU22" s="60"/>
      <c r="CV22" s="64"/>
      <c r="CW22" s="60"/>
      <c r="CX22" s="60"/>
      <c r="CY22" s="64"/>
      <c r="CZ22" s="60"/>
      <c r="DA22" s="60"/>
      <c r="DB22" s="64"/>
    </row>
    <row r="23" spans="1:106" x14ac:dyDescent="0.2">
      <c r="A23" s="54"/>
      <c r="B23" s="55"/>
      <c r="C23" s="56"/>
      <c r="D23" s="55"/>
      <c r="E23" s="57"/>
      <c r="F23" s="58"/>
      <c r="G23" s="57"/>
      <c r="H23" s="162"/>
      <c r="I23" s="60"/>
      <c r="J23" s="60"/>
      <c r="K23" s="60"/>
      <c r="L23" s="60"/>
      <c r="M23" s="60"/>
      <c r="N23" s="60"/>
      <c r="O23" s="61"/>
      <c r="P23" s="60"/>
      <c r="Q23" s="60"/>
      <c r="R23" s="60"/>
      <c r="S23" s="68"/>
      <c r="T23" s="68"/>
      <c r="U23" s="68"/>
      <c r="V23" s="68"/>
      <c r="W23" s="68"/>
      <c r="X23" s="68">
        <v>57</v>
      </c>
      <c r="Y23" s="68">
        <v>118</v>
      </c>
      <c r="Z23" s="68"/>
      <c r="AA23" s="68"/>
      <c r="AB23" s="68"/>
      <c r="AC23" s="68"/>
      <c r="AD23" s="68"/>
      <c r="AE23" s="68"/>
      <c r="AF23" s="68">
        <v>27</v>
      </c>
      <c r="AG23" s="68">
        <v>26</v>
      </c>
      <c r="AH23" s="68"/>
      <c r="AI23" s="73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1"/>
      <c r="BA23" s="64"/>
      <c r="BB23" s="60"/>
      <c r="BC23" s="60"/>
      <c r="BD23" s="60"/>
      <c r="BE23" s="60"/>
      <c r="BF23" s="60"/>
      <c r="BG23" s="60"/>
      <c r="BH23" s="60">
        <v>1956</v>
      </c>
      <c r="BI23" s="60" t="s">
        <v>115</v>
      </c>
      <c r="BJ23" s="65">
        <v>31</v>
      </c>
      <c r="BK23" s="60">
        <v>570</v>
      </c>
      <c r="BL23" s="60">
        <v>310</v>
      </c>
      <c r="BM23" s="60"/>
      <c r="BN23" s="60"/>
      <c r="BO23" s="60"/>
      <c r="BP23" s="64"/>
      <c r="BQ23" s="66"/>
      <c r="BR23" s="66"/>
      <c r="BS23" s="66"/>
      <c r="BT23" s="67"/>
      <c r="BU23" s="60"/>
      <c r="BV23" s="60"/>
      <c r="BW23" s="60"/>
      <c r="BX23" s="64"/>
      <c r="BY23" s="60"/>
      <c r="BZ23" s="60"/>
      <c r="CA23" s="60"/>
      <c r="CB23" s="72"/>
      <c r="CC23" s="60"/>
      <c r="CD23" s="64"/>
      <c r="CE23" s="60"/>
      <c r="CF23" s="60"/>
      <c r="CG23" s="64"/>
      <c r="CH23" s="60"/>
      <c r="CI23" s="60"/>
      <c r="CJ23" s="64"/>
      <c r="CK23" s="60"/>
      <c r="CL23" s="60"/>
      <c r="CM23" s="64"/>
      <c r="CN23" s="60"/>
      <c r="CO23" s="60"/>
      <c r="CP23" s="64"/>
      <c r="CQ23" s="60"/>
      <c r="CR23" s="60"/>
      <c r="CS23" s="64"/>
      <c r="CT23" s="60"/>
      <c r="CU23" s="60"/>
      <c r="CV23" s="64"/>
      <c r="CW23" s="60"/>
      <c r="CX23" s="60"/>
      <c r="CY23" s="64"/>
      <c r="CZ23" s="60"/>
      <c r="DA23" s="60"/>
      <c r="DB23" s="64"/>
    </row>
    <row r="24" spans="1:106" x14ac:dyDescent="0.2">
      <c r="A24" s="40" t="s">
        <v>132</v>
      </c>
      <c r="B24" s="41" t="s">
        <v>109</v>
      </c>
      <c r="C24" s="42" t="s">
        <v>122</v>
      </c>
      <c r="D24" s="41" t="s">
        <v>111</v>
      </c>
      <c r="E24" s="76" t="s">
        <v>112</v>
      </c>
      <c r="F24" s="44">
        <v>4</v>
      </c>
      <c r="G24" s="43" t="s">
        <v>133</v>
      </c>
      <c r="H24" s="161" t="s">
        <v>174</v>
      </c>
      <c r="I24" s="45">
        <f>1369+1406+875+1444+679+3489+1097+640+938+1138+911+1836+754+1011+1178+1156+1498+931+2305+3692</f>
        <v>28347</v>
      </c>
      <c r="J24" s="45">
        <v>88</v>
      </c>
      <c r="K24" s="45">
        <v>74</v>
      </c>
      <c r="L24" s="45">
        <v>10</v>
      </c>
      <c r="M24" s="45">
        <f t="shared" si="1"/>
        <v>8</v>
      </c>
      <c r="N24" s="45">
        <f>K24-L24</f>
        <v>64</v>
      </c>
      <c r="O24" s="46">
        <f t="shared" si="5"/>
        <v>0.86486486486486491</v>
      </c>
      <c r="P24" s="47">
        <v>2</v>
      </c>
      <c r="Q24" s="45">
        <v>664</v>
      </c>
      <c r="R24" s="45">
        <v>569</v>
      </c>
      <c r="S24" s="47">
        <v>1591</v>
      </c>
      <c r="T24" s="47">
        <v>494</v>
      </c>
      <c r="U24" s="47">
        <v>58</v>
      </c>
      <c r="V24" s="47">
        <v>36</v>
      </c>
      <c r="W24" s="47">
        <f>U24-V24</f>
        <v>22</v>
      </c>
      <c r="X24" s="47">
        <v>49</v>
      </c>
      <c r="Y24" s="47">
        <v>115</v>
      </c>
      <c r="Z24" s="47">
        <f>162+224</f>
        <v>386</v>
      </c>
      <c r="AA24" s="47">
        <v>172</v>
      </c>
      <c r="AB24" s="47">
        <v>4</v>
      </c>
      <c r="AC24" s="47">
        <v>283</v>
      </c>
      <c r="AD24" s="47">
        <v>476</v>
      </c>
      <c r="AE24" s="47" t="s">
        <v>115</v>
      </c>
      <c r="AF24" s="47">
        <v>79</v>
      </c>
      <c r="AG24" s="47">
        <v>77</v>
      </c>
      <c r="AH24" s="47">
        <v>1098</v>
      </c>
      <c r="AI24" s="48">
        <f>AH24/S24</f>
        <v>0.69013199245757384</v>
      </c>
      <c r="AJ24" s="45">
        <f>1396+754+951</f>
        <v>3101</v>
      </c>
      <c r="AK24" s="45">
        <v>624</v>
      </c>
      <c r="AL24" s="45" t="s">
        <v>115</v>
      </c>
      <c r="AM24" s="45" t="s">
        <v>115</v>
      </c>
      <c r="AN24" s="45" t="s">
        <v>115</v>
      </c>
      <c r="AO24" s="45" t="s">
        <v>115</v>
      </c>
      <c r="AP24" s="45" t="s">
        <v>115</v>
      </c>
      <c r="AQ24" s="45">
        <f>201+125</f>
        <v>326</v>
      </c>
      <c r="AR24" s="45">
        <v>218</v>
      </c>
      <c r="AS24" s="45">
        <v>4</v>
      </c>
      <c r="AT24" s="45">
        <v>523</v>
      </c>
      <c r="AU24" s="45">
        <v>306</v>
      </c>
      <c r="AV24" s="45" t="s">
        <v>115</v>
      </c>
      <c r="AW24" s="45">
        <v>39</v>
      </c>
      <c r="AX24" s="45">
        <v>43</v>
      </c>
      <c r="AY24" s="45">
        <f>762+1388</f>
        <v>2150</v>
      </c>
      <c r="AZ24" s="46">
        <f>AY24/AJ24</f>
        <v>0.69332473395678818</v>
      </c>
      <c r="BA24" s="77">
        <v>15</v>
      </c>
      <c r="BB24" s="45">
        <f>2172+1031+409</f>
        <v>3612</v>
      </c>
      <c r="BC24" s="45">
        <f>1074+380</f>
        <v>1454</v>
      </c>
      <c r="BD24" s="45">
        <v>2083</v>
      </c>
      <c r="BE24" s="45">
        <v>128</v>
      </c>
      <c r="BF24" s="45">
        <v>692</v>
      </c>
      <c r="BG24" s="45">
        <v>647</v>
      </c>
      <c r="BH24" s="45">
        <v>2012</v>
      </c>
      <c r="BI24" s="45">
        <v>240</v>
      </c>
      <c r="BJ24" s="50">
        <v>33</v>
      </c>
      <c r="BK24" s="45">
        <v>462</v>
      </c>
      <c r="BL24" s="45">
        <v>271</v>
      </c>
      <c r="BM24" s="45">
        <v>494</v>
      </c>
      <c r="BN24" s="45">
        <v>817</v>
      </c>
      <c r="BO24" s="45" t="s">
        <v>128</v>
      </c>
      <c r="BP24" s="49">
        <f>BN24</f>
        <v>817</v>
      </c>
      <c r="BQ24" s="51">
        <f t="shared" si="2"/>
        <v>4.4210526315789478</v>
      </c>
      <c r="BR24" s="51">
        <f t="shared" si="0"/>
        <v>8.3833333333333329</v>
      </c>
      <c r="BS24" s="51">
        <f t="shared" si="3"/>
        <v>2.9433198380566803</v>
      </c>
      <c r="BT24" s="52">
        <f t="shared" si="4"/>
        <v>4.216599190283401</v>
      </c>
      <c r="BU24" s="45">
        <f>61+60+113+469+454+497</f>
        <v>1654</v>
      </c>
      <c r="BV24" s="45">
        <v>59</v>
      </c>
      <c r="BW24" s="45">
        <v>109</v>
      </c>
      <c r="BX24" s="49">
        <v>90</v>
      </c>
      <c r="BY24" s="45" t="s">
        <v>134</v>
      </c>
      <c r="BZ24" s="45" t="s">
        <v>115</v>
      </c>
      <c r="CA24" s="45" t="s">
        <v>115</v>
      </c>
      <c r="CB24" s="80" t="s">
        <v>115</v>
      </c>
      <c r="CC24" s="45">
        <v>7</v>
      </c>
      <c r="CD24" s="49">
        <v>14</v>
      </c>
      <c r="CE24" s="45">
        <v>49</v>
      </c>
      <c r="CF24" s="45">
        <v>19</v>
      </c>
      <c r="CG24" s="49">
        <v>39</v>
      </c>
      <c r="CH24" s="45">
        <v>79</v>
      </c>
      <c r="CI24" s="45">
        <v>68</v>
      </c>
      <c r="CJ24" s="49">
        <v>28</v>
      </c>
      <c r="CK24" s="45">
        <v>78</v>
      </c>
      <c r="CL24" s="45">
        <v>42</v>
      </c>
      <c r="CM24" s="49">
        <v>44</v>
      </c>
      <c r="CN24" s="45">
        <v>82</v>
      </c>
      <c r="CO24" s="45">
        <v>42</v>
      </c>
      <c r="CP24" s="49">
        <v>69</v>
      </c>
      <c r="CQ24" s="45">
        <v>78</v>
      </c>
      <c r="CR24" s="45">
        <v>26</v>
      </c>
      <c r="CS24" s="49">
        <v>55</v>
      </c>
      <c r="CT24" s="45">
        <v>33</v>
      </c>
      <c r="CU24" s="45">
        <v>14</v>
      </c>
      <c r="CV24" s="49">
        <v>15</v>
      </c>
      <c r="CW24" s="45">
        <v>37</v>
      </c>
      <c r="CX24" s="45">
        <v>15</v>
      </c>
      <c r="CY24" s="49">
        <v>21</v>
      </c>
      <c r="CZ24" s="45">
        <v>42</v>
      </c>
      <c r="DA24" s="45">
        <v>21</v>
      </c>
      <c r="DB24" s="49">
        <v>21</v>
      </c>
    </row>
    <row r="25" spans="1:106" x14ac:dyDescent="0.2">
      <c r="A25" s="40"/>
      <c r="B25" s="41"/>
      <c r="C25" s="42"/>
      <c r="D25" s="41"/>
      <c r="E25" s="76"/>
      <c r="F25" s="44"/>
      <c r="G25" s="43"/>
      <c r="H25" s="161"/>
      <c r="O25" s="46"/>
      <c r="P25" s="47"/>
      <c r="S25" s="47"/>
      <c r="T25" s="47"/>
      <c r="U25" s="47"/>
      <c r="V25" s="47"/>
      <c r="W25" s="47"/>
      <c r="X25" s="47">
        <v>59</v>
      </c>
      <c r="Y25" s="47">
        <v>85</v>
      </c>
      <c r="Z25" s="47"/>
      <c r="AA25" s="47"/>
      <c r="AB25" s="47"/>
      <c r="AC25" s="47"/>
      <c r="AD25" s="47"/>
      <c r="AE25" s="47"/>
      <c r="AF25" s="47">
        <v>65</v>
      </c>
      <c r="AG25" s="47">
        <v>69</v>
      </c>
      <c r="AH25" s="47"/>
      <c r="AI25" s="48"/>
      <c r="AW25" s="45">
        <v>35</v>
      </c>
      <c r="AX25" s="45">
        <v>43</v>
      </c>
      <c r="AZ25" s="46"/>
      <c r="BA25" s="49">
        <v>18</v>
      </c>
      <c r="BH25" s="45">
        <v>2097</v>
      </c>
      <c r="BI25" s="45">
        <v>247</v>
      </c>
      <c r="BJ25" s="50">
        <v>36</v>
      </c>
      <c r="BK25" s="45">
        <v>498</v>
      </c>
      <c r="BL25" s="45">
        <v>197</v>
      </c>
      <c r="BQ25" s="51"/>
      <c r="BR25" s="51">
        <f t="shared" si="0"/>
        <v>8.4898785425101213</v>
      </c>
      <c r="BS25" s="51"/>
      <c r="BT25" s="52"/>
      <c r="CD25" s="49">
        <v>16</v>
      </c>
      <c r="CG25" s="49"/>
      <c r="CH25" s="45">
        <v>82</v>
      </c>
      <c r="CI25" s="45">
        <v>68</v>
      </c>
      <c r="CJ25" s="49">
        <v>35</v>
      </c>
      <c r="CK25" s="45">
        <v>76</v>
      </c>
      <c r="CL25" s="45">
        <v>37</v>
      </c>
      <c r="CM25" s="49">
        <v>50</v>
      </c>
      <c r="CN25" s="45">
        <v>76</v>
      </c>
      <c r="CO25" s="45">
        <v>26</v>
      </c>
      <c r="CP25" s="49">
        <v>58</v>
      </c>
      <c r="CQ25" s="45">
        <v>70</v>
      </c>
      <c r="CR25" s="45">
        <v>22</v>
      </c>
      <c r="CS25" s="49">
        <v>44</v>
      </c>
      <c r="CT25" s="45">
        <v>44</v>
      </c>
      <c r="CU25" s="45">
        <v>20</v>
      </c>
      <c r="CV25" s="49">
        <v>19</v>
      </c>
      <c r="CY25" s="49"/>
      <c r="DB25" s="49"/>
    </row>
    <row r="26" spans="1:106" x14ac:dyDescent="0.2">
      <c r="A26" s="40"/>
      <c r="B26" s="41"/>
      <c r="C26" s="42"/>
      <c r="D26" s="41"/>
      <c r="E26" s="76"/>
      <c r="F26" s="44"/>
      <c r="G26" s="43"/>
      <c r="H26" s="161"/>
      <c r="O26" s="46"/>
      <c r="P26" s="47"/>
      <c r="S26" s="47"/>
      <c r="T26" s="47"/>
      <c r="U26" s="47"/>
      <c r="V26" s="47"/>
      <c r="W26" s="47"/>
      <c r="X26" s="47">
        <v>52</v>
      </c>
      <c r="Y26" s="47">
        <v>106</v>
      </c>
      <c r="Z26" s="47"/>
      <c r="AA26" s="47"/>
      <c r="AB26" s="47"/>
      <c r="AC26" s="47"/>
      <c r="AD26" s="47"/>
      <c r="AE26" s="47"/>
      <c r="AF26" s="47">
        <v>71</v>
      </c>
      <c r="AG26" s="47">
        <v>66</v>
      </c>
      <c r="AH26" s="47"/>
      <c r="AI26" s="48"/>
      <c r="AW26" s="45">
        <v>51</v>
      </c>
      <c r="AX26" s="45">
        <v>46</v>
      </c>
      <c r="AZ26" s="46"/>
      <c r="BA26" s="49">
        <v>17</v>
      </c>
      <c r="BH26" s="45">
        <v>2049</v>
      </c>
      <c r="BJ26" s="50">
        <v>34</v>
      </c>
      <c r="BK26" s="45">
        <v>449</v>
      </c>
      <c r="BL26" s="45">
        <v>206</v>
      </c>
      <c r="BQ26" s="51"/>
      <c r="BR26" s="51"/>
      <c r="BS26" s="51"/>
      <c r="BT26" s="52"/>
      <c r="CD26" s="49"/>
      <c r="CG26" s="49"/>
      <c r="CH26" s="45">
        <v>78</v>
      </c>
      <c r="CI26" s="45">
        <v>72</v>
      </c>
      <c r="CJ26" s="49">
        <v>30</v>
      </c>
      <c r="CK26" s="45">
        <v>74</v>
      </c>
      <c r="CL26" s="45">
        <v>35</v>
      </c>
      <c r="CM26" s="49">
        <v>51</v>
      </c>
      <c r="CN26" s="45">
        <v>77</v>
      </c>
      <c r="CO26" s="45">
        <v>30</v>
      </c>
      <c r="CP26" s="49">
        <v>50</v>
      </c>
      <c r="CQ26" s="45">
        <v>64</v>
      </c>
      <c r="CR26" s="45">
        <v>23</v>
      </c>
      <c r="CS26" s="49">
        <v>35</v>
      </c>
      <c r="CT26" s="45">
        <v>46</v>
      </c>
      <c r="CU26" s="45">
        <v>17</v>
      </c>
      <c r="CV26" s="49">
        <v>24</v>
      </c>
      <c r="CY26" s="49"/>
      <c r="DB26" s="49"/>
    </row>
    <row r="27" spans="1:106" ht="15.75" customHeight="1" x14ac:dyDescent="0.2">
      <c r="A27" s="54" t="s">
        <v>135</v>
      </c>
      <c r="B27" s="55" t="s">
        <v>136</v>
      </c>
      <c r="C27" s="56" t="s">
        <v>122</v>
      </c>
      <c r="D27" s="55" t="s">
        <v>111</v>
      </c>
      <c r="E27" s="70" t="s">
        <v>112</v>
      </c>
      <c r="F27" s="71">
        <v>4</v>
      </c>
      <c r="G27" s="57" t="s">
        <v>113</v>
      </c>
      <c r="H27" s="162" t="s">
        <v>137</v>
      </c>
      <c r="I27" s="60" t="s">
        <v>115</v>
      </c>
      <c r="J27" s="60">
        <v>154</v>
      </c>
      <c r="K27" s="60">
        <v>74</v>
      </c>
      <c r="L27" s="60">
        <v>11</v>
      </c>
      <c r="M27" s="60">
        <f t="shared" si="1"/>
        <v>8</v>
      </c>
      <c r="N27" s="60">
        <f>K27-L27</f>
        <v>63</v>
      </c>
      <c r="O27" s="61">
        <f t="shared" si="5"/>
        <v>0.85135135135135132</v>
      </c>
      <c r="P27" s="62">
        <v>3</v>
      </c>
      <c r="Q27" s="60">
        <v>848</v>
      </c>
      <c r="R27" s="60">
        <v>567</v>
      </c>
      <c r="S27" s="62">
        <v>1807</v>
      </c>
      <c r="T27" s="62">
        <v>599</v>
      </c>
      <c r="U27" s="62">
        <v>58</v>
      </c>
      <c r="V27" s="62">
        <v>34</v>
      </c>
      <c r="W27" s="62">
        <f>U27-V27</f>
        <v>24</v>
      </c>
      <c r="X27" s="62">
        <v>50</v>
      </c>
      <c r="Y27" s="62">
        <v>116</v>
      </c>
      <c r="Z27" s="62">
        <f>206+192</f>
        <v>398</v>
      </c>
      <c r="AA27" s="62">
        <v>269</v>
      </c>
      <c r="AB27" s="62">
        <v>4</v>
      </c>
      <c r="AC27" s="62">
        <v>370</v>
      </c>
      <c r="AD27" s="62">
        <v>431</v>
      </c>
      <c r="AE27" s="62">
        <v>90</v>
      </c>
      <c r="AF27" s="62">
        <v>26</v>
      </c>
      <c r="AG27" s="78">
        <v>46</v>
      </c>
      <c r="AH27" s="62">
        <v>1231</v>
      </c>
      <c r="AI27" s="63">
        <f>AH27/S27</f>
        <v>0.68123962368566682</v>
      </c>
      <c r="AJ27" s="60" t="s">
        <v>115</v>
      </c>
      <c r="AK27" s="60" t="s">
        <v>115</v>
      </c>
      <c r="AL27" s="60" t="s">
        <v>115</v>
      </c>
      <c r="AM27" s="60" t="s">
        <v>115</v>
      </c>
      <c r="AN27" s="60" t="s">
        <v>115</v>
      </c>
      <c r="AO27" s="60" t="s">
        <v>115</v>
      </c>
      <c r="AP27" s="60" t="s">
        <v>115</v>
      </c>
      <c r="AQ27" s="60" t="s">
        <v>115</v>
      </c>
      <c r="AR27" s="60" t="s">
        <v>115</v>
      </c>
      <c r="AS27" s="60" t="s">
        <v>115</v>
      </c>
      <c r="AT27" s="60" t="s">
        <v>115</v>
      </c>
      <c r="AU27" s="60" t="s">
        <v>115</v>
      </c>
      <c r="AV27" s="60" t="s">
        <v>115</v>
      </c>
      <c r="AW27" s="60" t="s">
        <v>115</v>
      </c>
      <c r="AX27" s="60" t="s">
        <v>115</v>
      </c>
      <c r="AY27" s="60" t="s">
        <v>115</v>
      </c>
      <c r="AZ27" s="60" t="s">
        <v>115</v>
      </c>
      <c r="BA27" s="64" t="s">
        <v>115</v>
      </c>
      <c r="BB27" s="60">
        <f>848+1616+907+1112</f>
        <v>4483</v>
      </c>
      <c r="BC27" s="60">
        <f>861+1156</f>
        <v>2017</v>
      </c>
      <c r="BD27" s="60">
        <f>815+1549</f>
        <v>2364</v>
      </c>
      <c r="BE27" s="60">
        <v>124</v>
      </c>
      <c r="BF27" s="60">
        <v>793</v>
      </c>
      <c r="BG27" s="60">
        <v>650</v>
      </c>
      <c r="BH27" s="60">
        <f>1014+1226</f>
        <v>2240</v>
      </c>
      <c r="BI27" s="60">
        <v>280</v>
      </c>
      <c r="BJ27" s="65">
        <v>43</v>
      </c>
      <c r="BK27" s="65">
        <v>601</v>
      </c>
      <c r="BL27" s="60">
        <v>254</v>
      </c>
      <c r="BM27" s="60">
        <v>902</v>
      </c>
      <c r="BN27" s="60">
        <v>772</v>
      </c>
      <c r="BO27" s="60" t="s">
        <v>115</v>
      </c>
      <c r="BP27" s="64" t="s">
        <v>115</v>
      </c>
      <c r="BQ27" s="66" t="s">
        <v>115</v>
      </c>
      <c r="BR27" s="66">
        <f t="shared" si="0"/>
        <v>8</v>
      </c>
      <c r="BS27" s="66">
        <f t="shared" si="3"/>
        <v>2.2361419068736144</v>
      </c>
      <c r="BT27" s="67">
        <f t="shared" si="4"/>
        <v>2.620842572062084</v>
      </c>
      <c r="BU27" s="60">
        <f>84+283+197+266</f>
        <v>830</v>
      </c>
      <c r="BV27" s="60">
        <v>98</v>
      </c>
      <c r="BW27" s="60">
        <v>113</v>
      </c>
      <c r="BX27" s="64">
        <v>93</v>
      </c>
      <c r="BY27" s="75" t="s">
        <v>138</v>
      </c>
      <c r="BZ27" s="60" t="s">
        <v>115</v>
      </c>
      <c r="CA27" s="60" t="s">
        <v>115</v>
      </c>
      <c r="CB27" s="72">
        <f>247+84</f>
        <v>331</v>
      </c>
      <c r="CC27" s="60">
        <v>7</v>
      </c>
      <c r="CD27" s="64">
        <v>26</v>
      </c>
      <c r="CE27" s="75">
        <v>60</v>
      </c>
      <c r="CF27" s="60">
        <v>25</v>
      </c>
      <c r="CG27" s="64">
        <v>38</v>
      </c>
      <c r="CH27" s="75">
        <v>91</v>
      </c>
      <c r="CI27" s="60">
        <v>75</v>
      </c>
      <c r="CJ27" s="64">
        <v>40</v>
      </c>
      <c r="CK27" s="75">
        <v>91</v>
      </c>
      <c r="CL27" s="60">
        <v>48</v>
      </c>
      <c r="CM27" s="64">
        <v>50</v>
      </c>
      <c r="CN27" s="75">
        <v>78</v>
      </c>
      <c r="CO27" s="60">
        <v>25</v>
      </c>
      <c r="CP27" s="64">
        <v>56</v>
      </c>
      <c r="CQ27" s="75">
        <v>80</v>
      </c>
      <c r="CR27" s="60">
        <v>24</v>
      </c>
      <c r="CS27" s="64">
        <v>39</v>
      </c>
      <c r="CT27" s="75">
        <v>49</v>
      </c>
      <c r="CU27" s="60">
        <v>18</v>
      </c>
      <c r="CV27" s="64">
        <v>24</v>
      </c>
      <c r="CW27" s="75">
        <v>31</v>
      </c>
      <c r="CX27" s="60">
        <v>17</v>
      </c>
      <c r="CY27" s="64">
        <v>22</v>
      </c>
      <c r="CZ27" s="75">
        <v>22</v>
      </c>
      <c r="DA27" s="60">
        <v>14</v>
      </c>
      <c r="DB27" s="64">
        <v>20</v>
      </c>
    </row>
    <row r="28" spans="1:106" x14ac:dyDescent="0.2">
      <c r="A28" s="54"/>
      <c r="B28" s="55"/>
      <c r="C28" s="56"/>
      <c r="D28" s="55"/>
      <c r="E28" s="70"/>
      <c r="F28" s="71"/>
      <c r="G28" s="57"/>
      <c r="H28" s="162"/>
      <c r="I28" s="60"/>
      <c r="J28" s="60"/>
      <c r="K28" s="60"/>
      <c r="L28" s="60"/>
      <c r="M28" s="60"/>
      <c r="N28" s="60"/>
      <c r="O28" s="61"/>
      <c r="P28" s="62"/>
      <c r="Q28" s="60"/>
      <c r="R28" s="60"/>
      <c r="S28" s="62"/>
      <c r="T28" s="62"/>
      <c r="U28" s="62"/>
      <c r="V28" s="62"/>
      <c r="W28" s="62"/>
      <c r="X28" s="62">
        <v>54</v>
      </c>
      <c r="Y28" s="62">
        <v>103</v>
      </c>
      <c r="Z28" s="62"/>
      <c r="AA28" s="62"/>
      <c r="AB28" s="62"/>
      <c r="AC28" s="62"/>
      <c r="AD28" s="62"/>
      <c r="AE28" s="62"/>
      <c r="AF28" s="62">
        <v>22</v>
      </c>
      <c r="AG28" s="62">
        <v>33</v>
      </c>
      <c r="AH28" s="62"/>
      <c r="AI28" s="63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1"/>
      <c r="BA28" s="64"/>
      <c r="BB28" s="60"/>
      <c r="BC28" s="60"/>
      <c r="BD28" s="60"/>
      <c r="BE28" s="60"/>
      <c r="BF28" s="60"/>
      <c r="BG28" s="60"/>
      <c r="BH28" s="60">
        <f>1076+1238</f>
        <v>2314</v>
      </c>
      <c r="BI28" s="60">
        <v>228</v>
      </c>
      <c r="BJ28" s="65">
        <v>53</v>
      </c>
      <c r="BK28" s="60">
        <v>625</v>
      </c>
      <c r="BL28" s="60">
        <v>207</v>
      </c>
      <c r="BM28" s="60"/>
      <c r="BN28" s="60"/>
      <c r="BO28" s="60"/>
      <c r="BP28" s="64"/>
      <c r="BQ28" s="66"/>
      <c r="BR28" s="66">
        <f t="shared" si="0"/>
        <v>10.149122807017545</v>
      </c>
      <c r="BS28" s="66"/>
      <c r="BT28" s="67"/>
      <c r="BU28" s="60"/>
      <c r="BV28" s="60">
        <v>100</v>
      </c>
      <c r="BW28" s="60">
        <v>110</v>
      </c>
      <c r="BX28" s="64">
        <v>105</v>
      </c>
      <c r="BY28" s="60"/>
      <c r="BZ28" s="60"/>
      <c r="CA28" s="60"/>
      <c r="CB28" s="72"/>
      <c r="CC28" s="60"/>
      <c r="CD28" s="64"/>
      <c r="CE28" s="60">
        <v>47</v>
      </c>
      <c r="CF28" s="60">
        <v>29</v>
      </c>
      <c r="CG28" s="64">
        <v>28</v>
      </c>
      <c r="CH28" s="60">
        <v>102</v>
      </c>
      <c r="CI28" s="60">
        <v>83</v>
      </c>
      <c r="CJ28" s="64">
        <v>47</v>
      </c>
      <c r="CK28" s="60">
        <v>62</v>
      </c>
      <c r="CL28" s="60">
        <v>35</v>
      </c>
      <c r="CM28" s="64">
        <v>43</v>
      </c>
      <c r="CN28" s="60">
        <v>65</v>
      </c>
      <c r="CO28" s="60">
        <v>35</v>
      </c>
      <c r="CP28" s="64">
        <v>29</v>
      </c>
      <c r="CQ28" s="60"/>
      <c r="CR28" s="60"/>
      <c r="CS28" s="64"/>
      <c r="CT28" s="60">
        <v>52</v>
      </c>
      <c r="CU28" s="60">
        <v>18</v>
      </c>
      <c r="CV28" s="64">
        <v>29</v>
      </c>
      <c r="CW28" s="60">
        <v>37</v>
      </c>
      <c r="CX28" s="60">
        <v>15</v>
      </c>
      <c r="CY28" s="64">
        <v>21</v>
      </c>
      <c r="CZ28" s="60">
        <v>36</v>
      </c>
      <c r="DA28" s="60">
        <v>17</v>
      </c>
      <c r="DB28" s="64">
        <v>20</v>
      </c>
    </row>
    <row r="29" spans="1:106" x14ac:dyDescent="0.2">
      <c r="A29" s="54"/>
      <c r="B29" s="55"/>
      <c r="C29" s="56"/>
      <c r="D29" s="55"/>
      <c r="E29" s="70"/>
      <c r="F29" s="71"/>
      <c r="G29" s="57"/>
      <c r="H29" s="162"/>
      <c r="I29" s="60"/>
      <c r="J29" s="60"/>
      <c r="K29" s="60"/>
      <c r="L29" s="60"/>
      <c r="M29" s="60"/>
      <c r="N29" s="60"/>
      <c r="O29" s="61"/>
      <c r="P29" s="62"/>
      <c r="Q29" s="60"/>
      <c r="R29" s="60"/>
      <c r="S29" s="62"/>
      <c r="T29" s="62"/>
      <c r="U29" s="62"/>
      <c r="V29" s="62"/>
      <c r="W29" s="62"/>
      <c r="X29" s="62">
        <v>53</v>
      </c>
      <c r="Y29" s="62">
        <v>107</v>
      </c>
      <c r="Z29" s="62"/>
      <c r="AA29" s="62"/>
      <c r="AB29" s="62"/>
      <c r="AC29" s="62"/>
      <c r="AD29" s="62"/>
      <c r="AE29" s="62"/>
      <c r="AF29" s="62">
        <v>36</v>
      </c>
      <c r="AG29" s="62">
        <v>38</v>
      </c>
      <c r="AH29" s="62"/>
      <c r="AI29" s="63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1"/>
      <c r="BA29" s="64"/>
      <c r="BB29" s="60"/>
      <c r="BC29" s="60"/>
      <c r="BD29" s="60"/>
      <c r="BE29" s="60"/>
      <c r="BF29" s="60"/>
      <c r="BG29" s="60"/>
      <c r="BH29" s="60">
        <f>581+1239+504</f>
        <v>2324</v>
      </c>
      <c r="BI29" s="60">
        <v>304</v>
      </c>
      <c r="BJ29" s="65">
        <v>52</v>
      </c>
      <c r="BK29" s="60"/>
      <c r="BL29" s="60"/>
      <c r="BM29" s="60"/>
      <c r="BN29" s="60"/>
      <c r="BO29" s="60"/>
      <c r="BP29" s="64"/>
      <c r="BQ29" s="66"/>
      <c r="BR29" s="66">
        <f t="shared" si="0"/>
        <v>7.6447368421052628</v>
      </c>
      <c r="BS29" s="66"/>
      <c r="BT29" s="67"/>
      <c r="BU29" s="60"/>
      <c r="BV29" s="60"/>
      <c r="BW29" s="60"/>
      <c r="BX29" s="64"/>
      <c r="BY29" s="60"/>
      <c r="BZ29" s="60"/>
      <c r="CA29" s="60"/>
      <c r="CB29" s="72"/>
      <c r="CC29" s="60"/>
      <c r="CD29" s="64"/>
      <c r="CE29" s="60">
        <v>48</v>
      </c>
      <c r="CF29" s="60">
        <v>24</v>
      </c>
      <c r="CG29" s="64">
        <v>28</v>
      </c>
      <c r="CH29" s="60">
        <v>66</v>
      </c>
      <c r="CI29" s="60">
        <v>57</v>
      </c>
      <c r="CJ29" s="64">
        <v>37</v>
      </c>
      <c r="CK29" s="60"/>
      <c r="CL29" s="60"/>
      <c r="CM29" s="64"/>
      <c r="CN29" s="60">
        <v>81</v>
      </c>
      <c r="CO29" s="60">
        <v>24</v>
      </c>
      <c r="CP29" s="64">
        <v>45</v>
      </c>
      <c r="CQ29" s="60"/>
      <c r="CR29" s="60"/>
      <c r="CS29" s="64"/>
      <c r="CT29" s="60"/>
      <c r="CU29" s="60"/>
      <c r="CV29" s="64"/>
      <c r="CW29" s="60"/>
      <c r="CX29" s="60"/>
      <c r="CY29" s="64"/>
      <c r="CZ29" s="60"/>
      <c r="DA29" s="60"/>
      <c r="DB29" s="64"/>
    </row>
    <row r="30" spans="1:106" x14ac:dyDescent="0.2">
      <c r="A30" s="40" t="s">
        <v>139</v>
      </c>
      <c r="B30" s="41" t="s">
        <v>109</v>
      </c>
      <c r="C30" s="42" t="s">
        <v>110</v>
      </c>
      <c r="D30" s="41" t="s">
        <v>111</v>
      </c>
      <c r="E30" s="43" t="s">
        <v>124</v>
      </c>
      <c r="F30" s="44">
        <v>1</v>
      </c>
      <c r="G30" s="43" t="s">
        <v>113</v>
      </c>
      <c r="H30" s="161" t="s">
        <v>140</v>
      </c>
      <c r="I30" s="45">
        <f>846+1244+1841+1606+1129+1598+1602+1219+343+1197+1351+2208+731+730+1424+1069+997</f>
        <v>21135</v>
      </c>
      <c r="J30" s="45">
        <v>140</v>
      </c>
      <c r="K30" s="45">
        <v>34</v>
      </c>
      <c r="L30" s="45">
        <v>7</v>
      </c>
      <c r="M30" s="45">
        <f t="shared" si="1"/>
        <v>7</v>
      </c>
      <c r="N30" s="45">
        <f>K30-L30</f>
        <v>27</v>
      </c>
      <c r="O30" s="46">
        <f t="shared" si="5"/>
        <v>0.79411764705882348</v>
      </c>
      <c r="P30" s="53">
        <v>0</v>
      </c>
      <c r="Q30" s="45">
        <v>965</v>
      </c>
      <c r="R30" s="45">
        <v>352</v>
      </c>
      <c r="S30" s="53">
        <f>585+578+1148</f>
        <v>2311</v>
      </c>
      <c r="T30" s="53">
        <v>467</v>
      </c>
      <c r="U30" s="53">
        <v>54</v>
      </c>
      <c r="V30" s="53">
        <v>29</v>
      </c>
      <c r="W30" s="53">
        <f>U30-V30</f>
        <v>25</v>
      </c>
      <c r="X30" s="53">
        <v>66</v>
      </c>
      <c r="Y30" s="53">
        <v>124</v>
      </c>
      <c r="Z30" s="53">
        <v>273</v>
      </c>
      <c r="AA30" s="53">
        <v>205</v>
      </c>
      <c r="AB30" s="53">
        <v>4</v>
      </c>
      <c r="AC30" s="53">
        <v>525</v>
      </c>
      <c r="AD30" s="53">
        <v>343</v>
      </c>
      <c r="AE30" s="53" t="s">
        <v>115</v>
      </c>
      <c r="AF30" s="53">
        <v>21</v>
      </c>
      <c r="AG30" s="53">
        <v>24</v>
      </c>
      <c r="AH30" s="53">
        <f>730+848</f>
        <v>1578</v>
      </c>
      <c r="AI30" s="74">
        <f>AH30/S30</f>
        <v>0.68282128948507137</v>
      </c>
      <c r="AJ30" s="45" t="s">
        <v>115</v>
      </c>
      <c r="AK30" s="45" t="s">
        <v>115</v>
      </c>
      <c r="AL30" s="45" t="s">
        <v>115</v>
      </c>
      <c r="AM30" s="45" t="s">
        <v>115</v>
      </c>
      <c r="AN30" s="45" t="s">
        <v>115</v>
      </c>
      <c r="AO30" s="45" t="s">
        <v>115</v>
      </c>
      <c r="AP30" s="45" t="s">
        <v>115</v>
      </c>
      <c r="AQ30" s="45" t="s">
        <v>115</v>
      </c>
      <c r="AR30" s="45" t="s">
        <v>115</v>
      </c>
      <c r="AS30" s="45" t="s">
        <v>115</v>
      </c>
      <c r="AT30" s="45" t="s">
        <v>115</v>
      </c>
      <c r="AU30" s="45" t="s">
        <v>115</v>
      </c>
      <c r="AV30" s="45" t="s">
        <v>115</v>
      </c>
      <c r="AW30" s="45" t="s">
        <v>115</v>
      </c>
      <c r="AX30" s="45" t="s">
        <v>115</v>
      </c>
      <c r="AY30" s="45" t="s">
        <v>115</v>
      </c>
      <c r="AZ30" s="45" t="s">
        <v>115</v>
      </c>
      <c r="BA30" s="49" t="s">
        <v>115</v>
      </c>
      <c r="BB30" s="45">
        <f>653+835+923+784+882+901</f>
        <v>4978</v>
      </c>
      <c r="BC30" s="45">
        <f>727+955+917</f>
        <v>2599</v>
      </c>
      <c r="BD30" s="45">
        <f>567+692+1041</f>
        <v>2300</v>
      </c>
      <c r="BE30" s="45">
        <v>58</v>
      </c>
      <c r="BF30" s="45">
        <v>378</v>
      </c>
      <c r="BG30" s="45">
        <v>532</v>
      </c>
      <c r="BH30" s="45">
        <f>705+604+932</f>
        <v>2241</v>
      </c>
      <c r="BI30" s="45">
        <v>223</v>
      </c>
      <c r="BJ30" s="50">
        <v>37</v>
      </c>
      <c r="BK30" s="45">
        <v>398</v>
      </c>
      <c r="BL30" s="45">
        <v>207</v>
      </c>
      <c r="BM30" s="45">
        <v>497</v>
      </c>
      <c r="BN30" s="45">
        <v>816</v>
      </c>
      <c r="BO30" s="45" t="s">
        <v>128</v>
      </c>
      <c r="BP30" s="49">
        <f>BN30</f>
        <v>816</v>
      </c>
      <c r="BQ30" s="51">
        <f t="shared" si="2"/>
        <v>6.1004901960784315</v>
      </c>
      <c r="BR30" s="51">
        <f t="shared" si="0"/>
        <v>10.04932735426009</v>
      </c>
      <c r="BS30" s="51">
        <f t="shared" si="3"/>
        <v>5.2293762575452716</v>
      </c>
      <c r="BT30" s="52">
        <f t="shared" si="4"/>
        <v>4.6277665995975852</v>
      </c>
      <c r="BU30" s="45" t="s">
        <v>115</v>
      </c>
      <c r="BV30" s="45">
        <v>80</v>
      </c>
      <c r="BW30" s="45" t="s">
        <v>115</v>
      </c>
      <c r="BX30" s="49" t="s">
        <v>115</v>
      </c>
      <c r="BY30" s="79" t="s">
        <v>115</v>
      </c>
      <c r="BZ30" s="45" t="s">
        <v>115</v>
      </c>
      <c r="CA30" s="45" t="s">
        <v>115</v>
      </c>
      <c r="CB30" s="80" t="s">
        <v>115</v>
      </c>
      <c r="CC30" s="45" t="s">
        <v>115</v>
      </c>
      <c r="CD30" s="49" t="s">
        <v>115</v>
      </c>
      <c r="CE30" s="45" t="s">
        <v>115</v>
      </c>
      <c r="CF30" s="45" t="s">
        <v>115</v>
      </c>
      <c r="CG30" s="49" t="s">
        <v>115</v>
      </c>
      <c r="CH30" s="45">
        <v>70</v>
      </c>
      <c r="CI30" s="45">
        <v>59</v>
      </c>
      <c r="CJ30" s="49">
        <v>32</v>
      </c>
      <c r="CK30" s="45">
        <v>59</v>
      </c>
      <c r="CL30" s="45">
        <v>26</v>
      </c>
      <c r="CM30" s="49">
        <v>42</v>
      </c>
      <c r="CN30" s="45" t="s">
        <v>115</v>
      </c>
      <c r="CO30" s="45" t="s">
        <v>115</v>
      </c>
      <c r="CP30" s="49" t="s">
        <v>115</v>
      </c>
      <c r="CQ30" s="45" t="s">
        <v>115</v>
      </c>
      <c r="CR30" s="45" t="s">
        <v>115</v>
      </c>
      <c r="CS30" s="49" t="s">
        <v>115</v>
      </c>
      <c r="CT30" s="45" t="s">
        <v>115</v>
      </c>
      <c r="CU30" s="45" t="s">
        <v>115</v>
      </c>
      <c r="CV30" s="49" t="s">
        <v>115</v>
      </c>
      <c r="CW30" s="45" t="s">
        <v>115</v>
      </c>
      <c r="CX30" s="45" t="s">
        <v>115</v>
      </c>
      <c r="CY30" s="49" t="s">
        <v>115</v>
      </c>
      <c r="CZ30" s="45" t="s">
        <v>115</v>
      </c>
      <c r="DA30" s="45" t="s">
        <v>115</v>
      </c>
      <c r="DB30" s="49" t="s">
        <v>115</v>
      </c>
    </row>
    <row r="31" spans="1:106" x14ac:dyDescent="0.2">
      <c r="A31" s="40"/>
      <c r="B31" s="41"/>
      <c r="C31" s="42"/>
      <c r="D31" s="41"/>
      <c r="E31" s="43"/>
      <c r="F31" s="44"/>
      <c r="G31" s="43"/>
      <c r="H31" s="161"/>
      <c r="O31" s="46"/>
      <c r="P31" s="53"/>
      <c r="X31" s="53">
        <v>81</v>
      </c>
      <c r="Y31" s="53">
        <v>123</v>
      </c>
      <c r="AF31" s="53">
        <v>29</v>
      </c>
      <c r="AG31" s="53">
        <v>25</v>
      </c>
      <c r="AI31" s="74"/>
      <c r="AZ31" s="46"/>
      <c r="BH31" s="45">
        <f>624+844+939</f>
        <v>2407</v>
      </c>
      <c r="BI31" s="45">
        <v>229</v>
      </c>
      <c r="BJ31" s="50">
        <v>34</v>
      </c>
      <c r="BK31" s="45">
        <v>451</v>
      </c>
      <c r="BQ31" s="51"/>
      <c r="BR31" s="51">
        <f t="shared" si="0"/>
        <v>10.510917030567686</v>
      </c>
      <c r="BS31" s="51"/>
      <c r="BT31" s="52"/>
      <c r="CD31" s="49"/>
      <c r="CG31" s="49"/>
      <c r="CJ31" s="49"/>
      <c r="CM31" s="49"/>
      <c r="CP31" s="49"/>
      <c r="CS31" s="49"/>
      <c r="CV31" s="49"/>
      <c r="CY31" s="49"/>
      <c r="DB31" s="49"/>
    </row>
    <row r="32" spans="1:106" x14ac:dyDescent="0.2">
      <c r="A32" s="40"/>
      <c r="B32" s="41"/>
      <c r="C32" s="42"/>
      <c r="D32" s="41"/>
      <c r="E32" s="43"/>
      <c r="F32" s="44"/>
      <c r="G32" s="43"/>
      <c r="H32" s="161"/>
      <c r="O32" s="46"/>
      <c r="P32" s="53"/>
      <c r="X32" s="53">
        <v>83</v>
      </c>
      <c r="Y32" s="53">
        <v>101</v>
      </c>
      <c r="AF32" s="53">
        <v>24</v>
      </c>
      <c r="AG32" s="53">
        <v>31</v>
      </c>
      <c r="AI32" s="74"/>
      <c r="AZ32" s="46"/>
      <c r="BH32" s="45">
        <f>138+456+835+918</f>
        <v>2347</v>
      </c>
      <c r="BI32" s="45">
        <v>237</v>
      </c>
      <c r="BJ32" s="50">
        <v>37</v>
      </c>
      <c r="BQ32" s="51"/>
      <c r="BR32" s="51">
        <f t="shared" si="0"/>
        <v>9.9029535864978904</v>
      </c>
      <c r="BS32" s="51"/>
      <c r="BT32" s="52"/>
      <c r="CD32" s="49"/>
      <c r="CG32" s="49"/>
      <c r="CJ32" s="49"/>
      <c r="CM32" s="49"/>
      <c r="CP32" s="49"/>
      <c r="CS32" s="49"/>
      <c r="CV32" s="49"/>
      <c r="CY32" s="49"/>
      <c r="DB32" s="49"/>
    </row>
    <row r="33" spans="1:106" x14ac:dyDescent="0.2">
      <c r="A33" s="54" t="s">
        <v>141</v>
      </c>
      <c r="B33" s="55" t="s">
        <v>109</v>
      </c>
      <c r="C33" s="56" t="s">
        <v>110</v>
      </c>
      <c r="D33" s="55" t="s">
        <v>111</v>
      </c>
      <c r="E33" s="57" t="s">
        <v>124</v>
      </c>
      <c r="F33" s="58">
        <v>0</v>
      </c>
      <c r="G33" s="57" t="s">
        <v>113</v>
      </c>
      <c r="H33" s="162" t="s">
        <v>182</v>
      </c>
      <c r="I33" s="60">
        <f>1137+1964+1414+580+828+1712+1426+1157+1752+2446+2140+853+1044</f>
        <v>18453</v>
      </c>
      <c r="J33" s="60">
        <v>98</v>
      </c>
      <c r="K33" s="60">
        <v>34</v>
      </c>
      <c r="L33" s="60">
        <v>6</v>
      </c>
      <c r="M33" s="60">
        <f t="shared" si="1"/>
        <v>6</v>
      </c>
      <c r="N33" s="60">
        <f>K33-L33</f>
        <v>28</v>
      </c>
      <c r="O33" s="61">
        <f t="shared" si="5"/>
        <v>0.82352941176470584</v>
      </c>
      <c r="P33" s="68">
        <v>0</v>
      </c>
      <c r="Q33" s="60">
        <v>712</v>
      </c>
      <c r="R33" s="60">
        <v>380</v>
      </c>
      <c r="S33" s="68">
        <f>1012+1675</f>
        <v>2687</v>
      </c>
      <c r="T33" s="68">
        <v>411</v>
      </c>
      <c r="U33" s="68">
        <v>49</v>
      </c>
      <c r="V33" s="68">
        <v>28</v>
      </c>
      <c r="W33" s="68">
        <f>U33-V33</f>
        <v>21</v>
      </c>
      <c r="X33" s="68">
        <v>105</v>
      </c>
      <c r="Y33" s="68">
        <v>110</v>
      </c>
      <c r="Z33" s="68">
        <f>311+134</f>
        <v>445</v>
      </c>
      <c r="AA33" s="68">
        <v>194</v>
      </c>
      <c r="AB33" s="68">
        <v>4</v>
      </c>
      <c r="AC33" s="68">
        <v>662</v>
      </c>
      <c r="AD33" s="68" t="s">
        <v>115</v>
      </c>
      <c r="AE33" s="68" t="s">
        <v>115</v>
      </c>
      <c r="AF33" s="68">
        <v>17</v>
      </c>
      <c r="AG33" s="68">
        <v>25</v>
      </c>
      <c r="AH33" s="68">
        <f>727+1105</f>
        <v>1832</v>
      </c>
      <c r="AI33" s="73">
        <f>AH33/S33</f>
        <v>0.68180126535169339</v>
      </c>
      <c r="AJ33" s="60" t="s">
        <v>115</v>
      </c>
      <c r="AK33" s="60" t="s">
        <v>115</v>
      </c>
      <c r="AL33" s="60" t="s">
        <v>115</v>
      </c>
      <c r="AM33" s="60" t="s">
        <v>115</v>
      </c>
      <c r="AN33" s="60" t="s">
        <v>115</v>
      </c>
      <c r="AO33" s="60" t="s">
        <v>115</v>
      </c>
      <c r="AP33" s="60" t="s">
        <v>115</v>
      </c>
      <c r="AQ33" s="60" t="s">
        <v>115</v>
      </c>
      <c r="AR33" s="60" t="s">
        <v>115</v>
      </c>
      <c r="AS33" s="60" t="s">
        <v>115</v>
      </c>
      <c r="AT33" s="60" t="s">
        <v>115</v>
      </c>
      <c r="AU33" s="60" t="s">
        <v>115</v>
      </c>
      <c r="AV33" s="60" t="s">
        <v>115</v>
      </c>
      <c r="AW33" s="60" t="s">
        <v>115</v>
      </c>
      <c r="AX33" s="60" t="s">
        <v>115</v>
      </c>
      <c r="AY33" s="60" t="s">
        <v>115</v>
      </c>
      <c r="AZ33" s="60" t="s">
        <v>115</v>
      </c>
      <c r="BA33" s="64" t="s">
        <v>115</v>
      </c>
      <c r="BB33" s="60">
        <f>2420+671+936</f>
        <v>4027</v>
      </c>
      <c r="BC33" s="60">
        <f>682+914</f>
        <v>1596</v>
      </c>
      <c r="BD33" s="60">
        <v>2321</v>
      </c>
      <c r="BE33" s="60">
        <v>73</v>
      </c>
      <c r="BF33" s="60">
        <v>539</v>
      </c>
      <c r="BG33" s="60">
        <v>508</v>
      </c>
      <c r="BH33" s="60">
        <v>2356</v>
      </c>
      <c r="BI33" s="60">
        <v>202</v>
      </c>
      <c r="BJ33" s="65">
        <v>48</v>
      </c>
      <c r="BK33" s="60">
        <v>485</v>
      </c>
      <c r="BL33" s="60" t="s">
        <v>115</v>
      </c>
      <c r="BM33" s="60">
        <v>461</v>
      </c>
      <c r="BN33" s="60">
        <v>818</v>
      </c>
      <c r="BO33" s="60" t="s">
        <v>128</v>
      </c>
      <c r="BP33" s="64">
        <f>BN33</f>
        <v>818</v>
      </c>
      <c r="BQ33" s="66">
        <f t="shared" si="2"/>
        <v>4.9229828850855748</v>
      </c>
      <c r="BR33" s="66">
        <f t="shared" si="0"/>
        <v>11.663366336633663</v>
      </c>
      <c r="BS33" s="66">
        <f t="shared" si="3"/>
        <v>3.4620390455531451</v>
      </c>
      <c r="BT33" s="67">
        <f t="shared" si="4"/>
        <v>5.0347071583514102</v>
      </c>
      <c r="BU33" s="60" t="s">
        <v>115</v>
      </c>
      <c r="BV33" s="60" t="s">
        <v>115</v>
      </c>
      <c r="BW33" s="60" t="s">
        <v>115</v>
      </c>
      <c r="BX33" s="64" t="s">
        <v>115</v>
      </c>
      <c r="BY33" s="75" t="s">
        <v>115</v>
      </c>
      <c r="BZ33" s="60" t="s">
        <v>115</v>
      </c>
      <c r="CA33" s="60" t="s">
        <v>115</v>
      </c>
      <c r="CB33" s="72" t="s">
        <v>115</v>
      </c>
      <c r="CC33" s="60" t="s">
        <v>115</v>
      </c>
      <c r="CD33" s="64" t="s">
        <v>115</v>
      </c>
      <c r="CE33" s="60" t="s">
        <v>115</v>
      </c>
      <c r="CF33" s="60" t="s">
        <v>115</v>
      </c>
      <c r="CG33" s="64" t="s">
        <v>115</v>
      </c>
      <c r="CH33" s="60" t="s">
        <v>115</v>
      </c>
      <c r="CI33" s="60" t="s">
        <v>115</v>
      </c>
      <c r="CJ33" s="64" t="s">
        <v>115</v>
      </c>
      <c r="CK33" s="60" t="s">
        <v>115</v>
      </c>
      <c r="CL33" s="60" t="s">
        <v>115</v>
      </c>
      <c r="CM33" s="64" t="s">
        <v>115</v>
      </c>
      <c r="CN33" s="60" t="s">
        <v>115</v>
      </c>
      <c r="CO33" s="60" t="s">
        <v>115</v>
      </c>
      <c r="CP33" s="64" t="s">
        <v>115</v>
      </c>
      <c r="CQ33" s="60" t="s">
        <v>115</v>
      </c>
      <c r="CR33" s="60" t="s">
        <v>115</v>
      </c>
      <c r="CS33" s="64" t="s">
        <v>115</v>
      </c>
      <c r="CT33" s="60" t="s">
        <v>115</v>
      </c>
      <c r="CU33" s="60" t="s">
        <v>115</v>
      </c>
      <c r="CV33" s="64" t="s">
        <v>115</v>
      </c>
      <c r="CW33" s="60" t="s">
        <v>115</v>
      </c>
      <c r="CX33" s="60" t="s">
        <v>115</v>
      </c>
      <c r="CY33" s="64" t="s">
        <v>115</v>
      </c>
      <c r="CZ33" s="60" t="s">
        <v>115</v>
      </c>
      <c r="DA33" s="60" t="s">
        <v>115</v>
      </c>
      <c r="DB33" s="64" t="s">
        <v>115</v>
      </c>
    </row>
    <row r="34" spans="1:106" x14ac:dyDescent="0.2">
      <c r="A34" s="54"/>
      <c r="B34" s="55"/>
      <c r="C34" s="56"/>
      <c r="D34" s="55"/>
      <c r="E34" s="57"/>
      <c r="F34" s="58"/>
      <c r="G34" s="57"/>
      <c r="H34" s="162"/>
      <c r="I34" s="60"/>
      <c r="J34" s="60"/>
      <c r="K34" s="60"/>
      <c r="L34" s="60"/>
      <c r="M34" s="60"/>
      <c r="N34" s="60"/>
      <c r="O34" s="61"/>
      <c r="P34" s="68"/>
      <c r="Q34" s="60"/>
      <c r="R34" s="60"/>
      <c r="S34" s="68"/>
      <c r="T34" s="68"/>
      <c r="U34" s="68"/>
      <c r="V34" s="68"/>
      <c r="W34" s="68"/>
      <c r="X34" s="68">
        <v>55</v>
      </c>
      <c r="Y34" s="68">
        <v>109</v>
      </c>
      <c r="Z34" s="68"/>
      <c r="AA34" s="68"/>
      <c r="AB34" s="68"/>
      <c r="AC34" s="68"/>
      <c r="AD34" s="68"/>
      <c r="AE34" s="68"/>
      <c r="AF34" s="68">
        <v>15</v>
      </c>
      <c r="AG34" s="68">
        <v>12</v>
      </c>
      <c r="AH34" s="68"/>
      <c r="AI34" s="73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1"/>
      <c r="BA34" s="64"/>
      <c r="BB34" s="60"/>
      <c r="BC34" s="60"/>
      <c r="BD34" s="60"/>
      <c r="BE34" s="60"/>
      <c r="BF34" s="60"/>
      <c r="BG34" s="60"/>
      <c r="BH34" s="60">
        <v>2332</v>
      </c>
      <c r="BI34" s="60">
        <v>192</v>
      </c>
      <c r="BJ34" s="65">
        <v>43</v>
      </c>
      <c r="BK34" s="60">
        <v>487</v>
      </c>
      <c r="BL34" s="60"/>
      <c r="BM34" s="60"/>
      <c r="BN34" s="60"/>
      <c r="BO34" s="60"/>
      <c r="BP34" s="64"/>
      <c r="BQ34" s="66"/>
      <c r="BR34" s="66">
        <f t="shared" si="0"/>
        <v>12.145833333333334</v>
      </c>
      <c r="BS34" s="66"/>
      <c r="BT34" s="67"/>
      <c r="BU34" s="60"/>
      <c r="BV34" s="60"/>
      <c r="BW34" s="60"/>
      <c r="BX34" s="64"/>
      <c r="BY34" s="60"/>
      <c r="BZ34" s="60"/>
      <c r="CA34" s="60"/>
      <c r="CB34" s="72"/>
      <c r="CC34" s="60"/>
      <c r="CD34" s="64"/>
      <c r="CE34" s="60"/>
      <c r="CF34" s="60"/>
      <c r="CG34" s="64"/>
      <c r="CH34" s="60"/>
      <c r="CI34" s="60"/>
      <c r="CJ34" s="64"/>
      <c r="CK34" s="60"/>
      <c r="CL34" s="60"/>
      <c r="CM34" s="64"/>
      <c r="CN34" s="60"/>
      <c r="CO34" s="60"/>
      <c r="CP34" s="64"/>
      <c r="CQ34" s="60"/>
      <c r="CR34" s="60"/>
      <c r="CS34" s="64"/>
      <c r="CT34" s="60"/>
      <c r="CU34" s="60"/>
      <c r="CV34" s="64"/>
      <c r="CW34" s="60"/>
      <c r="CX34" s="60"/>
      <c r="CY34" s="64"/>
      <c r="CZ34" s="60"/>
      <c r="DA34" s="60"/>
      <c r="DB34" s="64"/>
    </row>
    <row r="35" spans="1:106" x14ac:dyDescent="0.2">
      <c r="A35" s="54"/>
      <c r="B35" s="55"/>
      <c r="C35" s="56"/>
      <c r="D35" s="55"/>
      <c r="E35" s="57"/>
      <c r="F35" s="58"/>
      <c r="G35" s="57"/>
      <c r="H35" s="162"/>
      <c r="I35" s="60"/>
      <c r="J35" s="60"/>
      <c r="K35" s="60"/>
      <c r="L35" s="60"/>
      <c r="M35" s="60"/>
      <c r="N35" s="60"/>
      <c r="O35" s="61"/>
      <c r="P35" s="68"/>
      <c r="Q35" s="60"/>
      <c r="R35" s="60"/>
      <c r="S35" s="68"/>
      <c r="T35" s="68"/>
      <c r="U35" s="68"/>
      <c r="V35" s="68"/>
      <c r="W35" s="68"/>
      <c r="X35" s="68">
        <v>115</v>
      </c>
      <c r="Y35" s="68">
        <v>93</v>
      </c>
      <c r="Z35" s="68"/>
      <c r="AA35" s="68"/>
      <c r="AB35" s="68"/>
      <c r="AC35" s="68"/>
      <c r="AD35" s="68"/>
      <c r="AE35" s="68"/>
      <c r="AF35" s="68">
        <v>24</v>
      </c>
      <c r="AG35" s="68">
        <v>22</v>
      </c>
      <c r="AH35" s="68"/>
      <c r="AI35" s="73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1"/>
      <c r="BA35" s="64"/>
      <c r="BB35" s="60"/>
      <c r="BC35" s="60"/>
      <c r="BD35" s="60"/>
      <c r="BE35" s="60"/>
      <c r="BF35" s="60"/>
      <c r="BG35" s="60"/>
      <c r="BH35" s="60">
        <v>2304</v>
      </c>
      <c r="BI35" s="60">
        <v>215</v>
      </c>
      <c r="BJ35" s="65">
        <v>44</v>
      </c>
      <c r="BK35" s="60"/>
      <c r="BL35" s="60"/>
      <c r="BM35" s="60"/>
      <c r="BN35" s="60"/>
      <c r="BO35" s="60"/>
      <c r="BP35" s="64"/>
      <c r="BQ35" s="66"/>
      <c r="BR35" s="66">
        <f t="shared" si="0"/>
        <v>10.716279069767442</v>
      </c>
      <c r="BS35" s="66"/>
      <c r="BT35" s="67"/>
      <c r="BU35" s="60"/>
      <c r="BV35" s="60"/>
      <c r="BW35" s="60"/>
      <c r="BX35" s="64"/>
      <c r="BY35" s="60"/>
      <c r="BZ35" s="60"/>
      <c r="CA35" s="60"/>
      <c r="CB35" s="72"/>
      <c r="CC35" s="60"/>
      <c r="CD35" s="64"/>
      <c r="CE35" s="60"/>
      <c r="CF35" s="60"/>
      <c r="CG35" s="64"/>
      <c r="CH35" s="60"/>
      <c r="CI35" s="60"/>
      <c r="CJ35" s="64"/>
      <c r="CK35" s="60"/>
      <c r="CL35" s="60"/>
      <c r="CM35" s="64"/>
      <c r="CN35" s="60"/>
      <c r="CO35" s="60"/>
      <c r="CP35" s="64"/>
      <c r="CQ35" s="60"/>
      <c r="CR35" s="60"/>
      <c r="CS35" s="64"/>
      <c r="CT35" s="60"/>
      <c r="CU35" s="60"/>
      <c r="CV35" s="64"/>
      <c r="CW35" s="60"/>
      <c r="CX35" s="60"/>
      <c r="CY35" s="64"/>
      <c r="CZ35" s="60"/>
      <c r="DA35" s="60"/>
      <c r="DB35" s="64"/>
    </row>
    <row r="36" spans="1:106" ht="15.75" customHeight="1" x14ac:dyDescent="0.2">
      <c r="A36" s="40" t="s">
        <v>142</v>
      </c>
      <c r="B36" s="41" t="s">
        <v>109</v>
      </c>
      <c r="C36" s="42" t="s">
        <v>110</v>
      </c>
      <c r="D36" s="41" t="s">
        <v>111</v>
      </c>
      <c r="E36" s="43" t="s">
        <v>124</v>
      </c>
      <c r="F36" s="44">
        <v>4</v>
      </c>
      <c r="G36" s="43" t="s">
        <v>113</v>
      </c>
      <c r="H36" s="161" t="s">
        <v>143</v>
      </c>
      <c r="I36" s="45">
        <f>241+1629+1672+1382+3364+5059+1551+2877+881+4127+816</f>
        <v>23599</v>
      </c>
      <c r="J36" s="45">
        <v>158</v>
      </c>
      <c r="K36" s="45">
        <v>56</v>
      </c>
      <c r="L36" s="45">
        <v>9</v>
      </c>
      <c r="M36" s="45">
        <f t="shared" si="1"/>
        <v>9</v>
      </c>
      <c r="N36" s="45">
        <f>K36-L36</f>
        <v>47</v>
      </c>
      <c r="O36" s="46">
        <f t="shared" si="5"/>
        <v>0.8392857142857143</v>
      </c>
      <c r="P36" s="53">
        <v>0</v>
      </c>
      <c r="Q36" s="45">
        <v>687</v>
      </c>
      <c r="R36" s="45">
        <v>592</v>
      </c>
      <c r="S36" s="53">
        <f>1315+797</f>
        <v>2112</v>
      </c>
      <c r="T36" s="53">
        <v>619</v>
      </c>
      <c r="U36" s="53">
        <v>64</v>
      </c>
      <c r="V36" s="53">
        <v>40</v>
      </c>
      <c r="W36" s="53">
        <f>U36-V36</f>
        <v>24</v>
      </c>
      <c r="X36" s="53">
        <v>92</v>
      </c>
      <c r="Y36" s="53">
        <v>159</v>
      </c>
      <c r="Z36" s="53">
        <f>219+292</f>
        <v>511</v>
      </c>
      <c r="AA36" s="53">
        <v>211</v>
      </c>
      <c r="AB36" s="53">
        <v>4</v>
      </c>
      <c r="AC36" s="53">
        <v>511</v>
      </c>
      <c r="AD36" s="53">
        <v>535</v>
      </c>
      <c r="AE36" s="53">
        <v>194</v>
      </c>
      <c r="AF36" s="53">
        <v>21</v>
      </c>
      <c r="AG36" s="53">
        <v>27</v>
      </c>
      <c r="AH36" s="53">
        <f>514+1033</f>
        <v>1547</v>
      </c>
      <c r="AI36" s="74">
        <f>AH36/S36</f>
        <v>0.73248106060606055</v>
      </c>
      <c r="AJ36" s="45" t="s">
        <v>115</v>
      </c>
      <c r="AK36" s="45" t="s">
        <v>115</v>
      </c>
      <c r="AL36" s="45" t="s">
        <v>115</v>
      </c>
      <c r="AM36" s="45" t="s">
        <v>115</v>
      </c>
      <c r="AN36" s="45" t="s">
        <v>115</v>
      </c>
      <c r="AO36" s="45" t="s">
        <v>115</v>
      </c>
      <c r="AP36" s="45" t="s">
        <v>115</v>
      </c>
      <c r="AQ36" s="45" t="s">
        <v>115</v>
      </c>
      <c r="AR36" s="45" t="s">
        <v>115</v>
      </c>
      <c r="AS36" s="45" t="s">
        <v>115</v>
      </c>
      <c r="AT36" s="45" t="s">
        <v>115</v>
      </c>
      <c r="AU36" s="45" t="s">
        <v>115</v>
      </c>
      <c r="AV36" s="45" t="s">
        <v>115</v>
      </c>
      <c r="AW36" s="45" t="s">
        <v>115</v>
      </c>
      <c r="AX36" s="45" t="s">
        <v>115</v>
      </c>
      <c r="AY36" s="45" t="s">
        <v>115</v>
      </c>
      <c r="AZ36" s="45" t="s">
        <v>115</v>
      </c>
      <c r="BA36" s="49" t="s">
        <v>115</v>
      </c>
      <c r="BB36" s="45">
        <f>2408+1499+769</f>
        <v>4676</v>
      </c>
      <c r="BC36" s="45">
        <f>1654+635</f>
        <v>2289</v>
      </c>
      <c r="BD36" s="45">
        <v>2326</v>
      </c>
      <c r="BE36" s="45">
        <v>64</v>
      </c>
      <c r="BF36" s="45">
        <v>509</v>
      </c>
      <c r="BG36" s="45">
        <v>617</v>
      </c>
      <c r="BH36" s="45">
        <v>2331</v>
      </c>
      <c r="BI36" s="45">
        <v>225</v>
      </c>
      <c r="BJ36" s="50">
        <v>44</v>
      </c>
      <c r="BK36" s="45">
        <v>562</v>
      </c>
      <c r="BL36" s="45" t="s">
        <v>115</v>
      </c>
      <c r="BM36" s="45">
        <v>639</v>
      </c>
      <c r="BN36" s="45">
        <v>782</v>
      </c>
      <c r="BO36" s="45" t="s">
        <v>128</v>
      </c>
      <c r="BP36" s="49">
        <f>BN36</f>
        <v>782</v>
      </c>
      <c r="BQ36" s="51">
        <f t="shared" si="2"/>
        <v>5.9795396419437337</v>
      </c>
      <c r="BR36" s="51">
        <f t="shared" si="0"/>
        <v>10.36</v>
      </c>
      <c r="BS36" s="51">
        <f t="shared" si="3"/>
        <v>3.5821596244131455</v>
      </c>
      <c r="BT36" s="52">
        <f t="shared" si="4"/>
        <v>3.6400625978090768</v>
      </c>
      <c r="BU36" s="45">
        <f>52+239+363+209+528</f>
        <v>1391</v>
      </c>
      <c r="BV36" s="45">
        <v>80</v>
      </c>
      <c r="BW36" s="45">
        <v>118</v>
      </c>
      <c r="BX36" s="49">
        <v>91</v>
      </c>
      <c r="BY36" s="79" t="s">
        <v>144</v>
      </c>
      <c r="BZ36" s="45" t="s">
        <v>115</v>
      </c>
      <c r="CA36" s="45">
        <v>63</v>
      </c>
      <c r="CB36" s="80">
        <v>320</v>
      </c>
      <c r="CC36" s="45">
        <v>7</v>
      </c>
      <c r="CD36" s="180">
        <v>18</v>
      </c>
      <c r="CE36" s="45">
        <v>51</v>
      </c>
      <c r="CF36" s="45">
        <v>19</v>
      </c>
      <c r="CG36" s="49">
        <v>25</v>
      </c>
      <c r="CH36" s="45">
        <v>88</v>
      </c>
      <c r="CI36" s="45">
        <v>75</v>
      </c>
      <c r="CJ36" s="49">
        <v>51</v>
      </c>
      <c r="CK36" s="45">
        <v>42</v>
      </c>
      <c r="CL36" s="45">
        <v>83</v>
      </c>
      <c r="CM36" s="49">
        <v>55</v>
      </c>
      <c r="CN36" s="80">
        <v>47</v>
      </c>
      <c r="CO36" s="80">
        <v>27</v>
      </c>
      <c r="CP36" s="81">
        <v>28</v>
      </c>
      <c r="CQ36" s="80">
        <v>73</v>
      </c>
      <c r="CR36" s="80">
        <v>21</v>
      </c>
      <c r="CS36" s="81">
        <v>39</v>
      </c>
      <c r="CT36" s="80">
        <v>45</v>
      </c>
      <c r="CU36" s="45">
        <v>19</v>
      </c>
      <c r="CV36" s="49">
        <v>29</v>
      </c>
      <c r="CW36" s="45">
        <v>41</v>
      </c>
      <c r="CX36" s="45">
        <v>21</v>
      </c>
      <c r="CY36" s="49">
        <v>21</v>
      </c>
      <c r="CZ36" s="45">
        <v>36</v>
      </c>
      <c r="DA36" s="45">
        <v>18</v>
      </c>
      <c r="DB36" s="49">
        <v>19</v>
      </c>
    </row>
    <row r="37" spans="1:106" x14ac:dyDescent="0.2">
      <c r="A37" s="40"/>
      <c r="B37" s="41"/>
      <c r="C37" s="42"/>
      <c r="D37" s="41"/>
      <c r="E37" s="43"/>
      <c r="F37" s="44"/>
      <c r="G37" s="43"/>
      <c r="H37" s="161"/>
      <c r="O37" s="46"/>
      <c r="P37" s="53"/>
      <c r="X37" s="53">
        <v>76</v>
      </c>
      <c r="Y37" s="53">
        <v>146</v>
      </c>
      <c r="AF37" s="53">
        <v>27</v>
      </c>
      <c r="AG37" s="53">
        <v>20</v>
      </c>
      <c r="AI37" s="74"/>
      <c r="AZ37" s="46"/>
      <c r="BH37" s="45">
        <v>2353</v>
      </c>
      <c r="BI37" s="45">
        <v>228</v>
      </c>
      <c r="BJ37" s="50">
        <v>38</v>
      </c>
      <c r="BK37" s="45">
        <v>457</v>
      </c>
      <c r="BQ37" s="51"/>
      <c r="BR37" s="51">
        <f t="shared" si="0"/>
        <v>10.320175438596491</v>
      </c>
      <c r="BS37" s="51"/>
      <c r="BT37" s="52"/>
      <c r="BV37" s="45">
        <v>98</v>
      </c>
      <c r="BX37" s="49">
        <v>88</v>
      </c>
      <c r="CD37" s="49"/>
      <c r="CE37" s="45">
        <v>48</v>
      </c>
      <c r="CF37" s="45">
        <v>18</v>
      </c>
      <c r="CG37" s="49">
        <v>32</v>
      </c>
      <c r="CH37" s="45">
        <v>91</v>
      </c>
      <c r="CI37" s="45">
        <v>80</v>
      </c>
      <c r="CJ37" s="49">
        <v>52</v>
      </c>
      <c r="CM37" s="49"/>
      <c r="CN37" s="45">
        <v>81</v>
      </c>
      <c r="CO37" s="45">
        <v>26</v>
      </c>
      <c r="CP37" s="49">
        <v>47</v>
      </c>
      <c r="CQ37" s="45">
        <v>54</v>
      </c>
      <c r="CR37" s="45">
        <v>20</v>
      </c>
      <c r="CS37" s="49">
        <v>40</v>
      </c>
      <c r="CV37" s="49"/>
      <c r="CW37" s="45">
        <v>42</v>
      </c>
      <c r="CX37" s="45">
        <v>20</v>
      </c>
      <c r="CY37" s="49">
        <v>22</v>
      </c>
      <c r="CZ37" s="45">
        <v>34</v>
      </c>
      <c r="DA37" s="45">
        <v>22</v>
      </c>
      <c r="DB37" s="49">
        <v>17</v>
      </c>
    </row>
    <row r="38" spans="1:106" x14ac:dyDescent="0.2">
      <c r="A38" s="40"/>
      <c r="B38" s="41"/>
      <c r="C38" s="42"/>
      <c r="D38" s="41"/>
      <c r="E38" s="43"/>
      <c r="F38" s="44"/>
      <c r="G38" s="43"/>
      <c r="H38" s="161"/>
      <c r="O38" s="46"/>
      <c r="P38" s="53"/>
      <c r="X38" s="53">
        <v>64</v>
      </c>
      <c r="Y38" s="53">
        <v>148</v>
      </c>
      <c r="AF38" s="53">
        <v>22</v>
      </c>
      <c r="AG38" s="53">
        <v>26</v>
      </c>
      <c r="AI38" s="74"/>
      <c r="AZ38" s="46"/>
      <c r="BH38" s="45">
        <v>2291</v>
      </c>
      <c r="BI38" s="45">
        <v>229</v>
      </c>
      <c r="BJ38" s="50">
        <v>34</v>
      </c>
      <c r="BK38" s="45">
        <v>454</v>
      </c>
      <c r="BQ38" s="51"/>
      <c r="BR38" s="51">
        <f t="shared" si="0"/>
        <v>10.004366812227074</v>
      </c>
      <c r="BS38" s="51"/>
      <c r="BT38" s="52"/>
      <c r="BV38" s="45">
        <v>82</v>
      </c>
      <c r="CD38" s="49"/>
      <c r="CG38" s="49"/>
      <c r="CH38" s="45">
        <v>87</v>
      </c>
      <c r="CI38" s="45">
        <v>76</v>
      </c>
      <c r="CJ38" s="49">
        <v>44</v>
      </c>
      <c r="CM38" s="49"/>
      <c r="CP38" s="49"/>
      <c r="CQ38" s="45">
        <v>77</v>
      </c>
      <c r="CR38" s="45">
        <v>29</v>
      </c>
      <c r="CS38" s="49">
        <v>53</v>
      </c>
      <c r="CV38" s="49"/>
      <c r="CY38" s="49"/>
      <c r="CZ38" s="45">
        <v>37</v>
      </c>
      <c r="DA38" s="45">
        <v>25</v>
      </c>
      <c r="DB38" s="49">
        <v>17</v>
      </c>
    </row>
    <row r="39" spans="1:106" x14ac:dyDescent="0.2">
      <c r="A39" s="54" t="s">
        <v>145</v>
      </c>
      <c r="B39" s="55" t="s">
        <v>109</v>
      </c>
      <c r="C39" s="56" t="s">
        <v>110</v>
      </c>
      <c r="D39" s="55" t="s">
        <v>111</v>
      </c>
      <c r="E39" s="57" t="s">
        <v>124</v>
      </c>
      <c r="F39" s="58">
        <v>4</v>
      </c>
      <c r="G39" s="57" t="s">
        <v>113</v>
      </c>
      <c r="H39" s="162"/>
      <c r="I39" s="60">
        <f>962+1973+1657+373+1460+2373+1403+2888+2346+2521+884+935</f>
        <v>19775</v>
      </c>
      <c r="J39" s="60">
        <v>185</v>
      </c>
      <c r="K39" s="60">
        <v>51</v>
      </c>
      <c r="L39" s="60">
        <v>9</v>
      </c>
      <c r="M39" s="60">
        <f t="shared" si="1"/>
        <v>9</v>
      </c>
      <c r="N39" s="60">
        <f>K39-L39</f>
        <v>42</v>
      </c>
      <c r="O39" s="61">
        <f>N39/K39</f>
        <v>0.82352941176470584</v>
      </c>
      <c r="P39" s="68">
        <v>0</v>
      </c>
      <c r="Q39" s="60">
        <v>579</v>
      </c>
      <c r="R39" s="60">
        <v>396</v>
      </c>
      <c r="S39" s="68">
        <f>570+1346</f>
        <v>1916</v>
      </c>
      <c r="T39" s="68">
        <v>547</v>
      </c>
      <c r="U39" s="68">
        <v>65</v>
      </c>
      <c r="V39" s="68">
        <v>39</v>
      </c>
      <c r="W39" s="68">
        <f>U39-V39</f>
        <v>26</v>
      </c>
      <c r="X39" s="68">
        <v>67</v>
      </c>
      <c r="Y39" s="68">
        <v>144</v>
      </c>
      <c r="Z39" s="68">
        <f>213+225</f>
        <v>438</v>
      </c>
      <c r="AA39" s="68">
        <v>203</v>
      </c>
      <c r="AB39" s="68">
        <v>4</v>
      </c>
      <c r="AC39" s="68">
        <v>427</v>
      </c>
      <c r="AD39" s="68">
        <v>423</v>
      </c>
      <c r="AE39" s="68">
        <v>112</v>
      </c>
      <c r="AF39" s="68">
        <v>25</v>
      </c>
      <c r="AG39" s="68">
        <v>29</v>
      </c>
      <c r="AH39" s="68">
        <f>463+922</f>
        <v>1385</v>
      </c>
      <c r="AI39" s="73">
        <f>AH39/S39</f>
        <v>0.72286012526096033</v>
      </c>
      <c r="AJ39" s="60" t="s">
        <v>115</v>
      </c>
      <c r="AK39" s="60" t="s">
        <v>115</v>
      </c>
      <c r="AL39" s="60" t="s">
        <v>115</v>
      </c>
      <c r="AM39" s="60" t="s">
        <v>115</v>
      </c>
      <c r="AN39" s="60" t="s">
        <v>115</v>
      </c>
      <c r="AO39" s="60" t="s">
        <v>115</v>
      </c>
      <c r="AP39" s="60" t="s">
        <v>115</v>
      </c>
      <c r="AQ39" s="60" t="s">
        <v>115</v>
      </c>
      <c r="AR39" s="60" t="s">
        <v>115</v>
      </c>
      <c r="AS39" s="60" t="s">
        <v>115</v>
      </c>
      <c r="AT39" s="60" t="s">
        <v>115</v>
      </c>
      <c r="AU39" s="60" t="s">
        <v>115</v>
      </c>
      <c r="AV39" s="60" t="s">
        <v>115</v>
      </c>
      <c r="AW39" s="60" t="s">
        <v>115</v>
      </c>
      <c r="AX39" s="60" t="s">
        <v>115</v>
      </c>
      <c r="AY39" s="60" t="s">
        <v>115</v>
      </c>
      <c r="AZ39" s="60" t="s">
        <v>115</v>
      </c>
      <c r="BA39" s="64" t="s">
        <v>115</v>
      </c>
      <c r="BB39" s="60">
        <f>1960+903+655+793</f>
        <v>4311</v>
      </c>
      <c r="BC39" s="60">
        <f>631+570+825</f>
        <v>2026</v>
      </c>
      <c r="BD39" s="60">
        <v>2309</v>
      </c>
      <c r="BE39" s="60">
        <v>71</v>
      </c>
      <c r="BF39" s="60">
        <v>666</v>
      </c>
      <c r="BG39" s="60">
        <v>639</v>
      </c>
      <c r="BH39" s="60">
        <v>2172</v>
      </c>
      <c r="BI39" s="60">
        <v>275</v>
      </c>
      <c r="BJ39" s="65">
        <v>38</v>
      </c>
      <c r="BK39" s="60" t="s">
        <v>115</v>
      </c>
      <c r="BL39" s="60">
        <v>269</v>
      </c>
      <c r="BM39" s="60" t="s">
        <v>115</v>
      </c>
      <c r="BN39" s="60" t="s">
        <v>115</v>
      </c>
      <c r="BO39" s="60" t="s">
        <v>115</v>
      </c>
      <c r="BP39" s="64" t="s">
        <v>115</v>
      </c>
      <c r="BQ39" s="66" t="s">
        <v>115</v>
      </c>
      <c r="BR39" s="66">
        <f t="shared" si="0"/>
        <v>7.8981818181818184</v>
      </c>
      <c r="BS39" s="66" t="s">
        <v>115</v>
      </c>
      <c r="BT39" s="67" t="s">
        <v>115</v>
      </c>
      <c r="BU39" s="60">
        <f>130+252+921</f>
        <v>1303</v>
      </c>
      <c r="BV39" s="60">
        <v>109</v>
      </c>
      <c r="BW39" s="60">
        <v>107</v>
      </c>
      <c r="BX39" s="64">
        <v>84</v>
      </c>
      <c r="BY39" s="60" t="s">
        <v>120</v>
      </c>
      <c r="BZ39" s="60" t="s">
        <v>115</v>
      </c>
      <c r="CA39" s="60" t="s">
        <v>115</v>
      </c>
      <c r="CB39" s="72">
        <f>92+235</f>
        <v>327</v>
      </c>
      <c r="CC39" s="60">
        <v>7</v>
      </c>
      <c r="CD39" s="64" t="s">
        <v>115</v>
      </c>
      <c r="CE39" s="75">
        <v>38</v>
      </c>
      <c r="CF39" s="60">
        <v>27</v>
      </c>
      <c r="CG39" s="64">
        <v>26</v>
      </c>
      <c r="CH39" s="75">
        <v>90</v>
      </c>
      <c r="CI39" s="60">
        <v>72</v>
      </c>
      <c r="CJ39" s="64">
        <v>47</v>
      </c>
      <c r="CK39" s="60">
        <v>91</v>
      </c>
      <c r="CL39" s="60">
        <v>42</v>
      </c>
      <c r="CM39" s="64">
        <v>67</v>
      </c>
      <c r="CN39" s="60">
        <v>82</v>
      </c>
      <c r="CO39" s="60">
        <v>30</v>
      </c>
      <c r="CP39" s="64">
        <v>64</v>
      </c>
      <c r="CQ39" s="60">
        <v>77</v>
      </c>
      <c r="CR39" s="60">
        <v>24</v>
      </c>
      <c r="CS39" s="64">
        <v>56</v>
      </c>
      <c r="CT39" s="60">
        <v>53</v>
      </c>
      <c r="CU39" s="60">
        <v>18</v>
      </c>
      <c r="CV39" s="64">
        <v>24</v>
      </c>
      <c r="CW39" s="60">
        <v>37</v>
      </c>
      <c r="CX39" s="60">
        <v>17</v>
      </c>
      <c r="CY39" s="64">
        <v>27</v>
      </c>
      <c r="CZ39" s="75">
        <v>37</v>
      </c>
      <c r="DA39" s="60">
        <v>18</v>
      </c>
      <c r="DB39" s="64">
        <v>24</v>
      </c>
    </row>
    <row r="40" spans="1:106" x14ac:dyDescent="0.2">
      <c r="A40" s="54"/>
      <c r="B40" s="55"/>
      <c r="C40" s="56"/>
      <c r="D40" s="55"/>
      <c r="E40" s="57"/>
      <c r="F40" s="58"/>
      <c r="G40" s="57"/>
      <c r="H40" s="162"/>
      <c r="I40" s="60"/>
      <c r="J40" s="60"/>
      <c r="K40" s="60"/>
      <c r="L40" s="60"/>
      <c r="M40" s="60"/>
      <c r="N40" s="60"/>
      <c r="O40" s="61"/>
      <c r="P40" s="68"/>
      <c r="Q40" s="60"/>
      <c r="R40" s="60"/>
      <c r="S40" s="68"/>
      <c r="T40" s="68"/>
      <c r="U40" s="68"/>
      <c r="V40" s="68"/>
      <c r="W40" s="68"/>
      <c r="X40" s="68">
        <v>65</v>
      </c>
      <c r="Y40" s="68">
        <v>126</v>
      </c>
      <c r="Z40" s="68"/>
      <c r="AA40" s="68"/>
      <c r="AB40" s="68"/>
      <c r="AC40" s="68"/>
      <c r="AD40" s="68"/>
      <c r="AE40" s="68"/>
      <c r="AF40" s="68">
        <v>19</v>
      </c>
      <c r="AG40" s="68">
        <v>29</v>
      </c>
      <c r="AH40" s="68"/>
      <c r="AI40" s="73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1"/>
      <c r="BA40" s="64"/>
      <c r="BB40" s="60"/>
      <c r="BC40" s="60"/>
      <c r="BD40" s="60"/>
      <c r="BE40" s="60"/>
      <c r="BF40" s="60"/>
      <c r="BG40" s="60"/>
      <c r="BH40" s="60">
        <v>2207</v>
      </c>
      <c r="BI40" s="60">
        <v>263</v>
      </c>
      <c r="BJ40" s="65">
        <v>38</v>
      </c>
      <c r="BK40" s="60"/>
      <c r="BL40" s="60"/>
      <c r="BM40" s="60"/>
      <c r="BN40" s="60"/>
      <c r="BO40" s="60"/>
      <c r="BP40" s="64"/>
      <c r="BQ40" s="66"/>
      <c r="BR40" s="66">
        <f t="shared" si="0"/>
        <v>8.3916349809885933</v>
      </c>
      <c r="BS40" s="66"/>
      <c r="BT40" s="67"/>
      <c r="BU40" s="60"/>
      <c r="BV40" s="60">
        <v>87</v>
      </c>
      <c r="BW40" s="60">
        <v>91</v>
      </c>
      <c r="BX40" s="64">
        <v>82</v>
      </c>
      <c r="BY40" s="60"/>
      <c r="BZ40" s="60"/>
      <c r="CA40" s="60"/>
      <c r="CB40" s="72"/>
      <c r="CC40" s="60"/>
      <c r="CD40" s="64"/>
      <c r="CE40" s="60">
        <v>55</v>
      </c>
      <c r="CF40" s="60">
        <v>19</v>
      </c>
      <c r="CG40" s="64">
        <v>44</v>
      </c>
      <c r="CH40" s="60">
        <v>79</v>
      </c>
      <c r="CI40" s="60">
        <v>61</v>
      </c>
      <c r="CJ40" s="64">
        <v>26</v>
      </c>
      <c r="CK40" s="60">
        <v>78</v>
      </c>
      <c r="CL40" s="60">
        <v>42</v>
      </c>
      <c r="CM40" s="64">
        <v>62</v>
      </c>
      <c r="CN40" s="60">
        <v>85</v>
      </c>
      <c r="CO40" s="60">
        <v>21</v>
      </c>
      <c r="CP40" s="64">
        <v>28</v>
      </c>
      <c r="CQ40" s="60"/>
      <c r="CR40" s="60"/>
      <c r="CS40" s="64"/>
      <c r="CT40" s="60"/>
      <c r="CU40" s="60"/>
      <c r="CV40" s="64"/>
      <c r="CW40" s="60">
        <v>41</v>
      </c>
      <c r="CX40" s="60">
        <v>16</v>
      </c>
      <c r="CY40" s="64">
        <v>21</v>
      </c>
      <c r="CZ40" s="60">
        <v>37</v>
      </c>
      <c r="DA40" s="60">
        <v>17</v>
      </c>
      <c r="DB40" s="64">
        <v>18</v>
      </c>
    </row>
    <row r="41" spans="1:106" x14ac:dyDescent="0.2">
      <c r="A41" s="54"/>
      <c r="B41" s="55"/>
      <c r="C41" s="56"/>
      <c r="D41" s="55"/>
      <c r="E41" s="57"/>
      <c r="F41" s="58"/>
      <c r="G41" s="57"/>
      <c r="H41" s="162"/>
      <c r="I41" s="60"/>
      <c r="J41" s="60"/>
      <c r="K41" s="60"/>
      <c r="L41" s="60"/>
      <c r="M41" s="60"/>
      <c r="N41" s="60"/>
      <c r="O41" s="61"/>
      <c r="P41" s="68"/>
      <c r="Q41" s="60"/>
      <c r="R41" s="60"/>
      <c r="S41" s="68"/>
      <c r="T41" s="68"/>
      <c r="U41" s="68"/>
      <c r="V41" s="68"/>
      <c r="W41" s="68"/>
      <c r="X41" s="68">
        <v>54</v>
      </c>
      <c r="Y41" s="68">
        <v>148</v>
      </c>
      <c r="Z41" s="68"/>
      <c r="AA41" s="68"/>
      <c r="AB41" s="68"/>
      <c r="AC41" s="68"/>
      <c r="AD41" s="68"/>
      <c r="AE41" s="68"/>
      <c r="AF41" s="68">
        <v>18</v>
      </c>
      <c r="AG41" s="68">
        <v>20</v>
      </c>
      <c r="AH41" s="68"/>
      <c r="AI41" s="73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1"/>
      <c r="BA41" s="64"/>
      <c r="BB41" s="60"/>
      <c r="BC41" s="60"/>
      <c r="BD41" s="60"/>
      <c r="BE41" s="60"/>
      <c r="BF41" s="60"/>
      <c r="BG41" s="60"/>
      <c r="BH41" s="60">
        <v>2242</v>
      </c>
      <c r="BI41" s="60"/>
      <c r="BJ41" s="65">
        <v>39</v>
      </c>
      <c r="BK41" s="60"/>
      <c r="BL41" s="60"/>
      <c r="BM41" s="60"/>
      <c r="BN41" s="60"/>
      <c r="BO41" s="60"/>
      <c r="BP41" s="64"/>
      <c r="BQ41" s="66"/>
      <c r="BR41" s="66"/>
      <c r="BS41" s="66"/>
      <c r="BT41" s="67"/>
      <c r="BU41" s="60"/>
      <c r="BV41" s="60">
        <v>96</v>
      </c>
      <c r="BW41" s="60"/>
      <c r="BX41" s="64">
        <v>97</v>
      </c>
      <c r="BY41" s="60"/>
      <c r="BZ41" s="60"/>
      <c r="CA41" s="60"/>
      <c r="CB41" s="72"/>
      <c r="CC41" s="60"/>
      <c r="CD41" s="64"/>
      <c r="CE41" s="60">
        <v>42</v>
      </c>
      <c r="CF41" s="60">
        <v>21</v>
      </c>
      <c r="CG41" s="64">
        <v>37</v>
      </c>
      <c r="CH41" s="60"/>
      <c r="CI41" s="60"/>
      <c r="CJ41" s="64"/>
      <c r="CK41" s="60"/>
      <c r="CL41" s="60"/>
      <c r="CM41" s="64"/>
      <c r="CN41" s="60"/>
      <c r="CO41" s="60"/>
      <c r="CP41" s="64"/>
      <c r="CQ41" s="60"/>
      <c r="CR41" s="60"/>
      <c r="CS41" s="64"/>
      <c r="CT41" s="60"/>
      <c r="CU41" s="60"/>
      <c r="CV41" s="64"/>
      <c r="CW41" s="60"/>
      <c r="CX41" s="60"/>
      <c r="CY41" s="64"/>
      <c r="CZ41" s="60"/>
      <c r="DA41" s="60"/>
      <c r="DB41" s="64"/>
    </row>
    <row r="42" spans="1:106" ht="15.75" customHeight="1" x14ac:dyDescent="0.2">
      <c r="A42" s="40" t="s">
        <v>146</v>
      </c>
      <c r="B42" s="41" t="s">
        <v>109</v>
      </c>
      <c r="C42" s="42" t="s">
        <v>110</v>
      </c>
      <c r="D42" s="41" t="s">
        <v>111</v>
      </c>
      <c r="E42" s="43" t="s">
        <v>124</v>
      </c>
      <c r="F42" s="44">
        <v>4</v>
      </c>
      <c r="G42" s="43" t="s">
        <v>133</v>
      </c>
      <c r="H42" s="161" t="s">
        <v>183</v>
      </c>
      <c r="I42" s="45">
        <f>781+617+1398+691+1202+2278+1012+3536+2724+2025+1495+3829+422+3701+904+1251+1507+1195+730</f>
        <v>31298</v>
      </c>
      <c r="J42" s="45">
        <v>116</v>
      </c>
      <c r="K42" s="45">
        <v>62</v>
      </c>
      <c r="L42" s="45">
        <v>13</v>
      </c>
      <c r="M42" s="45">
        <f t="shared" si="1"/>
        <v>13</v>
      </c>
      <c r="N42" s="45">
        <f>K42-L42</f>
        <v>49</v>
      </c>
      <c r="O42" s="46">
        <f>N42/K42</f>
        <v>0.79032258064516125</v>
      </c>
      <c r="P42" s="53">
        <v>0</v>
      </c>
      <c r="Q42" s="45">
        <v>752</v>
      </c>
      <c r="R42" s="45">
        <v>593</v>
      </c>
      <c r="S42" s="53">
        <f>817+1923</f>
        <v>2740</v>
      </c>
      <c r="T42" s="53">
        <v>779</v>
      </c>
      <c r="U42" s="53">
        <v>58</v>
      </c>
      <c r="V42" s="53">
        <v>37</v>
      </c>
      <c r="W42" s="53">
        <f>U42-V42</f>
        <v>21</v>
      </c>
      <c r="X42" s="53">
        <v>84</v>
      </c>
      <c r="Y42" s="53">
        <v>147</v>
      </c>
      <c r="Z42" s="53">
        <f>362+228</f>
        <v>590</v>
      </c>
      <c r="AA42" s="53">
        <v>258</v>
      </c>
      <c r="AB42" s="53">
        <v>4</v>
      </c>
      <c r="AC42" s="53">
        <v>613</v>
      </c>
      <c r="AD42" s="53">
        <v>549</v>
      </c>
      <c r="AE42" s="53" t="s">
        <v>115</v>
      </c>
      <c r="AF42" s="53">
        <v>32</v>
      </c>
      <c r="AG42" s="53">
        <v>32</v>
      </c>
      <c r="AH42" s="53">
        <f>818+1304</f>
        <v>2122</v>
      </c>
      <c r="AI42" s="74">
        <f>AH42/S42</f>
        <v>0.77445255474452557</v>
      </c>
      <c r="AJ42" s="45" t="s">
        <v>115</v>
      </c>
      <c r="AK42" s="45" t="s">
        <v>115</v>
      </c>
      <c r="AL42" s="45" t="s">
        <v>115</v>
      </c>
      <c r="AM42" s="45" t="s">
        <v>115</v>
      </c>
      <c r="AN42" s="45" t="s">
        <v>115</v>
      </c>
      <c r="AO42" s="45" t="s">
        <v>115</v>
      </c>
      <c r="AP42" s="45" t="s">
        <v>115</v>
      </c>
      <c r="AQ42" s="45" t="s">
        <v>115</v>
      </c>
      <c r="AR42" s="45" t="s">
        <v>115</v>
      </c>
      <c r="AS42" s="45" t="s">
        <v>115</v>
      </c>
      <c r="AT42" s="45" t="s">
        <v>115</v>
      </c>
      <c r="AU42" s="45" t="s">
        <v>115</v>
      </c>
      <c r="AV42" s="45" t="s">
        <v>115</v>
      </c>
      <c r="AW42" s="45" t="s">
        <v>115</v>
      </c>
      <c r="AX42" s="45" t="s">
        <v>115</v>
      </c>
      <c r="AY42" s="45" t="s">
        <v>115</v>
      </c>
      <c r="AZ42" s="45" t="s">
        <v>115</v>
      </c>
      <c r="BA42" s="49" t="s">
        <v>115</v>
      </c>
      <c r="BB42" s="45">
        <f>677+1427+376+1237+641</f>
        <v>4358</v>
      </c>
      <c r="BC42" s="45">
        <f>420+849+646</f>
        <v>1915</v>
      </c>
      <c r="BD42" s="45">
        <f>1218+1192</f>
        <v>2410</v>
      </c>
      <c r="BE42" s="45">
        <v>52</v>
      </c>
      <c r="BF42" s="45">
        <v>721</v>
      </c>
      <c r="BG42" s="45">
        <v>582</v>
      </c>
      <c r="BH42" s="45">
        <f>1061+1397</f>
        <v>2458</v>
      </c>
      <c r="BI42" s="45">
        <v>219</v>
      </c>
      <c r="BJ42" s="50">
        <v>34</v>
      </c>
      <c r="BK42" s="45">
        <v>521</v>
      </c>
      <c r="BL42" s="45">
        <v>266</v>
      </c>
      <c r="BM42" s="45">
        <v>585</v>
      </c>
      <c r="BN42" s="45" t="s">
        <v>115</v>
      </c>
      <c r="BO42" s="45" t="s">
        <v>115</v>
      </c>
      <c r="BP42" s="49" t="s">
        <v>115</v>
      </c>
      <c r="BQ42" s="51" t="s">
        <v>115</v>
      </c>
      <c r="BR42" s="51">
        <f t="shared" si="0"/>
        <v>11.223744292237443</v>
      </c>
      <c r="BS42" s="51">
        <f t="shared" si="3"/>
        <v>3.2735042735042734</v>
      </c>
      <c r="BT42" s="52">
        <f t="shared" si="4"/>
        <v>4.1196581196581192</v>
      </c>
      <c r="BU42" s="45">
        <f>162+325+172</f>
        <v>659</v>
      </c>
      <c r="BV42" s="45">
        <v>94</v>
      </c>
      <c r="BW42" s="45">
        <v>96</v>
      </c>
      <c r="BX42" s="49">
        <v>106</v>
      </c>
      <c r="BY42" s="79" t="s">
        <v>147</v>
      </c>
      <c r="BZ42" s="45" t="s">
        <v>115</v>
      </c>
      <c r="CA42" s="45">
        <v>62</v>
      </c>
      <c r="CB42" s="80">
        <v>326</v>
      </c>
      <c r="CC42" s="45">
        <v>7</v>
      </c>
      <c r="CD42" s="49" t="s">
        <v>115</v>
      </c>
      <c r="CE42" s="45">
        <v>30</v>
      </c>
      <c r="CF42" s="45">
        <v>18</v>
      </c>
      <c r="CG42" s="49">
        <v>20</v>
      </c>
      <c r="CH42" s="45">
        <v>70</v>
      </c>
      <c r="CI42" s="45">
        <v>53</v>
      </c>
      <c r="CJ42" s="49">
        <v>31</v>
      </c>
      <c r="CK42" s="45">
        <v>67</v>
      </c>
      <c r="CL42" s="45">
        <v>35</v>
      </c>
      <c r="CM42" s="49">
        <v>47</v>
      </c>
      <c r="CN42" s="45">
        <v>78</v>
      </c>
      <c r="CO42" s="45">
        <v>37</v>
      </c>
      <c r="CP42" s="49">
        <v>60</v>
      </c>
      <c r="CQ42" s="45">
        <v>69</v>
      </c>
      <c r="CR42" s="45">
        <v>22</v>
      </c>
      <c r="CS42" s="49">
        <v>57</v>
      </c>
      <c r="CT42" s="45" t="s">
        <v>115</v>
      </c>
      <c r="CU42" s="45" t="s">
        <v>115</v>
      </c>
      <c r="CV42" s="49" t="s">
        <v>115</v>
      </c>
      <c r="CW42" s="45" t="s">
        <v>115</v>
      </c>
      <c r="CX42" s="45" t="s">
        <v>115</v>
      </c>
      <c r="CY42" s="49" t="s">
        <v>115</v>
      </c>
      <c r="CZ42" s="45" t="s">
        <v>115</v>
      </c>
      <c r="DA42" s="45" t="s">
        <v>115</v>
      </c>
      <c r="DB42" s="49" t="s">
        <v>115</v>
      </c>
    </row>
    <row r="43" spans="1:106" x14ac:dyDescent="0.2">
      <c r="A43" s="40"/>
      <c r="B43" s="41"/>
      <c r="C43" s="42"/>
      <c r="D43" s="41"/>
      <c r="E43" s="43"/>
      <c r="F43" s="44"/>
      <c r="G43" s="43"/>
      <c r="H43" s="161"/>
      <c r="O43" s="46"/>
      <c r="P43" s="53"/>
      <c r="X43" s="53">
        <v>88</v>
      </c>
      <c r="Y43" s="53">
        <v>156</v>
      </c>
      <c r="AF43" s="53">
        <v>25</v>
      </c>
      <c r="AG43" s="53">
        <v>35</v>
      </c>
      <c r="AI43" s="74"/>
      <c r="AZ43" s="46"/>
      <c r="BH43" s="45">
        <f>935+1410</f>
        <v>2345</v>
      </c>
      <c r="BI43" s="45">
        <v>229</v>
      </c>
      <c r="BJ43" s="50">
        <v>41</v>
      </c>
      <c r="BK43" s="45">
        <v>519</v>
      </c>
      <c r="BL43" s="45">
        <v>290</v>
      </c>
      <c r="BQ43" s="51"/>
      <c r="BR43" s="51">
        <f t="shared" si="0"/>
        <v>10.240174672489083</v>
      </c>
      <c r="BS43" s="51"/>
      <c r="BT43" s="52"/>
      <c r="BV43" s="45">
        <v>89</v>
      </c>
      <c r="BW43" s="45">
        <v>94</v>
      </c>
      <c r="BX43" s="49">
        <v>93</v>
      </c>
      <c r="CB43" s="80">
        <v>328</v>
      </c>
      <c r="CD43" s="49"/>
      <c r="CE43" s="45">
        <v>56</v>
      </c>
      <c r="CF43" s="45">
        <v>17</v>
      </c>
      <c r="CG43" s="49">
        <v>45</v>
      </c>
      <c r="CH43" s="45">
        <v>65</v>
      </c>
      <c r="CI43" s="45">
        <v>48</v>
      </c>
      <c r="CJ43" s="49">
        <v>47</v>
      </c>
      <c r="CM43" s="49"/>
      <c r="CP43" s="49"/>
      <c r="CS43" s="49"/>
      <c r="CV43" s="49"/>
      <c r="CY43" s="49"/>
      <c r="DB43" s="49"/>
    </row>
    <row r="44" spans="1:106" x14ac:dyDescent="0.2">
      <c r="A44" s="40"/>
      <c r="B44" s="41"/>
      <c r="C44" s="42"/>
      <c r="D44" s="41"/>
      <c r="E44" s="43"/>
      <c r="F44" s="44"/>
      <c r="G44" s="43"/>
      <c r="H44" s="161"/>
      <c r="O44" s="46"/>
      <c r="P44" s="53"/>
      <c r="X44" s="53">
        <v>111</v>
      </c>
      <c r="Y44" s="53">
        <v>152</v>
      </c>
      <c r="AF44" s="53">
        <v>39</v>
      </c>
      <c r="AG44" s="53">
        <v>38</v>
      </c>
      <c r="AI44" s="74"/>
      <c r="AZ44" s="46"/>
      <c r="BH44" s="45">
        <f>694+1787</f>
        <v>2481</v>
      </c>
      <c r="BJ44" s="50">
        <v>35</v>
      </c>
      <c r="BQ44" s="51"/>
      <c r="BR44" s="51"/>
      <c r="BS44" s="51"/>
      <c r="BT44" s="52"/>
      <c r="BV44" s="45">
        <v>94</v>
      </c>
      <c r="BX44" s="49">
        <v>103</v>
      </c>
      <c r="CB44" s="80">
        <f>140+167</f>
        <v>307</v>
      </c>
      <c r="CD44" s="49"/>
      <c r="CG44" s="49"/>
      <c r="CJ44" s="49"/>
      <c r="CM44" s="49"/>
      <c r="CP44" s="49"/>
      <c r="CS44" s="49"/>
      <c r="CV44" s="49"/>
      <c r="CY44" s="49"/>
      <c r="DB44" s="49"/>
    </row>
    <row r="45" spans="1:106" x14ac:dyDescent="0.2">
      <c r="A45" s="54" t="s">
        <v>148</v>
      </c>
      <c r="B45" s="55" t="s">
        <v>109</v>
      </c>
      <c r="C45" s="56" t="s">
        <v>110</v>
      </c>
      <c r="D45" s="55" t="s">
        <v>111</v>
      </c>
      <c r="E45" s="57" t="s">
        <v>124</v>
      </c>
      <c r="F45" s="58">
        <v>4</v>
      </c>
      <c r="G45" s="57" t="s">
        <v>133</v>
      </c>
      <c r="H45" s="166" t="s">
        <v>125</v>
      </c>
      <c r="I45" s="60">
        <f>1308+2443+693+1534+3022+2480+2037+1409+1902+2035+1017+2542+1347</f>
        <v>23769</v>
      </c>
      <c r="J45" s="60">
        <v>57</v>
      </c>
      <c r="K45" s="60">
        <v>57</v>
      </c>
      <c r="L45" s="60">
        <v>11</v>
      </c>
      <c r="M45" s="60">
        <f t="shared" si="1"/>
        <v>11</v>
      </c>
      <c r="N45" s="60">
        <f>K45-L45</f>
        <v>46</v>
      </c>
      <c r="O45" s="61">
        <f>N45/K45</f>
        <v>0.80701754385964908</v>
      </c>
      <c r="P45" s="68">
        <v>0</v>
      </c>
      <c r="Q45" s="60">
        <v>608</v>
      </c>
      <c r="R45" s="60">
        <v>644</v>
      </c>
      <c r="S45" s="68">
        <v>2212</v>
      </c>
      <c r="T45" s="68">
        <v>746</v>
      </c>
      <c r="U45" s="68">
        <v>67</v>
      </c>
      <c r="V45" s="68">
        <v>41</v>
      </c>
      <c r="W45" s="68">
        <v>26</v>
      </c>
      <c r="X45" s="68">
        <v>72</v>
      </c>
      <c r="Y45" s="68">
        <v>182</v>
      </c>
      <c r="Z45" s="68">
        <f>193+331</f>
        <v>524</v>
      </c>
      <c r="AA45" s="68">
        <v>237</v>
      </c>
      <c r="AB45" s="68">
        <v>4</v>
      </c>
      <c r="AC45" s="68">
        <v>617</v>
      </c>
      <c r="AD45" s="68">
        <v>599</v>
      </c>
      <c r="AE45" s="68">
        <v>241</v>
      </c>
      <c r="AF45" s="68">
        <v>29</v>
      </c>
      <c r="AG45" s="68">
        <v>35</v>
      </c>
      <c r="AH45" s="68">
        <v>1643</v>
      </c>
      <c r="AI45" s="73">
        <f>AH45/S45</f>
        <v>0.74276672694394208</v>
      </c>
      <c r="AJ45" s="60" t="s">
        <v>115</v>
      </c>
      <c r="AK45" s="60" t="s">
        <v>115</v>
      </c>
      <c r="AL45" s="60" t="s">
        <v>115</v>
      </c>
      <c r="AM45" s="60" t="s">
        <v>115</v>
      </c>
      <c r="AN45" s="60" t="s">
        <v>115</v>
      </c>
      <c r="AO45" s="60" t="s">
        <v>115</v>
      </c>
      <c r="AP45" s="60" t="s">
        <v>115</v>
      </c>
      <c r="AQ45" s="60" t="s">
        <v>115</v>
      </c>
      <c r="AR45" s="60" t="s">
        <v>115</v>
      </c>
      <c r="AS45" s="60" t="s">
        <v>115</v>
      </c>
      <c r="AT45" s="60" t="s">
        <v>115</v>
      </c>
      <c r="AU45" s="60" t="s">
        <v>115</v>
      </c>
      <c r="AV45" s="60" t="s">
        <v>115</v>
      </c>
      <c r="AW45" s="60" t="s">
        <v>115</v>
      </c>
      <c r="AX45" s="60" t="s">
        <v>115</v>
      </c>
      <c r="AY45" s="60" t="s">
        <v>115</v>
      </c>
      <c r="AZ45" s="60" t="s">
        <v>115</v>
      </c>
      <c r="BA45" s="64" t="s">
        <v>115</v>
      </c>
      <c r="BB45" s="60">
        <f>2240+1072+602</f>
        <v>3914</v>
      </c>
      <c r="BC45" s="60">
        <f>1038+580</f>
        <v>1618</v>
      </c>
      <c r="BD45" s="60">
        <v>2178</v>
      </c>
      <c r="BE45" s="60">
        <v>93</v>
      </c>
      <c r="BF45" s="60">
        <v>760</v>
      </c>
      <c r="BG45" s="60">
        <v>733</v>
      </c>
      <c r="BH45" s="60">
        <v>2176</v>
      </c>
      <c r="BI45" s="60">
        <v>282</v>
      </c>
      <c r="BJ45" s="65">
        <v>42</v>
      </c>
      <c r="BK45" s="60">
        <v>526</v>
      </c>
      <c r="BL45" s="60">
        <v>243</v>
      </c>
      <c r="BM45" s="60">
        <v>613</v>
      </c>
      <c r="BN45" s="60">
        <v>963</v>
      </c>
      <c r="BO45" s="60" t="s">
        <v>128</v>
      </c>
      <c r="BP45" s="64">
        <f>BN45</f>
        <v>963</v>
      </c>
      <c r="BQ45" s="66">
        <f t="shared" si="2"/>
        <v>4.0643821391484947</v>
      </c>
      <c r="BR45" s="66">
        <f t="shared" si="0"/>
        <v>7.7163120567375882</v>
      </c>
      <c r="BS45" s="66">
        <f t="shared" si="3"/>
        <v>2.6394779771615009</v>
      </c>
      <c r="BT45" s="67">
        <f t="shared" si="4"/>
        <v>3.5530179445350734</v>
      </c>
      <c r="BU45" s="60">
        <v>923</v>
      </c>
      <c r="BV45" s="60">
        <v>86</v>
      </c>
      <c r="BW45" s="60" t="s">
        <v>149</v>
      </c>
      <c r="BX45" s="64">
        <v>98</v>
      </c>
      <c r="BY45" s="60" t="s">
        <v>150</v>
      </c>
      <c r="BZ45" s="60" t="s">
        <v>115</v>
      </c>
      <c r="CA45" s="60">
        <v>61</v>
      </c>
      <c r="CB45" s="72">
        <f>94+223</f>
        <v>317</v>
      </c>
      <c r="CC45" s="60">
        <v>7</v>
      </c>
      <c r="CD45" s="64">
        <v>24</v>
      </c>
      <c r="CE45" s="75">
        <v>37</v>
      </c>
      <c r="CF45" s="60">
        <v>18</v>
      </c>
      <c r="CG45" s="64">
        <v>37</v>
      </c>
      <c r="CH45" s="75">
        <v>81</v>
      </c>
      <c r="CI45" s="60">
        <v>66</v>
      </c>
      <c r="CJ45" s="64">
        <v>29</v>
      </c>
      <c r="CK45" s="60">
        <v>71</v>
      </c>
      <c r="CL45" s="60">
        <v>39</v>
      </c>
      <c r="CM45" s="64">
        <v>40</v>
      </c>
      <c r="CN45" s="60">
        <v>63</v>
      </c>
      <c r="CO45" s="60">
        <v>24</v>
      </c>
      <c r="CP45" s="64">
        <v>42</v>
      </c>
      <c r="CQ45" s="60">
        <v>58</v>
      </c>
      <c r="CR45" s="60">
        <v>22</v>
      </c>
      <c r="CS45" s="64">
        <v>36</v>
      </c>
      <c r="CT45" s="60">
        <v>38</v>
      </c>
      <c r="CU45" s="60">
        <v>14</v>
      </c>
      <c r="CV45" s="64">
        <v>21</v>
      </c>
      <c r="CW45" s="60">
        <v>25</v>
      </c>
      <c r="CX45" s="60">
        <v>12</v>
      </c>
      <c r="CY45" s="64">
        <v>16</v>
      </c>
      <c r="CZ45" s="75">
        <v>27</v>
      </c>
      <c r="DA45" s="60">
        <v>19</v>
      </c>
      <c r="DB45" s="64">
        <v>17</v>
      </c>
    </row>
    <row r="46" spans="1:106" x14ac:dyDescent="0.2">
      <c r="A46" s="54"/>
      <c r="B46" s="55"/>
      <c r="C46" s="56"/>
      <c r="D46" s="55"/>
      <c r="E46" s="57"/>
      <c r="F46" s="58"/>
      <c r="G46" s="57"/>
      <c r="H46" s="162"/>
      <c r="I46" s="60"/>
      <c r="J46" s="60"/>
      <c r="K46" s="60"/>
      <c r="L46" s="60"/>
      <c r="M46" s="60"/>
      <c r="N46" s="60"/>
      <c r="O46" s="61"/>
      <c r="P46" s="68"/>
      <c r="Q46" s="60"/>
      <c r="R46" s="60"/>
      <c r="S46" s="68"/>
      <c r="T46" s="68"/>
      <c r="U46" s="68"/>
      <c r="V46" s="68"/>
      <c r="W46" s="68"/>
      <c r="X46" s="68">
        <v>63</v>
      </c>
      <c r="Y46" s="68">
        <v>174</v>
      </c>
      <c r="Z46" s="68"/>
      <c r="AA46" s="68"/>
      <c r="AB46" s="68"/>
      <c r="AC46" s="68"/>
      <c r="AD46" s="68"/>
      <c r="AE46" s="68"/>
      <c r="AF46" s="68">
        <v>28</v>
      </c>
      <c r="AG46" s="68">
        <v>29</v>
      </c>
      <c r="AH46" s="68"/>
      <c r="AI46" s="73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1"/>
      <c r="BA46" s="64"/>
      <c r="BB46" s="60"/>
      <c r="BC46" s="60"/>
      <c r="BD46" s="60"/>
      <c r="BE46" s="60"/>
      <c r="BF46" s="60"/>
      <c r="BG46" s="60"/>
      <c r="BH46" s="60">
        <v>2153</v>
      </c>
      <c r="BI46" s="60"/>
      <c r="BJ46" s="65">
        <v>43</v>
      </c>
      <c r="BK46" s="60">
        <v>483</v>
      </c>
      <c r="BL46" s="60">
        <v>240</v>
      </c>
      <c r="BM46" s="60"/>
      <c r="BN46" s="60"/>
      <c r="BO46" s="60"/>
      <c r="BP46" s="64"/>
      <c r="BQ46" s="66"/>
      <c r="BR46" s="66"/>
      <c r="BS46" s="66"/>
      <c r="BT46" s="67"/>
      <c r="BU46" s="60"/>
      <c r="BV46" s="60">
        <v>96</v>
      </c>
      <c r="BW46" s="60">
        <v>86</v>
      </c>
      <c r="BX46" s="64">
        <v>88</v>
      </c>
      <c r="BY46" s="60"/>
      <c r="BZ46" s="60"/>
      <c r="CA46" s="60"/>
      <c r="CB46" s="72">
        <f>122+228</f>
        <v>350</v>
      </c>
      <c r="CC46" s="60"/>
      <c r="CD46" s="64"/>
      <c r="CE46" s="60">
        <v>46</v>
      </c>
      <c r="CF46" s="60">
        <v>20</v>
      </c>
      <c r="CG46" s="64">
        <v>40</v>
      </c>
      <c r="CH46" s="60">
        <v>72</v>
      </c>
      <c r="CI46" s="60">
        <v>54</v>
      </c>
      <c r="CJ46" s="64">
        <v>30</v>
      </c>
      <c r="CK46" s="60">
        <v>69</v>
      </c>
      <c r="CL46" s="60">
        <v>29</v>
      </c>
      <c r="CM46" s="64">
        <v>35</v>
      </c>
      <c r="CN46" s="60">
        <v>72</v>
      </c>
      <c r="CO46" s="60">
        <v>29</v>
      </c>
      <c r="CP46" s="64">
        <v>53</v>
      </c>
      <c r="CQ46" s="60">
        <v>65</v>
      </c>
      <c r="CR46" s="60">
        <v>22</v>
      </c>
      <c r="CS46" s="64">
        <v>49</v>
      </c>
      <c r="CT46" s="60">
        <v>52</v>
      </c>
      <c r="CU46" s="60">
        <v>18</v>
      </c>
      <c r="CV46" s="64">
        <v>27</v>
      </c>
      <c r="CW46" s="60">
        <v>28</v>
      </c>
      <c r="CX46" s="60">
        <v>17</v>
      </c>
      <c r="CY46" s="64">
        <v>17</v>
      </c>
      <c r="CZ46" s="60">
        <v>36</v>
      </c>
      <c r="DA46" s="60">
        <v>20</v>
      </c>
      <c r="DB46" s="64">
        <v>19</v>
      </c>
    </row>
    <row r="47" spans="1:106" x14ac:dyDescent="0.2">
      <c r="A47" s="54"/>
      <c r="B47" s="55"/>
      <c r="C47" s="56"/>
      <c r="D47" s="55"/>
      <c r="E47" s="57"/>
      <c r="F47" s="58"/>
      <c r="G47" s="57"/>
      <c r="H47" s="162"/>
      <c r="I47" s="60"/>
      <c r="J47" s="60"/>
      <c r="K47" s="60"/>
      <c r="L47" s="60"/>
      <c r="M47" s="60"/>
      <c r="N47" s="60"/>
      <c r="O47" s="61"/>
      <c r="P47" s="68"/>
      <c r="Q47" s="60"/>
      <c r="R47" s="60"/>
      <c r="S47" s="68"/>
      <c r="T47" s="68"/>
      <c r="U47" s="68"/>
      <c r="V47" s="68"/>
      <c r="W47" s="68"/>
      <c r="X47" s="68">
        <v>100</v>
      </c>
      <c r="Y47" s="68">
        <v>149</v>
      </c>
      <c r="Z47" s="68"/>
      <c r="AA47" s="68"/>
      <c r="AB47" s="68"/>
      <c r="AC47" s="68"/>
      <c r="AD47" s="68"/>
      <c r="AE47" s="68"/>
      <c r="AF47" s="68">
        <v>24</v>
      </c>
      <c r="AG47" s="68">
        <v>35</v>
      </c>
      <c r="AH47" s="68"/>
      <c r="AI47" s="73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1"/>
      <c r="BA47" s="64"/>
      <c r="BB47" s="60"/>
      <c r="BC47" s="60"/>
      <c r="BD47" s="60"/>
      <c r="BE47" s="60"/>
      <c r="BF47" s="60"/>
      <c r="BG47" s="60"/>
      <c r="BH47" s="60">
        <v>2107</v>
      </c>
      <c r="BI47" s="60"/>
      <c r="BJ47" s="65">
        <v>43</v>
      </c>
      <c r="BK47" s="60">
        <v>595</v>
      </c>
      <c r="BL47" s="60">
        <v>318</v>
      </c>
      <c r="BM47" s="60"/>
      <c r="BN47" s="60"/>
      <c r="BO47" s="60"/>
      <c r="BP47" s="64"/>
      <c r="BQ47" s="66"/>
      <c r="BR47" s="66"/>
      <c r="BS47" s="66"/>
      <c r="BT47" s="67"/>
      <c r="BU47" s="60"/>
      <c r="BV47" s="60"/>
      <c r="BW47" s="60">
        <v>93</v>
      </c>
      <c r="BX47" s="64">
        <v>82</v>
      </c>
      <c r="BY47" s="60"/>
      <c r="BZ47" s="60"/>
      <c r="CA47" s="60"/>
      <c r="CB47" s="72">
        <f>186+115</f>
        <v>301</v>
      </c>
      <c r="CC47" s="60"/>
      <c r="CD47" s="64"/>
      <c r="CE47" s="60">
        <v>43</v>
      </c>
      <c r="CF47" s="60">
        <v>21</v>
      </c>
      <c r="CG47" s="64">
        <v>37</v>
      </c>
      <c r="CH47" s="60">
        <v>73</v>
      </c>
      <c r="CI47" s="60">
        <v>60</v>
      </c>
      <c r="CJ47" s="64">
        <v>39</v>
      </c>
      <c r="CK47" s="60">
        <v>74</v>
      </c>
      <c r="CL47" s="60">
        <v>34</v>
      </c>
      <c r="CM47" s="64">
        <v>43</v>
      </c>
      <c r="CN47" s="60">
        <v>69</v>
      </c>
      <c r="CO47" s="60">
        <v>25</v>
      </c>
      <c r="CP47" s="64">
        <v>47</v>
      </c>
      <c r="CQ47" s="60">
        <v>57</v>
      </c>
      <c r="CR47" s="60">
        <v>18</v>
      </c>
      <c r="CS47" s="64">
        <v>30</v>
      </c>
      <c r="CT47" s="60">
        <v>34</v>
      </c>
      <c r="CU47" s="60">
        <v>14</v>
      </c>
      <c r="CV47" s="64">
        <v>28</v>
      </c>
      <c r="CW47" s="60"/>
      <c r="CX47" s="60"/>
      <c r="CY47" s="64"/>
      <c r="CZ47" s="60"/>
      <c r="DA47" s="60"/>
      <c r="DB47" s="64"/>
    </row>
    <row r="48" spans="1:106" ht="15.75" customHeight="1" x14ac:dyDescent="0.2">
      <c r="A48" s="40" t="s">
        <v>151</v>
      </c>
      <c r="B48" s="41" t="s">
        <v>109</v>
      </c>
      <c r="C48" s="42" t="s">
        <v>110</v>
      </c>
      <c r="D48" s="41" t="s">
        <v>111</v>
      </c>
      <c r="E48" s="43" t="s">
        <v>124</v>
      </c>
      <c r="F48" s="44">
        <v>4</v>
      </c>
      <c r="G48" s="43" t="s">
        <v>133</v>
      </c>
      <c r="H48" s="161" t="s">
        <v>184</v>
      </c>
      <c r="I48" s="45">
        <f>812+1013+2298+1126+1439+2542+756+1052+3275+2889+2819+1110+1003+3414+753</f>
        <v>26301</v>
      </c>
      <c r="J48" s="45">
        <v>139</v>
      </c>
      <c r="K48" s="45">
        <v>56</v>
      </c>
      <c r="L48" s="45">
        <v>10</v>
      </c>
      <c r="M48" s="45">
        <f t="shared" si="1"/>
        <v>10</v>
      </c>
      <c r="N48" s="45">
        <f>K48-L48</f>
        <v>46</v>
      </c>
      <c r="O48" s="46">
        <f>N48/K48</f>
        <v>0.8214285714285714</v>
      </c>
      <c r="P48" s="53">
        <v>0</v>
      </c>
      <c r="Q48" s="45">
        <v>765</v>
      </c>
      <c r="R48" s="45">
        <v>584</v>
      </c>
      <c r="S48" s="53">
        <f>415+564+1331</f>
        <v>2310</v>
      </c>
      <c r="T48" s="53">
        <v>945</v>
      </c>
      <c r="U48" s="53">
        <v>64</v>
      </c>
      <c r="V48" s="53">
        <v>43</v>
      </c>
      <c r="W48" s="53">
        <f>U48-V48</f>
        <v>21</v>
      </c>
      <c r="X48" s="53">
        <v>60</v>
      </c>
      <c r="Y48" s="53">
        <v>215</v>
      </c>
      <c r="Z48" s="53">
        <f>314+288</f>
        <v>602</v>
      </c>
      <c r="AA48" s="53">
        <v>226</v>
      </c>
      <c r="AB48" s="53">
        <v>4</v>
      </c>
      <c r="AC48" s="53">
        <v>481</v>
      </c>
      <c r="AD48" s="53">
        <v>533</v>
      </c>
      <c r="AE48" s="53">
        <v>217</v>
      </c>
      <c r="AF48" s="53">
        <v>23</v>
      </c>
      <c r="AG48" s="53">
        <v>38</v>
      </c>
      <c r="AH48" s="53">
        <f>474+1109</f>
        <v>1583</v>
      </c>
      <c r="AI48" s="74">
        <f>AH48/S48</f>
        <v>0.68528138528138527</v>
      </c>
      <c r="AJ48" s="45" t="s">
        <v>115</v>
      </c>
      <c r="AK48" s="45" t="s">
        <v>115</v>
      </c>
      <c r="AL48" s="45" t="s">
        <v>115</v>
      </c>
      <c r="AM48" s="45" t="s">
        <v>115</v>
      </c>
      <c r="AN48" s="45" t="s">
        <v>115</v>
      </c>
      <c r="AO48" s="45" t="s">
        <v>115</v>
      </c>
      <c r="AP48" s="45" t="s">
        <v>115</v>
      </c>
      <c r="AQ48" s="45" t="s">
        <v>115</v>
      </c>
      <c r="AR48" s="45" t="s">
        <v>115</v>
      </c>
      <c r="AS48" s="45" t="s">
        <v>115</v>
      </c>
      <c r="AT48" s="45" t="s">
        <v>115</v>
      </c>
      <c r="AU48" s="45" t="s">
        <v>115</v>
      </c>
      <c r="AV48" s="45" t="s">
        <v>115</v>
      </c>
      <c r="AW48" s="45" t="s">
        <v>115</v>
      </c>
      <c r="AX48" s="45" t="s">
        <v>115</v>
      </c>
      <c r="AY48" s="45" t="s">
        <v>115</v>
      </c>
      <c r="AZ48" s="45" t="s">
        <v>115</v>
      </c>
      <c r="BA48" s="49" t="s">
        <v>115</v>
      </c>
      <c r="BB48" s="45">
        <f>1866+1711+626</f>
        <v>4203</v>
      </c>
      <c r="BC48" s="45">
        <f>1066+703</f>
        <v>1769</v>
      </c>
      <c r="BD48" s="45">
        <v>2344</v>
      </c>
      <c r="BE48" s="45">
        <v>86</v>
      </c>
      <c r="BF48" s="45">
        <v>685</v>
      </c>
      <c r="BG48" s="45">
        <v>689</v>
      </c>
      <c r="BH48" s="45">
        <v>2298</v>
      </c>
      <c r="BI48" s="45">
        <v>248</v>
      </c>
      <c r="BJ48" s="50">
        <v>40</v>
      </c>
      <c r="BK48" s="45">
        <v>422</v>
      </c>
      <c r="BL48" s="45">
        <v>287</v>
      </c>
      <c r="BM48" s="45">
        <v>682</v>
      </c>
      <c r="BN48" s="45">
        <v>890</v>
      </c>
      <c r="BO48" s="45" t="s">
        <v>152</v>
      </c>
      <c r="BP48" s="49">
        <f>T48</f>
        <v>945</v>
      </c>
      <c r="BQ48" s="51" t="s">
        <v>115</v>
      </c>
      <c r="BR48" s="51">
        <f t="shared" si="0"/>
        <v>9.2661290322580641</v>
      </c>
      <c r="BS48" s="51">
        <f t="shared" si="3"/>
        <v>2.5938416422287389</v>
      </c>
      <c r="BT48" s="52">
        <f t="shared" si="4"/>
        <v>3.436950146627566</v>
      </c>
      <c r="BU48" s="45">
        <v>1264</v>
      </c>
      <c r="BV48" s="45">
        <v>84</v>
      </c>
      <c r="BW48" s="45">
        <v>81</v>
      </c>
      <c r="BX48" s="49">
        <v>82</v>
      </c>
      <c r="BY48" s="79" t="s">
        <v>118</v>
      </c>
      <c r="BZ48" s="45" t="s">
        <v>115</v>
      </c>
      <c r="CA48" s="45">
        <v>60</v>
      </c>
      <c r="CB48" s="80">
        <f>262+106</f>
        <v>368</v>
      </c>
      <c r="CC48" s="45">
        <v>7</v>
      </c>
      <c r="CD48" s="49" t="s">
        <v>115</v>
      </c>
      <c r="CE48" s="45">
        <v>49</v>
      </c>
      <c r="CF48" s="45">
        <v>29</v>
      </c>
      <c r="CG48" s="49">
        <v>34</v>
      </c>
      <c r="CH48" s="45">
        <v>65</v>
      </c>
      <c r="CI48" s="45">
        <v>51</v>
      </c>
      <c r="CJ48" s="49">
        <v>33</v>
      </c>
      <c r="CK48" s="45">
        <v>65</v>
      </c>
      <c r="CL48" s="45">
        <v>38</v>
      </c>
      <c r="CM48" s="49">
        <v>28</v>
      </c>
      <c r="CN48" s="45">
        <v>72</v>
      </c>
      <c r="CO48" s="45">
        <v>30</v>
      </c>
      <c r="CP48" s="49">
        <v>35</v>
      </c>
      <c r="CQ48" s="45">
        <v>69</v>
      </c>
      <c r="CR48" s="45">
        <v>22</v>
      </c>
      <c r="CS48" s="49">
        <v>45</v>
      </c>
      <c r="CT48" s="45">
        <v>47</v>
      </c>
      <c r="CU48" s="45">
        <v>21</v>
      </c>
      <c r="CV48" s="49">
        <v>28</v>
      </c>
      <c r="CW48" s="45">
        <v>33</v>
      </c>
      <c r="CX48" s="45">
        <v>14</v>
      </c>
      <c r="CY48" s="49">
        <v>12</v>
      </c>
      <c r="CZ48" s="45">
        <v>32</v>
      </c>
      <c r="DA48" s="45">
        <v>15</v>
      </c>
      <c r="DB48" s="49">
        <v>19</v>
      </c>
    </row>
    <row r="49" spans="1:106" x14ac:dyDescent="0.2">
      <c r="A49" s="40"/>
      <c r="B49" s="41"/>
      <c r="C49" s="42"/>
      <c r="D49" s="41"/>
      <c r="E49" s="43"/>
      <c r="F49" s="44"/>
      <c r="G49" s="43"/>
      <c r="H49" s="161"/>
      <c r="O49" s="46"/>
      <c r="P49" s="53"/>
      <c r="X49" s="53">
        <v>88</v>
      </c>
      <c r="Y49" s="53">
        <v>148</v>
      </c>
      <c r="AF49" s="53">
        <v>24</v>
      </c>
      <c r="AG49" s="53">
        <v>37</v>
      </c>
      <c r="AI49" s="74"/>
      <c r="AZ49" s="46"/>
      <c r="BH49" s="45">
        <v>2279</v>
      </c>
      <c r="BI49" s="45">
        <v>273</v>
      </c>
      <c r="BJ49" s="50">
        <v>47</v>
      </c>
      <c r="BK49" s="45">
        <v>545</v>
      </c>
      <c r="BL49" s="45">
        <v>332</v>
      </c>
      <c r="BQ49" s="51" t="s">
        <v>153</v>
      </c>
      <c r="BR49" s="51">
        <f t="shared" si="0"/>
        <v>8.3479853479853485</v>
      </c>
      <c r="BS49" s="51"/>
      <c r="BT49" s="52"/>
      <c r="BV49" s="45">
        <v>92</v>
      </c>
      <c r="BW49" s="45">
        <v>100</v>
      </c>
      <c r="BX49" s="49">
        <v>75</v>
      </c>
      <c r="CB49" s="80">
        <f>83+210</f>
        <v>293</v>
      </c>
      <c r="CD49" s="49"/>
      <c r="CE49" s="45">
        <v>45</v>
      </c>
      <c r="CF49" s="45">
        <v>21</v>
      </c>
      <c r="CG49" s="49">
        <v>34</v>
      </c>
      <c r="CH49" s="45">
        <v>70</v>
      </c>
      <c r="CI49" s="45">
        <v>51</v>
      </c>
      <c r="CJ49" s="49">
        <v>29</v>
      </c>
      <c r="CK49" s="45">
        <v>73</v>
      </c>
      <c r="CL49" s="45">
        <v>36</v>
      </c>
      <c r="CM49" s="49">
        <v>42</v>
      </c>
      <c r="CN49" s="45">
        <v>74</v>
      </c>
      <c r="CO49" s="45">
        <v>23</v>
      </c>
      <c r="CP49" s="49">
        <v>44</v>
      </c>
      <c r="CS49" s="49"/>
      <c r="CT49" s="45">
        <v>44</v>
      </c>
      <c r="CU49" s="45">
        <v>17</v>
      </c>
      <c r="CV49" s="49">
        <v>19</v>
      </c>
      <c r="CW49" s="45">
        <v>34</v>
      </c>
      <c r="CX49" s="45">
        <v>15</v>
      </c>
      <c r="CY49" s="49">
        <v>19</v>
      </c>
      <c r="CZ49" s="45">
        <v>31</v>
      </c>
      <c r="DA49" s="45">
        <v>15</v>
      </c>
      <c r="DB49" s="49">
        <v>14</v>
      </c>
    </row>
    <row r="50" spans="1:106" x14ac:dyDescent="0.2">
      <c r="A50" s="40"/>
      <c r="B50" s="41"/>
      <c r="C50" s="42"/>
      <c r="D50" s="41"/>
      <c r="E50" s="43"/>
      <c r="F50" s="44"/>
      <c r="G50" s="43"/>
      <c r="H50" s="161"/>
      <c r="O50" s="46"/>
      <c r="P50" s="53"/>
      <c r="X50" s="53">
        <v>76</v>
      </c>
      <c r="Y50" s="53">
        <v>218</v>
      </c>
      <c r="AF50" s="53">
        <v>21</v>
      </c>
      <c r="AG50" s="53">
        <v>34</v>
      </c>
      <c r="AI50" s="74"/>
      <c r="AZ50" s="46"/>
      <c r="BH50" s="45">
        <v>2365</v>
      </c>
      <c r="BJ50" s="50">
        <v>55</v>
      </c>
      <c r="BK50" s="45">
        <v>470</v>
      </c>
      <c r="BL50" s="45">
        <v>305</v>
      </c>
      <c r="BQ50" s="51" t="s">
        <v>154</v>
      </c>
      <c r="BR50" s="51"/>
      <c r="BS50" s="51"/>
      <c r="BT50" s="52"/>
      <c r="BV50" s="45">
        <v>91</v>
      </c>
      <c r="BW50" s="45">
        <v>98</v>
      </c>
      <c r="BX50" s="49">
        <v>89</v>
      </c>
      <c r="CB50" s="80">
        <v>303</v>
      </c>
      <c r="CD50" s="49"/>
      <c r="CE50" s="45">
        <v>43</v>
      </c>
      <c r="CF50" s="45">
        <v>16</v>
      </c>
      <c r="CG50" s="49">
        <v>35</v>
      </c>
      <c r="CH50" s="45">
        <v>84</v>
      </c>
      <c r="CI50" s="45">
        <v>69</v>
      </c>
      <c r="CJ50" s="49">
        <v>37</v>
      </c>
      <c r="CK50" s="45">
        <v>72</v>
      </c>
      <c r="CL50" s="45">
        <v>30</v>
      </c>
      <c r="CM50" s="49">
        <v>39</v>
      </c>
      <c r="CN50" s="45">
        <v>70</v>
      </c>
      <c r="CO50" s="45">
        <v>23</v>
      </c>
      <c r="CP50" s="49">
        <v>37</v>
      </c>
      <c r="CS50" s="49"/>
      <c r="CT50" s="45">
        <v>49</v>
      </c>
      <c r="CU50" s="45">
        <v>17</v>
      </c>
      <c r="CV50" s="49">
        <v>29</v>
      </c>
      <c r="CW50" s="45">
        <v>33</v>
      </c>
      <c r="CX50" s="45">
        <v>14</v>
      </c>
      <c r="CY50" s="49">
        <v>18</v>
      </c>
      <c r="DB50" s="49"/>
    </row>
    <row r="51" spans="1:106" x14ac:dyDescent="0.2">
      <c r="A51" s="55" t="s">
        <v>155</v>
      </c>
      <c r="B51" s="82" t="s">
        <v>109</v>
      </c>
      <c r="C51" s="56" t="s">
        <v>156</v>
      </c>
      <c r="D51" s="55" t="s">
        <v>157</v>
      </c>
      <c r="E51" s="57" t="s">
        <v>124</v>
      </c>
      <c r="F51" s="58">
        <v>2</v>
      </c>
      <c r="G51" s="57" t="s">
        <v>115</v>
      </c>
      <c r="H51" s="162" t="s">
        <v>185</v>
      </c>
      <c r="I51" s="60">
        <f>183+331+594+446+1102+1153+1332+1199+1428+711+620+1559</f>
        <v>10658</v>
      </c>
      <c r="J51" s="60">
        <v>72</v>
      </c>
      <c r="K51" s="60">
        <v>30</v>
      </c>
      <c r="L51" s="60">
        <v>3</v>
      </c>
      <c r="M51" s="60">
        <f t="shared" si="1"/>
        <v>3</v>
      </c>
      <c r="N51" s="60">
        <f>K51-L51</f>
        <v>27</v>
      </c>
      <c r="O51" s="61">
        <f>N51/K51</f>
        <v>0.9</v>
      </c>
      <c r="P51" s="68">
        <v>0</v>
      </c>
      <c r="Q51" s="60">
        <v>734</v>
      </c>
      <c r="R51" s="60">
        <v>361</v>
      </c>
      <c r="S51" s="68">
        <f>253+250+369+307+459</f>
        <v>1638</v>
      </c>
      <c r="T51" s="68">
        <v>402</v>
      </c>
      <c r="U51" s="68">
        <v>50</v>
      </c>
      <c r="V51" s="68">
        <v>29</v>
      </c>
      <c r="W51" s="68">
        <f>U51-V51</f>
        <v>21</v>
      </c>
      <c r="X51" s="68">
        <v>46</v>
      </c>
      <c r="Y51" s="68" t="s">
        <v>115</v>
      </c>
      <c r="Z51" s="68" t="s">
        <v>115</v>
      </c>
      <c r="AA51" s="68">
        <v>164</v>
      </c>
      <c r="AB51" s="68">
        <v>4</v>
      </c>
      <c r="AC51" s="68">
        <f>114+180+161</f>
        <v>455</v>
      </c>
      <c r="AD51" s="68" t="s">
        <v>115</v>
      </c>
      <c r="AE51" s="68" t="s">
        <v>115</v>
      </c>
      <c r="AF51" s="68">
        <v>17</v>
      </c>
      <c r="AG51" s="68" t="s">
        <v>115</v>
      </c>
      <c r="AH51" s="68">
        <f>122+293+411+355</f>
        <v>1181</v>
      </c>
      <c r="AI51" s="73">
        <f>AH51/S51</f>
        <v>0.72100122100122099</v>
      </c>
      <c r="AJ51" s="60" t="s">
        <v>115</v>
      </c>
      <c r="AK51" s="60" t="s">
        <v>115</v>
      </c>
      <c r="AL51" s="60" t="s">
        <v>115</v>
      </c>
      <c r="AM51" s="60" t="s">
        <v>115</v>
      </c>
      <c r="AN51" s="60" t="s">
        <v>115</v>
      </c>
      <c r="AO51" s="60" t="s">
        <v>115</v>
      </c>
      <c r="AP51" s="60" t="s">
        <v>115</v>
      </c>
      <c r="AQ51" s="60" t="s">
        <v>115</v>
      </c>
      <c r="AR51" s="60" t="s">
        <v>115</v>
      </c>
      <c r="AS51" s="60" t="s">
        <v>115</v>
      </c>
      <c r="AT51" s="60" t="s">
        <v>115</v>
      </c>
      <c r="AU51" s="60" t="s">
        <v>115</v>
      </c>
      <c r="AV51" s="60" t="s">
        <v>115</v>
      </c>
      <c r="AW51" s="60" t="s">
        <v>115</v>
      </c>
      <c r="AX51" s="60" t="s">
        <v>115</v>
      </c>
      <c r="AY51" s="60" t="s">
        <v>115</v>
      </c>
      <c r="AZ51" s="60" t="s">
        <v>115</v>
      </c>
      <c r="BA51" s="64" t="s">
        <v>115</v>
      </c>
      <c r="BB51" s="60">
        <f>306+414+672+1463</f>
        <v>2855</v>
      </c>
      <c r="BC51" s="60">
        <v>1173</v>
      </c>
      <c r="BD51" s="60">
        <f>225+341+537+546</f>
        <v>1649</v>
      </c>
      <c r="BE51" s="60">
        <v>61</v>
      </c>
      <c r="BF51" s="60">
        <v>580</v>
      </c>
      <c r="BG51" s="60">
        <v>514</v>
      </c>
      <c r="BH51" s="60">
        <f>226+421+661+309+197</f>
        <v>1814</v>
      </c>
      <c r="BI51" s="60">
        <v>186</v>
      </c>
      <c r="BJ51" s="65">
        <v>39</v>
      </c>
      <c r="BK51" s="60">
        <v>437</v>
      </c>
      <c r="BL51" s="60" t="s">
        <v>115</v>
      </c>
      <c r="BM51" s="60">
        <v>521</v>
      </c>
      <c r="BN51" s="60">
        <v>789</v>
      </c>
      <c r="BO51" s="60" t="s">
        <v>128</v>
      </c>
      <c r="BP51" s="64">
        <f>BN51</f>
        <v>789</v>
      </c>
      <c r="BQ51" s="66">
        <f t="shared" si="2"/>
        <v>3.6185044359949301</v>
      </c>
      <c r="BR51" s="66">
        <f t="shared" si="0"/>
        <v>9.7526881720430101</v>
      </c>
      <c r="BS51" s="66">
        <f t="shared" si="3"/>
        <v>2.2514395393474089</v>
      </c>
      <c r="BT51" s="67">
        <f t="shared" si="4"/>
        <v>3.1650671785028792</v>
      </c>
      <c r="BU51" s="60">
        <f>246+211+400+266</f>
        <v>1123</v>
      </c>
      <c r="BV51" s="60">
        <v>90</v>
      </c>
      <c r="BW51" s="60">
        <v>104</v>
      </c>
      <c r="BX51" s="64">
        <v>105</v>
      </c>
      <c r="BY51" s="60" t="s">
        <v>118</v>
      </c>
      <c r="BZ51" s="60" t="s">
        <v>115</v>
      </c>
      <c r="CA51" s="60" t="s">
        <v>115</v>
      </c>
      <c r="CB51" s="72">
        <v>277</v>
      </c>
      <c r="CC51" s="60">
        <v>7</v>
      </c>
      <c r="CD51" s="64" t="s">
        <v>115</v>
      </c>
      <c r="CE51" s="75">
        <v>44</v>
      </c>
      <c r="CF51" s="60">
        <v>19</v>
      </c>
      <c r="CG51" s="64">
        <v>25</v>
      </c>
      <c r="CH51" s="75">
        <v>101</v>
      </c>
      <c r="CI51" s="60">
        <v>83</v>
      </c>
      <c r="CJ51" s="64">
        <v>68</v>
      </c>
      <c r="CK51" s="60">
        <v>95</v>
      </c>
      <c r="CL51" s="60">
        <v>50</v>
      </c>
      <c r="CM51" s="64">
        <v>67</v>
      </c>
      <c r="CN51" s="60">
        <v>95</v>
      </c>
      <c r="CO51" s="60">
        <v>21</v>
      </c>
      <c r="CP51" s="64">
        <v>50</v>
      </c>
      <c r="CQ51" s="75" t="s">
        <v>115</v>
      </c>
      <c r="CR51" s="60" t="s">
        <v>115</v>
      </c>
      <c r="CS51" s="64" t="s">
        <v>115</v>
      </c>
      <c r="CT51" s="60">
        <v>64</v>
      </c>
      <c r="CU51" s="60">
        <v>21</v>
      </c>
      <c r="CV51" s="64">
        <v>37</v>
      </c>
      <c r="CW51" s="60">
        <v>48</v>
      </c>
      <c r="CX51" s="60">
        <v>18</v>
      </c>
      <c r="CY51" s="64">
        <v>21</v>
      </c>
      <c r="CZ51" s="60">
        <v>35</v>
      </c>
      <c r="DA51" s="60">
        <v>21</v>
      </c>
      <c r="DB51" s="64">
        <v>20</v>
      </c>
    </row>
    <row r="52" spans="1:106" x14ac:dyDescent="0.2">
      <c r="A52" s="55"/>
      <c r="B52" s="82"/>
      <c r="C52" s="56"/>
      <c r="D52" s="55"/>
      <c r="E52" s="57"/>
      <c r="F52" s="58"/>
      <c r="G52" s="57"/>
      <c r="H52" s="162"/>
      <c r="I52" s="60"/>
      <c r="J52" s="60"/>
      <c r="K52" s="60"/>
      <c r="L52" s="60"/>
      <c r="M52" s="60"/>
      <c r="N52" s="60"/>
      <c r="O52" s="61"/>
      <c r="P52" s="68"/>
      <c r="Q52" s="60"/>
      <c r="R52" s="60"/>
      <c r="S52" s="68"/>
      <c r="T52" s="68"/>
      <c r="U52" s="68"/>
      <c r="V52" s="68"/>
      <c r="W52" s="68"/>
      <c r="X52" s="68">
        <v>68</v>
      </c>
      <c r="Y52" s="68"/>
      <c r="Z52" s="68"/>
      <c r="AA52" s="68"/>
      <c r="AB52" s="68"/>
      <c r="AC52" s="68"/>
      <c r="AD52" s="68"/>
      <c r="AE52" s="68"/>
      <c r="AF52" s="68">
        <v>21</v>
      </c>
      <c r="AG52" s="68" t="s">
        <v>115</v>
      </c>
      <c r="AH52" s="68"/>
      <c r="AI52" s="73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1"/>
      <c r="BA52" s="64"/>
      <c r="BB52" s="60"/>
      <c r="BC52" s="60"/>
      <c r="BD52" s="60"/>
      <c r="BE52" s="60"/>
      <c r="BF52" s="60"/>
      <c r="BG52" s="60"/>
      <c r="BH52" s="60">
        <f>458+631+586</f>
        <v>1675</v>
      </c>
      <c r="BI52" s="60">
        <v>249</v>
      </c>
      <c r="BJ52" s="65">
        <v>26</v>
      </c>
      <c r="BK52" s="60"/>
      <c r="BL52" s="60"/>
      <c r="BM52" s="60"/>
      <c r="BN52" s="60"/>
      <c r="BO52" s="60"/>
      <c r="BP52" s="64"/>
      <c r="BQ52" s="66"/>
      <c r="BR52" s="66">
        <f t="shared" si="0"/>
        <v>6.7269076305220885</v>
      </c>
      <c r="BS52" s="66"/>
      <c r="BT52" s="67"/>
      <c r="BU52" s="60"/>
      <c r="BV52" s="60">
        <v>87</v>
      </c>
      <c r="BW52" s="60">
        <v>105</v>
      </c>
      <c r="BX52" s="64">
        <v>104</v>
      </c>
      <c r="BY52" s="60"/>
      <c r="BZ52" s="60"/>
      <c r="CA52" s="60"/>
      <c r="CB52" s="72">
        <f>38+106+153</f>
        <v>297</v>
      </c>
      <c r="CC52" s="60"/>
      <c r="CD52" s="64"/>
      <c r="CE52" s="60">
        <v>42</v>
      </c>
      <c r="CF52" s="60">
        <v>18</v>
      </c>
      <c r="CG52" s="64">
        <v>26</v>
      </c>
      <c r="CH52" s="60">
        <v>106</v>
      </c>
      <c r="CI52" s="60">
        <v>88</v>
      </c>
      <c r="CJ52" s="64">
        <v>64</v>
      </c>
      <c r="CK52" s="60">
        <v>100</v>
      </c>
      <c r="CL52" s="60">
        <v>49</v>
      </c>
      <c r="CM52" s="64">
        <v>72</v>
      </c>
      <c r="CN52" s="60">
        <v>100</v>
      </c>
      <c r="CO52" s="60">
        <v>21</v>
      </c>
      <c r="CP52" s="64">
        <v>52</v>
      </c>
      <c r="CQ52" s="60"/>
      <c r="CR52" s="60"/>
      <c r="CS52" s="64"/>
      <c r="CT52" s="60">
        <v>67</v>
      </c>
      <c r="CU52" s="60">
        <v>20</v>
      </c>
      <c r="CV52" s="64">
        <v>33</v>
      </c>
      <c r="CW52" s="60"/>
      <c r="CX52" s="60"/>
      <c r="CY52" s="64"/>
      <c r="CZ52" s="60">
        <v>45</v>
      </c>
      <c r="DA52" s="60">
        <v>18</v>
      </c>
      <c r="DB52" s="64">
        <v>25</v>
      </c>
    </row>
    <row r="53" spans="1:106" x14ac:dyDescent="0.2">
      <c r="A53" s="55"/>
      <c r="B53" s="82"/>
      <c r="C53" s="56"/>
      <c r="D53" s="55"/>
      <c r="E53" s="57"/>
      <c r="F53" s="58"/>
      <c r="G53" s="57"/>
      <c r="H53" s="162"/>
      <c r="I53" s="60"/>
      <c r="J53" s="60"/>
      <c r="K53" s="60"/>
      <c r="L53" s="60"/>
      <c r="M53" s="60"/>
      <c r="N53" s="60"/>
      <c r="O53" s="61"/>
      <c r="P53" s="68"/>
      <c r="Q53" s="60"/>
      <c r="R53" s="60"/>
      <c r="S53" s="68"/>
      <c r="T53" s="68"/>
      <c r="U53" s="68"/>
      <c r="V53" s="68"/>
      <c r="W53" s="68"/>
      <c r="X53" s="68">
        <v>97</v>
      </c>
      <c r="Y53" s="68"/>
      <c r="Z53" s="68"/>
      <c r="AA53" s="68"/>
      <c r="AB53" s="68"/>
      <c r="AC53" s="68"/>
      <c r="AD53" s="68"/>
      <c r="AE53" s="68"/>
      <c r="AF53" s="68">
        <v>17</v>
      </c>
      <c r="AG53" s="68" t="s">
        <v>115</v>
      </c>
      <c r="AH53" s="68"/>
      <c r="AI53" s="73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1"/>
      <c r="BA53" s="64"/>
      <c r="BB53" s="60"/>
      <c r="BC53" s="60"/>
      <c r="BD53" s="60"/>
      <c r="BE53" s="60"/>
      <c r="BF53" s="60"/>
      <c r="BG53" s="60"/>
      <c r="BH53" s="60">
        <f>306+319+458+377</f>
        <v>1460</v>
      </c>
      <c r="BI53" s="60">
        <v>306</v>
      </c>
      <c r="BJ53" s="65"/>
      <c r="BK53" s="60"/>
      <c r="BL53" s="60"/>
      <c r="BM53" s="60"/>
      <c r="BN53" s="60"/>
      <c r="BO53" s="60"/>
      <c r="BP53" s="64"/>
      <c r="BQ53" s="66"/>
      <c r="BR53" s="66">
        <f t="shared" si="0"/>
        <v>4.7712418300653594</v>
      </c>
      <c r="BS53" s="66"/>
      <c r="BT53" s="67"/>
      <c r="BU53" s="60"/>
      <c r="BV53" s="60"/>
      <c r="BW53" s="60"/>
      <c r="BX53" s="64"/>
      <c r="BY53" s="60"/>
      <c r="BZ53" s="60"/>
      <c r="CA53" s="60"/>
      <c r="CB53" s="72"/>
      <c r="CC53" s="60"/>
      <c r="CD53" s="64"/>
      <c r="CE53" s="60">
        <v>73</v>
      </c>
      <c r="CF53" s="60">
        <v>21</v>
      </c>
      <c r="CG53" s="64">
        <v>57</v>
      </c>
      <c r="CH53" s="60">
        <v>98</v>
      </c>
      <c r="CI53" s="60">
        <v>74</v>
      </c>
      <c r="CJ53" s="64">
        <v>43</v>
      </c>
      <c r="CK53" s="60"/>
      <c r="CL53" s="60"/>
      <c r="CM53" s="64"/>
      <c r="CN53" s="60"/>
      <c r="CO53" s="60"/>
      <c r="CP53" s="64"/>
      <c r="CQ53" s="60"/>
      <c r="CR53" s="60"/>
      <c r="CS53" s="64"/>
      <c r="CT53" s="60">
        <v>57</v>
      </c>
      <c r="CU53" s="60">
        <v>22</v>
      </c>
      <c r="CV53" s="64">
        <v>20</v>
      </c>
      <c r="CW53" s="60"/>
      <c r="CX53" s="60"/>
      <c r="CY53" s="64"/>
      <c r="CZ53" s="60"/>
      <c r="DA53" s="60"/>
      <c r="DB53" s="64"/>
    </row>
    <row r="54" spans="1:106" ht="15.75" customHeight="1" x14ac:dyDescent="0.2">
      <c r="A54" s="40" t="s">
        <v>158</v>
      </c>
      <c r="B54" s="41" t="s">
        <v>109</v>
      </c>
      <c r="C54" s="42" t="s">
        <v>156</v>
      </c>
      <c r="D54" s="41" t="s">
        <v>111</v>
      </c>
      <c r="E54" s="43" t="s">
        <v>124</v>
      </c>
      <c r="F54" s="44">
        <v>0</v>
      </c>
      <c r="G54" s="43" t="s">
        <v>133</v>
      </c>
      <c r="H54" s="161"/>
      <c r="I54" s="45">
        <f>966+998+1839+1388+1452+266+1442+752+1031+1061+1600</f>
        <v>12795</v>
      </c>
      <c r="J54" s="45">
        <v>73</v>
      </c>
      <c r="K54" s="45">
        <v>22</v>
      </c>
      <c r="L54" s="45">
        <v>5</v>
      </c>
      <c r="M54" s="45">
        <f t="shared" si="1"/>
        <v>5</v>
      </c>
      <c r="N54" s="45">
        <f>K54-L54</f>
        <v>17</v>
      </c>
      <c r="O54" s="46">
        <f>N54/K54</f>
        <v>0.77272727272727271</v>
      </c>
      <c r="P54" s="53">
        <v>0</v>
      </c>
      <c r="Q54" s="45">
        <v>507</v>
      </c>
      <c r="R54" s="45">
        <v>426</v>
      </c>
      <c r="S54" s="53">
        <f>1315+653</f>
        <v>1968</v>
      </c>
      <c r="T54" s="53">
        <v>404</v>
      </c>
      <c r="U54" s="53">
        <v>41</v>
      </c>
      <c r="V54" s="53">
        <v>21</v>
      </c>
      <c r="W54" s="53">
        <f>U54-V54</f>
        <v>20</v>
      </c>
      <c r="X54" s="53">
        <v>105</v>
      </c>
      <c r="Y54" s="53">
        <v>103</v>
      </c>
      <c r="Z54" s="53">
        <f>281+162</f>
        <v>443</v>
      </c>
      <c r="AA54" s="53">
        <v>149</v>
      </c>
      <c r="AB54" s="53">
        <v>4</v>
      </c>
      <c r="AC54" s="53">
        <v>330</v>
      </c>
      <c r="AD54" s="53">
        <v>243</v>
      </c>
      <c r="AE54" s="53">
        <v>89</v>
      </c>
      <c r="AF54" s="53">
        <v>21</v>
      </c>
      <c r="AG54" s="53">
        <v>33</v>
      </c>
      <c r="AH54" s="53">
        <v>1185</v>
      </c>
      <c r="AI54" s="74">
        <f>AH54/S54</f>
        <v>0.60213414634146345</v>
      </c>
      <c r="AJ54" s="45" t="s">
        <v>115</v>
      </c>
      <c r="AK54" s="45" t="s">
        <v>115</v>
      </c>
      <c r="AL54" s="45" t="s">
        <v>115</v>
      </c>
      <c r="AM54" s="45" t="s">
        <v>115</v>
      </c>
      <c r="AN54" s="45" t="s">
        <v>115</v>
      </c>
      <c r="AO54" s="45" t="s">
        <v>115</v>
      </c>
      <c r="AP54" s="45" t="s">
        <v>115</v>
      </c>
      <c r="AQ54" s="45" t="s">
        <v>115</v>
      </c>
      <c r="AR54" s="45" t="s">
        <v>115</v>
      </c>
      <c r="AS54" s="45" t="s">
        <v>115</v>
      </c>
      <c r="AT54" s="45" t="s">
        <v>115</v>
      </c>
      <c r="AU54" s="45" t="s">
        <v>115</v>
      </c>
      <c r="AV54" s="45" t="s">
        <v>115</v>
      </c>
      <c r="AW54" s="45" t="s">
        <v>115</v>
      </c>
      <c r="AX54" s="45" t="s">
        <v>115</v>
      </c>
      <c r="AY54" s="45" t="s">
        <v>115</v>
      </c>
      <c r="AZ54" s="45" t="s">
        <v>115</v>
      </c>
      <c r="BA54" s="49" t="s">
        <v>115</v>
      </c>
      <c r="BB54" s="45">
        <f>244+682+737+797+227+515+855+1021</f>
        <v>5078</v>
      </c>
      <c r="BC54" s="45">
        <f>467+685+1457</f>
        <v>2609</v>
      </c>
      <c r="BD54" s="45">
        <f>688+1002+707</f>
        <v>2397</v>
      </c>
      <c r="BE54" s="45">
        <v>41</v>
      </c>
      <c r="BF54" s="45">
        <v>433</v>
      </c>
      <c r="BG54" s="45">
        <v>541</v>
      </c>
      <c r="BH54" s="45">
        <f>477+923+826</f>
        <v>2226</v>
      </c>
      <c r="BI54" s="45">
        <v>292</v>
      </c>
      <c r="BJ54" s="50">
        <v>51</v>
      </c>
      <c r="BK54" s="45">
        <v>371</v>
      </c>
      <c r="BL54" s="45">
        <v>245</v>
      </c>
      <c r="BM54" s="45" t="s">
        <v>115</v>
      </c>
      <c r="BN54" s="45">
        <v>799</v>
      </c>
      <c r="BO54" s="45" t="s">
        <v>128</v>
      </c>
      <c r="BP54" s="49">
        <f>BN54</f>
        <v>799</v>
      </c>
      <c r="BQ54" s="51">
        <f t="shared" si="2"/>
        <v>6.3554443053817273</v>
      </c>
      <c r="BR54" s="51">
        <f t="shared" si="0"/>
        <v>7.6232876712328768</v>
      </c>
      <c r="BS54" s="51" t="s">
        <v>115</v>
      </c>
      <c r="BT54" s="52" t="s">
        <v>115</v>
      </c>
      <c r="BU54" s="45" t="s">
        <v>115</v>
      </c>
      <c r="BV54" s="45" t="s">
        <v>115</v>
      </c>
      <c r="BW54" s="45" t="s">
        <v>115</v>
      </c>
      <c r="BX54" s="49" t="s">
        <v>115</v>
      </c>
      <c r="BY54" s="79" t="s">
        <v>115</v>
      </c>
      <c r="BZ54" s="45" t="s">
        <v>115</v>
      </c>
      <c r="CA54" s="45" t="s">
        <v>115</v>
      </c>
      <c r="CB54" s="80" t="s">
        <v>115</v>
      </c>
      <c r="CC54" s="45" t="s">
        <v>115</v>
      </c>
      <c r="CD54" s="49" t="s">
        <v>115</v>
      </c>
      <c r="CE54" s="45" t="s">
        <v>115</v>
      </c>
      <c r="CF54" s="45" t="s">
        <v>115</v>
      </c>
      <c r="CG54" s="49" t="s">
        <v>115</v>
      </c>
      <c r="CH54" s="45" t="s">
        <v>115</v>
      </c>
      <c r="CI54" s="45" t="s">
        <v>115</v>
      </c>
      <c r="CJ54" s="49" t="s">
        <v>115</v>
      </c>
      <c r="CK54" s="45" t="s">
        <v>115</v>
      </c>
      <c r="CL54" s="45" t="s">
        <v>115</v>
      </c>
      <c r="CM54" s="49" t="s">
        <v>115</v>
      </c>
      <c r="CN54" s="45" t="s">
        <v>115</v>
      </c>
      <c r="CO54" s="45" t="s">
        <v>115</v>
      </c>
      <c r="CP54" s="49" t="s">
        <v>115</v>
      </c>
      <c r="CQ54" s="45" t="s">
        <v>115</v>
      </c>
      <c r="CR54" s="45" t="s">
        <v>115</v>
      </c>
      <c r="CS54" s="49" t="s">
        <v>115</v>
      </c>
      <c r="CT54" s="45" t="s">
        <v>115</v>
      </c>
      <c r="CU54" s="45" t="s">
        <v>115</v>
      </c>
      <c r="CV54" s="49" t="s">
        <v>115</v>
      </c>
      <c r="CW54" s="45" t="s">
        <v>115</v>
      </c>
      <c r="CX54" s="45" t="s">
        <v>115</v>
      </c>
      <c r="CY54" s="49" t="s">
        <v>115</v>
      </c>
      <c r="CZ54" s="45" t="s">
        <v>115</v>
      </c>
      <c r="DA54" s="45" t="s">
        <v>115</v>
      </c>
      <c r="DB54" s="49" t="s">
        <v>115</v>
      </c>
    </row>
    <row r="55" spans="1:106" x14ac:dyDescent="0.2">
      <c r="A55" s="40"/>
      <c r="B55" s="41"/>
      <c r="C55" s="42"/>
      <c r="D55" s="41"/>
      <c r="E55" s="43"/>
      <c r="F55" s="44"/>
      <c r="G55" s="43"/>
      <c r="H55" s="161"/>
      <c r="X55" s="53">
        <v>85</v>
      </c>
      <c r="Y55" s="53">
        <v>87</v>
      </c>
      <c r="AF55" s="53">
        <v>18</v>
      </c>
      <c r="AG55" s="53">
        <v>33</v>
      </c>
      <c r="AI55" s="74"/>
      <c r="AZ55" s="46"/>
      <c r="BH55" s="45">
        <f>362+840+869+412</f>
        <v>2483</v>
      </c>
      <c r="BI55" s="45">
        <v>230</v>
      </c>
      <c r="BJ55" s="50">
        <v>35</v>
      </c>
      <c r="BK55" s="45">
        <v>325</v>
      </c>
      <c r="BQ55" s="51"/>
      <c r="BR55" s="51">
        <f t="shared" si="0"/>
        <v>10.795652173913043</v>
      </c>
      <c r="BS55" s="51"/>
      <c r="BT55" s="52"/>
      <c r="CD55" s="49"/>
      <c r="CG55" s="49"/>
      <c r="CJ55" s="49"/>
      <c r="CM55" s="49"/>
      <c r="CP55" s="49"/>
      <c r="CS55" s="49"/>
      <c r="CV55" s="49"/>
      <c r="CY55" s="49"/>
      <c r="DB55" s="49"/>
    </row>
    <row r="56" spans="1:106" x14ac:dyDescent="0.2">
      <c r="A56" s="83"/>
      <c r="B56" s="84"/>
      <c r="C56" s="85"/>
      <c r="D56" s="84"/>
      <c r="E56" s="86"/>
      <c r="F56" s="87"/>
      <c r="G56" s="86"/>
      <c r="H56" s="163"/>
      <c r="I56" s="89"/>
      <c r="J56" s="89"/>
      <c r="K56" s="89"/>
      <c r="L56" s="89"/>
      <c r="N56" s="89"/>
      <c r="O56" s="89"/>
      <c r="P56" s="89"/>
      <c r="Q56" s="89"/>
      <c r="R56" s="89"/>
      <c r="S56" s="90"/>
      <c r="T56" s="90"/>
      <c r="U56" s="90"/>
      <c r="V56" s="90"/>
      <c r="W56" s="90"/>
      <c r="X56" s="90">
        <v>92</v>
      </c>
      <c r="Y56" s="90">
        <v>106</v>
      </c>
      <c r="Z56" s="90"/>
      <c r="AA56" s="90"/>
      <c r="AB56" s="90"/>
      <c r="AC56" s="90"/>
      <c r="AD56" s="90"/>
      <c r="AE56" s="90"/>
      <c r="AF56" s="90">
        <v>16</v>
      </c>
      <c r="AG56" s="90">
        <v>27</v>
      </c>
      <c r="AH56" s="90"/>
      <c r="AI56" s="91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92"/>
      <c r="BA56" s="93"/>
      <c r="BB56" s="89"/>
      <c r="BC56" s="89"/>
      <c r="BD56" s="89"/>
      <c r="BE56" s="89"/>
      <c r="BF56" s="89"/>
      <c r="BG56" s="89"/>
      <c r="BH56" s="89">
        <f>218+606+694+899</f>
        <v>2417</v>
      </c>
      <c r="BI56" s="89">
        <v>246</v>
      </c>
      <c r="BJ56" s="94">
        <v>46</v>
      </c>
      <c r="BK56" s="89">
        <v>375</v>
      </c>
      <c r="BL56" s="89"/>
      <c r="BM56" s="89"/>
      <c r="BN56" s="89"/>
      <c r="BO56" s="89"/>
      <c r="BP56" s="93"/>
      <c r="BQ56" s="51"/>
      <c r="BR56" s="51">
        <f t="shared" si="0"/>
        <v>9.8252032520325212</v>
      </c>
      <c r="BS56" s="51"/>
      <c r="BT56" s="52"/>
      <c r="BU56" s="89"/>
      <c r="BV56" s="89"/>
      <c r="BW56" s="89"/>
      <c r="BX56" s="93"/>
      <c r="BY56" s="89"/>
      <c r="BZ56" s="89"/>
      <c r="CA56" s="89"/>
      <c r="CB56" s="195"/>
      <c r="CC56" s="89"/>
      <c r="CD56" s="93"/>
      <c r="CE56" s="89"/>
      <c r="CF56" s="89"/>
      <c r="CG56" s="93"/>
      <c r="CH56" s="89"/>
      <c r="CI56" s="89"/>
      <c r="CJ56" s="93"/>
      <c r="CK56" s="89"/>
      <c r="CL56" s="89"/>
      <c r="CM56" s="93"/>
      <c r="CN56" s="89"/>
      <c r="CO56" s="89"/>
      <c r="CP56" s="93"/>
      <c r="CQ56" s="89"/>
      <c r="CR56" s="89"/>
      <c r="CS56" s="93"/>
      <c r="CT56" s="89"/>
      <c r="CU56" s="89"/>
      <c r="CV56" s="93"/>
      <c r="CW56" s="89"/>
      <c r="CX56" s="89"/>
      <c r="CY56" s="93"/>
      <c r="CZ56" s="89"/>
      <c r="DA56" s="89"/>
      <c r="DB56" s="93"/>
    </row>
    <row r="57" spans="1:106" ht="16" customHeight="1" x14ac:dyDescent="0.2">
      <c r="A57" s="95" t="s">
        <v>159</v>
      </c>
      <c r="B57" s="96" t="s">
        <v>109</v>
      </c>
      <c r="C57" s="97" t="s">
        <v>122</v>
      </c>
      <c r="D57" s="98" t="s">
        <v>111</v>
      </c>
      <c r="E57" s="99" t="s">
        <v>124</v>
      </c>
      <c r="F57" s="100">
        <v>4</v>
      </c>
      <c r="G57" s="101"/>
      <c r="H57" s="164" t="s">
        <v>160</v>
      </c>
      <c r="I57" s="101">
        <f>646+1014+995+3523+2588+2344+5023+2829+2263+5137+4346+2592+1244+4019</f>
        <v>38563</v>
      </c>
      <c r="J57" s="101"/>
      <c r="K57" s="101">
        <v>56</v>
      </c>
      <c r="L57" s="101">
        <v>12</v>
      </c>
      <c r="M57" s="101">
        <f t="shared" si="1"/>
        <v>12</v>
      </c>
      <c r="N57" s="101">
        <f>K57-L57</f>
        <v>44</v>
      </c>
      <c r="O57" s="101"/>
      <c r="P57" s="101">
        <v>0</v>
      </c>
      <c r="Q57" s="101">
        <v>864</v>
      </c>
      <c r="R57" s="101">
        <v>632</v>
      </c>
      <c r="S57" s="102">
        <f>525+918+903+824</f>
        <v>3170</v>
      </c>
      <c r="T57" s="102">
        <v>680</v>
      </c>
      <c r="U57" s="102">
        <v>58</v>
      </c>
      <c r="V57" s="102">
        <v>35</v>
      </c>
      <c r="W57" s="102">
        <f>U57-V57</f>
        <v>23</v>
      </c>
      <c r="X57" s="102">
        <v>137</v>
      </c>
      <c r="Y57" s="102">
        <v>193</v>
      </c>
      <c r="Z57" s="102"/>
      <c r="AA57" s="102"/>
      <c r="AB57" s="102">
        <v>4</v>
      </c>
      <c r="AC57" s="103">
        <v>584</v>
      </c>
      <c r="AD57" s="103">
        <v>508</v>
      </c>
      <c r="AE57" s="102" t="s">
        <v>115</v>
      </c>
      <c r="AF57" s="102" t="s">
        <v>161</v>
      </c>
      <c r="AG57" s="102" t="s">
        <v>162</v>
      </c>
      <c r="AH57" s="102">
        <f>269+621+714+760</f>
        <v>2364</v>
      </c>
      <c r="AI57" s="104">
        <f>AH57/S57</f>
        <v>0.74574132492113565</v>
      </c>
      <c r="AJ57" s="101" t="s">
        <v>115</v>
      </c>
      <c r="AK57" s="101" t="s">
        <v>115</v>
      </c>
      <c r="AL57" s="101" t="s">
        <v>115</v>
      </c>
      <c r="AM57" s="101" t="s">
        <v>115</v>
      </c>
      <c r="AN57" s="101" t="s">
        <v>115</v>
      </c>
      <c r="AO57" s="101" t="s">
        <v>115</v>
      </c>
      <c r="AP57" s="101" t="s">
        <v>115</v>
      </c>
      <c r="AQ57" s="101" t="s">
        <v>115</v>
      </c>
      <c r="AR57" s="101" t="s">
        <v>115</v>
      </c>
      <c r="AS57" s="101" t="s">
        <v>115</v>
      </c>
      <c r="AT57" s="101" t="s">
        <v>115</v>
      </c>
      <c r="AU57" s="101" t="s">
        <v>115</v>
      </c>
      <c r="AV57" s="101" t="s">
        <v>115</v>
      </c>
      <c r="AW57" s="101" t="s">
        <v>115</v>
      </c>
      <c r="AX57" s="101" t="s">
        <v>115</v>
      </c>
      <c r="AY57" s="101" t="s">
        <v>115</v>
      </c>
      <c r="AZ57" s="101" t="s">
        <v>115</v>
      </c>
      <c r="BA57" s="105" t="s">
        <v>115</v>
      </c>
      <c r="BB57" s="101">
        <v>4019</v>
      </c>
      <c r="BC57" s="101">
        <v>1730</v>
      </c>
      <c r="BD57" s="101">
        <v>2185</v>
      </c>
      <c r="BE57" s="101">
        <v>122</v>
      </c>
      <c r="BF57" s="101">
        <v>591</v>
      </c>
      <c r="BG57" s="101">
        <v>516</v>
      </c>
      <c r="BH57" s="101">
        <v>2157</v>
      </c>
      <c r="BI57" s="101">
        <v>195</v>
      </c>
      <c r="BJ57" s="106">
        <v>39</v>
      </c>
      <c r="BK57" s="101" t="s">
        <v>163</v>
      </c>
      <c r="BL57" s="101" t="s">
        <v>115</v>
      </c>
      <c r="BM57" s="101">
        <v>581</v>
      </c>
      <c r="BN57" s="101">
        <v>772</v>
      </c>
      <c r="BO57" s="101" t="s">
        <v>128</v>
      </c>
      <c r="BP57" s="105">
        <f>BN57</f>
        <v>772</v>
      </c>
      <c r="BQ57" s="107">
        <f t="shared" si="2"/>
        <v>5.2059585492227978</v>
      </c>
      <c r="BR57" s="108">
        <f>BH57/BI57</f>
        <v>11.061538461538461</v>
      </c>
      <c r="BS57" s="108">
        <f t="shared" si="3"/>
        <v>2.9776247848537003</v>
      </c>
      <c r="BT57" s="109">
        <f t="shared" si="4"/>
        <v>3.7607573149741826</v>
      </c>
      <c r="BU57" s="101">
        <f>1641+83+155+208+77+42</f>
        <v>2206</v>
      </c>
      <c r="BV57" s="110" t="s">
        <v>164</v>
      </c>
      <c r="BW57" s="101" t="s">
        <v>165</v>
      </c>
      <c r="BX57" s="105">
        <v>84</v>
      </c>
      <c r="BY57" s="101">
        <v>11</v>
      </c>
      <c r="BZ57" s="101" t="s">
        <v>115</v>
      </c>
      <c r="CA57" s="101">
        <v>66</v>
      </c>
      <c r="CB57" s="196">
        <f>116+169</f>
        <v>285</v>
      </c>
      <c r="CC57" s="101">
        <v>7</v>
      </c>
      <c r="CD57" s="105" t="s">
        <v>115</v>
      </c>
      <c r="CE57" s="101">
        <v>72</v>
      </c>
      <c r="CF57" s="101">
        <v>27</v>
      </c>
      <c r="CG57" s="105">
        <v>34</v>
      </c>
      <c r="CH57" s="101">
        <v>114</v>
      </c>
      <c r="CI57" s="101">
        <v>100</v>
      </c>
      <c r="CJ57" s="105">
        <v>65</v>
      </c>
      <c r="CK57" s="101" t="s">
        <v>115</v>
      </c>
      <c r="CL57" s="101" t="s">
        <v>115</v>
      </c>
      <c r="CM57" s="105" t="s">
        <v>115</v>
      </c>
      <c r="CN57" s="101" t="s">
        <v>115</v>
      </c>
      <c r="CO57" s="101" t="s">
        <v>115</v>
      </c>
      <c r="CP57" s="105" t="s">
        <v>115</v>
      </c>
      <c r="CQ57" s="101" t="s">
        <v>115</v>
      </c>
      <c r="CR57" s="101" t="s">
        <v>115</v>
      </c>
      <c r="CS57" s="105" t="s">
        <v>115</v>
      </c>
      <c r="CT57" s="101" t="s">
        <v>115</v>
      </c>
      <c r="CU57" s="101" t="s">
        <v>115</v>
      </c>
      <c r="CV57" s="105" t="s">
        <v>115</v>
      </c>
      <c r="CW57" s="101">
        <v>48</v>
      </c>
      <c r="CX57" s="101">
        <v>22</v>
      </c>
      <c r="CY57" s="105">
        <v>38</v>
      </c>
      <c r="CZ57" s="101" t="s">
        <v>115</v>
      </c>
      <c r="DA57" s="101" t="s">
        <v>115</v>
      </c>
      <c r="DB57" s="105" t="s">
        <v>115</v>
      </c>
    </row>
    <row r="58" spans="1:106" ht="16" customHeight="1" x14ac:dyDescent="0.2">
      <c r="A58" s="111"/>
      <c r="B58" s="54"/>
      <c r="C58" s="112"/>
      <c r="D58" s="55"/>
      <c r="E58" s="57"/>
      <c r="F58" s="58"/>
      <c r="G58" s="60"/>
      <c r="H58" s="162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8"/>
      <c r="T58" s="68"/>
      <c r="U58" s="68"/>
      <c r="V58" s="68"/>
      <c r="W58" s="68"/>
      <c r="X58" s="68">
        <v>114</v>
      </c>
      <c r="Y58" s="68">
        <v>182</v>
      </c>
      <c r="Z58" s="68">
        <f>369+303</f>
        <v>672</v>
      </c>
      <c r="AA58" s="68">
        <v>269</v>
      </c>
      <c r="AB58" s="68"/>
      <c r="AC58" s="113" t="s">
        <v>179</v>
      </c>
      <c r="AD58" s="113" t="s">
        <v>179</v>
      </c>
      <c r="AE58" s="68"/>
      <c r="AF58" s="68">
        <v>31</v>
      </c>
      <c r="AG58" s="68">
        <v>28</v>
      </c>
      <c r="AH58" s="68"/>
      <c r="AI58" s="68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1"/>
      <c r="BA58" s="64"/>
      <c r="BB58" s="60"/>
      <c r="BC58" s="60"/>
      <c r="BD58" s="60"/>
      <c r="BE58" s="60"/>
      <c r="BF58" s="60"/>
      <c r="BG58" s="60"/>
      <c r="BH58" s="60">
        <v>2176</v>
      </c>
      <c r="BI58" s="60">
        <v>172</v>
      </c>
      <c r="BJ58" s="65">
        <v>29</v>
      </c>
      <c r="BK58" s="60">
        <v>451</v>
      </c>
      <c r="BL58" s="60"/>
      <c r="BM58" s="60"/>
      <c r="BN58" s="60"/>
      <c r="BO58" s="60"/>
      <c r="BP58" s="64"/>
      <c r="BQ58" s="114"/>
      <c r="BR58" s="66">
        <f>BH58/BI58</f>
        <v>12.651162790697674</v>
      </c>
      <c r="BS58" s="66"/>
      <c r="BT58" s="67"/>
      <c r="BU58" s="60"/>
      <c r="BV58" s="60">
        <v>72</v>
      </c>
      <c r="BW58" s="60">
        <v>94</v>
      </c>
      <c r="BX58" s="64">
        <v>76</v>
      </c>
      <c r="BY58" s="60"/>
      <c r="BZ58" s="60"/>
      <c r="CA58" s="60"/>
      <c r="CB58" s="72">
        <f>147+90</f>
        <v>237</v>
      </c>
      <c r="CC58" s="60"/>
      <c r="CD58" s="64"/>
      <c r="CE58" s="60">
        <v>63</v>
      </c>
      <c r="CF58" s="60">
        <v>24</v>
      </c>
      <c r="CG58" s="64">
        <v>30</v>
      </c>
      <c r="CH58" s="60">
        <v>119</v>
      </c>
      <c r="CI58" s="60">
        <v>103</v>
      </c>
      <c r="CJ58" s="64">
        <v>51</v>
      </c>
      <c r="CK58" s="60"/>
      <c r="CL58" s="60"/>
      <c r="CM58" s="64"/>
      <c r="CN58" s="60"/>
      <c r="CO58" s="60"/>
      <c r="CP58" s="64"/>
      <c r="CQ58" s="60"/>
      <c r="CR58" s="60"/>
      <c r="CS58" s="64"/>
      <c r="CT58" s="60"/>
      <c r="CU58" s="60"/>
      <c r="CV58" s="64"/>
      <c r="CW58" s="60">
        <v>46</v>
      </c>
      <c r="CX58" s="60">
        <v>22</v>
      </c>
      <c r="CY58" s="64">
        <v>31</v>
      </c>
      <c r="CZ58" s="60"/>
      <c r="DA58" s="60"/>
      <c r="DB58" s="64"/>
    </row>
    <row r="59" spans="1:106" ht="16" customHeight="1" thickBot="1" x14ac:dyDescent="0.25">
      <c r="A59" s="115"/>
      <c r="B59" s="116"/>
      <c r="C59" s="117"/>
      <c r="D59" s="118"/>
      <c r="E59" s="119"/>
      <c r="F59" s="120"/>
      <c r="G59" s="121"/>
      <c r="H59" s="165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3"/>
      <c r="V59" s="123"/>
      <c r="W59" s="123"/>
      <c r="X59" s="123">
        <v>80</v>
      </c>
      <c r="Y59" s="123">
        <v>161</v>
      </c>
      <c r="Z59" s="123"/>
      <c r="AA59" s="123"/>
      <c r="AB59" s="123"/>
      <c r="AC59" s="123"/>
      <c r="AD59" s="123"/>
      <c r="AE59" s="123"/>
      <c r="AF59" s="123">
        <v>30</v>
      </c>
      <c r="AG59" s="123">
        <v>57</v>
      </c>
      <c r="AH59" s="123"/>
      <c r="AI59" s="123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4"/>
      <c r="BA59" s="125"/>
      <c r="BB59" s="121"/>
      <c r="BC59" s="121"/>
      <c r="BD59" s="121"/>
      <c r="BE59" s="121"/>
      <c r="BF59" s="121"/>
      <c r="BG59" s="121"/>
      <c r="BH59" s="121">
        <v>2156</v>
      </c>
      <c r="BI59" s="121"/>
      <c r="BJ59" s="126"/>
      <c r="BK59" s="121">
        <v>514</v>
      </c>
      <c r="BL59" s="121"/>
      <c r="BM59" s="121"/>
      <c r="BN59" s="121"/>
      <c r="BO59" s="121"/>
      <c r="BP59" s="125"/>
      <c r="BQ59" s="127"/>
      <c r="BR59" s="128"/>
      <c r="BS59" s="128"/>
      <c r="BT59" s="129"/>
      <c r="BU59" s="121"/>
      <c r="BV59" s="121">
        <v>56</v>
      </c>
      <c r="BW59" s="121">
        <v>91</v>
      </c>
      <c r="BX59" s="125">
        <v>84</v>
      </c>
      <c r="BY59" s="121"/>
      <c r="BZ59" s="121"/>
      <c r="CA59" s="121"/>
      <c r="CB59" s="197">
        <f>174+119</f>
        <v>293</v>
      </c>
      <c r="CC59" s="121"/>
      <c r="CD59" s="125"/>
      <c r="CE59" s="121">
        <v>55</v>
      </c>
      <c r="CF59" s="121">
        <v>29</v>
      </c>
      <c r="CG59" s="125">
        <v>45</v>
      </c>
      <c r="CH59" s="121">
        <v>110</v>
      </c>
      <c r="CI59" s="121">
        <v>94</v>
      </c>
      <c r="CJ59" s="125">
        <v>55</v>
      </c>
      <c r="CK59" s="121"/>
      <c r="CL59" s="121"/>
      <c r="CM59" s="125"/>
      <c r="CN59" s="121"/>
      <c r="CO59" s="121"/>
      <c r="CP59" s="125"/>
      <c r="CQ59" s="121"/>
      <c r="CR59" s="121"/>
      <c r="CS59" s="125"/>
      <c r="CT59" s="121"/>
      <c r="CU59" s="121"/>
      <c r="CV59" s="125"/>
      <c r="CW59" s="121"/>
      <c r="CX59" s="121"/>
      <c r="CY59" s="125"/>
      <c r="CZ59" s="121"/>
      <c r="DA59" s="121"/>
      <c r="DB59" s="125"/>
    </row>
    <row r="60" spans="1:106" ht="18" thickTop="1" x14ac:dyDescent="0.2">
      <c r="H60" s="158" t="s">
        <v>166</v>
      </c>
      <c r="I60" s="45">
        <f>MIN(I6:I59)</f>
        <v>10658</v>
      </c>
      <c r="J60" s="45">
        <f t="shared" ref="J60:AA60" si="6">MIN(J6:J59)</f>
        <v>57</v>
      </c>
      <c r="K60" s="45">
        <f t="shared" si="6"/>
        <v>22</v>
      </c>
      <c r="L60" s="45">
        <f t="shared" si="6"/>
        <v>3</v>
      </c>
      <c r="M60" s="45">
        <f t="shared" si="6"/>
        <v>3</v>
      </c>
      <c r="N60" s="45">
        <f t="shared" si="6"/>
        <v>17</v>
      </c>
      <c r="O60" s="46">
        <f t="shared" si="6"/>
        <v>0.71232876712328763</v>
      </c>
      <c r="P60" s="45">
        <f t="shared" si="6"/>
        <v>0</v>
      </c>
      <c r="Q60" s="45">
        <f t="shared" si="6"/>
        <v>507</v>
      </c>
      <c r="R60" s="45">
        <f t="shared" si="6"/>
        <v>352</v>
      </c>
      <c r="S60" s="45">
        <f t="shared" si="6"/>
        <v>1591</v>
      </c>
      <c r="T60" s="45">
        <f t="shared" si="6"/>
        <v>401</v>
      </c>
      <c r="U60" s="45">
        <f t="shared" si="6"/>
        <v>41</v>
      </c>
      <c r="V60" s="45">
        <f t="shared" si="6"/>
        <v>21</v>
      </c>
      <c r="W60" s="45">
        <f t="shared" si="6"/>
        <v>20</v>
      </c>
      <c r="X60" s="45">
        <f t="shared" si="6"/>
        <v>39</v>
      </c>
      <c r="Y60" s="169">
        <f t="shared" si="6"/>
        <v>85</v>
      </c>
      <c r="Z60" s="45">
        <f t="shared" si="6"/>
        <v>241</v>
      </c>
      <c r="AA60" s="45">
        <f t="shared" si="6"/>
        <v>149</v>
      </c>
      <c r="AB60" s="53">
        <v>4</v>
      </c>
      <c r="AC60" s="45">
        <f t="shared" ref="AC60:AI60" si="7">MIN(AC6:AC59)</f>
        <v>283</v>
      </c>
      <c r="AD60" s="45">
        <f t="shared" si="7"/>
        <v>243</v>
      </c>
      <c r="AE60" s="45">
        <f t="shared" si="7"/>
        <v>89</v>
      </c>
      <c r="AF60" s="45">
        <f t="shared" si="7"/>
        <v>15</v>
      </c>
      <c r="AG60" s="45">
        <f t="shared" si="7"/>
        <v>12</v>
      </c>
      <c r="AH60" s="45">
        <f t="shared" si="7"/>
        <v>1098</v>
      </c>
      <c r="AI60" s="46">
        <f t="shared" si="7"/>
        <v>0.60213414634146345</v>
      </c>
      <c r="AJ60" s="45">
        <f>MIN(AJ6:AJ59)</f>
        <v>2295</v>
      </c>
      <c r="AK60" s="45">
        <f t="shared" ref="AK60:BA60" si="8">MIN(AK6:AK59)</f>
        <v>624</v>
      </c>
      <c r="AQ60" s="45">
        <f t="shared" si="8"/>
        <v>311</v>
      </c>
      <c r="AR60" s="45">
        <f t="shared" si="8"/>
        <v>200</v>
      </c>
      <c r="AS60" s="45">
        <f t="shared" si="8"/>
        <v>4</v>
      </c>
      <c r="AT60" s="45">
        <f t="shared" si="8"/>
        <v>258</v>
      </c>
      <c r="AU60" s="45">
        <f t="shared" si="8"/>
        <v>306</v>
      </c>
      <c r="AW60" s="45">
        <f t="shared" si="8"/>
        <v>35</v>
      </c>
      <c r="AX60" s="45">
        <f t="shared" si="8"/>
        <v>43</v>
      </c>
      <c r="AY60" s="45">
        <f t="shared" si="8"/>
        <v>1673</v>
      </c>
      <c r="AZ60" s="46">
        <f t="shared" si="8"/>
        <v>0.65460122699386503</v>
      </c>
      <c r="BA60" s="49">
        <f t="shared" si="8"/>
        <v>15</v>
      </c>
      <c r="BB60" s="45">
        <f>MIN(BB6:BB59)</f>
        <v>2616</v>
      </c>
      <c r="BC60" s="45">
        <f t="shared" ref="BC60:BX60" si="9">MIN(BC6:BC59)</f>
        <v>1173</v>
      </c>
      <c r="BD60" s="45">
        <f t="shared" si="9"/>
        <v>1458</v>
      </c>
      <c r="BE60" s="45">
        <f t="shared" si="9"/>
        <v>41</v>
      </c>
      <c r="BF60" s="45">
        <f t="shared" si="9"/>
        <v>378</v>
      </c>
      <c r="BG60" s="45">
        <f t="shared" si="9"/>
        <v>492</v>
      </c>
      <c r="BH60" s="45">
        <f t="shared" si="9"/>
        <v>1367</v>
      </c>
      <c r="BI60" s="45">
        <f t="shared" si="9"/>
        <v>172</v>
      </c>
      <c r="BJ60" s="45">
        <f t="shared" si="9"/>
        <v>24</v>
      </c>
      <c r="BK60" s="45">
        <f t="shared" si="9"/>
        <v>320</v>
      </c>
      <c r="BL60" s="45">
        <f t="shared" si="9"/>
        <v>188</v>
      </c>
      <c r="BM60" s="45">
        <f t="shared" si="9"/>
        <v>369</v>
      </c>
      <c r="BN60" s="45">
        <f t="shared" si="9"/>
        <v>529</v>
      </c>
      <c r="BP60" s="173">
        <f t="shared" si="9"/>
        <v>657</v>
      </c>
      <c r="BQ60" s="174">
        <f t="shared" si="9"/>
        <v>2.8038585209003215</v>
      </c>
      <c r="BR60" s="174">
        <f t="shared" si="9"/>
        <v>4.7712418300653594</v>
      </c>
      <c r="BS60" s="174">
        <f t="shared" si="9"/>
        <v>2.2361419068736144</v>
      </c>
      <c r="BT60" s="175">
        <f t="shared" si="9"/>
        <v>2.4454277286135695</v>
      </c>
      <c r="BU60" s="176">
        <f t="shared" si="9"/>
        <v>491</v>
      </c>
      <c r="BV60" s="176">
        <f t="shared" si="9"/>
        <v>56</v>
      </c>
      <c r="BW60" s="176">
        <f t="shared" si="9"/>
        <v>81</v>
      </c>
      <c r="BX60" s="177">
        <f t="shared" si="9"/>
        <v>68</v>
      </c>
      <c r="BY60" s="169" t="s">
        <v>167</v>
      </c>
      <c r="BZ60" s="169"/>
      <c r="CA60" s="176">
        <f t="shared" ref="CA60" si="10">MIN(CA6:CA59)</f>
        <v>60</v>
      </c>
      <c r="CB60" s="179">
        <f t="shared" ref="CB60:DB60" si="11">MIN(CB6:CB59)</f>
        <v>237</v>
      </c>
      <c r="CC60" s="169">
        <v>7</v>
      </c>
      <c r="CD60" s="178">
        <f t="shared" si="11"/>
        <v>14</v>
      </c>
      <c r="CE60" s="179">
        <f t="shared" si="11"/>
        <v>30</v>
      </c>
      <c r="CF60" s="179">
        <f t="shared" si="11"/>
        <v>15</v>
      </c>
      <c r="CG60" s="178">
        <f t="shared" si="11"/>
        <v>20</v>
      </c>
      <c r="CH60" s="137">
        <f t="shared" si="11"/>
        <v>45</v>
      </c>
      <c r="CI60" s="137">
        <f t="shared" si="11"/>
        <v>45</v>
      </c>
      <c r="CJ60" s="178">
        <f t="shared" si="11"/>
        <v>20</v>
      </c>
      <c r="CK60" s="179">
        <f t="shared" si="11"/>
        <v>42</v>
      </c>
      <c r="CL60" s="179">
        <f t="shared" si="11"/>
        <v>26</v>
      </c>
      <c r="CM60" s="178">
        <f t="shared" si="11"/>
        <v>27</v>
      </c>
      <c r="CN60" s="179">
        <f t="shared" si="11"/>
        <v>47</v>
      </c>
      <c r="CO60" s="137">
        <f t="shared" si="11"/>
        <v>21</v>
      </c>
      <c r="CP60" s="138">
        <f t="shared" si="11"/>
        <v>28</v>
      </c>
      <c r="CQ60" s="137">
        <f t="shared" si="11"/>
        <v>53</v>
      </c>
      <c r="CR60" s="137">
        <f t="shared" si="11"/>
        <v>15</v>
      </c>
      <c r="CS60" s="138">
        <f t="shared" si="11"/>
        <v>21</v>
      </c>
      <c r="CT60" s="137">
        <f t="shared" si="11"/>
        <v>33</v>
      </c>
      <c r="CU60" s="137">
        <f t="shared" si="11"/>
        <v>13</v>
      </c>
      <c r="CV60" s="178">
        <f t="shared" si="11"/>
        <v>15</v>
      </c>
      <c r="CW60" s="179">
        <f t="shared" si="11"/>
        <v>25</v>
      </c>
      <c r="CX60" s="179">
        <f t="shared" si="11"/>
        <v>10</v>
      </c>
      <c r="CY60" s="178">
        <f t="shared" si="11"/>
        <v>12</v>
      </c>
      <c r="CZ60" s="179">
        <f t="shared" si="11"/>
        <v>22</v>
      </c>
      <c r="DA60" s="179">
        <f t="shared" si="11"/>
        <v>12</v>
      </c>
      <c r="DB60" s="178">
        <f t="shared" si="11"/>
        <v>14</v>
      </c>
    </row>
    <row r="61" spans="1:106" ht="17" x14ac:dyDescent="0.2">
      <c r="H61" s="158" t="s">
        <v>168</v>
      </c>
      <c r="I61" s="45">
        <f>MAX(I6:I59)</f>
        <v>38563</v>
      </c>
      <c r="J61" s="45">
        <f t="shared" ref="J61:AA61" si="12">MAX(J6:J59)</f>
        <v>257</v>
      </c>
      <c r="K61" s="45">
        <f t="shared" si="12"/>
        <v>74</v>
      </c>
      <c r="L61" s="45">
        <f t="shared" si="12"/>
        <v>21</v>
      </c>
      <c r="M61" s="45">
        <f t="shared" si="12"/>
        <v>21</v>
      </c>
      <c r="N61" s="45">
        <f t="shared" si="12"/>
        <v>64</v>
      </c>
      <c r="O61" s="46">
        <f t="shared" si="12"/>
        <v>0.9</v>
      </c>
      <c r="P61" s="45">
        <f t="shared" si="12"/>
        <v>4</v>
      </c>
      <c r="Q61" s="45">
        <f t="shared" si="12"/>
        <v>965</v>
      </c>
      <c r="R61" s="45">
        <f t="shared" si="12"/>
        <v>644</v>
      </c>
      <c r="S61" s="45">
        <f t="shared" si="12"/>
        <v>3170</v>
      </c>
      <c r="T61" s="45">
        <f t="shared" si="12"/>
        <v>945</v>
      </c>
      <c r="U61" s="45">
        <f t="shared" si="12"/>
        <v>67</v>
      </c>
      <c r="V61" s="45">
        <f t="shared" si="12"/>
        <v>43</v>
      </c>
      <c r="W61" s="45">
        <f t="shared" si="12"/>
        <v>26</v>
      </c>
      <c r="X61" s="45">
        <f t="shared" si="12"/>
        <v>137</v>
      </c>
      <c r="Y61" s="169">
        <f t="shared" si="12"/>
        <v>218</v>
      </c>
      <c r="Z61" s="45">
        <f t="shared" si="12"/>
        <v>672</v>
      </c>
      <c r="AA61" s="45">
        <f t="shared" si="12"/>
        <v>350</v>
      </c>
      <c r="AC61" s="45">
        <f t="shared" ref="AC61:AI61" si="13">MAX(AC6:AC59)</f>
        <v>662</v>
      </c>
      <c r="AD61" s="45">
        <f t="shared" si="13"/>
        <v>599</v>
      </c>
      <c r="AE61" s="45">
        <f t="shared" si="13"/>
        <v>241</v>
      </c>
      <c r="AF61" s="45">
        <f t="shared" si="13"/>
        <v>79</v>
      </c>
      <c r="AG61" s="45">
        <f t="shared" si="13"/>
        <v>77</v>
      </c>
      <c r="AH61" s="45">
        <f t="shared" si="13"/>
        <v>2364</v>
      </c>
      <c r="AI61" s="46">
        <f t="shared" si="13"/>
        <v>0.7949662369551872</v>
      </c>
      <c r="AJ61" s="45">
        <f>MAX(AJ6:AJ59)</f>
        <v>3260</v>
      </c>
      <c r="AK61" s="45">
        <f t="shared" ref="AK61:BN61" si="14">MAX(AK6:AK59)</f>
        <v>1209</v>
      </c>
      <c r="AQ61" s="45">
        <f t="shared" si="14"/>
        <v>533</v>
      </c>
      <c r="AR61" s="45">
        <f t="shared" si="14"/>
        <v>240</v>
      </c>
      <c r="AT61" s="45">
        <f t="shared" si="14"/>
        <v>529</v>
      </c>
      <c r="AU61" s="45">
        <f t="shared" si="14"/>
        <v>664</v>
      </c>
      <c r="AW61" s="45">
        <f t="shared" si="14"/>
        <v>51</v>
      </c>
      <c r="AX61" s="45">
        <f t="shared" si="14"/>
        <v>46</v>
      </c>
      <c r="AY61" s="45">
        <f t="shared" si="14"/>
        <v>2150</v>
      </c>
      <c r="AZ61" s="46">
        <f t="shared" si="14"/>
        <v>0.73943355119825704</v>
      </c>
      <c r="BA61" s="49">
        <f t="shared" si="14"/>
        <v>23</v>
      </c>
      <c r="BB61" s="45">
        <f t="shared" si="14"/>
        <v>5078</v>
      </c>
      <c r="BC61" s="45">
        <f t="shared" si="14"/>
        <v>2609</v>
      </c>
      <c r="BD61" s="45">
        <f t="shared" si="14"/>
        <v>2410</v>
      </c>
      <c r="BE61" s="45">
        <f t="shared" si="14"/>
        <v>128</v>
      </c>
      <c r="BF61" s="45">
        <f t="shared" si="14"/>
        <v>793</v>
      </c>
      <c r="BG61" s="45">
        <f t="shared" si="14"/>
        <v>741</v>
      </c>
      <c r="BH61" s="45">
        <f t="shared" si="14"/>
        <v>2483</v>
      </c>
      <c r="BI61" s="45">
        <f t="shared" si="14"/>
        <v>306</v>
      </c>
      <c r="BJ61" s="45">
        <f t="shared" si="14"/>
        <v>55</v>
      </c>
      <c r="BK61" s="45">
        <f t="shared" si="14"/>
        <v>625</v>
      </c>
      <c r="BL61" s="45">
        <f t="shared" si="14"/>
        <v>332</v>
      </c>
      <c r="BM61" s="45">
        <f t="shared" si="14"/>
        <v>902</v>
      </c>
      <c r="BN61" s="45">
        <f t="shared" si="14"/>
        <v>963</v>
      </c>
      <c r="BP61" s="180">
        <f t="shared" ref="BP61:BX61" si="15">MAX(BP6:BP59)</f>
        <v>1209</v>
      </c>
      <c r="BQ61" s="174">
        <f t="shared" si="15"/>
        <v>6.3554443053817273</v>
      </c>
      <c r="BR61" s="174">
        <f t="shared" si="15"/>
        <v>12.651162790697674</v>
      </c>
      <c r="BS61" s="174">
        <f t="shared" si="15"/>
        <v>6.154471544715447</v>
      </c>
      <c r="BT61" s="181">
        <f t="shared" si="15"/>
        <v>5.0347071583514102</v>
      </c>
      <c r="BU61" s="182">
        <f t="shared" si="15"/>
        <v>2206</v>
      </c>
      <c r="BV61" s="182">
        <f t="shared" si="15"/>
        <v>109</v>
      </c>
      <c r="BW61" s="182">
        <f t="shared" si="15"/>
        <v>118</v>
      </c>
      <c r="BX61" s="183">
        <f t="shared" si="15"/>
        <v>106</v>
      </c>
      <c r="BY61" s="169"/>
      <c r="BZ61" s="169"/>
      <c r="CA61" s="182">
        <f t="shared" ref="CA61:CB61" si="16">MAX(CA6:CA59)</f>
        <v>67</v>
      </c>
      <c r="CB61" s="170">
        <f t="shared" si="16"/>
        <v>368</v>
      </c>
      <c r="CC61" s="169"/>
      <c r="CD61" s="184">
        <f t="shared" ref="CD61:DB61" si="17">MAX(CD6:CD59)</f>
        <v>27</v>
      </c>
      <c r="CE61" s="170">
        <f t="shared" si="17"/>
        <v>73</v>
      </c>
      <c r="CF61" s="170">
        <f t="shared" si="17"/>
        <v>29</v>
      </c>
      <c r="CG61" s="184">
        <f t="shared" si="17"/>
        <v>57</v>
      </c>
      <c r="CH61" s="140">
        <f t="shared" si="17"/>
        <v>119</v>
      </c>
      <c r="CI61" s="140">
        <f t="shared" si="17"/>
        <v>103</v>
      </c>
      <c r="CJ61" s="184">
        <f t="shared" si="17"/>
        <v>68</v>
      </c>
      <c r="CK61" s="170">
        <f t="shared" si="17"/>
        <v>100</v>
      </c>
      <c r="CL61" s="170">
        <f t="shared" si="17"/>
        <v>83</v>
      </c>
      <c r="CM61" s="184">
        <f t="shared" si="17"/>
        <v>72</v>
      </c>
      <c r="CN61" s="170">
        <f t="shared" si="17"/>
        <v>100</v>
      </c>
      <c r="CO61" s="140">
        <f t="shared" si="17"/>
        <v>42</v>
      </c>
      <c r="CP61" s="141">
        <f t="shared" si="17"/>
        <v>69</v>
      </c>
      <c r="CQ61" s="140">
        <f t="shared" si="17"/>
        <v>80</v>
      </c>
      <c r="CR61" s="140">
        <f t="shared" si="17"/>
        <v>29</v>
      </c>
      <c r="CS61" s="141">
        <f t="shared" si="17"/>
        <v>57</v>
      </c>
      <c r="CT61" s="140">
        <f t="shared" si="17"/>
        <v>67</v>
      </c>
      <c r="CU61" s="140">
        <f t="shared" si="17"/>
        <v>22</v>
      </c>
      <c r="CV61" s="184">
        <f t="shared" si="17"/>
        <v>37</v>
      </c>
      <c r="CW61" s="170">
        <f t="shared" si="17"/>
        <v>48</v>
      </c>
      <c r="CX61" s="170">
        <f t="shared" si="17"/>
        <v>22</v>
      </c>
      <c r="CY61" s="184">
        <f t="shared" si="17"/>
        <v>38</v>
      </c>
      <c r="CZ61" s="170">
        <f t="shared" si="17"/>
        <v>45</v>
      </c>
      <c r="DA61" s="170">
        <f t="shared" si="17"/>
        <v>25</v>
      </c>
      <c r="DB61" s="184">
        <f t="shared" si="17"/>
        <v>31</v>
      </c>
    </row>
    <row r="62" spans="1:106" s="140" customFormat="1" ht="17" x14ac:dyDescent="0.2">
      <c r="A62" s="141"/>
      <c r="B62" s="142"/>
      <c r="C62" s="143"/>
      <c r="D62" s="142"/>
      <c r="F62" s="144"/>
      <c r="H62" s="145" t="s">
        <v>169</v>
      </c>
      <c r="I62" s="140">
        <f>AVERAGE(I6:I59)</f>
        <v>25053.375</v>
      </c>
      <c r="J62" s="140">
        <f t="shared" ref="J62:AA62" si="18">AVERAGE(J6:J59)</f>
        <v>123.875</v>
      </c>
      <c r="K62" s="140">
        <f t="shared" si="18"/>
        <v>50.764705882352942</v>
      </c>
      <c r="L62" s="140">
        <f t="shared" si="18"/>
        <v>10</v>
      </c>
      <c r="M62" s="140">
        <f t="shared" si="18"/>
        <v>9.2941176470588243</v>
      </c>
      <c r="N62" s="140">
        <f t="shared" si="18"/>
        <v>40.764705882352942</v>
      </c>
      <c r="O62" s="146">
        <f t="shared" si="18"/>
        <v>0.80421268448648142</v>
      </c>
      <c r="P62" s="140">
        <f t="shared" si="18"/>
        <v>0.70588235294117652</v>
      </c>
      <c r="Q62" s="140">
        <f t="shared" si="18"/>
        <v>736.82352941176475</v>
      </c>
      <c r="R62" s="140">
        <f t="shared" si="18"/>
        <v>494.52941176470586</v>
      </c>
      <c r="S62" s="140">
        <f t="shared" si="18"/>
        <v>2178.4117647058824</v>
      </c>
      <c r="T62" s="140">
        <f t="shared" si="18"/>
        <v>564.70588235294122</v>
      </c>
      <c r="U62" s="140">
        <f t="shared" si="18"/>
        <v>57.125</v>
      </c>
      <c r="V62" s="140">
        <f t="shared" si="18"/>
        <v>34.333333333333336</v>
      </c>
      <c r="W62" s="140">
        <f t="shared" si="18"/>
        <v>22.733333333333334</v>
      </c>
      <c r="X62" s="140">
        <f t="shared" si="18"/>
        <v>76.770833333333329</v>
      </c>
      <c r="Y62" s="170">
        <f t="shared" si="18"/>
        <v>133.46666666666667</v>
      </c>
      <c r="Z62" s="140">
        <f t="shared" si="18"/>
        <v>449.07142857142856</v>
      </c>
      <c r="AA62" s="140">
        <f t="shared" si="18"/>
        <v>224.8</v>
      </c>
      <c r="AC62" s="140">
        <f t="shared" ref="AC62:AI62" si="19">AVERAGE(AC6:AC59)</f>
        <v>476.25</v>
      </c>
      <c r="AD62" s="140">
        <f t="shared" si="19"/>
        <v>436.5</v>
      </c>
      <c r="AE62" s="140">
        <f t="shared" si="19"/>
        <v>157.16666666666666</v>
      </c>
      <c r="AF62" s="140">
        <f t="shared" si="19"/>
        <v>27.23404255319149</v>
      </c>
      <c r="AG62" s="140">
        <f t="shared" si="19"/>
        <v>32.136363636363633</v>
      </c>
      <c r="AH62" s="140">
        <f t="shared" si="19"/>
        <v>1546.4705882352941</v>
      </c>
      <c r="AI62" s="146">
        <f t="shared" si="19"/>
        <v>0.70865397682196141</v>
      </c>
      <c r="AJ62" s="140">
        <f>AVERAGE(AJ6:AJ59)</f>
        <v>2793.25</v>
      </c>
      <c r="AK62" s="140">
        <f t="shared" ref="AK62:BN62" si="20">AVERAGE(AK6:AK59)</f>
        <v>983.75</v>
      </c>
      <c r="AQ62" s="140">
        <f t="shared" si="20"/>
        <v>398.75</v>
      </c>
      <c r="AR62" s="140">
        <f t="shared" si="20"/>
        <v>218.5</v>
      </c>
      <c r="AT62" s="140">
        <f t="shared" si="20"/>
        <v>416.75</v>
      </c>
      <c r="AU62" s="140">
        <f t="shared" si="20"/>
        <v>499.5</v>
      </c>
      <c r="AW62" s="140">
        <f t="shared" si="20"/>
        <v>41.666666666666664</v>
      </c>
      <c r="AX62" s="140">
        <f t="shared" si="20"/>
        <v>44</v>
      </c>
      <c r="AY62" s="140">
        <f t="shared" si="20"/>
        <v>1913.5</v>
      </c>
      <c r="AZ62" s="146">
        <f t="shared" si="20"/>
        <v>0.68800992174004838</v>
      </c>
      <c r="BA62" s="141">
        <f t="shared" si="20"/>
        <v>17.416666666666668</v>
      </c>
      <c r="BB62" s="140">
        <f t="shared" si="20"/>
        <v>3973.1666666666665</v>
      </c>
      <c r="BC62" s="140">
        <f t="shared" si="20"/>
        <v>1830.6666666666667</v>
      </c>
      <c r="BD62" s="140">
        <f t="shared" si="20"/>
        <v>2082.9444444444443</v>
      </c>
      <c r="BE62" s="140">
        <f t="shared" si="20"/>
        <v>78.555555555555557</v>
      </c>
      <c r="BF62" s="140">
        <f t="shared" si="20"/>
        <v>585.61111111111109</v>
      </c>
      <c r="BG62" s="140">
        <f t="shared" si="20"/>
        <v>593.05555555555554</v>
      </c>
      <c r="BH62" s="140">
        <f t="shared" si="20"/>
        <v>2079.2962962962961</v>
      </c>
      <c r="BI62" s="140">
        <f t="shared" si="20"/>
        <v>230.84444444444443</v>
      </c>
      <c r="BJ62" s="140">
        <f t="shared" si="20"/>
        <v>38</v>
      </c>
      <c r="BK62" s="140">
        <f t="shared" si="20"/>
        <v>468.5</v>
      </c>
      <c r="BL62" s="140">
        <f t="shared" si="20"/>
        <v>248.10714285714286</v>
      </c>
      <c r="BM62" s="140">
        <f t="shared" si="20"/>
        <v>570.5333333333333</v>
      </c>
      <c r="BN62" s="140">
        <f t="shared" si="20"/>
        <v>751.2</v>
      </c>
      <c r="BP62" s="184">
        <f t="shared" ref="BP62:BX62" si="21">AVERAGE(BP6:BP59)</f>
        <v>872.14285714285711</v>
      </c>
      <c r="BQ62" s="171">
        <f t="shared" si="21"/>
        <v>4.6775892488251136</v>
      </c>
      <c r="BR62" s="171">
        <f t="shared" si="21"/>
        <v>9.067527635796532</v>
      </c>
      <c r="BS62" s="171">
        <f t="shared" si="21"/>
        <v>3.2741470548751512</v>
      </c>
      <c r="BT62" s="185">
        <f t="shared" si="21"/>
        <v>3.7043554329849679</v>
      </c>
      <c r="BU62" s="170">
        <f t="shared" si="21"/>
        <v>1116.7142857142858</v>
      </c>
      <c r="BV62" s="170">
        <f t="shared" si="21"/>
        <v>83.666666666666671</v>
      </c>
      <c r="BW62" s="170">
        <f t="shared" si="21"/>
        <v>98.090909090909093</v>
      </c>
      <c r="BX62" s="184">
        <f t="shared" si="21"/>
        <v>88.703703703703709</v>
      </c>
      <c r="BY62" s="170"/>
      <c r="BZ62" s="170"/>
      <c r="CA62" s="170">
        <f t="shared" ref="CA62:CB62" si="22">AVERAGE(CA6:CA59)</f>
        <v>64.222222222222229</v>
      </c>
      <c r="CB62" s="170">
        <f t="shared" si="22"/>
        <v>305.60869565217394</v>
      </c>
      <c r="CC62" s="170"/>
      <c r="CD62" s="184">
        <f t="shared" ref="CD62:DB62" si="23">AVERAGE(CD6:CD59)</f>
        <v>20.833333333333332</v>
      </c>
      <c r="CE62" s="170">
        <f t="shared" si="23"/>
        <v>47.194444444444443</v>
      </c>
      <c r="CF62" s="170">
        <f t="shared" si="23"/>
        <v>20.333333333333332</v>
      </c>
      <c r="CG62" s="184">
        <f t="shared" si="23"/>
        <v>34.5</v>
      </c>
      <c r="CH62" s="140">
        <f t="shared" si="23"/>
        <v>80.868421052631575</v>
      </c>
      <c r="CI62" s="140">
        <f t="shared" si="23"/>
        <v>66.84210526315789</v>
      </c>
      <c r="CJ62" s="184">
        <f t="shared" si="23"/>
        <v>39.078947368421055</v>
      </c>
      <c r="CK62" s="170">
        <f t="shared" si="23"/>
        <v>72.400000000000006</v>
      </c>
      <c r="CL62" s="170">
        <f t="shared" si="23"/>
        <v>40.6</v>
      </c>
      <c r="CM62" s="184">
        <f t="shared" si="23"/>
        <v>45.43333333333333</v>
      </c>
      <c r="CN62" s="170">
        <f t="shared" si="23"/>
        <v>73.307692307692307</v>
      </c>
      <c r="CO62" s="140">
        <f t="shared" si="23"/>
        <v>27.23076923076923</v>
      </c>
      <c r="CP62" s="141">
        <f t="shared" si="23"/>
        <v>47.153846153846153</v>
      </c>
      <c r="CQ62" s="140">
        <f t="shared" si="23"/>
        <v>65.84210526315789</v>
      </c>
      <c r="CR62" s="140">
        <f t="shared" si="23"/>
        <v>22.263157894736842</v>
      </c>
      <c r="CS62" s="141">
        <f t="shared" si="23"/>
        <v>43.10526315789474</v>
      </c>
      <c r="CT62" s="140">
        <f t="shared" si="23"/>
        <v>48.125</v>
      </c>
      <c r="CU62" s="140">
        <f t="shared" si="23"/>
        <v>17.958333333333332</v>
      </c>
      <c r="CV62" s="184">
        <f t="shared" si="23"/>
        <v>26.416666666666668</v>
      </c>
      <c r="CW62" s="170">
        <f t="shared" si="23"/>
        <v>36.458333333333336</v>
      </c>
      <c r="CX62" s="170">
        <f t="shared" si="23"/>
        <v>16.5</v>
      </c>
      <c r="CY62" s="184">
        <f t="shared" si="23"/>
        <v>20.666666666666668</v>
      </c>
      <c r="CZ62" s="170">
        <f t="shared" si="23"/>
        <v>34.863636363636367</v>
      </c>
      <c r="DA62" s="170">
        <f t="shared" si="23"/>
        <v>18.59090909090909</v>
      </c>
      <c r="DB62" s="184">
        <f t="shared" si="23"/>
        <v>20.363636363636363</v>
      </c>
    </row>
    <row r="63" spans="1:106" s="147" customFormat="1" ht="17" x14ac:dyDescent="0.2">
      <c r="A63" s="148"/>
      <c r="B63" s="149"/>
      <c r="C63" s="150"/>
      <c r="D63" s="149"/>
      <c r="F63" s="151"/>
      <c r="H63" s="152" t="s">
        <v>170</v>
      </c>
      <c r="I63" s="147">
        <f>STDEV(I6:I59)</f>
        <v>7501.5746957999863</v>
      </c>
      <c r="J63" s="147">
        <f t="shared" ref="J63:AA63" si="24">STDEV(J6:J59)</f>
        <v>51.253455168082731</v>
      </c>
      <c r="K63" s="147">
        <f t="shared" si="24"/>
        <v>15.510195887563389</v>
      </c>
      <c r="L63" s="147">
        <f t="shared" si="24"/>
        <v>3.9370039370059056</v>
      </c>
      <c r="M63" s="147">
        <f t="shared" si="24"/>
        <v>4.0429677509589554</v>
      </c>
      <c r="N63" s="147">
        <f t="shared" si="24"/>
        <v>12.808831971362116</v>
      </c>
      <c r="O63" s="153">
        <f t="shared" si="24"/>
        <v>4.685787671314879E-2</v>
      </c>
      <c r="P63" s="147">
        <f t="shared" si="24"/>
        <v>1.2631659571466125</v>
      </c>
      <c r="Q63" s="147">
        <f t="shared" si="24"/>
        <v>122.47052466518096</v>
      </c>
      <c r="R63" s="147">
        <f t="shared" si="24"/>
        <v>109.76174062888374</v>
      </c>
      <c r="S63" s="147">
        <f t="shared" si="24"/>
        <v>430.16393079027529</v>
      </c>
      <c r="T63" s="147">
        <f t="shared" si="24"/>
        <v>158.12643861238163</v>
      </c>
      <c r="U63" s="147">
        <f t="shared" si="24"/>
        <v>6.5612498809297</v>
      </c>
      <c r="V63" s="147">
        <f t="shared" si="24"/>
        <v>5.7279598296010876</v>
      </c>
      <c r="W63" s="147">
        <f t="shared" si="24"/>
        <v>1.9444671200491872</v>
      </c>
      <c r="X63" s="147">
        <f t="shared" si="24"/>
        <v>20.946984329069185</v>
      </c>
      <c r="Y63" s="171">
        <f t="shared" si="24"/>
        <v>34.153131095645719</v>
      </c>
      <c r="Z63" s="147">
        <f t="shared" si="24"/>
        <v>121.74719348255682</v>
      </c>
      <c r="AA63" s="147">
        <f t="shared" si="24"/>
        <v>51.618379893765983</v>
      </c>
      <c r="AC63" s="147">
        <f t="shared" ref="AC63:AI63" si="25">STDEV(AC6:AC59)</f>
        <v>109.17173016246774</v>
      </c>
      <c r="AD63" s="147">
        <f t="shared" si="25"/>
        <v>109.4593356175989</v>
      </c>
      <c r="AE63" s="147">
        <f t="shared" si="25"/>
        <v>68.062961048331331</v>
      </c>
      <c r="AF63" s="147">
        <f t="shared" si="25"/>
        <v>13.085359834492511</v>
      </c>
      <c r="AG63" s="147">
        <f t="shared" si="25"/>
        <v>13.012678806654629</v>
      </c>
      <c r="AH63" s="147">
        <f t="shared" si="25"/>
        <v>342.33538336824375</v>
      </c>
      <c r="AI63" s="153">
        <f t="shared" si="25"/>
        <v>4.515540348100356E-2</v>
      </c>
      <c r="AJ63" s="147">
        <f>STDEV(AJ6:AJ59)</f>
        <v>460.84442421855704</v>
      </c>
      <c r="AK63" s="147">
        <f t="shared" ref="AK63:BN63" si="26">STDEV(AK6:AK59)</f>
        <v>268.98001784519238</v>
      </c>
      <c r="AQ63" s="147">
        <f t="shared" si="26"/>
        <v>102.80199414408263</v>
      </c>
      <c r="AR63" s="147">
        <f t="shared" si="26"/>
        <v>16.441816606851365</v>
      </c>
      <c r="AT63" s="147">
        <f t="shared" si="26"/>
        <v>132.48993672476914</v>
      </c>
      <c r="AU63" s="147">
        <f t="shared" si="26"/>
        <v>148.20143948918536</v>
      </c>
      <c r="AW63" s="147">
        <f t="shared" si="26"/>
        <v>8.3266639978645394</v>
      </c>
      <c r="AX63" s="147">
        <f t="shared" si="26"/>
        <v>1.7320508075688772</v>
      </c>
      <c r="AY63" s="147">
        <f t="shared" si="26"/>
        <v>264.1117187858199</v>
      </c>
      <c r="AZ63" s="153">
        <f t="shared" si="26"/>
        <v>3.8004626349775875E-2</v>
      </c>
      <c r="BA63" s="148">
        <f t="shared" si="26"/>
        <v>2.1933093855190715</v>
      </c>
      <c r="BB63" s="147">
        <f t="shared" si="26"/>
        <v>659.05897709849739</v>
      </c>
      <c r="BC63" s="147">
        <f t="shared" si="26"/>
        <v>417.79688282001058</v>
      </c>
      <c r="BD63" s="147">
        <f t="shared" si="26"/>
        <v>324.86403893144262</v>
      </c>
      <c r="BE63" s="147">
        <f t="shared" si="26"/>
        <v>27.315632719189807</v>
      </c>
      <c r="BF63" s="147">
        <f t="shared" si="26"/>
        <v>129.23719137302135</v>
      </c>
      <c r="BG63" s="147">
        <f t="shared" si="26"/>
        <v>81.529837354706785</v>
      </c>
      <c r="BH63" s="147">
        <f t="shared" si="26"/>
        <v>318.69164310074098</v>
      </c>
      <c r="BI63" s="147">
        <f t="shared" si="26"/>
        <v>34.215198347807394</v>
      </c>
      <c r="BJ63" s="147">
        <f t="shared" si="26"/>
        <v>6.9648979835722375</v>
      </c>
      <c r="BK63" s="147">
        <f t="shared" si="26"/>
        <v>79.214088361047203</v>
      </c>
      <c r="BL63" s="147">
        <f t="shared" si="26"/>
        <v>42.328818031913414</v>
      </c>
      <c r="BM63" s="147">
        <f t="shared" si="26"/>
        <v>127.28082936487148</v>
      </c>
      <c r="BN63" s="147">
        <f t="shared" si="26"/>
        <v>118.98631373877789</v>
      </c>
      <c r="BP63" s="185">
        <f t="shared" ref="BP63:BX63" si="27">STDEV(BP6:BP59)</f>
        <v>157.35548052974602</v>
      </c>
      <c r="BQ63" s="171">
        <f t="shared" si="27"/>
        <v>1.3316236820063456</v>
      </c>
      <c r="BR63" s="171">
        <f t="shared" si="27"/>
        <v>1.6484698592631544</v>
      </c>
      <c r="BS63" s="171">
        <f t="shared" si="27"/>
        <v>1.0885604155526438</v>
      </c>
      <c r="BT63" s="185">
        <f t="shared" si="27"/>
        <v>0.76928002267718321</v>
      </c>
      <c r="BU63" s="171">
        <f t="shared" si="27"/>
        <v>466.66681057035993</v>
      </c>
      <c r="BV63" s="171">
        <f t="shared" si="27"/>
        <v>13.052502292355811</v>
      </c>
      <c r="BW63" s="171">
        <f t="shared" si="27"/>
        <v>9.8846157085456632</v>
      </c>
      <c r="BX63" s="185">
        <f t="shared" si="27"/>
        <v>11.176261982829148</v>
      </c>
      <c r="BY63" s="171"/>
      <c r="BZ63" s="171"/>
      <c r="CA63" s="171">
        <f t="shared" ref="CA63:CB63" si="28">STDEV(CA6:CA59)</f>
        <v>2.7738861628488731</v>
      </c>
      <c r="CB63" s="171">
        <f t="shared" si="28"/>
        <v>29.387287187172344</v>
      </c>
      <c r="CC63" s="171"/>
      <c r="CD63" s="185">
        <f t="shared" ref="CD63:DB63" si="29">STDEV(CD6:CD59)</f>
        <v>5.528712930390463</v>
      </c>
      <c r="CE63" s="171">
        <f t="shared" si="29"/>
        <v>9.662355360423831</v>
      </c>
      <c r="CF63" s="171">
        <f t="shared" si="29"/>
        <v>3.9641248358604595</v>
      </c>
      <c r="CG63" s="185">
        <f t="shared" si="29"/>
        <v>8.0445189858863344</v>
      </c>
      <c r="CH63" s="147">
        <f t="shared" si="29"/>
        <v>16.168322469990464</v>
      </c>
      <c r="CI63" s="147">
        <f t="shared" si="29"/>
        <v>15.1613418713507</v>
      </c>
      <c r="CJ63" s="185">
        <f t="shared" si="29"/>
        <v>11.702117107941023</v>
      </c>
      <c r="CK63" s="171">
        <f t="shared" si="29"/>
        <v>11.075290920130163</v>
      </c>
      <c r="CL63" s="171">
        <f t="shared" si="29"/>
        <v>10.437333521282275</v>
      </c>
      <c r="CM63" s="185">
        <f t="shared" si="29"/>
        <v>11.334060152488602</v>
      </c>
      <c r="CN63" s="171">
        <f t="shared" si="29"/>
        <v>11.281025594401369</v>
      </c>
      <c r="CO63" s="147">
        <f t="shared" si="29"/>
        <v>5.4207578238301073</v>
      </c>
      <c r="CP63" s="148">
        <f t="shared" si="29"/>
        <v>10.505968999353877</v>
      </c>
      <c r="CQ63" s="147">
        <f t="shared" si="29"/>
        <v>8.6040246260736755</v>
      </c>
      <c r="CR63" s="147">
        <f t="shared" si="29"/>
        <v>2.9597692339316941</v>
      </c>
      <c r="CS63" s="148">
        <f t="shared" si="29"/>
        <v>9.8989041865030405</v>
      </c>
      <c r="CT63" s="147">
        <f t="shared" si="29"/>
        <v>7.9362267893611707</v>
      </c>
      <c r="CU63" s="147">
        <f t="shared" si="29"/>
        <v>2.5448868885202551</v>
      </c>
      <c r="CV63" s="185">
        <f t="shared" si="29"/>
        <v>5.098308898368983</v>
      </c>
      <c r="CW63" s="171">
        <f t="shared" si="29"/>
        <v>5.9707924364225331</v>
      </c>
      <c r="CX63" s="171">
        <f t="shared" si="29"/>
        <v>3.2704207946246067</v>
      </c>
      <c r="CY63" s="185">
        <f t="shared" si="29"/>
        <v>5.5768673352844198</v>
      </c>
      <c r="CZ63" s="171">
        <f t="shared" si="29"/>
        <v>5.3833557824575768</v>
      </c>
      <c r="DA63" s="171">
        <f t="shared" si="29"/>
        <v>3.6339548298826876</v>
      </c>
      <c r="DB63" s="185">
        <f t="shared" si="29"/>
        <v>4.3374938402092118</v>
      </c>
    </row>
    <row r="64" spans="1:106" s="80" customFormat="1" ht="17" x14ac:dyDescent="0.2">
      <c r="A64" s="81"/>
      <c r="B64" s="155"/>
      <c r="C64" s="156"/>
      <c r="D64" s="155"/>
      <c r="F64" s="157"/>
      <c r="H64" s="158" t="s">
        <v>171</v>
      </c>
      <c r="I64" s="80">
        <f>COUNT(I6:I59)</f>
        <v>16</v>
      </c>
      <c r="J64" s="80">
        <f t="shared" ref="J64:AA64" si="30">COUNT(J6:J59)</f>
        <v>16</v>
      </c>
      <c r="K64" s="80">
        <f t="shared" si="30"/>
        <v>17</v>
      </c>
      <c r="L64" s="80">
        <f t="shared" si="30"/>
        <v>17</v>
      </c>
      <c r="M64" s="80">
        <f t="shared" si="30"/>
        <v>17</v>
      </c>
      <c r="N64" s="80">
        <f t="shared" si="30"/>
        <v>17</v>
      </c>
      <c r="O64" s="80">
        <f t="shared" si="30"/>
        <v>16</v>
      </c>
      <c r="P64" s="80">
        <f t="shared" si="30"/>
        <v>17</v>
      </c>
      <c r="Q64" s="80">
        <f t="shared" si="30"/>
        <v>17</v>
      </c>
      <c r="R64" s="80">
        <f t="shared" si="30"/>
        <v>17</v>
      </c>
      <c r="S64" s="80">
        <f t="shared" si="30"/>
        <v>17</v>
      </c>
      <c r="T64" s="80">
        <f t="shared" si="30"/>
        <v>17</v>
      </c>
      <c r="U64" s="80">
        <f t="shared" si="30"/>
        <v>16</v>
      </c>
      <c r="V64" s="80">
        <f t="shared" si="30"/>
        <v>15</v>
      </c>
      <c r="W64" s="80">
        <f t="shared" si="30"/>
        <v>15</v>
      </c>
      <c r="X64" s="80">
        <f t="shared" si="30"/>
        <v>48</v>
      </c>
      <c r="Y64" s="172">
        <f t="shared" si="30"/>
        <v>45</v>
      </c>
      <c r="Z64" s="80">
        <f t="shared" si="30"/>
        <v>14</v>
      </c>
      <c r="AA64" s="80">
        <f t="shared" si="30"/>
        <v>15</v>
      </c>
      <c r="AC64" s="80">
        <f t="shared" ref="AC64:AI64" si="31">COUNT(AC6:AC59)</f>
        <v>16</v>
      </c>
      <c r="AD64" s="80">
        <f t="shared" si="31"/>
        <v>14</v>
      </c>
      <c r="AE64" s="80">
        <f t="shared" si="31"/>
        <v>6</v>
      </c>
      <c r="AF64" s="80">
        <f t="shared" si="31"/>
        <v>47</v>
      </c>
      <c r="AG64" s="80">
        <f t="shared" si="31"/>
        <v>44</v>
      </c>
      <c r="AH64" s="80">
        <f t="shared" si="31"/>
        <v>17</v>
      </c>
      <c r="AI64" s="80">
        <f t="shared" si="31"/>
        <v>17</v>
      </c>
      <c r="AJ64" s="80">
        <f>COUNT(AJ6:AJ59)</f>
        <v>4</v>
      </c>
      <c r="AK64" s="80">
        <f t="shared" ref="AK64:BN64" si="32">COUNT(AK6:AK59)</f>
        <v>4</v>
      </c>
      <c r="AQ64" s="80">
        <f t="shared" si="32"/>
        <v>4</v>
      </c>
      <c r="AR64" s="80">
        <f t="shared" si="32"/>
        <v>4</v>
      </c>
      <c r="AT64" s="80">
        <f t="shared" si="32"/>
        <v>4</v>
      </c>
      <c r="AU64" s="80">
        <f t="shared" si="32"/>
        <v>4</v>
      </c>
      <c r="AW64" s="80">
        <f t="shared" si="32"/>
        <v>3</v>
      </c>
      <c r="AX64" s="80">
        <f t="shared" si="32"/>
        <v>3</v>
      </c>
      <c r="AY64" s="80">
        <f t="shared" si="32"/>
        <v>4</v>
      </c>
      <c r="AZ64" s="80">
        <f t="shared" si="32"/>
        <v>4</v>
      </c>
      <c r="BA64" s="81">
        <f t="shared" si="32"/>
        <v>12</v>
      </c>
      <c r="BB64" s="80">
        <f t="shared" si="32"/>
        <v>18</v>
      </c>
      <c r="BC64" s="80">
        <f t="shared" si="32"/>
        <v>18</v>
      </c>
      <c r="BD64" s="80">
        <f t="shared" si="32"/>
        <v>18</v>
      </c>
      <c r="BE64" s="80">
        <f t="shared" si="32"/>
        <v>18</v>
      </c>
      <c r="BF64" s="80">
        <f t="shared" si="32"/>
        <v>18</v>
      </c>
      <c r="BG64" s="80">
        <f t="shared" si="32"/>
        <v>18</v>
      </c>
      <c r="BH64" s="80">
        <f t="shared" si="32"/>
        <v>54</v>
      </c>
      <c r="BI64" s="80">
        <f t="shared" si="32"/>
        <v>45</v>
      </c>
      <c r="BJ64" s="80">
        <f t="shared" si="32"/>
        <v>52</v>
      </c>
      <c r="BK64" s="80">
        <f t="shared" si="32"/>
        <v>40</v>
      </c>
      <c r="BL64" s="80">
        <f t="shared" si="32"/>
        <v>28</v>
      </c>
      <c r="BM64" s="80">
        <f t="shared" si="32"/>
        <v>15</v>
      </c>
      <c r="BN64" s="80">
        <f t="shared" si="32"/>
        <v>15</v>
      </c>
      <c r="BP64" s="186">
        <f t="shared" ref="BP64:BX64" si="33">COUNT(BP6:BP59)</f>
        <v>14</v>
      </c>
      <c r="BQ64" s="170">
        <f t="shared" si="33"/>
        <v>13</v>
      </c>
      <c r="BR64" s="170">
        <f t="shared" si="33"/>
        <v>45</v>
      </c>
      <c r="BS64" s="170">
        <f t="shared" si="33"/>
        <v>15</v>
      </c>
      <c r="BT64" s="184">
        <f t="shared" si="33"/>
        <v>15</v>
      </c>
      <c r="BU64" s="170">
        <f t="shared" si="33"/>
        <v>14</v>
      </c>
      <c r="BV64" s="170">
        <f t="shared" si="33"/>
        <v>30</v>
      </c>
      <c r="BW64" s="170">
        <f t="shared" si="33"/>
        <v>22</v>
      </c>
      <c r="BX64" s="184">
        <f t="shared" si="33"/>
        <v>27</v>
      </c>
      <c r="BY64" s="172"/>
      <c r="BZ64" s="172"/>
      <c r="CA64" s="170">
        <f t="shared" ref="CA64:CB64" si="34">COUNT(CA6:CA59)</f>
        <v>9</v>
      </c>
      <c r="CB64" s="170">
        <f t="shared" si="34"/>
        <v>23</v>
      </c>
      <c r="CC64" s="172"/>
      <c r="CD64" s="184">
        <f t="shared" ref="CD64:DB64" si="35">COUNT(CD6:CD59)</f>
        <v>6</v>
      </c>
      <c r="CE64" s="170">
        <f t="shared" si="35"/>
        <v>36</v>
      </c>
      <c r="CF64" s="170">
        <f t="shared" si="35"/>
        <v>36</v>
      </c>
      <c r="CG64" s="184">
        <f t="shared" si="35"/>
        <v>36</v>
      </c>
      <c r="CH64" s="140">
        <f t="shared" si="35"/>
        <v>38</v>
      </c>
      <c r="CI64" s="140">
        <f t="shared" si="35"/>
        <v>38</v>
      </c>
      <c r="CJ64" s="184">
        <f t="shared" si="35"/>
        <v>38</v>
      </c>
      <c r="CK64" s="170">
        <f t="shared" si="35"/>
        <v>30</v>
      </c>
      <c r="CL64" s="170">
        <f t="shared" si="35"/>
        <v>30</v>
      </c>
      <c r="CM64" s="184">
        <f t="shared" si="35"/>
        <v>30</v>
      </c>
      <c r="CN64" s="170">
        <f t="shared" si="35"/>
        <v>26</v>
      </c>
      <c r="CO64" s="140">
        <f t="shared" si="35"/>
        <v>26</v>
      </c>
      <c r="CP64" s="141">
        <f t="shared" si="35"/>
        <v>26</v>
      </c>
      <c r="CQ64" s="140">
        <f t="shared" si="35"/>
        <v>19</v>
      </c>
      <c r="CR64" s="140">
        <f t="shared" si="35"/>
        <v>19</v>
      </c>
      <c r="CS64" s="141">
        <f t="shared" si="35"/>
        <v>19</v>
      </c>
      <c r="CT64" s="140">
        <f t="shared" si="35"/>
        <v>24</v>
      </c>
      <c r="CU64" s="140">
        <f t="shared" si="35"/>
        <v>24</v>
      </c>
      <c r="CV64" s="184">
        <f t="shared" si="35"/>
        <v>24</v>
      </c>
      <c r="CW64" s="170">
        <f t="shared" si="35"/>
        <v>24</v>
      </c>
      <c r="CX64" s="170">
        <f t="shared" si="35"/>
        <v>24</v>
      </c>
      <c r="CY64" s="184">
        <f t="shared" si="35"/>
        <v>24</v>
      </c>
      <c r="CZ64" s="170">
        <f t="shared" si="35"/>
        <v>22</v>
      </c>
      <c r="DA64" s="170">
        <f t="shared" si="35"/>
        <v>22</v>
      </c>
      <c r="DB64" s="184">
        <f t="shared" si="35"/>
        <v>22</v>
      </c>
    </row>
    <row r="65" spans="1:106" s="80" customFormat="1" ht="17" x14ac:dyDescent="0.2">
      <c r="A65" s="81"/>
      <c r="B65" s="155"/>
      <c r="C65" s="156"/>
      <c r="D65" s="155"/>
      <c r="F65" s="157"/>
      <c r="H65" s="158" t="s">
        <v>172</v>
      </c>
      <c r="I65" s="80">
        <f>I64</f>
        <v>16</v>
      </c>
      <c r="J65" s="80">
        <f t="shared" ref="J65:W65" si="36">J64</f>
        <v>16</v>
      </c>
      <c r="K65" s="80">
        <f t="shared" si="36"/>
        <v>17</v>
      </c>
      <c r="L65" s="80">
        <f t="shared" si="36"/>
        <v>17</v>
      </c>
      <c r="M65" s="80">
        <f t="shared" si="36"/>
        <v>17</v>
      </c>
      <c r="N65" s="80">
        <f t="shared" si="36"/>
        <v>17</v>
      </c>
      <c r="O65" s="80">
        <f t="shared" si="36"/>
        <v>16</v>
      </c>
      <c r="P65" s="80">
        <f t="shared" si="36"/>
        <v>17</v>
      </c>
      <c r="Q65" s="80">
        <f t="shared" si="36"/>
        <v>17</v>
      </c>
      <c r="R65" s="80">
        <f t="shared" si="36"/>
        <v>17</v>
      </c>
      <c r="S65" s="80">
        <f t="shared" si="36"/>
        <v>17</v>
      </c>
      <c r="T65" s="80">
        <f t="shared" si="36"/>
        <v>17</v>
      </c>
      <c r="U65" s="80">
        <f t="shared" si="36"/>
        <v>16</v>
      </c>
      <c r="V65" s="80">
        <f t="shared" si="36"/>
        <v>15</v>
      </c>
      <c r="W65" s="80">
        <f t="shared" si="36"/>
        <v>15</v>
      </c>
      <c r="X65" s="80">
        <v>16</v>
      </c>
      <c r="Y65" s="172">
        <v>15</v>
      </c>
      <c r="Z65" s="80">
        <v>14</v>
      </c>
      <c r="AA65" s="80">
        <v>15</v>
      </c>
      <c r="AC65" s="80">
        <f t="shared" ref="AC65:AE65" si="37">AC64</f>
        <v>16</v>
      </c>
      <c r="AD65" s="80">
        <f t="shared" si="37"/>
        <v>14</v>
      </c>
      <c r="AE65" s="80">
        <f t="shared" si="37"/>
        <v>6</v>
      </c>
      <c r="AF65" s="80">
        <v>16</v>
      </c>
      <c r="AG65" s="80">
        <v>15</v>
      </c>
      <c r="AH65" s="80">
        <f>AH64</f>
        <v>17</v>
      </c>
      <c r="AI65" s="80">
        <f>AI64</f>
        <v>17</v>
      </c>
      <c r="AJ65" s="80">
        <f>AJ64</f>
        <v>4</v>
      </c>
      <c r="AK65" s="80">
        <f t="shared" ref="AK65:BG65" si="38">AK64</f>
        <v>4</v>
      </c>
      <c r="AQ65" s="80">
        <f t="shared" si="38"/>
        <v>4</v>
      </c>
      <c r="AR65" s="80">
        <f t="shared" si="38"/>
        <v>4</v>
      </c>
      <c r="AT65" s="80">
        <f t="shared" si="38"/>
        <v>4</v>
      </c>
      <c r="AU65" s="80">
        <f t="shared" si="38"/>
        <v>4</v>
      </c>
      <c r="AW65" s="80">
        <v>1</v>
      </c>
      <c r="AX65" s="80">
        <v>1</v>
      </c>
      <c r="AY65" s="80">
        <f t="shared" si="38"/>
        <v>4</v>
      </c>
      <c r="AZ65" s="80">
        <f t="shared" si="38"/>
        <v>4</v>
      </c>
      <c r="BA65" s="81">
        <v>4</v>
      </c>
      <c r="BB65" s="80">
        <f t="shared" si="38"/>
        <v>18</v>
      </c>
      <c r="BC65" s="80">
        <f t="shared" si="38"/>
        <v>18</v>
      </c>
      <c r="BD65" s="80">
        <f t="shared" si="38"/>
        <v>18</v>
      </c>
      <c r="BE65" s="80">
        <f t="shared" si="38"/>
        <v>18</v>
      </c>
      <c r="BF65" s="80">
        <f t="shared" si="38"/>
        <v>18</v>
      </c>
      <c r="BG65" s="80">
        <f t="shared" si="38"/>
        <v>18</v>
      </c>
      <c r="BH65" s="80">
        <v>18</v>
      </c>
      <c r="BI65" s="80">
        <v>18</v>
      </c>
      <c r="BJ65" s="80">
        <v>18</v>
      </c>
      <c r="BK65" s="80">
        <v>17</v>
      </c>
      <c r="BL65" s="80">
        <v>13</v>
      </c>
      <c r="BM65" s="80">
        <f t="shared" ref="BM65:BQ65" si="39">BM64</f>
        <v>15</v>
      </c>
      <c r="BN65" s="80">
        <f t="shared" si="39"/>
        <v>15</v>
      </c>
      <c r="BP65" s="186">
        <f t="shared" si="39"/>
        <v>14</v>
      </c>
      <c r="BQ65" s="170">
        <f t="shared" si="39"/>
        <v>13</v>
      </c>
      <c r="BR65" s="170">
        <v>18</v>
      </c>
      <c r="BS65" s="170">
        <f t="shared" ref="BS65:BU65" si="40">BS64</f>
        <v>15</v>
      </c>
      <c r="BT65" s="184">
        <f t="shared" si="40"/>
        <v>15</v>
      </c>
      <c r="BU65" s="170">
        <f t="shared" si="40"/>
        <v>14</v>
      </c>
      <c r="BV65" s="170">
        <v>15</v>
      </c>
      <c r="BW65" s="170">
        <v>14</v>
      </c>
      <c r="BX65" s="184">
        <v>14</v>
      </c>
      <c r="BY65" s="172"/>
      <c r="BZ65" s="172"/>
      <c r="CA65" s="170">
        <f t="shared" ref="CA65" si="41">CA64</f>
        <v>9</v>
      </c>
      <c r="CB65" s="170">
        <v>13</v>
      </c>
      <c r="CC65" s="172"/>
      <c r="CD65" s="184">
        <v>5</v>
      </c>
      <c r="CE65" s="172">
        <v>14</v>
      </c>
      <c r="CF65" s="172">
        <v>14</v>
      </c>
      <c r="CG65" s="186">
        <v>14</v>
      </c>
      <c r="CH65" s="80">
        <v>15</v>
      </c>
      <c r="CI65" s="80">
        <v>15</v>
      </c>
      <c r="CJ65" s="186">
        <v>15</v>
      </c>
      <c r="CK65" s="172">
        <v>14</v>
      </c>
      <c r="CL65" s="172">
        <v>14</v>
      </c>
      <c r="CM65" s="186">
        <v>14</v>
      </c>
      <c r="CN65" s="172">
        <v>11</v>
      </c>
      <c r="CO65" s="80">
        <v>11</v>
      </c>
      <c r="CP65" s="81">
        <v>11</v>
      </c>
      <c r="CQ65" s="80">
        <v>10</v>
      </c>
      <c r="CR65" s="80">
        <v>10</v>
      </c>
      <c r="CS65" s="81">
        <v>10</v>
      </c>
      <c r="CT65" s="80">
        <v>11</v>
      </c>
      <c r="CU65" s="80">
        <v>11</v>
      </c>
      <c r="CV65" s="186">
        <v>11</v>
      </c>
      <c r="CW65" s="172">
        <v>12</v>
      </c>
      <c r="CX65" s="172">
        <v>12</v>
      </c>
      <c r="CY65" s="186">
        <v>12</v>
      </c>
      <c r="CZ65" s="172">
        <v>12</v>
      </c>
      <c r="DA65" s="172">
        <v>12</v>
      </c>
      <c r="DB65" s="186">
        <v>12</v>
      </c>
    </row>
    <row r="66" spans="1:106" s="80" customFormat="1" x14ac:dyDescent="0.2">
      <c r="A66" s="81"/>
      <c r="B66" s="155"/>
      <c r="C66" s="156"/>
      <c r="D66" s="155"/>
      <c r="F66" s="157"/>
      <c r="H66" s="159"/>
      <c r="BA66" s="81"/>
      <c r="BP66" s="186"/>
      <c r="BQ66" s="172"/>
      <c r="BR66" s="172"/>
      <c r="BS66" s="172"/>
      <c r="BT66" s="186"/>
      <c r="BU66" s="172"/>
      <c r="BV66" s="172"/>
      <c r="BW66" s="172"/>
      <c r="BX66" s="186"/>
      <c r="BY66" s="172"/>
      <c r="BZ66" s="172"/>
      <c r="CA66" s="172"/>
      <c r="CB66" s="172"/>
      <c r="CC66" s="172"/>
      <c r="CD66" s="172"/>
      <c r="CE66" s="172"/>
      <c r="CF66" s="172"/>
      <c r="CG66" s="172"/>
      <c r="CV66" s="172"/>
      <c r="CW66" s="172"/>
      <c r="CX66" s="172"/>
      <c r="CY66" s="172"/>
      <c r="CZ66" s="172"/>
      <c r="DA66" s="172"/>
      <c r="DB66" s="172"/>
    </row>
    <row r="67" spans="1:106" s="80" customFormat="1" ht="17" x14ac:dyDescent="0.2">
      <c r="A67" s="81"/>
      <c r="B67" s="155"/>
      <c r="C67" s="156"/>
      <c r="D67" s="155"/>
      <c r="F67" s="157"/>
      <c r="H67" s="158" t="s">
        <v>175</v>
      </c>
      <c r="I67" s="147">
        <f>I60/1000</f>
        <v>10.657999999999999</v>
      </c>
      <c r="BA67" s="81"/>
      <c r="BP67" s="186"/>
      <c r="BQ67" s="172"/>
      <c r="BR67" s="172"/>
      <c r="BS67" s="172"/>
      <c r="BT67" s="186"/>
      <c r="BU67" s="172"/>
      <c r="BV67" s="172"/>
      <c r="BW67" s="172"/>
      <c r="BX67" s="186"/>
      <c r="BY67" s="172"/>
      <c r="BZ67" s="172"/>
      <c r="CA67" s="172"/>
      <c r="CB67" s="172"/>
      <c r="CC67" s="172"/>
      <c r="CD67" s="172"/>
      <c r="CE67" s="172"/>
      <c r="CF67" s="172"/>
      <c r="CG67" s="172"/>
      <c r="CV67" s="172"/>
      <c r="CW67" s="172"/>
      <c r="CX67" s="172"/>
      <c r="CY67" s="172"/>
      <c r="CZ67" s="172"/>
      <c r="DA67" s="172"/>
      <c r="DB67" s="172"/>
    </row>
    <row r="68" spans="1:106" ht="17" x14ac:dyDescent="0.2">
      <c r="H68" s="158" t="s">
        <v>176</v>
      </c>
      <c r="I68" s="147">
        <f>I61/1000</f>
        <v>38.563000000000002</v>
      </c>
      <c r="BP68" s="180"/>
      <c r="BQ68" s="169"/>
      <c r="BR68" s="169"/>
      <c r="BS68" s="169"/>
      <c r="BT68" s="180"/>
      <c r="BU68" s="169"/>
      <c r="BV68" s="169"/>
      <c r="BW68" s="169"/>
      <c r="BX68" s="180"/>
      <c r="BY68" s="169"/>
      <c r="BZ68" s="169"/>
      <c r="CA68" s="169"/>
      <c r="CB68" s="172"/>
      <c r="CC68" s="169"/>
      <c r="CD68" s="169"/>
      <c r="CE68" s="169"/>
      <c r="CF68" s="169"/>
      <c r="CG68" s="169"/>
      <c r="CV68" s="169"/>
      <c r="CW68" s="169"/>
      <c r="CX68" s="169"/>
      <c r="CY68" s="169"/>
      <c r="CZ68" s="169"/>
      <c r="DA68" s="169"/>
      <c r="DB68" s="169"/>
    </row>
    <row r="69" spans="1:106" ht="17" x14ac:dyDescent="0.2">
      <c r="H69" s="145" t="s">
        <v>177</v>
      </c>
      <c r="I69" s="147">
        <f>I62/1000</f>
        <v>25.053374999999999</v>
      </c>
      <c r="CV69" s="169"/>
      <c r="CW69" s="169"/>
      <c r="CX69" s="169"/>
      <c r="CY69" s="169"/>
      <c r="CZ69" s="169"/>
      <c r="DA69" s="169"/>
      <c r="DB69" s="169"/>
    </row>
    <row r="70" spans="1:106" ht="17" x14ac:dyDescent="0.2">
      <c r="H70" s="152" t="s">
        <v>178</v>
      </c>
      <c r="I70" s="147">
        <f>I63/1000</f>
        <v>7.5015746957999863</v>
      </c>
    </row>
  </sheetData>
  <mergeCells count="347">
    <mergeCell ref="G54:G56"/>
    <mergeCell ref="H54:H56"/>
    <mergeCell ref="A57:A59"/>
    <mergeCell ref="B57:B59"/>
    <mergeCell ref="C57:C59"/>
    <mergeCell ref="D57:D59"/>
    <mergeCell ref="E57:E59"/>
    <mergeCell ref="F57:F59"/>
    <mergeCell ref="H57:H59"/>
    <mergeCell ref="A54:A56"/>
    <mergeCell ref="B54:B56"/>
    <mergeCell ref="C54:C56"/>
    <mergeCell ref="D54:D56"/>
    <mergeCell ref="E54:E56"/>
    <mergeCell ref="F54:F56"/>
    <mergeCell ref="G48:G50"/>
    <mergeCell ref="H48:H50"/>
    <mergeCell ref="A51:A53"/>
    <mergeCell ref="B51:B53"/>
    <mergeCell ref="C51:C53"/>
    <mergeCell ref="D51:D53"/>
    <mergeCell ref="E51:E53"/>
    <mergeCell ref="F51:F53"/>
    <mergeCell ref="G51:G53"/>
    <mergeCell ref="H51:H53"/>
    <mergeCell ref="A48:A50"/>
    <mergeCell ref="B48:B50"/>
    <mergeCell ref="C48:C50"/>
    <mergeCell ref="D48:D50"/>
    <mergeCell ref="E48:E50"/>
    <mergeCell ref="F48:F50"/>
    <mergeCell ref="G42:G44"/>
    <mergeCell ref="H42:H44"/>
    <mergeCell ref="A45:A47"/>
    <mergeCell ref="B45:B47"/>
    <mergeCell ref="C45:C47"/>
    <mergeCell ref="D45:D47"/>
    <mergeCell ref="E45:E47"/>
    <mergeCell ref="F45:F47"/>
    <mergeCell ref="G45:G47"/>
    <mergeCell ref="H45:H47"/>
    <mergeCell ref="A42:A44"/>
    <mergeCell ref="B42:B44"/>
    <mergeCell ref="C42:C44"/>
    <mergeCell ref="D42:D44"/>
    <mergeCell ref="E42:E44"/>
    <mergeCell ref="F42:F44"/>
    <mergeCell ref="G36:G38"/>
    <mergeCell ref="H36:H38"/>
    <mergeCell ref="A39:A41"/>
    <mergeCell ref="B39:B41"/>
    <mergeCell ref="C39:C41"/>
    <mergeCell ref="D39:D41"/>
    <mergeCell ref="E39:E41"/>
    <mergeCell ref="F39:F41"/>
    <mergeCell ref="G39:G41"/>
    <mergeCell ref="H39:H41"/>
    <mergeCell ref="A36:A38"/>
    <mergeCell ref="B36:B38"/>
    <mergeCell ref="C36:C38"/>
    <mergeCell ref="D36:D38"/>
    <mergeCell ref="E36:E38"/>
    <mergeCell ref="F36:F38"/>
    <mergeCell ref="G30:G32"/>
    <mergeCell ref="H30:H32"/>
    <mergeCell ref="A33:A35"/>
    <mergeCell ref="B33:B35"/>
    <mergeCell ref="C33:C35"/>
    <mergeCell ref="D33:D35"/>
    <mergeCell ref="E33:E35"/>
    <mergeCell ref="F33:F35"/>
    <mergeCell ref="G33:G35"/>
    <mergeCell ref="H33:H35"/>
    <mergeCell ref="A30:A32"/>
    <mergeCell ref="B30:B32"/>
    <mergeCell ref="C30:C32"/>
    <mergeCell ref="D30:D32"/>
    <mergeCell ref="E30:E32"/>
    <mergeCell ref="F30:F32"/>
    <mergeCell ref="G24:G26"/>
    <mergeCell ref="H24:H26"/>
    <mergeCell ref="A27:A29"/>
    <mergeCell ref="B27:B29"/>
    <mergeCell ref="C27:C29"/>
    <mergeCell ref="D27:D29"/>
    <mergeCell ref="E27:E29"/>
    <mergeCell ref="F27:F29"/>
    <mergeCell ref="G27:G29"/>
    <mergeCell ref="H27:H29"/>
    <mergeCell ref="A24:A26"/>
    <mergeCell ref="B24:B26"/>
    <mergeCell ref="C24:C26"/>
    <mergeCell ref="D24:D26"/>
    <mergeCell ref="E24:E26"/>
    <mergeCell ref="F24:F26"/>
    <mergeCell ref="G18:G20"/>
    <mergeCell ref="H18:H20"/>
    <mergeCell ref="A21:A23"/>
    <mergeCell ref="B21:B23"/>
    <mergeCell ref="C21:C23"/>
    <mergeCell ref="D21:D23"/>
    <mergeCell ref="E21:E23"/>
    <mergeCell ref="F21:F23"/>
    <mergeCell ref="G21:G23"/>
    <mergeCell ref="H21:H23"/>
    <mergeCell ref="A18:A20"/>
    <mergeCell ref="B18:B20"/>
    <mergeCell ref="C18:C20"/>
    <mergeCell ref="D18:D20"/>
    <mergeCell ref="E18:E20"/>
    <mergeCell ref="F18:F20"/>
    <mergeCell ref="G12:G14"/>
    <mergeCell ref="H12:H14"/>
    <mergeCell ref="A15:A17"/>
    <mergeCell ref="B15:B17"/>
    <mergeCell ref="C15:C17"/>
    <mergeCell ref="D15:D17"/>
    <mergeCell ref="E15:E17"/>
    <mergeCell ref="F15:F17"/>
    <mergeCell ref="G15:G17"/>
    <mergeCell ref="H15:H17"/>
    <mergeCell ref="A12:A14"/>
    <mergeCell ref="B12:B14"/>
    <mergeCell ref="C12:C14"/>
    <mergeCell ref="D12:D14"/>
    <mergeCell ref="E12:E14"/>
    <mergeCell ref="F12:F14"/>
    <mergeCell ref="G6:G8"/>
    <mergeCell ref="H6:H8"/>
    <mergeCell ref="A9:A11"/>
    <mergeCell ref="B9:B11"/>
    <mergeCell ref="C9:C11"/>
    <mergeCell ref="D9:D11"/>
    <mergeCell ref="E9:E11"/>
    <mergeCell ref="F9:F11"/>
    <mergeCell ref="G9:G11"/>
    <mergeCell ref="H9:H11"/>
    <mergeCell ref="CY4:CY5"/>
    <mergeCell ref="CZ4:CZ5"/>
    <mergeCell ref="DA4:DA5"/>
    <mergeCell ref="DB4:DB5"/>
    <mergeCell ref="A6:A8"/>
    <mergeCell ref="B6:B8"/>
    <mergeCell ref="C6:C8"/>
    <mergeCell ref="D6:D8"/>
    <mergeCell ref="E6:E8"/>
    <mergeCell ref="F6:F8"/>
    <mergeCell ref="CS4:CS5"/>
    <mergeCell ref="CT4:CT5"/>
    <mergeCell ref="CU4:CU5"/>
    <mergeCell ref="CV4:CV5"/>
    <mergeCell ref="CW4:CW5"/>
    <mergeCell ref="CX4:CX5"/>
    <mergeCell ref="CM4:CM5"/>
    <mergeCell ref="CN4:CN5"/>
    <mergeCell ref="CO4:CO5"/>
    <mergeCell ref="CP4:CP5"/>
    <mergeCell ref="CQ4:CQ5"/>
    <mergeCell ref="CR4:CR5"/>
    <mergeCell ref="CG4:CG5"/>
    <mergeCell ref="CH4:CH5"/>
    <mergeCell ref="CI4:CI5"/>
    <mergeCell ref="CJ4:CJ5"/>
    <mergeCell ref="CK4:CK5"/>
    <mergeCell ref="CL4:CL5"/>
    <mergeCell ref="CB4:CB5"/>
    <mergeCell ref="CC4:CC5"/>
    <mergeCell ref="CD4:CD5"/>
    <mergeCell ref="CE4:CE5"/>
    <mergeCell ref="CF4:CF5"/>
    <mergeCell ref="BV4:BV5"/>
    <mergeCell ref="BW4:BW5"/>
    <mergeCell ref="BX4:BX5"/>
    <mergeCell ref="BY4:BY5"/>
    <mergeCell ref="BZ4:BZ5"/>
    <mergeCell ref="CA4:CA5"/>
    <mergeCell ref="BP4:BP5"/>
    <mergeCell ref="BQ4:BQ5"/>
    <mergeCell ref="BR4:BR5"/>
    <mergeCell ref="BS4:BS5"/>
    <mergeCell ref="BT4:BT5"/>
    <mergeCell ref="BU4:BU5"/>
    <mergeCell ref="BJ4:BJ5"/>
    <mergeCell ref="BK4:BK5"/>
    <mergeCell ref="BL4:BL5"/>
    <mergeCell ref="BM4:BM5"/>
    <mergeCell ref="BN4:BN5"/>
    <mergeCell ref="BO4:BO5"/>
    <mergeCell ref="BD4:BD5"/>
    <mergeCell ref="BE4:BE5"/>
    <mergeCell ref="BF4:BF5"/>
    <mergeCell ref="BG4:BG5"/>
    <mergeCell ref="BH4:BH5"/>
    <mergeCell ref="BI4:BI5"/>
    <mergeCell ref="AX4:AX5"/>
    <mergeCell ref="AY4:AY5"/>
    <mergeCell ref="AZ4:AZ5"/>
    <mergeCell ref="BA4:BA5"/>
    <mergeCell ref="BB4:BB5"/>
    <mergeCell ref="BC4:BC5"/>
    <mergeCell ref="AR4:AR5"/>
    <mergeCell ref="AS4:AS5"/>
    <mergeCell ref="AT4:AT5"/>
    <mergeCell ref="AU4:AU5"/>
    <mergeCell ref="AV4:AV5"/>
    <mergeCell ref="AW4:AW5"/>
    <mergeCell ref="AL4:AL5"/>
    <mergeCell ref="AM4:AM5"/>
    <mergeCell ref="AN4:AN5"/>
    <mergeCell ref="AO4:AO5"/>
    <mergeCell ref="AP4:AP5"/>
    <mergeCell ref="AQ4:AQ5"/>
    <mergeCell ref="AF4:AF5"/>
    <mergeCell ref="AG4:AG5"/>
    <mergeCell ref="AH4:AH5"/>
    <mergeCell ref="AI4:AI5"/>
    <mergeCell ref="AJ4:AJ5"/>
    <mergeCell ref="AK4:AK5"/>
    <mergeCell ref="Z4:Z5"/>
    <mergeCell ref="AA4:AA5"/>
    <mergeCell ref="AB4:AB5"/>
    <mergeCell ref="AC4:AC5"/>
    <mergeCell ref="AD4:AD5"/>
    <mergeCell ref="AE4:AE5"/>
    <mergeCell ref="T4:T5"/>
    <mergeCell ref="U4:U5"/>
    <mergeCell ref="V4:V5"/>
    <mergeCell ref="W4:W5"/>
    <mergeCell ref="X4:X5"/>
    <mergeCell ref="Y4:Y5"/>
    <mergeCell ref="N4:N5"/>
    <mergeCell ref="O4:O5"/>
    <mergeCell ref="P4:P5"/>
    <mergeCell ref="Q4:Q5"/>
    <mergeCell ref="R4:R5"/>
    <mergeCell ref="S4:S5"/>
    <mergeCell ref="CX1:CX3"/>
    <mergeCell ref="CY1:CY3"/>
    <mergeCell ref="CZ1:CZ3"/>
    <mergeCell ref="DA1:DA3"/>
    <mergeCell ref="DB1:DB3"/>
    <mergeCell ref="I4:I5"/>
    <mergeCell ref="J4:J5"/>
    <mergeCell ref="K4:K5"/>
    <mergeCell ref="L4:L5"/>
    <mergeCell ref="M4:M5"/>
    <mergeCell ref="CR1:CR3"/>
    <mergeCell ref="CS1:CS3"/>
    <mergeCell ref="CT1:CT3"/>
    <mergeCell ref="CU1:CU3"/>
    <mergeCell ref="CV1:CV3"/>
    <mergeCell ref="CW1:CW3"/>
    <mergeCell ref="CL1:CL3"/>
    <mergeCell ref="CM1:CM3"/>
    <mergeCell ref="CN1:CN3"/>
    <mergeCell ref="CO1:CO3"/>
    <mergeCell ref="CP1:CP3"/>
    <mergeCell ref="CQ1:CQ3"/>
    <mergeCell ref="CF1:CF3"/>
    <mergeCell ref="CG1:CG3"/>
    <mergeCell ref="CH1:CH3"/>
    <mergeCell ref="CI1:CI3"/>
    <mergeCell ref="CJ1:CJ3"/>
    <mergeCell ref="CK1:CK3"/>
    <mergeCell ref="CA1:CA3"/>
    <mergeCell ref="CB1:CB3"/>
    <mergeCell ref="CC1:CC3"/>
    <mergeCell ref="CD1:CD3"/>
    <mergeCell ref="CE1:CE3"/>
    <mergeCell ref="BU1:BU3"/>
    <mergeCell ref="BV1:BV3"/>
    <mergeCell ref="BW1:BW3"/>
    <mergeCell ref="BX1:BX3"/>
    <mergeCell ref="BY1:BY3"/>
    <mergeCell ref="BZ1:BZ3"/>
    <mergeCell ref="BO1:BO3"/>
    <mergeCell ref="BP1:BP3"/>
    <mergeCell ref="BQ1:BQ3"/>
    <mergeCell ref="BR1:BR3"/>
    <mergeCell ref="BS1:BS3"/>
    <mergeCell ref="BT1:BT3"/>
    <mergeCell ref="BI1:BI3"/>
    <mergeCell ref="BJ1:BJ3"/>
    <mergeCell ref="BK1:BK3"/>
    <mergeCell ref="BL1:BL3"/>
    <mergeCell ref="BM1:BM3"/>
    <mergeCell ref="BN1:BN3"/>
    <mergeCell ref="BC1:BC3"/>
    <mergeCell ref="BD1:BD3"/>
    <mergeCell ref="BE1:BE3"/>
    <mergeCell ref="BF1:BF3"/>
    <mergeCell ref="BG1:BG3"/>
    <mergeCell ref="BH1:BH3"/>
    <mergeCell ref="AW1:AW3"/>
    <mergeCell ref="AX1:AX3"/>
    <mergeCell ref="AY1:AY3"/>
    <mergeCell ref="AZ1:AZ3"/>
    <mergeCell ref="BA1:BA3"/>
    <mergeCell ref="BB1:BB3"/>
    <mergeCell ref="AQ1:AQ3"/>
    <mergeCell ref="AR1:AR3"/>
    <mergeCell ref="AS1:AS3"/>
    <mergeCell ref="AT1:AT3"/>
    <mergeCell ref="AU1:AU3"/>
    <mergeCell ref="AV1:AV3"/>
    <mergeCell ref="AK1:AK3"/>
    <mergeCell ref="AL1:AL3"/>
    <mergeCell ref="AM1:AM3"/>
    <mergeCell ref="AN1:AN3"/>
    <mergeCell ref="AO1:AO3"/>
    <mergeCell ref="AP1:AP3"/>
    <mergeCell ref="AE1:AE3"/>
    <mergeCell ref="AF1:AF3"/>
    <mergeCell ref="AG1:AG3"/>
    <mergeCell ref="AH1:AH3"/>
    <mergeCell ref="AI1:AI3"/>
    <mergeCell ref="AJ1:AJ3"/>
    <mergeCell ref="Y1:Y3"/>
    <mergeCell ref="Z1:Z3"/>
    <mergeCell ref="AA1:AA3"/>
    <mergeCell ref="AB1:AB3"/>
    <mergeCell ref="AC1:AC3"/>
    <mergeCell ref="AD1:AD3"/>
    <mergeCell ref="S1:S3"/>
    <mergeCell ref="T1:T3"/>
    <mergeCell ref="U1:U3"/>
    <mergeCell ref="V1:V3"/>
    <mergeCell ref="W1:W3"/>
    <mergeCell ref="X1:X3"/>
    <mergeCell ref="M1:M3"/>
    <mergeCell ref="N1:N3"/>
    <mergeCell ref="O1:O3"/>
    <mergeCell ref="P1:P3"/>
    <mergeCell ref="Q1:Q3"/>
    <mergeCell ref="R1:R3"/>
    <mergeCell ref="G1:G5"/>
    <mergeCell ref="H1:H5"/>
    <mergeCell ref="I1:I3"/>
    <mergeCell ref="J1:J3"/>
    <mergeCell ref="K1:K3"/>
    <mergeCell ref="L1:L3"/>
    <mergeCell ref="A1:A5"/>
    <mergeCell ref="B1:B5"/>
    <mergeCell ref="C1:C5"/>
    <mergeCell ref="D1:D5"/>
    <mergeCell ref="E1:E5"/>
    <mergeCell ref="F1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092AD-1911-FF4C-81D3-C5ED03AD2EF7}">
  <dimension ref="A1:B16"/>
  <sheetViews>
    <sheetView workbookViewId="0">
      <selection activeCell="D13" sqref="D13"/>
    </sheetView>
  </sheetViews>
  <sheetFormatPr baseColWidth="10" defaultRowHeight="16" x14ac:dyDescent="0.2"/>
  <cols>
    <col min="1" max="1" width="6" customWidth="1"/>
    <col min="2" max="2" width="16.6640625" bestFit="1" customWidth="1"/>
  </cols>
  <sheetData>
    <row r="1" spans="1:2" x14ac:dyDescent="0.2">
      <c r="A1">
        <v>28</v>
      </c>
      <c r="B1" t="s">
        <v>186</v>
      </c>
    </row>
    <row r="2" spans="1:2" x14ac:dyDescent="0.2">
      <c r="A2">
        <v>27</v>
      </c>
      <c r="B2" t="s">
        <v>186</v>
      </c>
    </row>
    <row r="3" spans="1:2" x14ac:dyDescent="0.2">
      <c r="A3">
        <v>29</v>
      </c>
      <c r="B3" t="s">
        <v>186</v>
      </c>
    </row>
    <row r="4" spans="1:2" x14ac:dyDescent="0.2">
      <c r="A4">
        <v>27</v>
      </c>
      <c r="B4" t="s">
        <v>186</v>
      </c>
    </row>
    <row r="5" spans="1:2" x14ac:dyDescent="0.2">
      <c r="A5">
        <v>27</v>
      </c>
      <c r="B5" t="s">
        <v>186</v>
      </c>
    </row>
    <row r="6" spans="1:2" x14ac:dyDescent="0.2">
      <c r="A6">
        <v>27</v>
      </c>
      <c r="B6" t="s">
        <v>187</v>
      </c>
    </row>
    <row r="7" spans="1:2" x14ac:dyDescent="0.2">
      <c r="A7">
        <v>26</v>
      </c>
      <c r="B7" t="s">
        <v>187</v>
      </c>
    </row>
    <row r="8" spans="1:2" x14ac:dyDescent="0.2">
      <c r="A8">
        <v>27</v>
      </c>
      <c r="B8" t="s">
        <v>187</v>
      </c>
    </row>
    <row r="9" spans="1:2" x14ac:dyDescent="0.2">
      <c r="A9">
        <v>27</v>
      </c>
      <c r="B9" t="s">
        <v>187</v>
      </c>
    </row>
    <row r="10" spans="1:2" x14ac:dyDescent="0.2">
      <c r="A10" s="199">
        <v>29</v>
      </c>
      <c r="B10" s="199" t="s">
        <v>187</v>
      </c>
    </row>
    <row r="11" spans="1:2" x14ac:dyDescent="0.2">
      <c r="A11">
        <f>MIN(A1:A10)</f>
        <v>26</v>
      </c>
      <c r="B11" s="200" t="s">
        <v>166</v>
      </c>
    </row>
    <row r="12" spans="1:2" x14ac:dyDescent="0.2">
      <c r="A12">
        <f>MAX(A1:A10)</f>
        <v>29</v>
      </c>
      <c r="B12" s="200" t="s">
        <v>168</v>
      </c>
    </row>
    <row r="13" spans="1:2" x14ac:dyDescent="0.2">
      <c r="A13" s="201">
        <f>AVERAGE(A1:A10)</f>
        <v>27.4</v>
      </c>
      <c r="B13" s="200" t="s">
        <v>169</v>
      </c>
    </row>
    <row r="14" spans="1:2" x14ac:dyDescent="0.2">
      <c r="A14" s="202">
        <f>STDEV(A1:A10)</f>
        <v>0.96609178307929588</v>
      </c>
      <c r="B14" s="200" t="s">
        <v>188</v>
      </c>
    </row>
    <row r="15" spans="1:2" x14ac:dyDescent="0.2">
      <c r="A15">
        <v>1</v>
      </c>
      <c r="B15" s="200" t="s">
        <v>189</v>
      </c>
    </row>
    <row r="16" spans="1:2" x14ac:dyDescent="0.2">
      <c r="A16">
        <f>COUNT(A1:A10)</f>
        <v>10</v>
      </c>
      <c r="B16" s="200" t="s">
        <v>171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4DAC0-C768-D84E-9E5A-00DF9AD0C6D2}">
  <dimension ref="A1:DA46"/>
  <sheetViews>
    <sheetView topLeftCell="BN18" zoomScale="96" workbookViewId="0">
      <selection activeCell="CG35" sqref="CG35"/>
    </sheetView>
  </sheetViews>
  <sheetFormatPr baseColWidth="10" defaultColWidth="10.83203125" defaultRowHeight="16" x14ac:dyDescent="0.2"/>
  <cols>
    <col min="1" max="1" width="13" style="49" customWidth="1"/>
    <col min="2" max="2" width="10.33203125" style="130" customWidth="1"/>
    <col min="3" max="3" width="14.6640625" style="131" customWidth="1"/>
    <col min="4" max="4" width="6.33203125" style="131" customWidth="1"/>
    <col min="5" max="5" width="14.83203125" style="130" customWidth="1"/>
    <col min="6" max="6" width="12.33203125" style="45" customWidth="1"/>
    <col min="7" max="7" width="10.33203125" style="132" customWidth="1"/>
    <col min="8" max="8" width="12.1640625" style="45" customWidth="1"/>
    <col min="9" max="9" width="32.83203125" style="160" customWidth="1"/>
    <col min="10" max="18" width="10.83203125" style="45"/>
    <col min="19" max="19" width="14" style="53" customWidth="1"/>
    <col min="20" max="35" width="10.83203125" style="53"/>
    <col min="36" max="52" width="10.83203125" style="45"/>
    <col min="53" max="53" width="10.83203125" style="49"/>
    <col min="54" max="67" width="10.83203125" style="45"/>
    <col min="68" max="68" width="10.83203125" style="49"/>
    <col min="69" max="71" width="10.83203125" style="45"/>
    <col min="72" max="72" width="10.83203125" style="49"/>
    <col min="73" max="75" width="10.83203125" style="45"/>
    <col min="76" max="76" width="10.83203125" style="49"/>
    <col min="77" max="77" width="10.83203125" style="45"/>
    <col min="78" max="78" width="10.33203125" style="45" customWidth="1"/>
    <col min="79" max="79" width="14.1640625" style="80" customWidth="1"/>
    <col min="80" max="16384" width="10.83203125" style="45"/>
  </cols>
  <sheetData>
    <row r="1" spans="1:105" s="14" customFormat="1" ht="16" customHeight="1" x14ac:dyDescent="0.2">
      <c r="A1" s="1" t="s">
        <v>0</v>
      </c>
      <c r="B1" s="2" t="s">
        <v>1</v>
      </c>
      <c r="C1" s="2" t="s">
        <v>2</v>
      </c>
      <c r="D1" s="2" t="s">
        <v>228</v>
      </c>
      <c r="E1" s="2" t="s">
        <v>3</v>
      </c>
      <c r="F1" s="3" t="s">
        <v>4</v>
      </c>
      <c r="G1" s="3" t="s">
        <v>5</v>
      </c>
      <c r="H1" s="3" t="s">
        <v>6</v>
      </c>
      <c r="I1" s="4" t="s">
        <v>7</v>
      </c>
      <c r="J1" s="5" t="s">
        <v>8</v>
      </c>
      <c r="K1" s="5"/>
      <c r="L1" s="5" t="s">
        <v>9</v>
      </c>
      <c r="M1" s="5"/>
      <c r="N1" s="5"/>
      <c r="O1" s="5"/>
      <c r="P1" s="5"/>
      <c r="Q1" s="5"/>
      <c r="R1" s="5"/>
      <c r="S1" s="6" t="s">
        <v>224</v>
      </c>
      <c r="T1" s="6"/>
      <c r="U1" s="6" t="s">
        <v>11</v>
      </c>
      <c r="V1" s="6"/>
      <c r="W1" s="6"/>
      <c r="X1" s="6"/>
      <c r="Y1" s="6"/>
      <c r="Z1" s="6" t="s">
        <v>12</v>
      </c>
      <c r="AA1" s="6"/>
      <c r="AB1" s="6" t="s">
        <v>13</v>
      </c>
      <c r="AC1" s="7"/>
      <c r="AD1" s="6"/>
      <c r="AE1" s="6" t="s">
        <v>14</v>
      </c>
      <c r="AF1" s="6" t="s">
        <v>15</v>
      </c>
      <c r="AG1" s="6"/>
      <c r="AH1" s="6" t="s">
        <v>16</v>
      </c>
      <c r="AI1" s="8"/>
      <c r="AJ1" s="5" t="s">
        <v>17</v>
      </c>
      <c r="AK1" s="5"/>
      <c r="AL1" s="9" t="s">
        <v>18</v>
      </c>
      <c r="AM1" s="9"/>
      <c r="AN1" s="9"/>
      <c r="AO1" s="9"/>
      <c r="AP1" s="9"/>
      <c r="AQ1" s="9" t="s">
        <v>19</v>
      </c>
      <c r="AR1" s="9"/>
      <c r="AS1" s="9" t="s">
        <v>20</v>
      </c>
      <c r="AT1" s="10"/>
      <c r="AU1" s="9"/>
      <c r="AV1" s="9" t="s">
        <v>21</v>
      </c>
      <c r="AW1" s="9" t="s">
        <v>22</v>
      </c>
      <c r="AX1" s="9"/>
      <c r="AY1" s="9" t="s">
        <v>23</v>
      </c>
      <c r="AZ1" s="11"/>
      <c r="BA1" s="12" t="s">
        <v>24</v>
      </c>
      <c r="BB1" s="5" t="s">
        <v>25</v>
      </c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13"/>
      <c r="BQ1" s="5" t="s">
        <v>26</v>
      </c>
      <c r="BR1" s="5"/>
      <c r="BS1" s="5"/>
      <c r="BT1" s="13"/>
      <c r="BU1" s="5" t="s">
        <v>27</v>
      </c>
      <c r="BV1" s="5"/>
      <c r="BW1" s="5"/>
      <c r="BX1" s="13"/>
      <c r="BY1" s="5" t="s">
        <v>28</v>
      </c>
      <c r="BZ1" s="5"/>
      <c r="CA1" s="3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</row>
    <row r="2" spans="1:105" s="14" customFormat="1" ht="63" customHeight="1" x14ac:dyDescent="0.2">
      <c r="A2" s="1"/>
      <c r="B2" s="2"/>
      <c r="C2" s="2"/>
      <c r="D2" s="2"/>
      <c r="E2" s="2"/>
      <c r="F2" s="3"/>
      <c r="G2" s="3"/>
      <c r="H2" s="3"/>
      <c r="I2" s="4"/>
      <c r="J2" s="5"/>
      <c r="K2" s="5"/>
      <c r="L2" s="5"/>
      <c r="M2" s="5"/>
      <c r="N2" s="5"/>
      <c r="O2" s="5"/>
      <c r="P2" s="5"/>
      <c r="Q2" s="5"/>
      <c r="R2" s="5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6"/>
      <c r="AE2" s="6"/>
      <c r="AF2" s="6"/>
      <c r="AG2" s="6"/>
      <c r="AH2" s="6"/>
      <c r="AI2" s="8"/>
      <c r="AJ2" s="5"/>
      <c r="AK2" s="5"/>
      <c r="AL2" s="9"/>
      <c r="AM2" s="9"/>
      <c r="AN2" s="9"/>
      <c r="AO2" s="9"/>
      <c r="AP2" s="9"/>
      <c r="AQ2" s="9"/>
      <c r="AR2" s="9"/>
      <c r="AS2" s="9"/>
      <c r="AT2" s="10"/>
      <c r="AU2" s="9"/>
      <c r="AV2" s="9"/>
      <c r="AW2" s="9"/>
      <c r="AX2" s="9"/>
      <c r="AY2" s="9"/>
      <c r="AZ2" s="11"/>
      <c r="BA2" s="12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13"/>
      <c r="BQ2" s="5"/>
      <c r="BR2" s="5"/>
      <c r="BS2" s="5"/>
      <c r="BT2" s="13"/>
      <c r="BU2" s="5"/>
      <c r="BV2" s="5"/>
      <c r="BW2" s="5"/>
      <c r="BX2" s="13"/>
      <c r="BY2" s="5"/>
      <c r="BZ2" s="5"/>
      <c r="CA2" s="3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</row>
    <row r="3" spans="1:105" s="15" customFormat="1" ht="26" customHeight="1" x14ac:dyDescent="0.2">
      <c r="A3" s="1"/>
      <c r="B3" s="2"/>
      <c r="C3" s="2"/>
      <c r="D3" s="2"/>
      <c r="E3" s="2"/>
      <c r="F3" s="3"/>
      <c r="G3" s="3"/>
      <c r="H3" s="3"/>
      <c r="I3" s="4"/>
      <c r="J3" s="17" t="s">
        <v>29</v>
      </c>
      <c r="K3" s="17" t="s">
        <v>30</v>
      </c>
      <c r="L3" s="17" t="s">
        <v>31</v>
      </c>
      <c r="M3" s="17" t="s">
        <v>32</v>
      </c>
      <c r="N3" s="17" t="s">
        <v>34</v>
      </c>
      <c r="O3" s="17" t="s">
        <v>35</v>
      </c>
      <c r="P3" s="17" t="s">
        <v>36</v>
      </c>
      <c r="Q3" s="17" t="s">
        <v>37</v>
      </c>
      <c r="R3" s="17" t="s">
        <v>38</v>
      </c>
      <c r="S3" s="18" t="s">
        <v>39</v>
      </c>
      <c r="T3" s="7" t="s">
        <v>40</v>
      </c>
      <c r="U3" s="7" t="s">
        <v>41</v>
      </c>
      <c r="V3" s="7" t="s">
        <v>42</v>
      </c>
      <c r="W3" s="7" t="s">
        <v>43</v>
      </c>
      <c r="X3" s="7" t="s">
        <v>44</v>
      </c>
      <c r="Y3" s="7" t="s">
        <v>45</v>
      </c>
      <c r="Z3" s="7" t="s">
        <v>44</v>
      </c>
      <c r="AA3" s="7" t="s">
        <v>45</v>
      </c>
      <c r="AB3" s="7" t="s">
        <v>46</v>
      </c>
      <c r="AC3" s="7" t="s">
        <v>47</v>
      </c>
      <c r="AD3" s="7" t="s">
        <v>48</v>
      </c>
      <c r="AE3" s="7" t="s">
        <v>49</v>
      </c>
      <c r="AF3" s="7" t="s">
        <v>50</v>
      </c>
      <c r="AG3" s="7" t="s">
        <v>51</v>
      </c>
      <c r="AH3" s="7" t="s">
        <v>52</v>
      </c>
      <c r="AI3" s="19" t="s">
        <v>53</v>
      </c>
      <c r="AJ3" s="20" t="s">
        <v>54</v>
      </c>
      <c r="AK3" s="20" t="s">
        <v>55</v>
      </c>
      <c r="AL3" s="10" t="s">
        <v>41</v>
      </c>
      <c r="AM3" s="10" t="s">
        <v>42</v>
      </c>
      <c r="AN3" s="10" t="s">
        <v>43</v>
      </c>
      <c r="AO3" s="10" t="s">
        <v>44</v>
      </c>
      <c r="AP3" s="10" t="s">
        <v>45</v>
      </c>
      <c r="AQ3" s="10" t="s">
        <v>44</v>
      </c>
      <c r="AR3" s="10" t="s">
        <v>45</v>
      </c>
      <c r="AS3" s="10" t="s">
        <v>46</v>
      </c>
      <c r="AT3" s="10" t="s">
        <v>47</v>
      </c>
      <c r="AU3" s="10" t="s">
        <v>56</v>
      </c>
      <c r="AV3" s="10" t="s">
        <v>49</v>
      </c>
      <c r="AW3" s="10" t="s">
        <v>50</v>
      </c>
      <c r="AX3" s="10" t="s">
        <v>51</v>
      </c>
      <c r="AY3" s="10" t="s">
        <v>52</v>
      </c>
      <c r="AZ3" s="21" t="s">
        <v>53</v>
      </c>
      <c r="BA3" s="22" t="s">
        <v>57</v>
      </c>
      <c r="BB3" s="17" t="s">
        <v>8</v>
      </c>
      <c r="BC3" s="17" t="s">
        <v>58</v>
      </c>
      <c r="BD3" s="17" t="s">
        <v>59</v>
      </c>
      <c r="BE3" s="17" t="s">
        <v>60</v>
      </c>
      <c r="BF3" s="17" t="s">
        <v>61</v>
      </c>
      <c r="BG3" s="17" t="s">
        <v>62</v>
      </c>
      <c r="BH3" s="17" t="s">
        <v>63</v>
      </c>
      <c r="BI3" s="17" t="s">
        <v>64</v>
      </c>
      <c r="BJ3" s="17" t="s">
        <v>65</v>
      </c>
      <c r="BK3" s="17" t="s">
        <v>66</v>
      </c>
      <c r="BL3" s="17" t="s">
        <v>67</v>
      </c>
      <c r="BM3" s="17" t="s">
        <v>68</v>
      </c>
      <c r="BN3" s="17" t="s">
        <v>69</v>
      </c>
      <c r="BO3" s="17" t="s">
        <v>70</v>
      </c>
      <c r="BP3" s="24" t="s">
        <v>56</v>
      </c>
      <c r="BQ3" s="17" t="s">
        <v>71</v>
      </c>
      <c r="BR3" s="17" t="s">
        <v>72</v>
      </c>
      <c r="BS3" s="17" t="s">
        <v>73</v>
      </c>
      <c r="BT3" s="24" t="s">
        <v>74</v>
      </c>
      <c r="BU3" s="17" t="s">
        <v>75</v>
      </c>
      <c r="BV3" s="17" t="s">
        <v>76</v>
      </c>
      <c r="BW3" s="17" t="s">
        <v>77</v>
      </c>
      <c r="BX3" s="24" t="s">
        <v>78</v>
      </c>
      <c r="BY3" s="17" t="s">
        <v>79</v>
      </c>
      <c r="BZ3" s="17" t="s">
        <v>81</v>
      </c>
      <c r="CA3" s="17" t="s">
        <v>225</v>
      </c>
      <c r="CB3" s="17" t="s">
        <v>82</v>
      </c>
      <c r="CC3" s="24" t="s">
        <v>83</v>
      </c>
      <c r="CD3" s="187" t="s">
        <v>84</v>
      </c>
      <c r="CE3" s="187" t="s">
        <v>85</v>
      </c>
      <c r="CF3" s="188" t="s">
        <v>86</v>
      </c>
      <c r="CG3" s="17" t="s">
        <v>87</v>
      </c>
      <c r="CH3" s="17" t="s">
        <v>88</v>
      </c>
      <c r="CI3" s="24" t="s">
        <v>89</v>
      </c>
      <c r="CJ3" s="17" t="s">
        <v>90</v>
      </c>
      <c r="CK3" s="17" t="s">
        <v>91</v>
      </c>
      <c r="CL3" s="24" t="s">
        <v>92</v>
      </c>
      <c r="CM3" s="17" t="s">
        <v>93</v>
      </c>
      <c r="CN3" s="17" t="s">
        <v>94</v>
      </c>
      <c r="CO3" s="24" t="s">
        <v>95</v>
      </c>
      <c r="CP3" s="17" t="s">
        <v>96</v>
      </c>
      <c r="CQ3" s="17" t="s">
        <v>97</v>
      </c>
      <c r="CR3" s="24" t="s">
        <v>98</v>
      </c>
      <c r="CS3" s="17" t="s">
        <v>99</v>
      </c>
      <c r="CT3" s="17" t="s">
        <v>100</v>
      </c>
      <c r="CU3" s="24" t="s">
        <v>101</v>
      </c>
      <c r="CV3" s="17" t="s">
        <v>102</v>
      </c>
      <c r="CW3" s="17" t="s">
        <v>103</v>
      </c>
      <c r="CX3" s="24" t="s">
        <v>104</v>
      </c>
      <c r="CY3" s="17" t="s">
        <v>105</v>
      </c>
      <c r="CZ3" s="17" t="s">
        <v>106</v>
      </c>
      <c r="DA3" s="24" t="s">
        <v>107</v>
      </c>
    </row>
    <row r="4" spans="1:105" s="15" customFormat="1" ht="72" customHeight="1" x14ac:dyDescent="0.2">
      <c r="A4" s="25"/>
      <c r="B4" s="26"/>
      <c r="C4" s="26"/>
      <c r="D4" s="26"/>
      <c r="E4" s="26"/>
      <c r="F4" s="27"/>
      <c r="G4" s="27"/>
      <c r="H4" s="27"/>
      <c r="I4" s="28"/>
      <c r="J4" s="30"/>
      <c r="K4" s="30"/>
      <c r="L4" s="30"/>
      <c r="M4" s="30"/>
      <c r="N4" s="30"/>
      <c r="O4" s="30"/>
      <c r="P4" s="30"/>
      <c r="Q4" s="30"/>
      <c r="R4" s="30"/>
      <c r="S4" s="31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3"/>
      <c r="AJ4" s="34"/>
      <c r="AK4" s="34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6"/>
      <c r="BA4" s="37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9"/>
      <c r="BQ4" s="30"/>
      <c r="BR4" s="30"/>
      <c r="BS4" s="30"/>
      <c r="BT4" s="39"/>
      <c r="BU4" s="30"/>
      <c r="BV4" s="30"/>
      <c r="BW4" s="30"/>
      <c r="BX4" s="39"/>
      <c r="BY4" s="30"/>
      <c r="BZ4" s="30"/>
      <c r="CA4" s="30"/>
      <c r="CB4" s="30"/>
      <c r="CC4" s="39"/>
      <c r="CD4" s="191"/>
      <c r="CE4" s="191"/>
      <c r="CF4" s="192"/>
      <c r="CG4" s="30"/>
      <c r="CH4" s="30"/>
      <c r="CI4" s="39"/>
      <c r="CJ4" s="30"/>
      <c r="CK4" s="30"/>
      <c r="CL4" s="39"/>
      <c r="CM4" s="30"/>
      <c r="CN4" s="30"/>
      <c r="CO4" s="39"/>
      <c r="CP4" s="30"/>
      <c r="CQ4" s="30"/>
      <c r="CR4" s="39"/>
      <c r="CS4" s="30"/>
      <c r="CT4" s="30"/>
      <c r="CU4" s="39"/>
      <c r="CV4" s="30"/>
      <c r="CW4" s="30"/>
      <c r="CX4" s="39"/>
      <c r="CY4" s="30"/>
      <c r="CZ4" s="30"/>
      <c r="DA4" s="39"/>
    </row>
    <row r="5" spans="1:105" s="80" customFormat="1" x14ac:dyDescent="0.2">
      <c r="A5" s="203" t="s">
        <v>190</v>
      </c>
      <c r="B5" s="204" t="s">
        <v>109</v>
      </c>
      <c r="C5" s="205" t="s">
        <v>191</v>
      </c>
      <c r="D5" s="204" t="s">
        <v>112</v>
      </c>
      <c r="E5" s="204" t="s">
        <v>111</v>
      </c>
      <c r="F5" s="206" t="s">
        <v>192</v>
      </c>
      <c r="G5" s="207">
        <v>4</v>
      </c>
      <c r="H5" s="206" t="s">
        <v>133</v>
      </c>
      <c r="I5" s="161" t="s">
        <v>193</v>
      </c>
      <c r="J5" s="80">
        <f>210+298+681+634+836+554+695+2088+434+1958+2246+1060+921+1413+2245+610+529+2352+1234+932+729</f>
        <v>22659</v>
      </c>
      <c r="K5" s="80">
        <v>164</v>
      </c>
      <c r="L5" s="80">
        <v>50</v>
      </c>
      <c r="M5" s="80">
        <v>7</v>
      </c>
      <c r="N5" s="80">
        <f>L5-M5</f>
        <v>43</v>
      </c>
      <c r="O5" s="146">
        <f>N5/L5</f>
        <v>0.86</v>
      </c>
      <c r="P5" s="80">
        <v>2</v>
      </c>
      <c r="Q5" s="80">
        <v>824</v>
      </c>
      <c r="R5" s="80">
        <v>349</v>
      </c>
      <c r="S5" s="47">
        <f>524+503+814</f>
        <v>1841</v>
      </c>
      <c r="T5" s="47">
        <v>461</v>
      </c>
      <c r="U5" s="47">
        <v>50</v>
      </c>
      <c r="V5" s="47">
        <v>31</v>
      </c>
      <c r="W5" s="47">
        <f>U5-V5</f>
        <v>19</v>
      </c>
      <c r="X5" s="47">
        <v>60</v>
      </c>
      <c r="Y5" s="47">
        <v>90</v>
      </c>
      <c r="Z5" s="47">
        <v>241</v>
      </c>
      <c r="AA5" s="47">
        <v>195</v>
      </c>
      <c r="AB5" s="47">
        <v>4</v>
      </c>
      <c r="AC5" s="47">
        <v>509</v>
      </c>
      <c r="AD5" s="47">
        <v>237</v>
      </c>
      <c r="AE5" s="47" t="s">
        <v>115</v>
      </c>
      <c r="AF5" s="208">
        <v>14</v>
      </c>
      <c r="AG5" s="208">
        <v>31</v>
      </c>
      <c r="AH5" s="47">
        <f>604+716</f>
        <v>1320</v>
      </c>
      <c r="AI5" s="48">
        <f>AH5/S5</f>
        <v>0.71700162954915803</v>
      </c>
      <c r="AJ5" s="80">
        <f>381+560+539</f>
        <v>1480</v>
      </c>
      <c r="AK5" s="80">
        <v>683</v>
      </c>
      <c r="AL5" s="80" t="s">
        <v>115</v>
      </c>
      <c r="AM5" s="80" t="s">
        <v>115</v>
      </c>
      <c r="AN5" s="80" t="s">
        <v>115</v>
      </c>
      <c r="AO5" s="80" t="s">
        <v>115</v>
      </c>
      <c r="AP5" s="80" t="s">
        <v>115</v>
      </c>
      <c r="AQ5" s="80" t="s">
        <v>115</v>
      </c>
      <c r="AR5" s="80" t="s">
        <v>115</v>
      </c>
      <c r="AS5" s="80">
        <v>4</v>
      </c>
      <c r="AT5" s="80">
        <f>104+196+334</f>
        <v>634</v>
      </c>
      <c r="AU5" s="80" t="s">
        <v>115</v>
      </c>
      <c r="AV5" s="80" t="s">
        <v>115</v>
      </c>
      <c r="AW5" s="80">
        <v>49</v>
      </c>
      <c r="AX5" s="80">
        <v>76</v>
      </c>
      <c r="AY5" s="80" t="s">
        <v>115</v>
      </c>
      <c r="AZ5" s="146" t="s">
        <v>115</v>
      </c>
      <c r="BA5" s="81">
        <v>19</v>
      </c>
      <c r="BB5" s="80">
        <f>762+894+826+709+1979+590</f>
        <v>5760</v>
      </c>
      <c r="BC5" s="80">
        <f>740+815+866+686</f>
        <v>3107</v>
      </c>
      <c r="BD5" s="80">
        <f>899+1577</f>
        <v>2476</v>
      </c>
      <c r="BE5" s="80">
        <v>118</v>
      </c>
      <c r="BF5" s="80">
        <v>654</v>
      </c>
      <c r="BG5" s="80">
        <v>598</v>
      </c>
      <c r="BH5" s="80">
        <f>624+1786</f>
        <v>2410</v>
      </c>
      <c r="BI5" s="80">
        <v>214</v>
      </c>
      <c r="BJ5" s="140">
        <v>44</v>
      </c>
      <c r="BK5" s="80">
        <v>653</v>
      </c>
      <c r="BL5" s="80">
        <v>198</v>
      </c>
      <c r="BM5" s="80">
        <v>654</v>
      </c>
      <c r="BN5" s="80" t="s">
        <v>115</v>
      </c>
      <c r="BO5" s="80" t="s">
        <v>115</v>
      </c>
      <c r="BP5" s="81" t="s">
        <v>115</v>
      </c>
      <c r="BQ5" s="147" t="s">
        <v>115</v>
      </c>
      <c r="BR5" s="147">
        <f>BH5/BI5</f>
        <v>11.261682242990654</v>
      </c>
      <c r="BS5" s="147">
        <f>BC5/BM5</f>
        <v>4.7507645259938842</v>
      </c>
      <c r="BT5" s="148">
        <f>BD5/BM5</f>
        <v>3.785932721712538</v>
      </c>
      <c r="BU5" s="80">
        <f>1071+634</f>
        <v>1705</v>
      </c>
      <c r="BV5" s="80">
        <v>110</v>
      </c>
      <c r="BW5" s="80">
        <v>118</v>
      </c>
      <c r="BX5" s="81">
        <v>124</v>
      </c>
      <c r="BY5" s="80" t="s">
        <v>118</v>
      </c>
      <c r="BZ5" s="80">
        <v>92</v>
      </c>
      <c r="CA5" s="80">
        <v>354</v>
      </c>
      <c r="CB5" s="80">
        <v>7</v>
      </c>
      <c r="CC5" s="81">
        <v>42</v>
      </c>
      <c r="CD5" s="172">
        <v>46</v>
      </c>
      <c r="CE5" s="172">
        <v>16</v>
      </c>
      <c r="CF5" s="186">
        <v>40</v>
      </c>
      <c r="CG5" s="80">
        <v>118</v>
      </c>
      <c r="CH5" s="80">
        <v>94</v>
      </c>
      <c r="CI5" s="81">
        <v>75</v>
      </c>
      <c r="CJ5" s="80">
        <v>120</v>
      </c>
      <c r="CK5" s="80">
        <v>55</v>
      </c>
      <c r="CL5" s="81">
        <v>99</v>
      </c>
      <c r="CM5" s="80">
        <v>119</v>
      </c>
      <c r="CN5" s="80">
        <v>35</v>
      </c>
      <c r="CO5" s="81">
        <v>108</v>
      </c>
      <c r="CP5" s="80">
        <v>78</v>
      </c>
      <c r="CQ5" s="80">
        <v>29</v>
      </c>
      <c r="CR5" s="81">
        <v>65</v>
      </c>
      <c r="CS5" s="80">
        <v>73</v>
      </c>
      <c r="CT5" s="80">
        <v>26</v>
      </c>
      <c r="CU5" s="81">
        <v>59</v>
      </c>
      <c r="CV5" s="80">
        <v>56</v>
      </c>
      <c r="CW5" s="80">
        <v>25</v>
      </c>
      <c r="CX5" s="81">
        <v>28</v>
      </c>
      <c r="CY5" s="80">
        <v>64</v>
      </c>
      <c r="CZ5" s="80">
        <v>28</v>
      </c>
      <c r="DA5" s="81">
        <v>37</v>
      </c>
    </row>
    <row r="6" spans="1:105" s="80" customFormat="1" x14ac:dyDescent="0.2">
      <c r="A6" s="203"/>
      <c r="B6" s="204"/>
      <c r="C6" s="205"/>
      <c r="D6" s="204"/>
      <c r="E6" s="204"/>
      <c r="F6" s="206"/>
      <c r="G6" s="207"/>
      <c r="H6" s="206"/>
      <c r="I6" s="161"/>
      <c r="S6" s="47"/>
      <c r="T6" s="47"/>
      <c r="U6" s="47"/>
      <c r="V6" s="47"/>
      <c r="W6" s="47"/>
      <c r="X6" s="47">
        <v>53</v>
      </c>
      <c r="Y6" s="47">
        <v>101</v>
      </c>
      <c r="Z6" s="47"/>
      <c r="AA6" s="47"/>
      <c r="AB6" s="47"/>
      <c r="AC6" s="47"/>
      <c r="AD6" s="47"/>
      <c r="AE6" s="47"/>
      <c r="AF6" s="208">
        <v>19</v>
      </c>
      <c r="AG6" s="208">
        <v>28</v>
      </c>
      <c r="AH6" s="47"/>
      <c r="AI6" s="48"/>
      <c r="AW6" s="80">
        <v>36</v>
      </c>
      <c r="AX6" s="80">
        <v>67</v>
      </c>
      <c r="AZ6" s="146"/>
      <c r="BA6" s="81">
        <v>21</v>
      </c>
      <c r="BH6" s="80">
        <f>1095+1355</f>
        <v>2450</v>
      </c>
      <c r="BI6" s="80">
        <v>248</v>
      </c>
      <c r="BJ6" s="140">
        <v>36</v>
      </c>
      <c r="BK6" s="80">
        <v>625</v>
      </c>
      <c r="BL6" s="80">
        <v>262</v>
      </c>
      <c r="BP6" s="81"/>
      <c r="BQ6" s="147"/>
      <c r="BR6" s="147">
        <f t="shared" ref="BR6:BR40" si="0">BH6/BI6</f>
        <v>9.879032258064516</v>
      </c>
      <c r="BS6" s="147"/>
      <c r="BT6" s="148"/>
      <c r="BV6" s="80">
        <v>92</v>
      </c>
      <c r="BW6" s="80">
        <v>123</v>
      </c>
      <c r="BX6" s="81">
        <v>133</v>
      </c>
      <c r="CA6" s="80">
        <f>86+135+230</f>
        <v>451</v>
      </c>
      <c r="CC6" s="81"/>
      <c r="CD6" s="172">
        <v>53</v>
      </c>
      <c r="CE6" s="172">
        <v>18</v>
      </c>
      <c r="CF6" s="186">
        <v>44</v>
      </c>
      <c r="CG6" s="80">
        <v>119</v>
      </c>
      <c r="CH6" s="80">
        <v>88</v>
      </c>
      <c r="CI6" s="81">
        <v>82</v>
      </c>
      <c r="CJ6" s="80">
        <v>115</v>
      </c>
      <c r="CK6" s="80">
        <v>47</v>
      </c>
      <c r="CL6" s="81">
        <v>97</v>
      </c>
      <c r="CM6" s="80">
        <v>109</v>
      </c>
      <c r="CN6" s="80">
        <v>37</v>
      </c>
      <c r="CO6" s="81">
        <v>87</v>
      </c>
      <c r="CR6" s="81"/>
      <c r="CS6" s="80">
        <v>67</v>
      </c>
      <c r="CT6" s="80">
        <v>23</v>
      </c>
      <c r="CU6" s="81">
        <v>42</v>
      </c>
      <c r="CV6" s="80">
        <v>51</v>
      </c>
      <c r="CW6" s="80">
        <v>25</v>
      </c>
      <c r="CX6" s="81">
        <v>26</v>
      </c>
      <c r="CY6" s="80">
        <v>53</v>
      </c>
      <c r="CZ6" s="80">
        <v>23</v>
      </c>
      <c r="DA6" s="81">
        <v>32</v>
      </c>
    </row>
    <row r="7" spans="1:105" s="80" customFormat="1" x14ac:dyDescent="0.2">
      <c r="A7" s="203"/>
      <c r="B7" s="204"/>
      <c r="C7" s="205"/>
      <c r="D7" s="204"/>
      <c r="E7" s="204"/>
      <c r="F7" s="206"/>
      <c r="G7" s="207"/>
      <c r="H7" s="206"/>
      <c r="I7" s="161"/>
      <c r="S7" s="47"/>
      <c r="T7" s="47"/>
      <c r="U7" s="47"/>
      <c r="V7" s="47"/>
      <c r="W7" s="47"/>
      <c r="X7" s="47">
        <v>51</v>
      </c>
      <c r="Y7" s="47">
        <v>108</v>
      </c>
      <c r="Z7" s="47"/>
      <c r="AA7" s="47"/>
      <c r="AB7" s="47"/>
      <c r="AC7" s="47"/>
      <c r="AD7" s="47"/>
      <c r="AE7" s="47"/>
      <c r="AF7" s="208">
        <v>19</v>
      </c>
      <c r="AG7" s="208">
        <v>30</v>
      </c>
      <c r="AH7" s="47"/>
      <c r="AI7" s="48"/>
      <c r="AW7" s="80">
        <v>51</v>
      </c>
      <c r="AX7" s="80">
        <v>71</v>
      </c>
      <c r="AZ7" s="146"/>
      <c r="BA7" s="81"/>
      <c r="BH7" s="80">
        <v>2354</v>
      </c>
      <c r="BJ7" s="140">
        <v>37</v>
      </c>
      <c r="BK7" s="80">
        <v>511</v>
      </c>
      <c r="BP7" s="81"/>
      <c r="BQ7" s="147"/>
      <c r="BR7" s="147"/>
      <c r="BS7" s="147"/>
      <c r="BT7" s="148"/>
      <c r="BV7" s="80">
        <v>85</v>
      </c>
      <c r="BW7" s="80">
        <v>120</v>
      </c>
      <c r="BX7" s="81">
        <v>113</v>
      </c>
      <c r="CA7" s="80">
        <f>245+145</f>
        <v>390</v>
      </c>
      <c r="CC7" s="81"/>
      <c r="CD7" s="172">
        <v>55</v>
      </c>
      <c r="CE7" s="172">
        <v>21</v>
      </c>
      <c r="CF7" s="186">
        <v>43</v>
      </c>
      <c r="CG7" s="80">
        <v>107</v>
      </c>
      <c r="CH7" s="80">
        <v>78</v>
      </c>
      <c r="CI7" s="81">
        <v>56</v>
      </c>
      <c r="CJ7" s="80">
        <v>125</v>
      </c>
      <c r="CK7" s="80">
        <v>60</v>
      </c>
      <c r="CL7" s="81">
        <v>94</v>
      </c>
      <c r="CO7" s="81"/>
      <c r="CR7" s="81"/>
      <c r="CU7" s="81"/>
      <c r="CV7" s="80">
        <v>60</v>
      </c>
      <c r="CW7" s="80">
        <v>23</v>
      </c>
      <c r="CX7" s="81">
        <v>35</v>
      </c>
      <c r="CY7" s="80">
        <v>58</v>
      </c>
      <c r="CZ7" s="80">
        <v>29</v>
      </c>
      <c r="DA7" s="81">
        <v>25</v>
      </c>
    </row>
    <row r="8" spans="1:105" s="80" customFormat="1" x14ac:dyDescent="0.2">
      <c r="A8" s="209" t="s">
        <v>194</v>
      </c>
      <c r="B8" s="210" t="s">
        <v>195</v>
      </c>
      <c r="C8" s="211" t="s">
        <v>196</v>
      </c>
      <c r="D8" s="210" t="s">
        <v>112</v>
      </c>
      <c r="E8" s="210" t="s">
        <v>197</v>
      </c>
      <c r="F8" s="212" t="s">
        <v>115</v>
      </c>
      <c r="G8" s="213">
        <v>4</v>
      </c>
      <c r="H8" s="212" t="s">
        <v>115</v>
      </c>
      <c r="I8" s="162"/>
      <c r="J8" s="214" t="s">
        <v>115</v>
      </c>
      <c r="K8" s="72" t="s">
        <v>115</v>
      </c>
      <c r="L8" s="72" t="s">
        <v>115</v>
      </c>
      <c r="M8" s="72" t="s">
        <v>115</v>
      </c>
      <c r="N8" s="72" t="s">
        <v>115</v>
      </c>
      <c r="O8" s="72" t="s">
        <v>115</v>
      </c>
      <c r="P8" s="72" t="s">
        <v>115</v>
      </c>
      <c r="Q8" s="72" t="s">
        <v>115</v>
      </c>
      <c r="R8" s="72" t="s">
        <v>115</v>
      </c>
      <c r="S8" s="72" t="s">
        <v>115</v>
      </c>
      <c r="T8" s="72" t="s">
        <v>115</v>
      </c>
      <c r="U8" s="72" t="s">
        <v>115</v>
      </c>
      <c r="V8" s="72" t="s">
        <v>115</v>
      </c>
      <c r="W8" s="72" t="s">
        <v>115</v>
      </c>
      <c r="X8" s="72" t="s">
        <v>115</v>
      </c>
      <c r="Y8" s="72" t="s">
        <v>115</v>
      </c>
      <c r="Z8" s="72" t="s">
        <v>115</v>
      </c>
      <c r="AA8" s="72" t="s">
        <v>115</v>
      </c>
      <c r="AB8" s="72" t="s">
        <v>115</v>
      </c>
      <c r="AC8" s="72" t="s">
        <v>115</v>
      </c>
      <c r="AD8" s="72" t="s">
        <v>115</v>
      </c>
      <c r="AE8" s="72" t="s">
        <v>115</v>
      </c>
      <c r="AF8" s="215" t="s">
        <v>115</v>
      </c>
      <c r="AG8" s="215" t="s">
        <v>115</v>
      </c>
      <c r="AH8" s="72" t="s">
        <v>115</v>
      </c>
      <c r="AI8" s="72" t="s">
        <v>115</v>
      </c>
      <c r="AJ8" s="72" t="s">
        <v>115</v>
      </c>
      <c r="AK8" s="72" t="s">
        <v>115</v>
      </c>
      <c r="AL8" s="72" t="s">
        <v>115</v>
      </c>
      <c r="AM8" s="72" t="s">
        <v>115</v>
      </c>
      <c r="AN8" s="72" t="s">
        <v>115</v>
      </c>
      <c r="AO8" s="72" t="s">
        <v>115</v>
      </c>
      <c r="AP8" s="72" t="s">
        <v>115</v>
      </c>
      <c r="AQ8" s="72" t="s">
        <v>115</v>
      </c>
      <c r="AR8" s="72" t="s">
        <v>115</v>
      </c>
      <c r="AS8" s="72" t="s">
        <v>115</v>
      </c>
      <c r="AT8" s="72" t="s">
        <v>115</v>
      </c>
      <c r="AU8" s="72" t="s">
        <v>115</v>
      </c>
      <c r="AV8" s="72" t="s">
        <v>115</v>
      </c>
      <c r="AW8" s="72" t="s">
        <v>115</v>
      </c>
      <c r="AX8" s="72" t="s">
        <v>115</v>
      </c>
      <c r="AY8" s="72" t="s">
        <v>115</v>
      </c>
      <c r="AZ8" s="72" t="s">
        <v>115</v>
      </c>
      <c r="BA8" s="216" t="s">
        <v>115</v>
      </c>
      <c r="BB8" s="72">
        <f>745+838+1801+1576+939</f>
        <v>5899</v>
      </c>
      <c r="BC8" s="72">
        <f>739+520+714+1447</f>
        <v>3420</v>
      </c>
      <c r="BD8" s="72">
        <f>1294+1106</f>
        <v>2400</v>
      </c>
      <c r="BE8" s="72">
        <v>120</v>
      </c>
      <c r="BF8" s="72">
        <v>348</v>
      </c>
      <c r="BG8" s="72">
        <v>568</v>
      </c>
      <c r="BH8" s="72">
        <f>1026+1320</f>
        <v>2346</v>
      </c>
      <c r="BI8" s="72">
        <v>211</v>
      </c>
      <c r="BJ8" s="215">
        <v>27</v>
      </c>
      <c r="BK8" s="72">
        <v>523</v>
      </c>
      <c r="BL8" s="72">
        <v>225</v>
      </c>
      <c r="BM8" s="72">
        <v>672</v>
      </c>
      <c r="BN8" s="72">
        <v>664</v>
      </c>
      <c r="BO8" s="72" t="s">
        <v>128</v>
      </c>
      <c r="BP8" s="216">
        <f>BN8</f>
        <v>664</v>
      </c>
      <c r="BQ8" s="217">
        <f t="shared" ref="BQ8:BQ32" si="1">BB8/BP8</f>
        <v>8.8840361445783138</v>
      </c>
      <c r="BR8" s="217">
        <f t="shared" si="0"/>
        <v>11.118483412322275</v>
      </c>
      <c r="BS8" s="217">
        <f t="shared" ref="BS8:BS38" si="2">BC8/BM8</f>
        <v>5.0892857142857144</v>
      </c>
      <c r="BT8" s="218">
        <f t="shared" ref="BT8:BT38" si="3">BD8/BM8</f>
        <v>3.5714285714285716</v>
      </c>
      <c r="BU8" s="72">
        <f>839+464</f>
        <v>1303</v>
      </c>
      <c r="BV8" s="72">
        <v>110</v>
      </c>
      <c r="BW8" s="72">
        <v>123</v>
      </c>
      <c r="BX8" s="216">
        <v>135</v>
      </c>
      <c r="BY8" s="72" t="s">
        <v>198</v>
      </c>
      <c r="BZ8" s="72">
        <v>86</v>
      </c>
      <c r="CA8" s="72">
        <v>409</v>
      </c>
      <c r="CB8" s="72">
        <v>7</v>
      </c>
      <c r="CC8" s="216" t="s">
        <v>115</v>
      </c>
      <c r="CD8" s="72">
        <v>48</v>
      </c>
      <c r="CE8" s="72">
        <v>19</v>
      </c>
      <c r="CF8" s="216">
        <v>45</v>
      </c>
      <c r="CG8" s="72">
        <v>96</v>
      </c>
      <c r="CH8" s="72">
        <v>81</v>
      </c>
      <c r="CI8" s="216">
        <v>54</v>
      </c>
      <c r="CJ8" s="72">
        <v>109</v>
      </c>
      <c r="CK8" s="72">
        <v>46</v>
      </c>
      <c r="CL8" s="216">
        <v>74</v>
      </c>
      <c r="CM8" s="72">
        <v>95</v>
      </c>
      <c r="CN8" s="72">
        <v>42</v>
      </c>
      <c r="CO8" s="216">
        <v>61</v>
      </c>
      <c r="CP8" s="72">
        <v>97</v>
      </c>
      <c r="CQ8" s="72">
        <v>34</v>
      </c>
      <c r="CR8" s="216">
        <v>46</v>
      </c>
      <c r="CS8" s="72">
        <v>66</v>
      </c>
      <c r="CT8" s="72">
        <v>24</v>
      </c>
      <c r="CU8" s="216">
        <v>43</v>
      </c>
      <c r="CV8" s="72">
        <v>42</v>
      </c>
      <c r="CW8" s="72">
        <v>22</v>
      </c>
      <c r="CX8" s="216">
        <v>26</v>
      </c>
      <c r="CY8" s="72">
        <v>48</v>
      </c>
      <c r="CZ8" s="72">
        <v>26</v>
      </c>
      <c r="DA8" s="216">
        <v>26</v>
      </c>
    </row>
    <row r="9" spans="1:105" s="80" customFormat="1" x14ac:dyDescent="0.2">
      <c r="A9" s="209"/>
      <c r="B9" s="210"/>
      <c r="C9" s="211"/>
      <c r="D9" s="210"/>
      <c r="E9" s="210"/>
      <c r="F9" s="212"/>
      <c r="G9" s="213"/>
      <c r="H9" s="212"/>
      <c r="I9" s="16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215"/>
      <c r="AG9" s="215"/>
      <c r="AH9" s="72"/>
      <c r="AI9" s="219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219"/>
      <c r="BA9" s="216"/>
      <c r="BB9" s="72"/>
      <c r="BC9" s="72"/>
      <c r="BD9" s="72"/>
      <c r="BE9" s="72"/>
      <c r="BF9" s="72"/>
      <c r="BG9" s="72"/>
      <c r="BH9" s="72">
        <f>1157+1240</f>
        <v>2397</v>
      </c>
      <c r="BI9" s="72">
        <v>225</v>
      </c>
      <c r="BJ9" s="215">
        <v>29</v>
      </c>
      <c r="BK9" s="72">
        <v>611</v>
      </c>
      <c r="BL9" s="72"/>
      <c r="BM9" s="72"/>
      <c r="BN9" s="72"/>
      <c r="BO9" s="72"/>
      <c r="BP9" s="216"/>
      <c r="BQ9" s="217"/>
      <c r="BR9" s="217">
        <f t="shared" si="0"/>
        <v>10.653333333333334</v>
      </c>
      <c r="BS9" s="217"/>
      <c r="BT9" s="218"/>
      <c r="BU9" s="72"/>
      <c r="BV9" s="72">
        <v>100</v>
      </c>
      <c r="BW9" s="72">
        <v>117</v>
      </c>
      <c r="BX9" s="216">
        <v>118</v>
      </c>
      <c r="BY9" s="72"/>
      <c r="BZ9" s="72"/>
      <c r="CA9" s="72">
        <v>366</v>
      </c>
      <c r="CB9" s="72"/>
      <c r="CC9" s="216"/>
      <c r="CD9" s="72">
        <v>63</v>
      </c>
      <c r="CE9" s="72">
        <v>15</v>
      </c>
      <c r="CF9" s="216">
        <v>56</v>
      </c>
      <c r="CG9" s="72">
        <v>113</v>
      </c>
      <c r="CH9" s="72">
        <v>95</v>
      </c>
      <c r="CI9" s="216">
        <v>77</v>
      </c>
      <c r="CJ9" s="72">
        <v>115</v>
      </c>
      <c r="CK9" s="72">
        <v>66</v>
      </c>
      <c r="CL9" s="216">
        <v>62</v>
      </c>
      <c r="CM9" s="72"/>
      <c r="CN9" s="72"/>
      <c r="CO9" s="216"/>
      <c r="CP9" s="72">
        <v>99</v>
      </c>
      <c r="CQ9" s="72">
        <v>39</v>
      </c>
      <c r="CR9" s="216">
        <v>70</v>
      </c>
      <c r="CS9" s="72">
        <v>65</v>
      </c>
      <c r="CT9" s="72">
        <v>22</v>
      </c>
      <c r="CU9" s="216">
        <v>37</v>
      </c>
      <c r="CV9" s="72">
        <v>58</v>
      </c>
      <c r="CW9" s="72">
        <v>26</v>
      </c>
      <c r="CX9" s="216">
        <v>31</v>
      </c>
      <c r="CY9" s="72">
        <v>55</v>
      </c>
      <c r="CZ9" s="72">
        <v>31</v>
      </c>
      <c r="DA9" s="216">
        <v>28</v>
      </c>
    </row>
    <row r="10" spans="1:105" s="80" customFormat="1" x14ac:dyDescent="0.2">
      <c r="A10" s="209"/>
      <c r="B10" s="210"/>
      <c r="C10" s="211"/>
      <c r="D10" s="210"/>
      <c r="E10" s="210"/>
      <c r="F10" s="212"/>
      <c r="G10" s="213"/>
      <c r="H10" s="212"/>
      <c r="I10" s="16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215"/>
      <c r="AG10" s="215"/>
      <c r="AH10" s="72"/>
      <c r="AI10" s="219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219"/>
      <c r="BA10" s="216"/>
      <c r="BB10" s="72"/>
      <c r="BC10" s="72"/>
      <c r="BD10" s="72"/>
      <c r="BE10" s="72"/>
      <c r="BF10" s="72"/>
      <c r="BG10" s="72"/>
      <c r="BH10" s="72"/>
      <c r="BI10" s="72"/>
      <c r="BJ10" s="215"/>
      <c r="BK10" s="72"/>
      <c r="BL10" s="72"/>
      <c r="BM10" s="72"/>
      <c r="BN10" s="72"/>
      <c r="BO10" s="72"/>
      <c r="BP10" s="216"/>
      <c r="BQ10" s="217"/>
      <c r="BR10" s="217"/>
      <c r="BS10" s="217"/>
      <c r="BT10" s="218"/>
      <c r="BU10" s="72"/>
      <c r="BV10" s="72">
        <v>103</v>
      </c>
      <c r="BW10" s="72">
        <v>138</v>
      </c>
      <c r="BX10" s="216">
        <v>124</v>
      </c>
      <c r="BY10" s="72"/>
      <c r="BZ10" s="72"/>
      <c r="CA10" s="72">
        <v>400</v>
      </c>
      <c r="CB10" s="72"/>
      <c r="CC10" s="216"/>
      <c r="CD10" s="72"/>
      <c r="CE10" s="72"/>
      <c r="CF10" s="216"/>
      <c r="CG10" s="72">
        <v>111</v>
      </c>
      <c r="CH10" s="72">
        <v>90</v>
      </c>
      <c r="CI10" s="216">
        <v>68</v>
      </c>
      <c r="CJ10" s="72"/>
      <c r="CK10" s="72"/>
      <c r="CL10" s="216"/>
      <c r="CM10" s="72"/>
      <c r="CN10" s="72"/>
      <c r="CO10" s="216"/>
      <c r="CP10" s="72"/>
      <c r="CQ10" s="72"/>
      <c r="CR10" s="216"/>
      <c r="CS10" s="72"/>
      <c r="CT10" s="72"/>
      <c r="CU10" s="216"/>
      <c r="CV10" s="72"/>
      <c r="CW10" s="72"/>
      <c r="CX10" s="216"/>
      <c r="CY10" s="72">
        <v>51</v>
      </c>
      <c r="CZ10" s="72">
        <v>26</v>
      </c>
      <c r="DA10" s="216">
        <v>29</v>
      </c>
    </row>
    <row r="11" spans="1:105" s="80" customFormat="1" x14ac:dyDescent="0.2">
      <c r="A11" s="203" t="s">
        <v>199</v>
      </c>
      <c r="B11" s="204" t="s">
        <v>195</v>
      </c>
      <c r="C11" s="205" t="s">
        <v>200</v>
      </c>
      <c r="D11" s="204" t="s">
        <v>112</v>
      </c>
      <c r="E11" s="204" t="s">
        <v>197</v>
      </c>
      <c r="F11" s="206" t="s">
        <v>115</v>
      </c>
      <c r="G11" s="207">
        <v>4</v>
      </c>
      <c r="H11" s="206" t="s">
        <v>115</v>
      </c>
      <c r="I11" s="161"/>
      <c r="J11" s="80" t="s">
        <v>115</v>
      </c>
      <c r="K11" s="80" t="s">
        <v>115</v>
      </c>
      <c r="L11" s="80" t="s">
        <v>115</v>
      </c>
      <c r="M11" s="80" t="s">
        <v>115</v>
      </c>
      <c r="N11" s="80" t="s">
        <v>115</v>
      </c>
      <c r="O11" s="80" t="s">
        <v>115</v>
      </c>
      <c r="P11" s="80" t="s">
        <v>115</v>
      </c>
      <c r="Q11" s="80" t="s">
        <v>115</v>
      </c>
      <c r="R11" s="80" t="s">
        <v>115</v>
      </c>
      <c r="S11" s="80" t="s">
        <v>115</v>
      </c>
      <c r="T11" s="80" t="s">
        <v>115</v>
      </c>
      <c r="U11" s="80" t="s">
        <v>115</v>
      </c>
      <c r="V11" s="80" t="s">
        <v>115</v>
      </c>
      <c r="W11" s="80" t="s">
        <v>115</v>
      </c>
      <c r="X11" s="80" t="s">
        <v>115</v>
      </c>
      <c r="Y11" s="80" t="s">
        <v>115</v>
      </c>
      <c r="Z11" s="80" t="s">
        <v>115</v>
      </c>
      <c r="AA11" s="80" t="s">
        <v>115</v>
      </c>
      <c r="AB11" s="80" t="s">
        <v>115</v>
      </c>
      <c r="AC11" s="80" t="s">
        <v>115</v>
      </c>
      <c r="AD11" s="80" t="s">
        <v>115</v>
      </c>
      <c r="AE11" s="80" t="s">
        <v>115</v>
      </c>
      <c r="AF11" s="140" t="s">
        <v>115</v>
      </c>
      <c r="AG11" s="140" t="s">
        <v>115</v>
      </c>
      <c r="AH11" s="80" t="s">
        <v>115</v>
      </c>
      <c r="AI11" s="80" t="s">
        <v>115</v>
      </c>
      <c r="AJ11" s="80" t="s">
        <v>115</v>
      </c>
      <c r="AK11" s="80" t="s">
        <v>115</v>
      </c>
      <c r="AL11" s="80" t="s">
        <v>115</v>
      </c>
      <c r="AM11" s="80" t="s">
        <v>115</v>
      </c>
      <c r="AN11" s="80" t="s">
        <v>115</v>
      </c>
      <c r="AO11" s="80" t="s">
        <v>115</v>
      </c>
      <c r="AP11" s="80" t="s">
        <v>115</v>
      </c>
      <c r="AQ11" s="80" t="s">
        <v>115</v>
      </c>
      <c r="AR11" s="80" t="s">
        <v>115</v>
      </c>
      <c r="AS11" s="80" t="s">
        <v>115</v>
      </c>
      <c r="AT11" s="80" t="s">
        <v>115</v>
      </c>
      <c r="AU11" s="80" t="s">
        <v>115</v>
      </c>
      <c r="AV11" s="80" t="s">
        <v>115</v>
      </c>
      <c r="AW11" s="80" t="s">
        <v>115</v>
      </c>
      <c r="AX11" s="80" t="s">
        <v>115</v>
      </c>
      <c r="AY11" s="80" t="s">
        <v>115</v>
      </c>
      <c r="AZ11" s="80" t="s">
        <v>115</v>
      </c>
      <c r="BA11" s="81" t="s">
        <v>115</v>
      </c>
      <c r="BB11" s="80">
        <f>495+1072+1303+2267</f>
        <v>5137</v>
      </c>
      <c r="BC11" s="80">
        <f>1571+1366</f>
        <v>2937</v>
      </c>
      <c r="BD11" s="80">
        <f>1096+967</f>
        <v>2063</v>
      </c>
      <c r="BE11" s="80">
        <v>273</v>
      </c>
      <c r="BF11" s="80">
        <v>569</v>
      </c>
      <c r="BG11" s="80">
        <v>645</v>
      </c>
      <c r="BH11" s="80">
        <v>2014</v>
      </c>
      <c r="BI11" s="80">
        <v>208</v>
      </c>
      <c r="BJ11" s="140">
        <v>44</v>
      </c>
      <c r="BK11" s="80">
        <v>423</v>
      </c>
      <c r="BL11" s="80">
        <v>178</v>
      </c>
      <c r="BM11" s="80">
        <v>495</v>
      </c>
      <c r="BN11" s="80">
        <v>671</v>
      </c>
      <c r="BO11" s="80" t="s">
        <v>128</v>
      </c>
      <c r="BP11" s="81">
        <f>BN11</f>
        <v>671</v>
      </c>
      <c r="BQ11" s="147">
        <f t="shared" si="1"/>
        <v>7.6557377049180326</v>
      </c>
      <c r="BR11" s="147">
        <f t="shared" si="0"/>
        <v>9.6826923076923084</v>
      </c>
      <c r="BS11" s="147">
        <f t="shared" si="2"/>
        <v>5.9333333333333336</v>
      </c>
      <c r="BT11" s="148">
        <f t="shared" si="3"/>
        <v>4.1676767676767676</v>
      </c>
      <c r="BU11" s="80">
        <f>372+342+215</f>
        <v>929</v>
      </c>
      <c r="BV11" s="80">
        <v>82</v>
      </c>
      <c r="BW11" s="80">
        <v>89</v>
      </c>
      <c r="BX11" s="81">
        <v>87</v>
      </c>
      <c r="BY11" s="80" t="s">
        <v>201</v>
      </c>
      <c r="BZ11" s="80">
        <v>94</v>
      </c>
      <c r="CA11" s="80">
        <f>214+249</f>
        <v>463</v>
      </c>
      <c r="CB11" s="80">
        <v>7</v>
      </c>
      <c r="CC11" s="81" t="s">
        <v>115</v>
      </c>
      <c r="CD11" s="172">
        <v>32</v>
      </c>
      <c r="CE11" s="172">
        <v>13</v>
      </c>
      <c r="CF11" s="186">
        <v>28</v>
      </c>
      <c r="CG11" s="80">
        <v>65</v>
      </c>
      <c r="CH11" s="80">
        <v>53</v>
      </c>
      <c r="CI11" s="81">
        <v>42</v>
      </c>
      <c r="CJ11" s="80">
        <v>70</v>
      </c>
      <c r="CK11" s="80">
        <v>40</v>
      </c>
      <c r="CL11" s="81">
        <v>42</v>
      </c>
      <c r="CM11" s="80">
        <v>62</v>
      </c>
      <c r="CN11" s="80">
        <v>30</v>
      </c>
      <c r="CO11" s="81">
        <v>52</v>
      </c>
      <c r="CP11" s="80">
        <v>62</v>
      </c>
      <c r="CQ11" s="80">
        <v>21</v>
      </c>
      <c r="CR11" s="81">
        <v>40</v>
      </c>
      <c r="CS11" s="80">
        <v>50</v>
      </c>
      <c r="CT11" s="80">
        <v>14</v>
      </c>
      <c r="CU11" s="81">
        <v>34</v>
      </c>
      <c r="CV11" s="80">
        <v>28</v>
      </c>
      <c r="CW11" s="80">
        <v>17</v>
      </c>
      <c r="CX11" s="81">
        <v>17</v>
      </c>
      <c r="CY11" s="80">
        <v>30</v>
      </c>
      <c r="CZ11" s="80">
        <v>21</v>
      </c>
      <c r="DA11" s="81">
        <v>20</v>
      </c>
    </row>
    <row r="12" spans="1:105" s="80" customFormat="1" x14ac:dyDescent="0.2">
      <c r="A12" s="203"/>
      <c r="B12" s="204"/>
      <c r="C12" s="205"/>
      <c r="D12" s="204"/>
      <c r="E12" s="204"/>
      <c r="F12" s="206"/>
      <c r="G12" s="207"/>
      <c r="H12" s="206"/>
      <c r="I12" s="161"/>
      <c r="O12" s="146"/>
      <c r="AF12" s="140"/>
      <c r="AG12" s="140"/>
      <c r="AI12" s="146"/>
      <c r="AZ12" s="146"/>
      <c r="BA12" s="81"/>
      <c r="BH12" s="80">
        <v>2029</v>
      </c>
      <c r="BI12" s="80">
        <v>216</v>
      </c>
      <c r="BJ12" s="140">
        <v>28</v>
      </c>
      <c r="BK12" s="80">
        <v>446</v>
      </c>
      <c r="BL12" s="80">
        <v>179</v>
      </c>
      <c r="BP12" s="81"/>
      <c r="BQ12" s="147"/>
      <c r="BR12" s="147">
        <f t="shared" si="0"/>
        <v>9.393518518518519</v>
      </c>
      <c r="BS12" s="147"/>
      <c r="BT12" s="148"/>
      <c r="BV12" s="80">
        <v>84</v>
      </c>
      <c r="BW12" s="80">
        <v>97</v>
      </c>
      <c r="BX12" s="81">
        <v>91</v>
      </c>
      <c r="CA12" s="80">
        <f>254+205</f>
        <v>459</v>
      </c>
      <c r="CC12" s="81"/>
      <c r="CD12" s="172">
        <v>34</v>
      </c>
      <c r="CE12" s="172">
        <v>11</v>
      </c>
      <c r="CF12" s="186">
        <v>33</v>
      </c>
      <c r="CG12" s="80">
        <v>80</v>
      </c>
      <c r="CH12" s="80">
        <v>70</v>
      </c>
      <c r="CI12" s="81">
        <v>45</v>
      </c>
      <c r="CJ12" s="80">
        <v>66</v>
      </c>
      <c r="CK12" s="80">
        <v>36</v>
      </c>
      <c r="CL12" s="81">
        <v>50</v>
      </c>
      <c r="CM12" s="80">
        <v>71</v>
      </c>
      <c r="CN12" s="80">
        <v>28</v>
      </c>
      <c r="CO12" s="81">
        <v>44</v>
      </c>
      <c r="CP12" s="80">
        <v>64</v>
      </c>
      <c r="CQ12" s="80">
        <v>22</v>
      </c>
      <c r="CR12" s="81">
        <v>42</v>
      </c>
      <c r="CS12" s="80">
        <v>38</v>
      </c>
      <c r="CT12" s="80">
        <v>15</v>
      </c>
      <c r="CU12" s="81">
        <v>25</v>
      </c>
      <c r="CV12" s="80">
        <v>30</v>
      </c>
      <c r="CW12" s="80">
        <v>17</v>
      </c>
      <c r="CX12" s="81">
        <v>17</v>
      </c>
      <c r="CY12" s="80">
        <v>20</v>
      </c>
      <c r="CZ12" s="80">
        <v>23</v>
      </c>
      <c r="DA12" s="81">
        <v>15</v>
      </c>
    </row>
    <row r="13" spans="1:105" s="80" customFormat="1" x14ac:dyDescent="0.2">
      <c r="A13" s="203"/>
      <c r="B13" s="204"/>
      <c r="C13" s="205"/>
      <c r="D13" s="204"/>
      <c r="E13" s="204"/>
      <c r="F13" s="206"/>
      <c r="G13" s="207"/>
      <c r="H13" s="206"/>
      <c r="I13" s="161"/>
      <c r="O13" s="146"/>
      <c r="AF13" s="140"/>
      <c r="AG13" s="140"/>
      <c r="AI13" s="146"/>
      <c r="AZ13" s="146"/>
      <c r="BA13" s="81"/>
      <c r="BI13" s="80">
        <v>200</v>
      </c>
      <c r="BJ13" s="140">
        <v>27</v>
      </c>
      <c r="BL13" s="80">
        <v>181</v>
      </c>
      <c r="BP13" s="81"/>
      <c r="BQ13" s="147"/>
      <c r="BR13" s="147"/>
      <c r="BS13" s="147"/>
      <c r="BT13" s="148"/>
      <c r="BV13" s="80">
        <v>86</v>
      </c>
      <c r="BW13" s="80">
        <v>96</v>
      </c>
      <c r="BX13" s="81">
        <v>86</v>
      </c>
      <c r="CA13" s="80">
        <f>277+177</f>
        <v>454</v>
      </c>
      <c r="CC13" s="81"/>
      <c r="CD13" s="172"/>
      <c r="CE13" s="172"/>
      <c r="CF13" s="186"/>
      <c r="CG13" s="80">
        <v>65</v>
      </c>
      <c r="CH13" s="80">
        <v>54</v>
      </c>
      <c r="CI13" s="81">
        <v>38</v>
      </c>
      <c r="CJ13" s="80">
        <v>76</v>
      </c>
      <c r="CK13" s="80">
        <v>40</v>
      </c>
      <c r="CL13" s="81">
        <v>53</v>
      </c>
      <c r="CO13" s="81"/>
      <c r="CP13" s="80">
        <v>59</v>
      </c>
      <c r="CQ13" s="80">
        <v>22</v>
      </c>
      <c r="CR13" s="81">
        <v>33</v>
      </c>
      <c r="CS13" s="80">
        <v>36</v>
      </c>
      <c r="CT13" s="80">
        <v>15</v>
      </c>
      <c r="CU13" s="81">
        <v>20</v>
      </c>
      <c r="CV13" s="80">
        <v>26</v>
      </c>
      <c r="CW13" s="80">
        <v>15</v>
      </c>
      <c r="CX13" s="81">
        <v>18</v>
      </c>
      <c r="CY13" s="80">
        <v>29</v>
      </c>
      <c r="CZ13" s="80">
        <v>18</v>
      </c>
      <c r="DA13" s="81">
        <v>16</v>
      </c>
    </row>
    <row r="14" spans="1:105" s="80" customFormat="1" ht="15.75" customHeight="1" x14ac:dyDescent="0.2">
      <c r="A14" s="209" t="s">
        <v>202</v>
      </c>
      <c r="B14" s="210" t="s">
        <v>195</v>
      </c>
      <c r="C14" s="211" t="s">
        <v>200</v>
      </c>
      <c r="D14" s="210" t="s">
        <v>112</v>
      </c>
      <c r="E14" s="210" t="s">
        <v>197</v>
      </c>
      <c r="F14" s="220" t="s">
        <v>115</v>
      </c>
      <c r="G14" s="221">
        <v>4</v>
      </c>
      <c r="H14" s="212" t="s">
        <v>115</v>
      </c>
      <c r="I14" s="162"/>
      <c r="J14" s="72" t="s">
        <v>115</v>
      </c>
      <c r="K14" s="72" t="s">
        <v>115</v>
      </c>
      <c r="L14" s="72" t="s">
        <v>115</v>
      </c>
      <c r="M14" s="72" t="s">
        <v>115</v>
      </c>
      <c r="N14" s="72" t="s">
        <v>115</v>
      </c>
      <c r="O14" s="72" t="s">
        <v>115</v>
      </c>
      <c r="P14" s="72" t="s">
        <v>115</v>
      </c>
      <c r="Q14" s="72" t="s">
        <v>115</v>
      </c>
      <c r="R14" s="72" t="s">
        <v>115</v>
      </c>
      <c r="S14" s="72" t="s">
        <v>115</v>
      </c>
      <c r="T14" s="72" t="s">
        <v>115</v>
      </c>
      <c r="U14" s="72" t="s">
        <v>115</v>
      </c>
      <c r="V14" s="72" t="s">
        <v>115</v>
      </c>
      <c r="W14" s="72" t="s">
        <v>115</v>
      </c>
      <c r="X14" s="72" t="s">
        <v>115</v>
      </c>
      <c r="Y14" s="72" t="s">
        <v>115</v>
      </c>
      <c r="Z14" s="72" t="s">
        <v>115</v>
      </c>
      <c r="AA14" s="72" t="s">
        <v>115</v>
      </c>
      <c r="AB14" s="72" t="s">
        <v>115</v>
      </c>
      <c r="AC14" s="72" t="s">
        <v>115</v>
      </c>
      <c r="AD14" s="72" t="s">
        <v>115</v>
      </c>
      <c r="AE14" s="72" t="s">
        <v>115</v>
      </c>
      <c r="AF14" s="215" t="s">
        <v>115</v>
      </c>
      <c r="AG14" s="215" t="s">
        <v>115</v>
      </c>
      <c r="AH14" s="72" t="s">
        <v>115</v>
      </c>
      <c r="AI14" s="72" t="s">
        <v>115</v>
      </c>
      <c r="AJ14" s="72" t="s">
        <v>115</v>
      </c>
      <c r="AK14" s="72" t="s">
        <v>115</v>
      </c>
      <c r="AL14" s="72" t="s">
        <v>115</v>
      </c>
      <c r="AM14" s="72" t="s">
        <v>115</v>
      </c>
      <c r="AN14" s="72" t="s">
        <v>115</v>
      </c>
      <c r="AO14" s="72" t="s">
        <v>115</v>
      </c>
      <c r="AP14" s="72" t="s">
        <v>115</v>
      </c>
      <c r="AQ14" s="72" t="s">
        <v>115</v>
      </c>
      <c r="AR14" s="72" t="s">
        <v>115</v>
      </c>
      <c r="AS14" s="72" t="s">
        <v>115</v>
      </c>
      <c r="AT14" s="72" t="s">
        <v>115</v>
      </c>
      <c r="AU14" s="72" t="s">
        <v>115</v>
      </c>
      <c r="AV14" s="72" t="s">
        <v>115</v>
      </c>
      <c r="AW14" s="72" t="s">
        <v>115</v>
      </c>
      <c r="AX14" s="72" t="s">
        <v>115</v>
      </c>
      <c r="AY14" s="72" t="s">
        <v>115</v>
      </c>
      <c r="AZ14" s="72" t="s">
        <v>115</v>
      </c>
      <c r="BA14" s="216" t="s">
        <v>115</v>
      </c>
      <c r="BB14" s="72">
        <f>2482+2440</f>
        <v>4922</v>
      </c>
      <c r="BC14" s="72">
        <f>1274+1370</f>
        <v>2644</v>
      </c>
      <c r="BD14" s="72">
        <v>2246</v>
      </c>
      <c r="BE14" s="72">
        <v>104</v>
      </c>
      <c r="BF14" s="72">
        <v>557</v>
      </c>
      <c r="BG14" s="72">
        <v>615</v>
      </c>
      <c r="BH14" s="72">
        <v>2229</v>
      </c>
      <c r="BI14" s="72">
        <v>240</v>
      </c>
      <c r="BJ14" s="215">
        <v>51</v>
      </c>
      <c r="BK14" s="215">
        <v>441</v>
      </c>
      <c r="BL14" s="72">
        <v>182</v>
      </c>
      <c r="BM14" s="72">
        <v>605</v>
      </c>
      <c r="BN14" s="72">
        <v>725</v>
      </c>
      <c r="BO14" s="72" t="s">
        <v>128</v>
      </c>
      <c r="BP14" s="216">
        <f>BN14</f>
        <v>725</v>
      </c>
      <c r="BQ14" s="217">
        <f t="shared" si="1"/>
        <v>6.7889655172413796</v>
      </c>
      <c r="BR14" s="217">
        <f t="shared" si="0"/>
        <v>9.2874999999999996</v>
      </c>
      <c r="BS14" s="217">
        <f t="shared" si="2"/>
        <v>4.3702479338842979</v>
      </c>
      <c r="BT14" s="218">
        <f t="shared" si="3"/>
        <v>3.7123966942148758</v>
      </c>
      <c r="BU14" s="72">
        <f>852+632+387+348</f>
        <v>2219</v>
      </c>
      <c r="BV14" s="72">
        <v>88</v>
      </c>
      <c r="BW14" s="72">
        <v>99</v>
      </c>
      <c r="BX14" s="216">
        <v>86</v>
      </c>
      <c r="BY14" s="72" t="s">
        <v>118</v>
      </c>
      <c r="BZ14" s="72">
        <v>99</v>
      </c>
      <c r="CA14" s="72">
        <f>151+253</f>
        <v>404</v>
      </c>
      <c r="CB14" s="72">
        <v>7</v>
      </c>
      <c r="CC14" s="216" t="s">
        <v>115</v>
      </c>
      <c r="CD14" s="72">
        <v>39</v>
      </c>
      <c r="CE14" s="72">
        <v>15</v>
      </c>
      <c r="CF14" s="216">
        <v>36</v>
      </c>
      <c r="CG14" s="72">
        <v>83</v>
      </c>
      <c r="CH14" s="72">
        <v>69</v>
      </c>
      <c r="CI14" s="216">
        <v>48</v>
      </c>
      <c r="CJ14" s="72">
        <v>75</v>
      </c>
      <c r="CK14" s="72">
        <v>35</v>
      </c>
      <c r="CL14" s="216">
        <v>57</v>
      </c>
      <c r="CM14" s="72">
        <v>70</v>
      </c>
      <c r="CN14" s="72">
        <v>28</v>
      </c>
      <c r="CO14" s="216">
        <v>46</v>
      </c>
      <c r="CP14" s="72">
        <v>59</v>
      </c>
      <c r="CQ14" s="72">
        <v>24</v>
      </c>
      <c r="CR14" s="216">
        <v>47</v>
      </c>
      <c r="CS14" s="72">
        <v>46</v>
      </c>
      <c r="CT14" s="72">
        <v>18</v>
      </c>
      <c r="CU14" s="216">
        <v>32</v>
      </c>
      <c r="CV14" s="72">
        <v>34</v>
      </c>
      <c r="CW14" s="72">
        <v>17</v>
      </c>
      <c r="CX14" s="216">
        <v>21</v>
      </c>
      <c r="CY14" s="72">
        <v>34</v>
      </c>
      <c r="CZ14" s="72">
        <v>26</v>
      </c>
      <c r="DA14" s="216">
        <v>21</v>
      </c>
    </row>
    <row r="15" spans="1:105" s="80" customFormat="1" x14ac:dyDescent="0.2">
      <c r="A15" s="209"/>
      <c r="B15" s="210"/>
      <c r="C15" s="211"/>
      <c r="D15" s="210"/>
      <c r="E15" s="210"/>
      <c r="F15" s="220"/>
      <c r="G15" s="221"/>
      <c r="H15" s="212"/>
      <c r="I15" s="162"/>
      <c r="J15" s="72"/>
      <c r="K15" s="72"/>
      <c r="L15" s="72"/>
      <c r="M15" s="72"/>
      <c r="N15" s="72"/>
      <c r="O15" s="219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215"/>
      <c r="AG15" s="215"/>
      <c r="AH15" s="72"/>
      <c r="AI15" s="219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219"/>
      <c r="BA15" s="216"/>
      <c r="BB15" s="72"/>
      <c r="BC15" s="72"/>
      <c r="BD15" s="72"/>
      <c r="BE15" s="72"/>
      <c r="BF15" s="72"/>
      <c r="BG15" s="72"/>
      <c r="BH15" s="72">
        <v>2248</v>
      </c>
      <c r="BI15" s="72">
        <v>228</v>
      </c>
      <c r="BJ15" s="215">
        <v>42</v>
      </c>
      <c r="BK15" s="72">
        <v>493</v>
      </c>
      <c r="BL15" s="72">
        <v>169</v>
      </c>
      <c r="BM15" s="72"/>
      <c r="BN15" s="72"/>
      <c r="BO15" s="72"/>
      <c r="BP15" s="216"/>
      <c r="BQ15" s="217"/>
      <c r="BR15" s="217">
        <f t="shared" si="0"/>
        <v>9.8596491228070171</v>
      </c>
      <c r="BS15" s="217"/>
      <c r="BT15" s="218"/>
      <c r="BU15" s="72"/>
      <c r="BV15" s="72">
        <v>97</v>
      </c>
      <c r="BW15" s="72">
        <v>101</v>
      </c>
      <c r="BX15" s="216">
        <v>94</v>
      </c>
      <c r="BY15" s="72"/>
      <c r="BZ15" s="72"/>
      <c r="CA15" s="72">
        <f>306+128</f>
        <v>434</v>
      </c>
      <c r="CB15" s="72"/>
      <c r="CC15" s="216"/>
      <c r="CD15" s="72">
        <v>42</v>
      </c>
      <c r="CE15" s="72">
        <v>26</v>
      </c>
      <c r="CF15" s="216">
        <v>28</v>
      </c>
      <c r="CG15" s="72">
        <v>77</v>
      </c>
      <c r="CH15" s="72">
        <v>67</v>
      </c>
      <c r="CI15" s="216">
        <v>45</v>
      </c>
      <c r="CJ15" s="72">
        <v>69</v>
      </c>
      <c r="CK15" s="72">
        <v>31</v>
      </c>
      <c r="CL15" s="216">
        <v>46</v>
      </c>
      <c r="CM15" s="72">
        <v>75</v>
      </c>
      <c r="CN15" s="72">
        <v>27</v>
      </c>
      <c r="CO15" s="216">
        <v>53</v>
      </c>
      <c r="CP15" s="72">
        <v>55</v>
      </c>
      <c r="CQ15" s="72">
        <v>19</v>
      </c>
      <c r="CR15" s="216">
        <v>29</v>
      </c>
      <c r="CS15" s="72">
        <v>42</v>
      </c>
      <c r="CT15" s="72">
        <v>15</v>
      </c>
      <c r="CU15" s="216">
        <v>25</v>
      </c>
      <c r="CV15" s="72">
        <v>34</v>
      </c>
      <c r="CW15" s="72">
        <v>18</v>
      </c>
      <c r="CX15" s="216">
        <v>21</v>
      </c>
      <c r="CY15" s="72">
        <v>36</v>
      </c>
      <c r="CZ15" s="72">
        <v>27</v>
      </c>
      <c r="DA15" s="216">
        <v>20</v>
      </c>
    </row>
    <row r="16" spans="1:105" s="80" customFormat="1" x14ac:dyDescent="0.2">
      <c r="A16" s="209"/>
      <c r="B16" s="210"/>
      <c r="C16" s="211"/>
      <c r="D16" s="210"/>
      <c r="E16" s="210"/>
      <c r="F16" s="220"/>
      <c r="G16" s="221"/>
      <c r="H16" s="212"/>
      <c r="I16" s="162"/>
      <c r="J16" s="72"/>
      <c r="K16" s="72"/>
      <c r="L16" s="72"/>
      <c r="M16" s="72"/>
      <c r="N16" s="72"/>
      <c r="O16" s="219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215"/>
      <c r="AG16" s="215"/>
      <c r="AH16" s="72"/>
      <c r="AI16" s="219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219"/>
      <c r="BA16" s="216"/>
      <c r="BB16" s="72"/>
      <c r="BC16" s="72"/>
      <c r="BD16" s="72"/>
      <c r="BE16" s="72"/>
      <c r="BF16" s="72"/>
      <c r="BG16" s="72"/>
      <c r="BH16" s="72">
        <v>2228</v>
      </c>
      <c r="BI16" s="72">
        <v>244</v>
      </c>
      <c r="BJ16" s="215">
        <v>37</v>
      </c>
      <c r="BK16" s="72">
        <v>460</v>
      </c>
      <c r="BL16" s="72">
        <v>193</v>
      </c>
      <c r="BM16" s="72"/>
      <c r="BN16" s="72"/>
      <c r="BO16" s="72"/>
      <c r="BP16" s="216"/>
      <c r="BQ16" s="217"/>
      <c r="BR16" s="217">
        <f t="shared" si="0"/>
        <v>9.1311475409836067</v>
      </c>
      <c r="BS16" s="217"/>
      <c r="BT16" s="218"/>
      <c r="BU16" s="72"/>
      <c r="BV16" s="72"/>
      <c r="BW16" s="72">
        <v>92</v>
      </c>
      <c r="BX16" s="216">
        <v>80</v>
      </c>
      <c r="BY16" s="72"/>
      <c r="BZ16" s="72"/>
      <c r="CA16" s="72">
        <f>283+158</f>
        <v>441</v>
      </c>
      <c r="CB16" s="72"/>
      <c r="CC16" s="216"/>
      <c r="CD16" s="72">
        <v>42</v>
      </c>
      <c r="CE16" s="72">
        <v>21</v>
      </c>
      <c r="CF16" s="216">
        <v>26</v>
      </c>
      <c r="CG16" s="72">
        <v>81</v>
      </c>
      <c r="CH16" s="72">
        <v>66</v>
      </c>
      <c r="CI16" s="216">
        <v>53</v>
      </c>
      <c r="CJ16" s="72"/>
      <c r="CK16" s="72"/>
      <c r="CL16" s="216"/>
      <c r="CM16" s="72"/>
      <c r="CN16" s="72"/>
      <c r="CO16" s="216"/>
      <c r="CP16" s="72">
        <v>65</v>
      </c>
      <c r="CQ16" s="72">
        <v>24</v>
      </c>
      <c r="CR16" s="216">
        <v>45</v>
      </c>
      <c r="CS16" s="72">
        <v>45</v>
      </c>
      <c r="CT16" s="72">
        <v>16</v>
      </c>
      <c r="CU16" s="216">
        <v>28</v>
      </c>
      <c r="CV16" s="72">
        <v>34</v>
      </c>
      <c r="CW16" s="72">
        <v>16</v>
      </c>
      <c r="CX16" s="216">
        <v>21</v>
      </c>
      <c r="CY16" s="72">
        <v>28</v>
      </c>
      <c r="CZ16" s="72">
        <v>21</v>
      </c>
      <c r="DA16" s="216">
        <v>18</v>
      </c>
    </row>
    <row r="17" spans="1:105" s="80" customFormat="1" x14ac:dyDescent="0.2">
      <c r="A17" s="203" t="s">
        <v>203</v>
      </c>
      <c r="B17" s="204" t="s">
        <v>109</v>
      </c>
      <c r="C17" s="205" t="s">
        <v>196</v>
      </c>
      <c r="D17" s="204" t="s">
        <v>124</v>
      </c>
      <c r="E17" s="204" t="s">
        <v>111</v>
      </c>
      <c r="F17" s="206" t="s">
        <v>124</v>
      </c>
      <c r="G17" s="207">
        <v>3</v>
      </c>
      <c r="H17" s="206" t="s">
        <v>204</v>
      </c>
      <c r="I17" s="161" t="s">
        <v>223</v>
      </c>
      <c r="J17" s="80">
        <f>122+522+839+1418+2044+840+345+675+1484+809+885+2612+672+882+947+1463+1115+1275</f>
        <v>18949</v>
      </c>
      <c r="K17" s="80">
        <v>155</v>
      </c>
      <c r="L17" s="80">
        <v>51</v>
      </c>
      <c r="M17" s="80">
        <v>5</v>
      </c>
      <c r="N17" s="80">
        <f>L17-M17</f>
        <v>46</v>
      </c>
      <c r="O17" s="146">
        <f>N17/L17</f>
        <v>0.90196078431372551</v>
      </c>
      <c r="P17" s="80">
        <v>0</v>
      </c>
      <c r="Q17" s="80">
        <f>322+451</f>
        <v>773</v>
      </c>
      <c r="R17" s="80">
        <v>265</v>
      </c>
      <c r="S17" s="53">
        <f>250+395+884</f>
        <v>1529</v>
      </c>
      <c r="T17" s="53">
        <v>293</v>
      </c>
      <c r="U17" s="53">
        <v>50</v>
      </c>
      <c r="V17" s="53">
        <v>29</v>
      </c>
      <c r="W17" s="53">
        <f>U17-V17</f>
        <v>21</v>
      </c>
      <c r="X17" s="53">
        <v>51</v>
      </c>
      <c r="Y17" s="53">
        <v>118</v>
      </c>
      <c r="Z17" s="53" t="s">
        <v>115</v>
      </c>
      <c r="AA17" s="53" t="s">
        <v>115</v>
      </c>
      <c r="AB17" s="53" t="s">
        <v>115</v>
      </c>
      <c r="AC17" s="53" t="s">
        <v>115</v>
      </c>
      <c r="AD17" s="53" t="s">
        <v>115</v>
      </c>
      <c r="AE17" s="53" t="s">
        <v>115</v>
      </c>
      <c r="AF17" s="139">
        <v>21</v>
      </c>
      <c r="AG17" s="139">
        <v>23</v>
      </c>
      <c r="AH17" s="53">
        <f>573+406</f>
        <v>979</v>
      </c>
      <c r="AI17" s="146">
        <f>AH17/S17</f>
        <v>0.64028776978417268</v>
      </c>
      <c r="AJ17" s="80" t="s">
        <v>115</v>
      </c>
      <c r="AK17" s="80" t="s">
        <v>115</v>
      </c>
      <c r="AL17" s="80" t="s">
        <v>115</v>
      </c>
      <c r="AM17" s="80" t="s">
        <v>115</v>
      </c>
      <c r="AN17" s="80" t="s">
        <v>115</v>
      </c>
      <c r="AO17" s="80" t="s">
        <v>115</v>
      </c>
      <c r="AP17" s="80" t="s">
        <v>115</v>
      </c>
      <c r="AQ17" s="80" t="s">
        <v>115</v>
      </c>
      <c r="AR17" s="80" t="s">
        <v>115</v>
      </c>
      <c r="AS17" s="80" t="s">
        <v>115</v>
      </c>
      <c r="AT17" s="80" t="s">
        <v>115</v>
      </c>
      <c r="AU17" s="80" t="s">
        <v>115</v>
      </c>
      <c r="AV17" s="80" t="s">
        <v>115</v>
      </c>
      <c r="AW17" s="80" t="s">
        <v>115</v>
      </c>
      <c r="AX17" s="80" t="s">
        <v>115</v>
      </c>
      <c r="AY17" s="80" t="s">
        <v>115</v>
      </c>
      <c r="AZ17" s="80" t="s">
        <v>115</v>
      </c>
      <c r="BA17" s="81" t="s">
        <v>115</v>
      </c>
      <c r="BB17" s="80">
        <f>474+598+710+654+648+772+912</f>
        <v>4768</v>
      </c>
      <c r="BC17" s="80">
        <f>508+672+1298</f>
        <v>2478</v>
      </c>
      <c r="BD17" s="80">
        <f>445+933+902</f>
        <v>2280</v>
      </c>
      <c r="BE17" s="80">
        <v>76</v>
      </c>
      <c r="BF17" s="80">
        <v>590</v>
      </c>
      <c r="BG17" s="80">
        <v>592</v>
      </c>
      <c r="BH17" s="80">
        <f>1316+948</f>
        <v>2264</v>
      </c>
      <c r="BI17" s="80">
        <v>246</v>
      </c>
      <c r="BJ17" s="140">
        <v>31</v>
      </c>
      <c r="BK17" s="80">
        <v>387</v>
      </c>
      <c r="BL17" s="80">
        <v>247</v>
      </c>
      <c r="BM17" s="80">
        <v>671</v>
      </c>
      <c r="BN17" s="80">
        <v>916</v>
      </c>
      <c r="BO17" s="80" t="s">
        <v>128</v>
      </c>
      <c r="BP17" s="81">
        <f>BN17</f>
        <v>916</v>
      </c>
      <c r="BQ17" s="147">
        <f t="shared" si="1"/>
        <v>5.2052401746724888</v>
      </c>
      <c r="BR17" s="147">
        <f t="shared" si="0"/>
        <v>9.2032520325203251</v>
      </c>
      <c r="BS17" s="147">
        <f t="shared" si="2"/>
        <v>3.6929955290611027</v>
      </c>
      <c r="BT17" s="148">
        <f t="shared" si="3"/>
        <v>3.3979135618479881</v>
      </c>
      <c r="BU17" s="80">
        <f>184+239+588+257+317</f>
        <v>1585</v>
      </c>
      <c r="BV17" s="80">
        <v>159</v>
      </c>
      <c r="BW17" s="80">
        <v>143</v>
      </c>
      <c r="BX17" s="81">
        <v>132</v>
      </c>
      <c r="BY17" s="80" t="s">
        <v>118</v>
      </c>
      <c r="BZ17" s="80" t="s">
        <v>115</v>
      </c>
      <c r="CA17" s="80">
        <f>207+282</f>
        <v>489</v>
      </c>
      <c r="CB17" s="80">
        <v>7</v>
      </c>
      <c r="CC17" s="81" t="s">
        <v>115</v>
      </c>
      <c r="CD17" s="172" t="s">
        <v>115</v>
      </c>
      <c r="CE17" s="172" t="s">
        <v>115</v>
      </c>
      <c r="CF17" s="186" t="s">
        <v>115</v>
      </c>
      <c r="CG17" s="80">
        <v>126</v>
      </c>
      <c r="CH17" s="80">
        <v>102</v>
      </c>
      <c r="CI17" s="81">
        <v>69</v>
      </c>
      <c r="CJ17" s="80">
        <v>105</v>
      </c>
      <c r="CK17" s="80">
        <v>47</v>
      </c>
      <c r="CL17" s="81">
        <v>72</v>
      </c>
      <c r="CM17" s="80">
        <v>110</v>
      </c>
      <c r="CN17" s="80">
        <v>36</v>
      </c>
      <c r="CO17" s="81">
        <v>69</v>
      </c>
      <c r="CP17" s="80" t="s">
        <v>115</v>
      </c>
      <c r="CQ17" s="80" t="s">
        <v>115</v>
      </c>
      <c r="CR17" s="81" t="s">
        <v>115</v>
      </c>
      <c r="CS17" s="80">
        <v>75</v>
      </c>
      <c r="CT17" s="80">
        <v>26</v>
      </c>
      <c r="CU17" s="81">
        <v>53</v>
      </c>
      <c r="CV17" s="80">
        <v>69</v>
      </c>
      <c r="CW17" s="80">
        <v>31</v>
      </c>
      <c r="CX17" s="81">
        <v>38</v>
      </c>
      <c r="CY17" s="80">
        <v>60</v>
      </c>
      <c r="CZ17" s="80">
        <v>31</v>
      </c>
      <c r="DA17" s="81">
        <v>36</v>
      </c>
    </row>
    <row r="18" spans="1:105" s="80" customFormat="1" x14ac:dyDescent="0.2">
      <c r="A18" s="203"/>
      <c r="B18" s="204"/>
      <c r="C18" s="205"/>
      <c r="D18" s="204"/>
      <c r="E18" s="204"/>
      <c r="F18" s="206"/>
      <c r="G18" s="207"/>
      <c r="H18" s="206"/>
      <c r="I18" s="161"/>
      <c r="O18" s="146"/>
      <c r="X18" s="53">
        <v>56</v>
      </c>
      <c r="Y18" s="53">
        <v>112</v>
      </c>
      <c r="AF18" s="139">
        <v>11</v>
      </c>
      <c r="AG18" s="139">
        <v>15</v>
      </c>
      <c r="AI18" s="146"/>
      <c r="AZ18" s="146"/>
      <c r="BA18" s="81"/>
      <c r="BH18" s="80">
        <f>716+1185+494</f>
        <v>2395</v>
      </c>
      <c r="BI18" s="80">
        <v>229</v>
      </c>
      <c r="BJ18" s="140">
        <v>30</v>
      </c>
      <c r="BK18" s="80">
        <v>407</v>
      </c>
      <c r="BP18" s="81"/>
      <c r="BQ18" s="147"/>
      <c r="BR18" s="147">
        <f t="shared" si="0"/>
        <v>10.458515283842795</v>
      </c>
      <c r="BS18" s="147"/>
      <c r="BT18" s="148"/>
      <c r="BV18" s="80">
        <v>117</v>
      </c>
      <c r="BX18" s="81">
        <v>136</v>
      </c>
      <c r="CA18" s="80">
        <f>160+252</f>
        <v>412</v>
      </c>
      <c r="CC18" s="81"/>
      <c r="CF18" s="81"/>
      <c r="CI18" s="81"/>
      <c r="CJ18" s="80">
        <v>120</v>
      </c>
      <c r="CK18" s="80">
        <v>59</v>
      </c>
      <c r="CL18" s="81">
        <v>88</v>
      </c>
      <c r="CM18" s="80">
        <v>119</v>
      </c>
      <c r="CN18" s="80">
        <v>40</v>
      </c>
      <c r="CO18" s="81">
        <v>95</v>
      </c>
      <c r="CR18" s="81"/>
      <c r="CS18" s="80">
        <v>62</v>
      </c>
      <c r="CT18" s="80">
        <v>24</v>
      </c>
      <c r="CU18" s="81">
        <v>37</v>
      </c>
      <c r="CV18" s="80">
        <v>56</v>
      </c>
      <c r="CW18" s="80">
        <v>28</v>
      </c>
      <c r="CX18" s="81">
        <v>27</v>
      </c>
      <c r="CY18" s="80">
        <v>55</v>
      </c>
      <c r="CZ18" s="80">
        <v>30</v>
      </c>
      <c r="DA18" s="81">
        <v>30</v>
      </c>
    </row>
    <row r="19" spans="1:105" s="80" customFormat="1" x14ac:dyDescent="0.2">
      <c r="A19" s="222"/>
      <c r="B19" s="223"/>
      <c r="C19" s="224"/>
      <c r="D19" s="223"/>
      <c r="E19" s="223"/>
      <c r="F19" s="225"/>
      <c r="G19" s="226"/>
      <c r="H19" s="225"/>
      <c r="I19" s="163"/>
      <c r="J19" s="195"/>
      <c r="K19" s="195"/>
      <c r="L19" s="195"/>
      <c r="M19" s="195"/>
      <c r="N19" s="195"/>
      <c r="O19" s="227"/>
      <c r="P19" s="195"/>
      <c r="Q19" s="195"/>
      <c r="R19" s="195"/>
      <c r="S19" s="195"/>
      <c r="T19" s="195"/>
      <c r="U19" s="195"/>
      <c r="V19" s="195"/>
      <c r="W19" s="195"/>
      <c r="X19" s="90">
        <v>60</v>
      </c>
      <c r="Y19" s="90">
        <v>157</v>
      </c>
      <c r="Z19" s="195"/>
      <c r="AA19" s="195"/>
      <c r="AB19" s="195"/>
      <c r="AC19" s="195"/>
      <c r="AD19" s="195"/>
      <c r="AE19" s="195"/>
      <c r="AF19" s="228">
        <v>13</v>
      </c>
      <c r="AG19" s="228">
        <v>22</v>
      </c>
      <c r="AH19" s="195"/>
      <c r="AI19" s="227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227"/>
      <c r="BA19" s="229"/>
      <c r="BB19" s="195"/>
      <c r="BC19" s="195"/>
      <c r="BD19" s="195"/>
      <c r="BE19" s="195"/>
      <c r="BF19" s="195"/>
      <c r="BG19" s="195"/>
      <c r="BH19" s="195"/>
      <c r="BI19" s="195">
        <v>258</v>
      </c>
      <c r="BJ19" s="230">
        <v>26</v>
      </c>
      <c r="BK19" s="195">
        <v>468</v>
      </c>
      <c r="BL19" s="195"/>
      <c r="BM19" s="195"/>
      <c r="BN19" s="195"/>
      <c r="BO19" s="195"/>
      <c r="BP19" s="229"/>
      <c r="BQ19" s="231"/>
      <c r="BR19" s="232"/>
      <c r="BS19" s="232"/>
      <c r="BT19" s="233"/>
      <c r="BU19" s="195"/>
      <c r="BV19" s="195"/>
      <c r="BW19" s="195"/>
      <c r="BX19" s="229"/>
      <c r="BY19" s="195"/>
      <c r="BZ19" s="195"/>
      <c r="CA19" s="195"/>
      <c r="CB19" s="195"/>
      <c r="CC19" s="229"/>
      <c r="CD19" s="195"/>
      <c r="CE19" s="195"/>
      <c r="CF19" s="229"/>
      <c r="CG19" s="195"/>
      <c r="CH19" s="195"/>
      <c r="CI19" s="229"/>
      <c r="CJ19" s="195"/>
      <c r="CK19" s="195"/>
      <c r="CL19" s="229"/>
      <c r="CM19" s="195"/>
      <c r="CN19" s="195"/>
      <c r="CO19" s="229"/>
      <c r="CP19" s="195"/>
      <c r="CQ19" s="195"/>
      <c r="CR19" s="229"/>
      <c r="CS19" s="195">
        <v>60</v>
      </c>
      <c r="CT19" s="195">
        <v>21</v>
      </c>
      <c r="CU19" s="229">
        <v>42</v>
      </c>
      <c r="CV19" s="195">
        <v>54</v>
      </c>
      <c r="CW19" s="195">
        <v>27</v>
      </c>
      <c r="CX19" s="229">
        <v>29</v>
      </c>
      <c r="CY19" s="195">
        <v>53</v>
      </c>
      <c r="CZ19" s="195">
        <v>30</v>
      </c>
      <c r="DA19" s="229">
        <v>29</v>
      </c>
    </row>
    <row r="20" spans="1:105" s="80" customFormat="1" ht="17" x14ac:dyDescent="0.2">
      <c r="A20" s="258" t="s">
        <v>205</v>
      </c>
      <c r="B20" s="259" t="s">
        <v>206</v>
      </c>
      <c r="C20" s="260" t="s">
        <v>207</v>
      </c>
      <c r="D20" s="259" t="s">
        <v>124</v>
      </c>
      <c r="E20" s="261"/>
      <c r="F20" s="261"/>
      <c r="G20" s="261"/>
      <c r="H20" s="261"/>
      <c r="I20" s="262" t="s">
        <v>208</v>
      </c>
      <c r="J20" s="263">
        <f>2083+2236+2120+2186+2280+1862+568+235+842+1078</f>
        <v>15490</v>
      </c>
      <c r="K20" s="72" t="s">
        <v>115</v>
      </c>
      <c r="L20" s="263">
        <v>42</v>
      </c>
      <c r="M20" s="263">
        <v>7</v>
      </c>
      <c r="N20" s="263">
        <f>L20-M20</f>
        <v>35</v>
      </c>
      <c r="O20" s="72" t="s">
        <v>115</v>
      </c>
      <c r="P20" s="263">
        <v>0</v>
      </c>
      <c r="Q20" s="263">
        <v>519</v>
      </c>
      <c r="R20" s="263">
        <v>464</v>
      </c>
      <c r="S20" s="72">
        <v>1085</v>
      </c>
      <c r="T20" s="72">
        <v>500</v>
      </c>
      <c r="U20" s="263">
        <v>60</v>
      </c>
      <c r="V20" s="263">
        <v>32</v>
      </c>
      <c r="W20" s="263">
        <f>U20-V20</f>
        <v>28</v>
      </c>
      <c r="X20" s="263" t="s">
        <v>115</v>
      </c>
      <c r="Y20" s="263" t="s">
        <v>115</v>
      </c>
      <c r="Z20" s="263" t="s">
        <v>115</v>
      </c>
      <c r="AA20" s="263" t="s">
        <v>115</v>
      </c>
      <c r="AB20" s="263">
        <v>4</v>
      </c>
      <c r="AC20" s="263" t="s">
        <v>115</v>
      </c>
      <c r="AD20" s="263">
        <v>383</v>
      </c>
      <c r="AE20" s="263" t="s">
        <v>115</v>
      </c>
      <c r="AF20" s="264">
        <v>16</v>
      </c>
      <c r="AG20" s="264">
        <v>8</v>
      </c>
      <c r="AH20" s="263">
        <v>696</v>
      </c>
      <c r="AI20" s="265">
        <f>AH20/S20</f>
        <v>0.6414746543778802</v>
      </c>
      <c r="AJ20" s="72" t="s">
        <v>115</v>
      </c>
      <c r="AK20" s="72" t="s">
        <v>115</v>
      </c>
      <c r="AL20" s="72" t="s">
        <v>115</v>
      </c>
      <c r="AM20" s="72" t="s">
        <v>115</v>
      </c>
      <c r="AN20" s="72" t="s">
        <v>115</v>
      </c>
      <c r="AO20" s="72" t="s">
        <v>115</v>
      </c>
      <c r="AP20" s="72" t="s">
        <v>115</v>
      </c>
      <c r="AQ20" s="72" t="s">
        <v>115</v>
      </c>
      <c r="AR20" s="72" t="s">
        <v>115</v>
      </c>
      <c r="AS20" s="72" t="s">
        <v>115</v>
      </c>
      <c r="AT20" s="72" t="s">
        <v>115</v>
      </c>
      <c r="AU20" s="72" t="s">
        <v>115</v>
      </c>
      <c r="AV20" s="72" t="s">
        <v>115</v>
      </c>
      <c r="AW20" s="72" t="s">
        <v>115</v>
      </c>
      <c r="AX20" s="72" t="s">
        <v>115</v>
      </c>
      <c r="AY20" s="72" t="s">
        <v>115</v>
      </c>
      <c r="AZ20" s="72" t="s">
        <v>115</v>
      </c>
      <c r="BA20" s="266" t="s">
        <v>115</v>
      </c>
      <c r="BB20" s="263">
        <f>751+1352+1080+1350</f>
        <v>4533</v>
      </c>
      <c r="BC20" s="263">
        <f>1411+1180</f>
        <v>2591</v>
      </c>
      <c r="BD20" s="263">
        <v>1752</v>
      </c>
      <c r="BE20" s="263">
        <v>136</v>
      </c>
      <c r="BF20" s="263">
        <v>447</v>
      </c>
      <c r="BG20" s="263">
        <v>558</v>
      </c>
      <c r="BH20" s="263">
        <v>1745</v>
      </c>
      <c r="BI20" s="263">
        <v>220</v>
      </c>
      <c r="BJ20" s="263" t="s">
        <v>209</v>
      </c>
      <c r="BK20" s="263" t="s">
        <v>210</v>
      </c>
      <c r="BL20" s="263">
        <v>218</v>
      </c>
      <c r="BM20" s="263">
        <v>622</v>
      </c>
      <c r="BN20" s="263">
        <v>790</v>
      </c>
      <c r="BO20" s="263" t="s">
        <v>128</v>
      </c>
      <c r="BP20" s="267">
        <f>BN20</f>
        <v>790</v>
      </c>
      <c r="BQ20" s="217">
        <f t="shared" si="1"/>
        <v>5.7379746835443042</v>
      </c>
      <c r="BR20" s="217">
        <f t="shared" si="0"/>
        <v>7.9318181818181817</v>
      </c>
      <c r="BS20" s="217">
        <f t="shared" si="2"/>
        <v>4.165594855305466</v>
      </c>
      <c r="BT20" s="218">
        <f t="shared" si="3"/>
        <v>2.8167202572347265</v>
      </c>
      <c r="BU20" s="263">
        <f>261*2</f>
        <v>522</v>
      </c>
      <c r="BV20" s="263">
        <v>105</v>
      </c>
      <c r="BW20" s="263" t="s">
        <v>115</v>
      </c>
      <c r="BX20" s="267" t="s">
        <v>115</v>
      </c>
      <c r="BY20" s="263">
        <v>12</v>
      </c>
      <c r="BZ20" s="72">
        <v>83</v>
      </c>
      <c r="CA20" s="72">
        <v>492</v>
      </c>
      <c r="CB20" s="263">
        <v>8</v>
      </c>
      <c r="CC20" s="268" t="s">
        <v>115</v>
      </c>
      <c r="CD20" s="263" t="s">
        <v>115</v>
      </c>
      <c r="CE20" s="263" t="s">
        <v>115</v>
      </c>
      <c r="CF20" s="269" t="s">
        <v>115</v>
      </c>
      <c r="CG20" s="263" t="s">
        <v>115</v>
      </c>
      <c r="CH20" s="263" t="s">
        <v>115</v>
      </c>
      <c r="CI20" s="269" t="s">
        <v>115</v>
      </c>
      <c r="CJ20" s="263" t="s">
        <v>115</v>
      </c>
      <c r="CK20" s="263" t="s">
        <v>115</v>
      </c>
      <c r="CL20" s="269" t="s">
        <v>115</v>
      </c>
      <c r="CM20" s="263" t="s">
        <v>115</v>
      </c>
      <c r="CN20" s="263" t="s">
        <v>115</v>
      </c>
      <c r="CO20" s="269" t="s">
        <v>115</v>
      </c>
      <c r="CP20" s="263" t="s">
        <v>115</v>
      </c>
      <c r="CQ20" s="263" t="s">
        <v>115</v>
      </c>
      <c r="CR20" s="269" t="s">
        <v>115</v>
      </c>
      <c r="CS20" s="263" t="s">
        <v>115</v>
      </c>
      <c r="CT20" s="263" t="s">
        <v>115</v>
      </c>
      <c r="CU20" s="269" t="s">
        <v>115</v>
      </c>
      <c r="CV20" s="263" t="s">
        <v>115</v>
      </c>
      <c r="CW20" s="263" t="s">
        <v>115</v>
      </c>
      <c r="CX20" s="269" t="s">
        <v>115</v>
      </c>
      <c r="CY20" s="263" t="s">
        <v>115</v>
      </c>
      <c r="CZ20" s="263" t="s">
        <v>115</v>
      </c>
      <c r="DA20" s="269" t="s">
        <v>115</v>
      </c>
    </row>
    <row r="21" spans="1:105" s="80" customFormat="1" ht="17" x14ac:dyDescent="0.2">
      <c r="A21" s="270"/>
      <c r="B21" s="270"/>
      <c r="C21" s="271"/>
      <c r="D21" s="270"/>
      <c r="E21" s="221"/>
      <c r="F21" s="221"/>
      <c r="G21" s="221"/>
      <c r="H21" s="221"/>
      <c r="I21" s="272"/>
      <c r="J21" s="263"/>
      <c r="K21" s="72"/>
      <c r="L21" s="263"/>
      <c r="M21" s="263"/>
      <c r="N21" s="263"/>
      <c r="O21" s="72"/>
      <c r="P21" s="263"/>
      <c r="Q21" s="263"/>
      <c r="R21" s="263"/>
      <c r="S21" s="72"/>
      <c r="T21" s="72"/>
      <c r="U21" s="263">
        <v>53</v>
      </c>
      <c r="V21" s="263">
        <v>32</v>
      </c>
      <c r="W21" s="263">
        <f>U21-V21</f>
        <v>21</v>
      </c>
      <c r="X21" s="263"/>
      <c r="Y21" s="263"/>
      <c r="Z21" s="263"/>
      <c r="AA21" s="263"/>
      <c r="AB21" s="263"/>
      <c r="AC21" s="263"/>
      <c r="AD21" s="263"/>
      <c r="AE21" s="263"/>
      <c r="AF21" s="264">
        <v>14</v>
      </c>
      <c r="AG21" s="264">
        <v>13</v>
      </c>
      <c r="AH21" s="263"/>
      <c r="AI21" s="273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216"/>
      <c r="BB21" s="263"/>
      <c r="BC21" s="263"/>
      <c r="BD21" s="263"/>
      <c r="BE21" s="263"/>
      <c r="BF21" s="263"/>
      <c r="BG21" s="263"/>
      <c r="BH21" s="263">
        <v>1641</v>
      </c>
      <c r="BI21" s="263">
        <v>203</v>
      </c>
      <c r="BJ21" s="263">
        <v>53</v>
      </c>
      <c r="BK21" s="263">
        <v>492</v>
      </c>
      <c r="BL21" s="263" t="s">
        <v>115</v>
      </c>
      <c r="BM21" s="263"/>
      <c r="BN21" s="263"/>
      <c r="BO21" s="263"/>
      <c r="BP21" s="267"/>
      <c r="BQ21" s="217"/>
      <c r="BR21" s="217">
        <f t="shared" si="0"/>
        <v>8.083743842364532</v>
      </c>
      <c r="BS21" s="217"/>
      <c r="BT21" s="218"/>
      <c r="BU21" s="263"/>
      <c r="BV21" s="263"/>
      <c r="BW21" s="263"/>
      <c r="BX21" s="267"/>
      <c r="BY21" s="263"/>
      <c r="BZ21" s="72"/>
      <c r="CA21" s="72"/>
      <c r="CB21" s="263"/>
      <c r="CC21" s="274"/>
      <c r="CD21" s="263"/>
      <c r="CE21" s="263"/>
      <c r="CF21" s="267"/>
      <c r="CG21" s="263"/>
      <c r="CH21" s="263"/>
      <c r="CI21" s="267"/>
      <c r="CJ21" s="263"/>
      <c r="CK21" s="72"/>
      <c r="CL21" s="216"/>
      <c r="CM21" s="72"/>
      <c r="CN21" s="72"/>
      <c r="CO21" s="216"/>
      <c r="CP21" s="72"/>
      <c r="CQ21" s="72"/>
      <c r="CR21" s="216"/>
      <c r="CS21" s="72"/>
      <c r="CT21" s="72"/>
      <c r="CU21" s="216"/>
      <c r="CV21" s="263"/>
      <c r="CW21" s="263"/>
      <c r="CX21" s="267"/>
      <c r="CY21" s="263"/>
      <c r="CZ21" s="263"/>
      <c r="DA21" s="267"/>
    </row>
    <row r="22" spans="1:105" s="80" customFormat="1" ht="17" x14ac:dyDescent="0.2">
      <c r="A22" s="270"/>
      <c r="B22" s="270"/>
      <c r="C22" s="271"/>
      <c r="D22" s="270"/>
      <c r="E22" s="221"/>
      <c r="F22" s="221"/>
      <c r="G22" s="221"/>
      <c r="H22" s="221"/>
      <c r="I22" s="272"/>
      <c r="J22" s="263"/>
      <c r="K22" s="72"/>
      <c r="L22" s="263"/>
      <c r="M22" s="263"/>
      <c r="N22" s="263"/>
      <c r="O22" s="72"/>
      <c r="P22" s="263"/>
      <c r="Q22" s="263"/>
      <c r="R22" s="263"/>
      <c r="S22" s="72"/>
      <c r="T22" s="72"/>
      <c r="U22" s="263">
        <v>57</v>
      </c>
      <c r="V22" s="263"/>
      <c r="W22" s="263"/>
      <c r="X22" s="263"/>
      <c r="Y22" s="263"/>
      <c r="Z22" s="263"/>
      <c r="AA22" s="263"/>
      <c r="AB22" s="263"/>
      <c r="AC22" s="263"/>
      <c r="AD22" s="263"/>
      <c r="AE22" s="263"/>
      <c r="AF22" s="264">
        <v>15</v>
      </c>
      <c r="AG22" s="264">
        <v>10</v>
      </c>
      <c r="AH22" s="263"/>
      <c r="AI22" s="273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216"/>
      <c r="BB22" s="263"/>
      <c r="BC22" s="263"/>
      <c r="BD22" s="263"/>
      <c r="BE22" s="263"/>
      <c r="BF22" s="263"/>
      <c r="BG22" s="263"/>
      <c r="BH22" s="263">
        <v>1695</v>
      </c>
      <c r="BI22" s="263" t="s">
        <v>115</v>
      </c>
      <c r="BJ22" s="263">
        <v>31</v>
      </c>
      <c r="BK22" s="263">
        <v>519</v>
      </c>
      <c r="BL22" s="263" t="s">
        <v>115</v>
      </c>
      <c r="BM22" s="263"/>
      <c r="BN22" s="263"/>
      <c r="BO22" s="263"/>
      <c r="BP22" s="267"/>
      <c r="BQ22" s="217"/>
      <c r="BR22" s="217"/>
      <c r="BS22" s="217"/>
      <c r="BT22" s="218"/>
      <c r="BU22" s="263"/>
      <c r="BV22" s="263"/>
      <c r="BW22" s="263"/>
      <c r="BX22" s="267"/>
      <c r="BY22" s="263"/>
      <c r="BZ22" s="72"/>
      <c r="CA22" s="72"/>
      <c r="CB22" s="263"/>
      <c r="CC22" s="274"/>
      <c r="CD22" s="263"/>
      <c r="CE22" s="263"/>
      <c r="CF22" s="267"/>
      <c r="CG22" s="263"/>
      <c r="CH22" s="263"/>
      <c r="CI22" s="267"/>
      <c r="CJ22" s="263"/>
      <c r="CK22" s="72"/>
      <c r="CL22" s="216"/>
      <c r="CM22" s="72"/>
      <c r="CN22" s="72"/>
      <c r="CO22" s="216"/>
      <c r="CP22" s="72"/>
      <c r="CQ22" s="72"/>
      <c r="CR22" s="216"/>
      <c r="CS22" s="72"/>
      <c r="CT22" s="72"/>
      <c r="CU22" s="216"/>
      <c r="CV22" s="263"/>
      <c r="CW22" s="263"/>
      <c r="CX22" s="267"/>
      <c r="CY22" s="263"/>
      <c r="CZ22" s="263"/>
      <c r="DA22" s="267"/>
    </row>
    <row r="23" spans="1:105" ht="16" customHeight="1" x14ac:dyDescent="0.2">
      <c r="A23" s="234" t="s">
        <v>211</v>
      </c>
      <c r="B23" s="235" t="s">
        <v>212</v>
      </c>
      <c r="C23" s="236"/>
      <c r="D23" s="235" t="s">
        <v>124</v>
      </c>
      <c r="E23" s="76"/>
      <c r="F23" s="76"/>
      <c r="G23" s="76"/>
      <c r="H23" s="76"/>
      <c r="I23" s="69" t="s">
        <v>213</v>
      </c>
      <c r="J23" s="45" t="s">
        <v>115</v>
      </c>
      <c r="K23" s="80" t="s">
        <v>115</v>
      </c>
      <c r="L23" s="45" t="s">
        <v>115</v>
      </c>
      <c r="M23" s="45" t="s">
        <v>115</v>
      </c>
      <c r="N23" s="45" t="s">
        <v>115</v>
      </c>
      <c r="O23" s="80" t="s">
        <v>115</v>
      </c>
      <c r="P23" s="45" t="s">
        <v>115</v>
      </c>
      <c r="Q23" s="45" t="s">
        <v>115</v>
      </c>
      <c r="R23" s="45" t="s">
        <v>115</v>
      </c>
      <c r="S23" s="45" t="s">
        <v>115</v>
      </c>
      <c r="T23" s="45" t="s">
        <v>115</v>
      </c>
      <c r="U23" s="45" t="s">
        <v>115</v>
      </c>
      <c r="V23" s="45" t="s">
        <v>115</v>
      </c>
      <c r="W23" s="45" t="s">
        <v>115</v>
      </c>
      <c r="X23" s="45" t="s">
        <v>115</v>
      </c>
      <c r="Y23" s="45" t="s">
        <v>115</v>
      </c>
      <c r="Z23" s="45" t="s">
        <v>115</v>
      </c>
      <c r="AA23" s="45" t="s">
        <v>115</v>
      </c>
      <c r="AB23" s="45" t="s">
        <v>115</v>
      </c>
      <c r="AC23" s="45" t="s">
        <v>115</v>
      </c>
      <c r="AD23" s="45" t="s">
        <v>115</v>
      </c>
      <c r="AE23" s="45" t="s">
        <v>115</v>
      </c>
      <c r="AF23" s="45" t="s">
        <v>115</v>
      </c>
      <c r="AG23" s="45" t="s">
        <v>115</v>
      </c>
      <c r="AH23" s="45" t="s">
        <v>115</v>
      </c>
      <c r="AI23" s="45" t="s">
        <v>115</v>
      </c>
      <c r="AJ23" s="45" t="s">
        <v>115</v>
      </c>
      <c r="AK23" s="45" t="s">
        <v>115</v>
      </c>
      <c r="AL23" s="45" t="s">
        <v>115</v>
      </c>
      <c r="AM23" s="45" t="s">
        <v>115</v>
      </c>
      <c r="AN23" s="45" t="s">
        <v>115</v>
      </c>
      <c r="AO23" s="45" t="s">
        <v>115</v>
      </c>
      <c r="AP23" s="45" t="s">
        <v>115</v>
      </c>
      <c r="AQ23" s="45" t="s">
        <v>115</v>
      </c>
      <c r="AR23" s="45" t="s">
        <v>115</v>
      </c>
      <c r="AS23" s="45" t="s">
        <v>115</v>
      </c>
      <c r="AT23" s="45" t="s">
        <v>115</v>
      </c>
      <c r="AU23" s="45" t="s">
        <v>115</v>
      </c>
      <c r="AV23" s="45" t="s">
        <v>115</v>
      </c>
      <c r="AW23" s="45" t="s">
        <v>115</v>
      </c>
      <c r="AX23" s="45" t="s">
        <v>115</v>
      </c>
      <c r="AY23" s="45" t="s">
        <v>115</v>
      </c>
      <c r="AZ23" s="45" t="s">
        <v>115</v>
      </c>
      <c r="BA23" s="49" t="s">
        <v>115</v>
      </c>
      <c r="BB23" s="45">
        <v>5329</v>
      </c>
      <c r="BC23" s="45">
        <v>3034</v>
      </c>
      <c r="BD23" s="45">
        <v>2138</v>
      </c>
      <c r="BE23" s="45">
        <v>168</v>
      </c>
      <c r="BF23" s="45">
        <v>785</v>
      </c>
      <c r="BG23" s="45">
        <v>1059</v>
      </c>
      <c r="BH23" s="45">
        <v>2097</v>
      </c>
      <c r="BI23" s="45">
        <v>231</v>
      </c>
      <c r="BJ23" s="50">
        <v>51</v>
      </c>
      <c r="BK23" s="45">
        <v>621</v>
      </c>
      <c r="BL23" s="45">
        <v>221</v>
      </c>
      <c r="BM23" s="45">
        <v>714</v>
      </c>
      <c r="BN23" s="45">
        <v>952</v>
      </c>
      <c r="BO23" s="45" t="s">
        <v>131</v>
      </c>
      <c r="BP23" s="49">
        <f>BG23</f>
        <v>1059</v>
      </c>
      <c r="BQ23" s="147">
        <f t="shared" si="1"/>
        <v>5.0321057601510857</v>
      </c>
      <c r="BR23" s="147">
        <f t="shared" si="0"/>
        <v>9.0779220779220786</v>
      </c>
      <c r="BS23" s="147">
        <f t="shared" si="2"/>
        <v>4.2492997198879552</v>
      </c>
      <c r="BT23" s="148">
        <f t="shared" si="3"/>
        <v>2.9943977591036415</v>
      </c>
      <c r="BU23" s="45">
        <v>2000</v>
      </c>
      <c r="BV23" s="45">
        <v>134</v>
      </c>
      <c r="BW23" s="45">
        <v>111</v>
      </c>
      <c r="BX23" s="49">
        <v>91</v>
      </c>
      <c r="BY23" s="45">
        <v>11</v>
      </c>
      <c r="BZ23" s="45" t="s">
        <v>115</v>
      </c>
      <c r="CA23" s="80" t="s">
        <v>115</v>
      </c>
      <c r="CB23" s="45">
        <v>7</v>
      </c>
      <c r="CC23" s="237" t="s">
        <v>115</v>
      </c>
      <c r="CD23" s="275" t="s">
        <v>115</v>
      </c>
      <c r="CE23" s="275" t="s">
        <v>115</v>
      </c>
      <c r="CF23" s="276" t="s">
        <v>115</v>
      </c>
      <c r="CG23" s="45">
        <v>79</v>
      </c>
      <c r="CH23" s="45">
        <v>71</v>
      </c>
      <c r="CI23" s="49">
        <v>54</v>
      </c>
      <c r="CJ23" s="275" t="s">
        <v>115</v>
      </c>
      <c r="CK23" s="275" t="s">
        <v>115</v>
      </c>
      <c r="CL23" s="276" t="s">
        <v>115</v>
      </c>
      <c r="CM23" s="275" t="s">
        <v>115</v>
      </c>
      <c r="CN23" s="275" t="s">
        <v>115</v>
      </c>
      <c r="CO23" s="276" t="s">
        <v>115</v>
      </c>
      <c r="CP23" s="275" t="s">
        <v>115</v>
      </c>
      <c r="CQ23" s="275" t="s">
        <v>115</v>
      </c>
      <c r="CR23" s="276" t="s">
        <v>115</v>
      </c>
      <c r="CS23" s="275" t="s">
        <v>115</v>
      </c>
      <c r="CT23" s="275" t="s">
        <v>115</v>
      </c>
      <c r="CU23" s="276" t="s">
        <v>115</v>
      </c>
      <c r="CV23" s="45">
        <v>28</v>
      </c>
      <c r="CW23" s="45">
        <v>19</v>
      </c>
      <c r="CX23" s="49">
        <v>13</v>
      </c>
      <c r="CY23" s="45">
        <v>35</v>
      </c>
      <c r="CZ23" s="45">
        <v>29</v>
      </c>
      <c r="DA23" s="49">
        <v>24</v>
      </c>
    </row>
    <row r="24" spans="1:105" ht="16" customHeight="1" x14ac:dyDescent="0.2">
      <c r="A24" s="234"/>
      <c r="B24" s="235"/>
      <c r="C24" s="236"/>
      <c r="D24" s="235"/>
      <c r="E24" s="76"/>
      <c r="F24" s="76"/>
      <c r="G24" s="76"/>
      <c r="H24" s="76"/>
      <c r="I24" s="69"/>
      <c r="K24" s="146"/>
      <c r="O24" s="146"/>
      <c r="S24" s="45"/>
      <c r="T24" s="45"/>
      <c r="BH24" s="45">
        <v>2097</v>
      </c>
      <c r="BI24" s="45">
        <v>247</v>
      </c>
      <c r="BJ24" s="50">
        <v>56</v>
      </c>
      <c r="BK24" s="45">
        <v>483</v>
      </c>
      <c r="BL24" s="45">
        <v>228</v>
      </c>
      <c r="BQ24" s="147"/>
      <c r="BR24" s="147">
        <f t="shared" si="0"/>
        <v>8.4898785425101213</v>
      </c>
      <c r="BS24" s="147"/>
      <c r="BT24" s="148"/>
      <c r="BV24" s="45">
        <v>97</v>
      </c>
      <c r="BW24" s="45">
        <v>105</v>
      </c>
      <c r="BX24" s="49">
        <v>99</v>
      </c>
      <c r="CC24" s="237"/>
      <c r="CF24" s="49"/>
      <c r="CG24" s="45">
        <v>83</v>
      </c>
      <c r="CH24" s="45">
        <v>72</v>
      </c>
      <c r="CI24" s="49">
        <v>52</v>
      </c>
      <c r="CJ24" s="169"/>
      <c r="CK24" s="169"/>
      <c r="CL24" s="180"/>
      <c r="CM24" s="169"/>
      <c r="CN24" s="169"/>
      <c r="CO24" s="180"/>
      <c r="CP24" s="169"/>
      <c r="CQ24" s="169"/>
      <c r="CR24" s="180"/>
      <c r="CS24" s="169"/>
      <c r="CT24" s="169"/>
      <c r="CU24" s="180"/>
      <c r="CV24" s="45">
        <v>24</v>
      </c>
      <c r="CW24" s="45">
        <v>18</v>
      </c>
      <c r="CX24" s="49">
        <v>17</v>
      </c>
      <c r="CY24" s="45">
        <v>34</v>
      </c>
      <c r="CZ24" s="45">
        <v>26</v>
      </c>
      <c r="DA24" s="49">
        <v>21</v>
      </c>
    </row>
    <row r="25" spans="1:105" ht="16" customHeight="1" x14ac:dyDescent="0.2">
      <c r="A25" s="234"/>
      <c r="B25" s="235"/>
      <c r="C25" s="236"/>
      <c r="D25" s="235"/>
      <c r="E25" s="76"/>
      <c r="F25" s="76"/>
      <c r="G25" s="76"/>
      <c r="H25" s="76"/>
      <c r="I25" s="69"/>
      <c r="K25" s="146"/>
      <c r="O25" s="146"/>
      <c r="S25" s="45"/>
      <c r="T25" s="45"/>
      <c r="BH25" s="45">
        <v>2112</v>
      </c>
      <c r="BI25" s="45">
        <v>272</v>
      </c>
      <c r="BJ25" s="50">
        <v>53</v>
      </c>
      <c r="BK25" s="45">
        <v>540</v>
      </c>
      <c r="BL25" s="45">
        <v>273</v>
      </c>
      <c r="BQ25" s="147"/>
      <c r="BR25" s="147">
        <f t="shared" si="0"/>
        <v>7.7647058823529411</v>
      </c>
      <c r="BS25" s="147"/>
      <c r="BT25" s="148"/>
      <c r="BV25" s="45">
        <v>86</v>
      </c>
      <c r="BX25" s="49">
        <v>98</v>
      </c>
      <c r="CC25" s="237"/>
      <c r="CF25" s="49"/>
      <c r="CG25" s="45">
        <v>76</v>
      </c>
      <c r="CH25" s="45">
        <v>61</v>
      </c>
      <c r="CI25" s="49">
        <v>52</v>
      </c>
      <c r="CJ25" s="169"/>
      <c r="CK25" s="169"/>
      <c r="CL25" s="180"/>
      <c r="CM25" s="169"/>
      <c r="CN25" s="169"/>
      <c r="CO25" s="180"/>
      <c r="CP25" s="169"/>
      <c r="CQ25" s="169"/>
      <c r="CR25" s="180"/>
      <c r="CS25" s="169"/>
      <c r="CT25" s="169"/>
      <c r="CU25" s="180"/>
      <c r="CV25" s="45">
        <v>25</v>
      </c>
      <c r="CW25" s="45">
        <v>20</v>
      </c>
      <c r="CX25" s="49">
        <v>12</v>
      </c>
      <c r="CY25" s="45">
        <v>35</v>
      </c>
      <c r="CZ25" s="45">
        <v>30</v>
      </c>
      <c r="DA25" s="49">
        <v>25</v>
      </c>
    </row>
    <row r="26" spans="1:105" ht="16" customHeight="1" x14ac:dyDescent="0.2">
      <c r="A26" s="111" t="s">
        <v>214</v>
      </c>
      <c r="B26" s="238" t="s">
        <v>136</v>
      </c>
      <c r="C26" s="112"/>
      <c r="D26" s="238" t="s">
        <v>124</v>
      </c>
      <c r="E26" s="70"/>
      <c r="F26" s="70"/>
      <c r="G26" s="70"/>
      <c r="H26" s="70"/>
      <c r="I26" s="59" t="s">
        <v>213</v>
      </c>
      <c r="J26" s="60" t="s">
        <v>115</v>
      </c>
      <c r="K26" s="72" t="s">
        <v>115</v>
      </c>
      <c r="L26" s="60" t="s">
        <v>115</v>
      </c>
      <c r="M26" s="60" t="s">
        <v>115</v>
      </c>
      <c r="N26" s="60" t="s">
        <v>115</v>
      </c>
      <c r="O26" s="72" t="s">
        <v>115</v>
      </c>
      <c r="P26" s="60" t="s">
        <v>115</v>
      </c>
      <c r="Q26" s="60" t="s">
        <v>115</v>
      </c>
      <c r="R26" s="60" t="s">
        <v>115</v>
      </c>
      <c r="S26" s="60" t="s">
        <v>115</v>
      </c>
      <c r="T26" s="60" t="s">
        <v>115</v>
      </c>
      <c r="U26" s="60" t="s">
        <v>115</v>
      </c>
      <c r="V26" s="60" t="s">
        <v>115</v>
      </c>
      <c r="W26" s="60" t="s">
        <v>115</v>
      </c>
      <c r="X26" s="60" t="s">
        <v>115</v>
      </c>
      <c r="Y26" s="60" t="s">
        <v>115</v>
      </c>
      <c r="Z26" s="60" t="s">
        <v>115</v>
      </c>
      <c r="AA26" s="60" t="s">
        <v>115</v>
      </c>
      <c r="AB26" s="60" t="s">
        <v>115</v>
      </c>
      <c r="AC26" s="60" t="s">
        <v>115</v>
      </c>
      <c r="AD26" s="60" t="s">
        <v>115</v>
      </c>
      <c r="AE26" s="60" t="s">
        <v>115</v>
      </c>
      <c r="AF26" s="60" t="s">
        <v>115</v>
      </c>
      <c r="AG26" s="60" t="s">
        <v>115</v>
      </c>
      <c r="AH26" s="60" t="s">
        <v>115</v>
      </c>
      <c r="AI26" s="61" t="s">
        <v>115</v>
      </c>
      <c r="AJ26" s="60" t="s">
        <v>115</v>
      </c>
      <c r="AK26" s="60" t="s">
        <v>115</v>
      </c>
      <c r="AL26" s="60" t="s">
        <v>115</v>
      </c>
      <c r="AM26" s="60" t="s">
        <v>115</v>
      </c>
      <c r="AN26" s="60" t="s">
        <v>115</v>
      </c>
      <c r="AO26" s="60" t="s">
        <v>115</v>
      </c>
      <c r="AP26" s="60" t="s">
        <v>115</v>
      </c>
      <c r="AQ26" s="60" t="s">
        <v>115</v>
      </c>
      <c r="AR26" s="60" t="s">
        <v>115</v>
      </c>
      <c r="AS26" s="60" t="s">
        <v>115</v>
      </c>
      <c r="AT26" s="60" t="s">
        <v>115</v>
      </c>
      <c r="AU26" s="60" t="s">
        <v>115</v>
      </c>
      <c r="AV26" s="60" t="s">
        <v>115</v>
      </c>
      <c r="AW26" s="60" t="s">
        <v>115</v>
      </c>
      <c r="AX26" s="60" t="s">
        <v>115</v>
      </c>
      <c r="AY26" s="60" t="s">
        <v>115</v>
      </c>
      <c r="AZ26" s="60" t="s">
        <v>115</v>
      </c>
      <c r="BA26" s="64" t="s">
        <v>115</v>
      </c>
      <c r="BB26" s="60">
        <v>4778</v>
      </c>
      <c r="BC26" s="60">
        <v>2557</v>
      </c>
      <c r="BD26" s="60">
        <v>2118</v>
      </c>
      <c r="BE26" s="60">
        <v>122</v>
      </c>
      <c r="BF26" s="60">
        <v>660</v>
      </c>
      <c r="BG26" s="60">
        <v>715</v>
      </c>
      <c r="BH26" s="60">
        <v>2002</v>
      </c>
      <c r="BI26" s="60">
        <v>186</v>
      </c>
      <c r="BJ26" s="65">
        <v>48</v>
      </c>
      <c r="BK26" s="60">
        <v>463</v>
      </c>
      <c r="BL26" s="60">
        <v>263</v>
      </c>
      <c r="BM26" s="60">
        <v>418</v>
      </c>
      <c r="BN26" s="60">
        <v>853</v>
      </c>
      <c r="BO26" s="60" t="s">
        <v>128</v>
      </c>
      <c r="BP26" s="64">
        <f>BN26</f>
        <v>853</v>
      </c>
      <c r="BQ26" s="217">
        <f t="shared" si="1"/>
        <v>5.601406799531067</v>
      </c>
      <c r="BR26" s="217">
        <f t="shared" si="0"/>
        <v>10.763440860215054</v>
      </c>
      <c r="BS26" s="217">
        <f t="shared" si="2"/>
        <v>6.1172248803827749</v>
      </c>
      <c r="BT26" s="218">
        <f t="shared" si="3"/>
        <v>5.0669856459330145</v>
      </c>
      <c r="BU26" s="60">
        <v>1600</v>
      </c>
      <c r="BV26" s="60">
        <v>98</v>
      </c>
      <c r="BW26" s="60">
        <v>114</v>
      </c>
      <c r="BX26" s="64">
        <v>80</v>
      </c>
      <c r="BY26" s="60">
        <v>11</v>
      </c>
      <c r="BZ26" s="60" t="s">
        <v>115</v>
      </c>
      <c r="CA26" s="72">
        <v>445</v>
      </c>
      <c r="CB26" s="60">
        <v>7</v>
      </c>
      <c r="CC26" s="239" t="s">
        <v>115</v>
      </c>
      <c r="CD26" s="263" t="s">
        <v>115</v>
      </c>
      <c r="CE26" s="263" t="s">
        <v>115</v>
      </c>
      <c r="CF26" s="267" t="s">
        <v>115</v>
      </c>
      <c r="CG26" s="60">
        <v>80</v>
      </c>
      <c r="CH26" s="60">
        <v>71</v>
      </c>
      <c r="CI26" s="64">
        <v>49</v>
      </c>
      <c r="CJ26" s="263" t="s">
        <v>115</v>
      </c>
      <c r="CK26" s="263" t="s">
        <v>115</v>
      </c>
      <c r="CL26" s="267" t="s">
        <v>115</v>
      </c>
      <c r="CM26" s="263" t="s">
        <v>115</v>
      </c>
      <c r="CN26" s="263" t="s">
        <v>115</v>
      </c>
      <c r="CO26" s="267" t="s">
        <v>115</v>
      </c>
      <c r="CP26" s="263" t="s">
        <v>115</v>
      </c>
      <c r="CQ26" s="263" t="s">
        <v>115</v>
      </c>
      <c r="CR26" s="267" t="s">
        <v>115</v>
      </c>
      <c r="CS26" s="263" t="s">
        <v>115</v>
      </c>
      <c r="CT26" s="263" t="s">
        <v>115</v>
      </c>
      <c r="CU26" s="267" t="s">
        <v>115</v>
      </c>
      <c r="CV26" s="60">
        <v>31</v>
      </c>
      <c r="CW26" s="60">
        <v>10</v>
      </c>
      <c r="CX26" s="64">
        <v>24</v>
      </c>
      <c r="CY26" s="60">
        <v>32</v>
      </c>
      <c r="CZ26" s="60">
        <v>22</v>
      </c>
      <c r="DA26" s="64">
        <v>22</v>
      </c>
    </row>
    <row r="27" spans="1:105" ht="16" customHeight="1" x14ac:dyDescent="0.2">
      <c r="A27" s="111"/>
      <c r="B27" s="238"/>
      <c r="C27" s="112"/>
      <c r="D27" s="238"/>
      <c r="E27" s="70"/>
      <c r="F27" s="70"/>
      <c r="G27" s="70"/>
      <c r="H27" s="70"/>
      <c r="I27" s="59"/>
      <c r="J27" s="60"/>
      <c r="K27" s="72"/>
      <c r="L27" s="60"/>
      <c r="M27" s="60"/>
      <c r="N27" s="60"/>
      <c r="O27" s="72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4"/>
      <c r="BB27" s="60"/>
      <c r="BC27" s="60"/>
      <c r="BD27" s="60"/>
      <c r="BE27" s="60"/>
      <c r="BF27" s="60"/>
      <c r="BG27" s="60"/>
      <c r="BH27" s="60">
        <v>2065</v>
      </c>
      <c r="BI27" s="60">
        <v>212</v>
      </c>
      <c r="BJ27" s="65">
        <v>44</v>
      </c>
      <c r="BK27" s="60">
        <v>440</v>
      </c>
      <c r="BL27" s="60" t="s">
        <v>115</v>
      </c>
      <c r="BM27" s="60"/>
      <c r="BN27" s="60"/>
      <c r="BO27" s="60"/>
      <c r="BP27" s="64"/>
      <c r="BQ27" s="217"/>
      <c r="BR27" s="217">
        <f t="shared" si="0"/>
        <v>9.7405660377358494</v>
      </c>
      <c r="BS27" s="217"/>
      <c r="BT27" s="218"/>
      <c r="BU27" s="60"/>
      <c r="BV27" s="60">
        <v>133</v>
      </c>
      <c r="BW27" s="60">
        <v>108</v>
      </c>
      <c r="BX27" s="64">
        <v>95</v>
      </c>
      <c r="BY27" s="60"/>
      <c r="BZ27" s="60"/>
      <c r="CA27" s="72"/>
      <c r="CB27" s="60"/>
      <c r="CC27" s="239"/>
      <c r="CD27" s="60"/>
      <c r="CE27" s="60"/>
      <c r="CF27" s="64"/>
      <c r="CG27" s="60">
        <v>74</v>
      </c>
      <c r="CH27" s="60">
        <v>62</v>
      </c>
      <c r="CI27" s="64">
        <v>49</v>
      </c>
      <c r="CJ27" s="60"/>
      <c r="CK27" s="60"/>
      <c r="CL27" s="64"/>
      <c r="CM27" s="60"/>
      <c r="CN27" s="60"/>
      <c r="CO27" s="64"/>
      <c r="CP27" s="60"/>
      <c r="CQ27" s="60"/>
      <c r="CR27" s="64"/>
      <c r="CS27" s="60"/>
      <c r="CT27" s="60"/>
      <c r="CU27" s="64"/>
      <c r="CV27" s="60">
        <v>29</v>
      </c>
      <c r="CW27" s="60">
        <v>16</v>
      </c>
      <c r="CX27" s="64">
        <v>21</v>
      </c>
      <c r="CY27" s="60">
        <v>23</v>
      </c>
      <c r="CZ27" s="60">
        <v>19</v>
      </c>
      <c r="DA27" s="64">
        <v>17</v>
      </c>
    </row>
    <row r="28" spans="1:105" ht="16" customHeight="1" x14ac:dyDescent="0.2">
      <c r="A28" s="111"/>
      <c r="B28" s="238"/>
      <c r="C28" s="112"/>
      <c r="D28" s="238"/>
      <c r="E28" s="70"/>
      <c r="F28" s="70"/>
      <c r="G28" s="70"/>
      <c r="H28" s="70"/>
      <c r="I28" s="59"/>
      <c r="J28" s="60"/>
      <c r="K28" s="72"/>
      <c r="L28" s="60"/>
      <c r="M28" s="60"/>
      <c r="N28" s="60"/>
      <c r="O28" s="72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4"/>
      <c r="BB28" s="60"/>
      <c r="BC28" s="60"/>
      <c r="BD28" s="60"/>
      <c r="BE28" s="60"/>
      <c r="BF28" s="60"/>
      <c r="BG28" s="60"/>
      <c r="BH28" s="60">
        <v>2119</v>
      </c>
      <c r="BI28" s="60"/>
      <c r="BJ28" s="65">
        <v>39</v>
      </c>
      <c r="BK28" s="60">
        <v>561</v>
      </c>
      <c r="BL28" s="60" t="s">
        <v>115</v>
      </c>
      <c r="BM28" s="60"/>
      <c r="BN28" s="60"/>
      <c r="BO28" s="60"/>
      <c r="BP28" s="64"/>
      <c r="BQ28" s="217"/>
      <c r="BR28" s="217"/>
      <c r="BS28" s="217"/>
      <c r="BT28" s="218"/>
      <c r="BU28" s="60"/>
      <c r="BV28" s="60">
        <v>85</v>
      </c>
      <c r="BW28" s="60">
        <v>108</v>
      </c>
      <c r="BX28" s="64"/>
      <c r="BY28" s="60"/>
      <c r="BZ28" s="60"/>
      <c r="CA28" s="72"/>
      <c r="CB28" s="60"/>
      <c r="CC28" s="239"/>
      <c r="CD28" s="60"/>
      <c r="CE28" s="60"/>
      <c r="CF28" s="64"/>
      <c r="CG28" s="60">
        <v>70</v>
      </c>
      <c r="CH28" s="60">
        <v>58</v>
      </c>
      <c r="CI28" s="64">
        <v>39</v>
      </c>
      <c r="CJ28" s="60"/>
      <c r="CK28" s="60"/>
      <c r="CL28" s="64"/>
      <c r="CM28" s="60"/>
      <c r="CN28" s="60"/>
      <c r="CO28" s="64"/>
      <c r="CP28" s="60"/>
      <c r="CQ28" s="60"/>
      <c r="CR28" s="64"/>
      <c r="CS28" s="60"/>
      <c r="CT28" s="60"/>
      <c r="CU28" s="64"/>
      <c r="CV28" s="60"/>
      <c r="CW28" s="60"/>
      <c r="CX28" s="64"/>
      <c r="CY28" s="60"/>
      <c r="CZ28" s="60"/>
      <c r="DA28" s="64"/>
    </row>
    <row r="29" spans="1:105" ht="16" customHeight="1" x14ac:dyDescent="0.2">
      <c r="A29" s="234" t="s">
        <v>215</v>
      </c>
      <c r="B29" s="235" t="s">
        <v>216</v>
      </c>
      <c r="C29" s="236"/>
      <c r="D29" s="235" t="s">
        <v>124</v>
      </c>
      <c r="E29" s="76"/>
      <c r="F29" s="76"/>
      <c r="G29" s="76"/>
      <c r="H29" s="76"/>
      <c r="I29" s="69" t="s">
        <v>213</v>
      </c>
      <c r="J29" s="45" t="s">
        <v>115</v>
      </c>
      <c r="K29" s="80" t="s">
        <v>115</v>
      </c>
      <c r="L29" s="45" t="s">
        <v>115</v>
      </c>
      <c r="M29" s="45" t="s">
        <v>115</v>
      </c>
      <c r="N29" s="45" t="s">
        <v>115</v>
      </c>
      <c r="O29" s="80" t="s">
        <v>115</v>
      </c>
      <c r="P29" s="45" t="s">
        <v>115</v>
      </c>
      <c r="Q29" s="45" t="s">
        <v>115</v>
      </c>
      <c r="R29" s="45" t="s">
        <v>115</v>
      </c>
      <c r="S29" s="45" t="s">
        <v>115</v>
      </c>
      <c r="T29" s="45" t="s">
        <v>115</v>
      </c>
      <c r="U29" s="45" t="s">
        <v>115</v>
      </c>
      <c r="V29" s="45" t="s">
        <v>115</v>
      </c>
      <c r="W29" s="45" t="s">
        <v>115</v>
      </c>
      <c r="X29" s="45" t="s">
        <v>115</v>
      </c>
      <c r="Y29" s="45" t="s">
        <v>115</v>
      </c>
      <c r="Z29" s="45" t="s">
        <v>115</v>
      </c>
      <c r="AA29" s="45" t="s">
        <v>115</v>
      </c>
      <c r="AB29" s="45" t="s">
        <v>115</v>
      </c>
      <c r="AC29" s="45" t="s">
        <v>115</v>
      </c>
      <c r="AD29" s="45" t="s">
        <v>115</v>
      </c>
      <c r="AE29" s="45" t="s">
        <v>115</v>
      </c>
      <c r="AF29" s="45" t="s">
        <v>115</v>
      </c>
      <c r="AG29" s="45" t="s">
        <v>115</v>
      </c>
      <c r="AH29" s="45" t="s">
        <v>115</v>
      </c>
      <c r="AI29" s="45" t="s">
        <v>115</v>
      </c>
      <c r="AJ29" s="45" t="s">
        <v>115</v>
      </c>
      <c r="AK29" s="45" t="s">
        <v>115</v>
      </c>
      <c r="AL29" s="45" t="s">
        <v>115</v>
      </c>
      <c r="AM29" s="45" t="s">
        <v>115</v>
      </c>
      <c r="AN29" s="45" t="s">
        <v>115</v>
      </c>
      <c r="AO29" s="45" t="s">
        <v>115</v>
      </c>
      <c r="AP29" s="45" t="s">
        <v>115</v>
      </c>
      <c r="AQ29" s="45" t="s">
        <v>115</v>
      </c>
      <c r="AR29" s="45" t="s">
        <v>115</v>
      </c>
      <c r="AS29" s="45" t="s">
        <v>115</v>
      </c>
      <c r="AT29" s="45" t="s">
        <v>115</v>
      </c>
      <c r="AU29" s="45" t="s">
        <v>115</v>
      </c>
      <c r="AV29" s="45" t="s">
        <v>115</v>
      </c>
      <c r="AW29" s="45" t="s">
        <v>115</v>
      </c>
      <c r="AX29" s="45" t="s">
        <v>115</v>
      </c>
      <c r="AY29" s="45" t="s">
        <v>115</v>
      </c>
      <c r="AZ29" s="45" t="s">
        <v>115</v>
      </c>
      <c r="BA29" s="49" t="s">
        <v>115</v>
      </c>
      <c r="BB29" s="45">
        <f>2082+2369+145</f>
        <v>4596</v>
      </c>
      <c r="BC29" s="45">
        <f>2072+537</f>
        <v>2609</v>
      </c>
      <c r="BD29" s="45">
        <v>1853</v>
      </c>
      <c r="BE29" s="45">
        <v>167</v>
      </c>
      <c r="BF29" s="45">
        <v>556</v>
      </c>
      <c r="BG29" s="45">
        <v>671</v>
      </c>
      <c r="BH29" s="45">
        <v>1808</v>
      </c>
      <c r="BI29" s="45">
        <v>237</v>
      </c>
      <c r="BJ29" s="50">
        <v>32</v>
      </c>
      <c r="BK29" s="45">
        <v>466</v>
      </c>
      <c r="BL29" s="45">
        <v>269</v>
      </c>
      <c r="BM29" s="45">
        <v>549</v>
      </c>
      <c r="BN29" s="45">
        <v>776</v>
      </c>
      <c r="BO29" s="45" t="s">
        <v>128</v>
      </c>
      <c r="BP29" s="49">
        <f>BN29</f>
        <v>776</v>
      </c>
      <c r="BQ29" s="147">
        <f t="shared" si="1"/>
        <v>5.9226804123711343</v>
      </c>
      <c r="BR29" s="147">
        <f t="shared" si="0"/>
        <v>7.628691983122363</v>
      </c>
      <c r="BS29" s="147">
        <f t="shared" si="2"/>
        <v>4.7522768670309654</v>
      </c>
      <c r="BT29" s="148">
        <f t="shared" si="3"/>
        <v>3.3752276867030964</v>
      </c>
      <c r="BU29" s="45">
        <v>922</v>
      </c>
      <c r="BV29" s="45">
        <v>82</v>
      </c>
      <c r="BW29" s="45">
        <v>83</v>
      </c>
      <c r="BX29" s="49">
        <v>82</v>
      </c>
      <c r="BY29" s="45">
        <v>9</v>
      </c>
      <c r="BZ29" s="169" t="s">
        <v>115</v>
      </c>
      <c r="CA29" s="172">
        <v>383</v>
      </c>
      <c r="CB29" s="45">
        <v>7</v>
      </c>
      <c r="CC29" s="237" t="s">
        <v>115</v>
      </c>
      <c r="CD29" s="275" t="s">
        <v>115</v>
      </c>
      <c r="CE29" s="275" t="s">
        <v>115</v>
      </c>
      <c r="CF29" s="276" t="s">
        <v>115</v>
      </c>
      <c r="CG29" s="45">
        <v>73</v>
      </c>
      <c r="CH29" s="45">
        <v>68</v>
      </c>
      <c r="CI29" s="49">
        <v>62</v>
      </c>
      <c r="CJ29" s="275" t="s">
        <v>115</v>
      </c>
      <c r="CK29" s="275" t="s">
        <v>115</v>
      </c>
      <c r="CL29" s="276" t="s">
        <v>115</v>
      </c>
      <c r="CM29" s="275" t="s">
        <v>115</v>
      </c>
      <c r="CN29" s="275" t="s">
        <v>115</v>
      </c>
      <c r="CO29" s="276" t="s">
        <v>115</v>
      </c>
      <c r="CP29" s="275" t="s">
        <v>115</v>
      </c>
      <c r="CQ29" s="275" t="s">
        <v>115</v>
      </c>
      <c r="CR29" s="276" t="s">
        <v>115</v>
      </c>
      <c r="CS29" s="275" t="s">
        <v>115</v>
      </c>
      <c r="CT29" s="275" t="s">
        <v>115</v>
      </c>
      <c r="CU29" s="276" t="s">
        <v>115</v>
      </c>
      <c r="CV29" s="45">
        <v>30</v>
      </c>
      <c r="CW29" s="45">
        <v>19</v>
      </c>
      <c r="CX29" s="49">
        <v>21</v>
      </c>
      <c r="CY29" s="45">
        <v>27</v>
      </c>
      <c r="CZ29" s="45">
        <v>26</v>
      </c>
      <c r="DA29" s="49">
        <v>19</v>
      </c>
    </row>
    <row r="30" spans="1:105" ht="16" customHeight="1" x14ac:dyDescent="0.2">
      <c r="A30" s="234"/>
      <c r="B30" s="235"/>
      <c r="C30" s="236"/>
      <c r="D30" s="235"/>
      <c r="E30" s="76"/>
      <c r="F30" s="76"/>
      <c r="G30" s="76"/>
      <c r="H30" s="76"/>
      <c r="I30" s="69"/>
      <c r="K30" s="146"/>
      <c r="O30" s="146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BH30" s="45">
        <v>1801</v>
      </c>
      <c r="BI30" s="45">
        <v>307</v>
      </c>
      <c r="BJ30" s="50">
        <v>41</v>
      </c>
      <c r="BK30" s="45">
        <v>482</v>
      </c>
      <c r="BL30" s="45">
        <v>222</v>
      </c>
      <c r="BQ30" s="147"/>
      <c r="BR30" s="147">
        <f t="shared" si="0"/>
        <v>5.8664495114006519</v>
      </c>
      <c r="BS30" s="147"/>
      <c r="BT30" s="148"/>
      <c r="BY30" s="45">
        <v>10</v>
      </c>
      <c r="CC30" s="237"/>
      <c r="CF30" s="49"/>
      <c r="CG30" s="45">
        <v>75</v>
      </c>
      <c r="CH30" s="45">
        <v>70</v>
      </c>
      <c r="CI30" s="49">
        <v>48</v>
      </c>
      <c r="CJ30" s="169"/>
      <c r="CK30" s="169"/>
      <c r="CL30" s="180"/>
      <c r="CM30" s="169"/>
      <c r="CN30" s="169"/>
      <c r="CO30" s="180"/>
      <c r="CP30" s="169"/>
      <c r="CQ30" s="169"/>
      <c r="CR30" s="180"/>
      <c r="CS30" s="169"/>
      <c r="CT30" s="169"/>
      <c r="CU30" s="180"/>
      <c r="CV30" s="45">
        <v>34</v>
      </c>
      <c r="CW30" s="45">
        <v>18</v>
      </c>
      <c r="CX30" s="49">
        <v>22</v>
      </c>
      <c r="CY30" s="45">
        <v>31</v>
      </c>
      <c r="CZ30" s="45">
        <v>25</v>
      </c>
      <c r="DA30" s="49">
        <v>23</v>
      </c>
    </row>
    <row r="31" spans="1:105" ht="16" customHeight="1" x14ac:dyDescent="0.2">
      <c r="A31" s="234"/>
      <c r="B31" s="235"/>
      <c r="C31" s="236"/>
      <c r="D31" s="235"/>
      <c r="E31" s="76"/>
      <c r="F31" s="76"/>
      <c r="G31" s="76"/>
      <c r="H31" s="76"/>
      <c r="I31" s="69"/>
      <c r="K31" s="146"/>
      <c r="O31" s="146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BH31" s="45">
        <v>1724</v>
      </c>
      <c r="BI31" s="45">
        <v>299</v>
      </c>
      <c r="BJ31" s="50">
        <v>49</v>
      </c>
      <c r="BK31" s="45">
        <v>482</v>
      </c>
      <c r="BL31" s="169"/>
      <c r="BQ31" s="147"/>
      <c r="BR31" s="147">
        <f t="shared" si="0"/>
        <v>5.7658862876254178</v>
      </c>
      <c r="BS31" s="147"/>
      <c r="BT31" s="148"/>
      <c r="CC31" s="237"/>
      <c r="CF31" s="49"/>
      <c r="CG31" s="45">
        <v>76</v>
      </c>
      <c r="CH31" s="45">
        <v>61</v>
      </c>
      <c r="CI31" s="49">
        <v>50</v>
      </c>
      <c r="CL31" s="49"/>
      <c r="CO31" s="49"/>
      <c r="CR31" s="49"/>
      <c r="CU31" s="49"/>
      <c r="CV31" s="45">
        <v>36</v>
      </c>
      <c r="CW31" s="45">
        <v>14</v>
      </c>
      <c r="CX31" s="49">
        <v>24</v>
      </c>
      <c r="CY31" s="45">
        <v>32</v>
      </c>
      <c r="CZ31" s="45">
        <v>26</v>
      </c>
      <c r="DA31" s="49">
        <v>21</v>
      </c>
    </row>
    <row r="32" spans="1:105" ht="16" customHeight="1" x14ac:dyDescent="0.2">
      <c r="A32" s="111" t="s">
        <v>217</v>
      </c>
      <c r="B32" s="238" t="s">
        <v>226</v>
      </c>
      <c r="C32" s="112"/>
      <c r="D32" s="238" t="s">
        <v>124</v>
      </c>
      <c r="E32" s="70"/>
      <c r="F32" s="70"/>
      <c r="G32" s="70"/>
      <c r="H32" s="70"/>
      <c r="I32" s="59" t="s">
        <v>227</v>
      </c>
      <c r="J32" s="60">
        <f>5569+3792+3440+5094</f>
        <v>17895</v>
      </c>
      <c r="K32" s="72" t="s">
        <v>115</v>
      </c>
      <c r="L32" s="60">
        <v>42</v>
      </c>
      <c r="M32" s="60" t="s">
        <v>115</v>
      </c>
      <c r="N32" s="60" t="s">
        <v>115</v>
      </c>
      <c r="O32" s="72" t="s">
        <v>115</v>
      </c>
      <c r="P32" s="60">
        <v>0</v>
      </c>
      <c r="Q32" s="60" t="s">
        <v>115</v>
      </c>
      <c r="R32" s="60" t="s">
        <v>115</v>
      </c>
      <c r="S32" s="60" t="s">
        <v>115</v>
      </c>
      <c r="T32" s="60" t="s">
        <v>115</v>
      </c>
      <c r="U32" s="60" t="s">
        <v>115</v>
      </c>
      <c r="V32" s="60" t="s">
        <v>115</v>
      </c>
      <c r="W32" s="60" t="s">
        <v>115</v>
      </c>
      <c r="X32" s="60" t="s">
        <v>115</v>
      </c>
      <c r="Y32" s="60" t="s">
        <v>115</v>
      </c>
      <c r="Z32" s="60" t="s">
        <v>115</v>
      </c>
      <c r="AA32" s="60" t="s">
        <v>115</v>
      </c>
      <c r="AB32" s="60" t="s">
        <v>115</v>
      </c>
      <c r="AC32" s="60" t="s">
        <v>115</v>
      </c>
      <c r="AD32" s="60" t="s">
        <v>115</v>
      </c>
      <c r="AE32" s="60" t="s">
        <v>115</v>
      </c>
      <c r="AF32" s="60" t="s">
        <v>115</v>
      </c>
      <c r="AG32" s="60" t="s">
        <v>115</v>
      </c>
      <c r="AH32" s="60" t="s">
        <v>115</v>
      </c>
      <c r="AI32" s="60" t="s">
        <v>115</v>
      </c>
      <c r="AJ32" s="60" t="s">
        <v>115</v>
      </c>
      <c r="AK32" s="60" t="s">
        <v>115</v>
      </c>
      <c r="AL32" s="60" t="s">
        <v>115</v>
      </c>
      <c r="AM32" s="60" t="s">
        <v>115</v>
      </c>
      <c r="AN32" s="60" t="s">
        <v>115</v>
      </c>
      <c r="AO32" s="60" t="s">
        <v>115</v>
      </c>
      <c r="AP32" s="60" t="s">
        <v>115</v>
      </c>
      <c r="AQ32" s="60" t="s">
        <v>115</v>
      </c>
      <c r="AR32" s="60" t="s">
        <v>115</v>
      </c>
      <c r="AS32" s="60" t="s">
        <v>115</v>
      </c>
      <c r="AT32" s="60" t="s">
        <v>115</v>
      </c>
      <c r="AU32" s="60" t="s">
        <v>115</v>
      </c>
      <c r="AV32" s="60" t="s">
        <v>115</v>
      </c>
      <c r="AW32" s="60" t="s">
        <v>115</v>
      </c>
      <c r="AX32" s="60" t="s">
        <v>115</v>
      </c>
      <c r="AY32" s="60" t="s">
        <v>115</v>
      </c>
      <c r="AZ32" s="60" t="s">
        <v>115</v>
      </c>
      <c r="BA32" s="64" t="s">
        <v>115</v>
      </c>
      <c r="BB32" s="60">
        <v>5103</v>
      </c>
      <c r="BC32" s="60">
        <v>3185</v>
      </c>
      <c r="BD32" s="60">
        <v>1814</v>
      </c>
      <c r="BE32" s="60">
        <v>108</v>
      </c>
      <c r="BF32" s="60">
        <v>558</v>
      </c>
      <c r="BG32" s="60">
        <v>628</v>
      </c>
      <c r="BH32" s="60">
        <v>1800</v>
      </c>
      <c r="BI32" s="60">
        <v>259</v>
      </c>
      <c r="BJ32" s="65">
        <v>20</v>
      </c>
      <c r="BK32" s="60">
        <v>501</v>
      </c>
      <c r="BL32" s="60">
        <v>224</v>
      </c>
      <c r="BM32" s="60">
        <v>655</v>
      </c>
      <c r="BN32" s="60">
        <v>798</v>
      </c>
      <c r="BO32" s="60" t="s">
        <v>128</v>
      </c>
      <c r="BP32" s="64">
        <f>BN32</f>
        <v>798</v>
      </c>
      <c r="BQ32" s="217">
        <f t="shared" si="1"/>
        <v>6.3947368421052628</v>
      </c>
      <c r="BR32" s="217">
        <f t="shared" si="0"/>
        <v>6.9498069498069501</v>
      </c>
      <c r="BS32" s="217">
        <f t="shared" si="2"/>
        <v>4.8625954198473282</v>
      </c>
      <c r="BT32" s="218">
        <f t="shared" si="3"/>
        <v>2.769465648854962</v>
      </c>
      <c r="BU32" s="60" t="s">
        <v>115</v>
      </c>
      <c r="BV32" s="60" t="s">
        <v>115</v>
      </c>
      <c r="BW32" s="60" t="s">
        <v>115</v>
      </c>
      <c r="BX32" s="64" t="s">
        <v>115</v>
      </c>
      <c r="BY32" s="60" t="s">
        <v>115</v>
      </c>
      <c r="BZ32" s="60" t="s">
        <v>115</v>
      </c>
      <c r="CA32" s="72" t="s">
        <v>115</v>
      </c>
      <c r="CB32" s="60" t="s">
        <v>115</v>
      </c>
      <c r="CC32" s="239" t="s">
        <v>115</v>
      </c>
      <c r="CD32" s="263" t="s">
        <v>115</v>
      </c>
      <c r="CE32" s="263" t="s">
        <v>115</v>
      </c>
      <c r="CF32" s="267" t="s">
        <v>115</v>
      </c>
      <c r="CG32" s="60" t="s">
        <v>115</v>
      </c>
      <c r="CH32" s="60" t="s">
        <v>115</v>
      </c>
      <c r="CI32" s="64" t="s">
        <v>115</v>
      </c>
      <c r="CJ32" s="263" t="s">
        <v>115</v>
      </c>
      <c r="CK32" s="263" t="s">
        <v>115</v>
      </c>
      <c r="CL32" s="267" t="s">
        <v>115</v>
      </c>
      <c r="CM32" s="263" t="s">
        <v>115</v>
      </c>
      <c r="CN32" s="263" t="s">
        <v>115</v>
      </c>
      <c r="CO32" s="267" t="s">
        <v>115</v>
      </c>
      <c r="CP32" s="263" t="s">
        <v>115</v>
      </c>
      <c r="CQ32" s="263" t="s">
        <v>115</v>
      </c>
      <c r="CR32" s="267" t="s">
        <v>115</v>
      </c>
      <c r="CS32" s="263" t="s">
        <v>115</v>
      </c>
      <c r="CT32" s="263" t="s">
        <v>115</v>
      </c>
      <c r="CU32" s="267" t="s">
        <v>115</v>
      </c>
      <c r="CV32" s="60" t="s">
        <v>115</v>
      </c>
      <c r="CW32" s="60" t="s">
        <v>115</v>
      </c>
      <c r="CX32" s="64" t="s">
        <v>115</v>
      </c>
      <c r="CY32" s="60" t="s">
        <v>115</v>
      </c>
      <c r="CZ32" s="60" t="s">
        <v>115</v>
      </c>
      <c r="DA32" s="64" t="s">
        <v>115</v>
      </c>
    </row>
    <row r="33" spans="1:105" ht="16" customHeight="1" x14ac:dyDescent="0.2">
      <c r="A33" s="111"/>
      <c r="B33" s="238"/>
      <c r="C33" s="112"/>
      <c r="D33" s="238"/>
      <c r="E33" s="70"/>
      <c r="F33" s="70"/>
      <c r="G33" s="70"/>
      <c r="H33" s="70"/>
      <c r="I33" s="59"/>
      <c r="J33" s="60"/>
      <c r="K33" s="72"/>
      <c r="L33" s="60"/>
      <c r="M33" s="60"/>
      <c r="N33" s="60"/>
      <c r="O33" s="72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4"/>
      <c r="BB33" s="60"/>
      <c r="BC33" s="60"/>
      <c r="BD33" s="60"/>
      <c r="BE33" s="60"/>
      <c r="BF33" s="60"/>
      <c r="BG33" s="60"/>
      <c r="BH33" s="60">
        <v>1801</v>
      </c>
      <c r="BI33" s="60">
        <v>232</v>
      </c>
      <c r="BJ33" s="65">
        <v>21</v>
      </c>
      <c r="BK33" s="60"/>
      <c r="BL33" s="60"/>
      <c r="BM33" s="60"/>
      <c r="BN33" s="60"/>
      <c r="BO33" s="60"/>
      <c r="BP33" s="64"/>
      <c r="BQ33" s="217"/>
      <c r="BR33" s="217">
        <f t="shared" si="0"/>
        <v>7.7629310344827589</v>
      </c>
      <c r="BS33" s="217"/>
      <c r="BT33" s="218"/>
      <c r="BU33" s="60"/>
      <c r="BV33" s="60"/>
      <c r="BW33" s="60"/>
      <c r="BX33" s="64"/>
      <c r="BY33" s="60"/>
      <c r="BZ33" s="60"/>
      <c r="CA33" s="72"/>
      <c r="CB33" s="60"/>
      <c r="CC33" s="239"/>
      <c r="CD33" s="60"/>
      <c r="CE33" s="60"/>
      <c r="CF33" s="64"/>
      <c r="CG33" s="60"/>
      <c r="CH33" s="60"/>
      <c r="CI33" s="64"/>
      <c r="CJ33" s="60"/>
      <c r="CK33" s="60"/>
      <c r="CL33" s="64"/>
      <c r="CM33" s="60"/>
      <c r="CN33" s="60"/>
      <c r="CO33" s="64"/>
      <c r="CP33" s="60"/>
      <c r="CQ33" s="60"/>
      <c r="CR33" s="64"/>
      <c r="CS33" s="60"/>
      <c r="CT33" s="60"/>
      <c r="CU33" s="64"/>
      <c r="CV33" s="60"/>
      <c r="CW33" s="60"/>
      <c r="CX33" s="64"/>
      <c r="CY33" s="60"/>
      <c r="CZ33" s="60"/>
      <c r="DA33" s="64"/>
    </row>
    <row r="34" spans="1:105" ht="16" customHeight="1" x14ac:dyDescent="0.2">
      <c r="A34" s="111"/>
      <c r="B34" s="238"/>
      <c r="C34" s="112"/>
      <c r="D34" s="238"/>
      <c r="E34" s="70"/>
      <c r="F34" s="70"/>
      <c r="G34" s="70"/>
      <c r="H34" s="70"/>
      <c r="I34" s="59"/>
      <c r="J34" s="60"/>
      <c r="K34" s="72"/>
      <c r="L34" s="60"/>
      <c r="M34" s="60"/>
      <c r="N34" s="60"/>
      <c r="O34" s="72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4"/>
      <c r="BB34" s="60"/>
      <c r="BC34" s="60"/>
      <c r="BD34" s="60"/>
      <c r="BE34" s="60"/>
      <c r="BF34" s="60"/>
      <c r="BG34" s="60"/>
      <c r="BH34" s="60">
        <v>1806</v>
      </c>
      <c r="BI34" s="60">
        <v>231</v>
      </c>
      <c r="BJ34" s="65">
        <v>34</v>
      </c>
      <c r="BK34" s="60"/>
      <c r="BL34" s="60"/>
      <c r="BM34" s="60"/>
      <c r="BN34" s="60"/>
      <c r="BO34" s="60"/>
      <c r="BP34" s="64"/>
      <c r="BQ34" s="217"/>
      <c r="BR34" s="217">
        <f t="shared" si="0"/>
        <v>7.8181818181818183</v>
      </c>
      <c r="BS34" s="217"/>
      <c r="BT34" s="218"/>
      <c r="BU34" s="60"/>
      <c r="BV34" s="60"/>
      <c r="BW34" s="60"/>
      <c r="BX34" s="64"/>
      <c r="BY34" s="60"/>
      <c r="BZ34" s="60"/>
      <c r="CA34" s="72"/>
      <c r="CB34" s="60"/>
      <c r="CC34" s="239"/>
      <c r="CD34" s="60"/>
      <c r="CE34" s="60"/>
      <c r="CF34" s="64"/>
      <c r="CG34" s="60"/>
      <c r="CH34" s="60"/>
      <c r="CI34" s="64"/>
      <c r="CJ34" s="60"/>
      <c r="CK34" s="60"/>
      <c r="CL34" s="64"/>
      <c r="CM34" s="60"/>
      <c r="CN34" s="60"/>
      <c r="CO34" s="64"/>
      <c r="CP34" s="60"/>
      <c r="CQ34" s="60"/>
      <c r="CR34" s="64"/>
      <c r="CS34" s="60"/>
      <c r="CT34" s="60"/>
      <c r="CU34" s="64"/>
      <c r="CV34" s="60"/>
      <c r="CW34" s="60"/>
      <c r="CX34" s="64"/>
      <c r="CY34" s="60"/>
      <c r="CZ34" s="60"/>
      <c r="DA34" s="64"/>
    </row>
    <row r="35" spans="1:105" ht="16" customHeight="1" x14ac:dyDescent="0.2">
      <c r="A35" s="234" t="s">
        <v>218</v>
      </c>
      <c r="B35" s="235" t="s">
        <v>219</v>
      </c>
      <c r="C35" s="236"/>
      <c r="D35" s="235" t="s">
        <v>124</v>
      </c>
      <c r="E35" s="76"/>
      <c r="F35" s="76"/>
      <c r="G35" s="76"/>
      <c r="H35" s="76"/>
      <c r="I35" s="69"/>
      <c r="J35" s="45" t="s">
        <v>115</v>
      </c>
      <c r="K35" s="80" t="s">
        <v>115</v>
      </c>
      <c r="L35" s="45" t="s">
        <v>115</v>
      </c>
      <c r="M35" s="45" t="s">
        <v>115</v>
      </c>
      <c r="N35" s="45" t="s">
        <v>115</v>
      </c>
      <c r="O35" s="80" t="s">
        <v>115</v>
      </c>
      <c r="P35" s="45" t="s">
        <v>115</v>
      </c>
      <c r="Q35" s="45" t="s">
        <v>115</v>
      </c>
      <c r="R35" s="45" t="s">
        <v>115</v>
      </c>
      <c r="S35" s="45" t="s">
        <v>115</v>
      </c>
      <c r="T35" s="45" t="s">
        <v>115</v>
      </c>
      <c r="U35" s="45" t="s">
        <v>115</v>
      </c>
      <c r="V35" s="45" t="s">
        <v>115</v>
      </c>
      <c r="W35" s="45" t="s">
        <v>115</v>
      </c>
      <c r="X35" s="45" t="s">
        <v>115</v>
      </c>
      <c r="Y35" s="45" t="s">
        <v>115</v>
      </c>
      <c r="Z35" s="45" t="s">
        <v>115</v>
      </c>
      <c r="AA35" s="45" t="s">
        <v>115</v>
      </c>
      <c r="AB35" s="45" t="s">
        <v>115</v>
      </c>
      <c r="AC35" s="45" t="s">
        <v>115</v>
      </c>
      <c r="AD35" s="45" t="s">
        <v>115</v>
      </c>
      <c r="AE35" s="45" t="s">
        <v>115</v>
      </c>
      <c r="AF35" s="45" t="s">
        <v>115</v>
      </c>
      <c r="AG35" s="45" t="s">
        <v>115</v>
      </c>
      <c r="AH35" s="45" t="s">
        <v>115</v>
      </c>
      <c r="AI35" s="45" t="s">
        <v>115</v>
      </c>
      <c r="AJ35" s="45">
        <v>1735</v>
      </c>
      <c r="AK35" s="45">
        <v>766</v>
      </c>
      <c r="AL35" s="45" t="s">
        <v>115</v>
      </c>
      <c r="AM35" s="45" t="s">
        <v>115</v>
      </c>
      <c r="AN35" s="45" t="s">
        <v>115</v>
      </c>
      <c r="AO35" s="45" t="s">
        <v>115</v>
      </c>
      <c r="AP35" s="45" t="s">
        <v>115</v>
      </c>
      <c r="AQ35" s="45" t="s">
        <v>115</v>
      </c>
      <c r="AR35" s="45" t="s">
        <v>115</v>
      </c>
      <c r="AS35" s="45" t="s">
        <v>115</v>
      </c>
      <c r="AT35" s="45" t="s">
        <v>115</v>
      </c>
      <c r="AU35" s="45" t="s">
        <v>115</v>
      </c>
      <c r="AV35" s="45" t="s">
        <v>115</v>
      </c>
      <c r="AW35" s="45" t="s">
        <v>115</v>
      </c>
      <c r="AX35" s="45" t="s">
        <v>115</v>
      </c>
      <c r="AY35" s="45" t="s">
        <v>115</v>
      </c>
      <c r="AZ35" s="45" t="s">
        <v>115</v>
      </c>
      <c r="BA35" s="49" t="s">
        <v>115</v>
      </c>
      <c r="BB35" s="45" t="s">
        <v>115</v>
      </c>
      <c r="BC35" s="45" t="s">
        <v>115</v>
      </c>
      <c r="BD35" s="45" t="s">
        <v>115</v>
      </c>
      <c r="BE35" s="45" t="s">
        <v>115</v>
      </c>
      <c r="BF35" s="45" t="s">
        <v>115</v>
      </c>
      <c r="BG35" s="45" t="s">
        <v>115</v>
      </c>
      <c r="BH35" s="45" t="s">
        <v>115</v>
      </c>
      <c r="BI35" s="45" t="s">
        <v>115</v>
      </c>
      <c r="BJ35" s="45" t="s">
        <v>115</v>
      </c>
      <c r="BK35" s="45" t="s">
        <v>115</v>
      </c>
      <c r="BL35" s="45" t="s">
        <v>115</v>
      </c>
      <c r="BM35" s="45" t="s">
        <v>115</v>
      </c>
      <c r="BN35" s="45" t="s">
        <v>115</v>
      </c>
      <c r="BO35" s="45" t="s">
        <v>115</v>
      </c>
      <c r="BP35" s="49" t="s">
        <v>115</v>
      </c>
      <c r="BQ35" s="147" t="s">
        <v>115</v>
      </c>
      <c r="BR35" s="147" t="s">
        <v>115</v>
      </c>
      <c r="BS35" s="147" t="s">
        <v>115</v>
      </c>
      <c r="BT35" s="148" t="s">
        <v>115</v>
      </c>
      <c r="BU35" s="45" t="s">
        <v>115</v>
      </c>
      <c r="BV35" s="45" t="s">
        <v>115</v>
      </c>
      <c r="BW35" s="45" t="s">
        <v>115</v>
      </c>
      <c r="BX35" s="49" t="s">
        <v>115</v>
      </c>
      <c r="BY35" s="45" t="s">
        <v>115</v>
      </c>
      <c r="BZ35" s="45" t="s">
        <v>115</v>
      </c>
      <c r="CA35" s="80" t="s">
        <v>115</v>
      </c>
      <c r="CB35" s="45" t="s">
        <v>115</v>
      </c>
      <c r="CC35" s="237" t="s">
        <v>115</v>
      </c>
      <c r="CD35" s="275" t="s">
        <v>115</v>
      </c>
      <c r="CE35" s="275" t="s">
        <v>115</v>
      </c>
      <c r="CF35" s="276" t="s">
        <v>115</v>
      </c>
      <c r="CG35" s="45" t="s">
        <v>115</v>
      </c>
      <c r="CH35" s="45" t="s">
        <v>115</v>
      </c>
      <c r="CI35" s="49" t="s">
        <v>115</v>
      </c>
      <c r="CJ35" s="275" t="s">
        <v>115</v>
      </c>
      <c r="CK35" s="275" t="s">
        <v>115</v>
      </c>
      <c r="CL35" s="276" t="s">
        <v>115</v>
      </c>
      <c r="CM35" s="277" t="s">
        <v>115</v>
      </c>
      <c r="CN35" s="277" t="s">
        <v>115</v>
      </c>
      <c r="CO35" s="276" t="s">
        <v>115</v>
      </c>
      <c r="CP35" s="277" t="s">
        <v>115</v>
      </c>
      <c r="CQ35" s="277" t="s">
        <v>115</v>
      </c>
      <c r="CR35" s="276" t="s">
        <v>115</v>
      </c>
      <c r="CS35" s="277" t="s">
        <v>115</v>
      </c>
      <c r="CT35" s="277" t="s">
        <v>115</v>
      </c>
      <c r="CU35" s="276" t="s">
        <v>115</v>
      </c>
      <c r="CV35" s="45" t="s">
        <v>115</v>
      </c>
      <c r="CW35" s="45" t="s">
        <v>115</v>
      </c>
      <c r="CX35" s="49" t="s">
        <v>115</v>
      </c>
      <c r="CY35" s="45" t="s">
        <v>115</v>
      </c>
      <c r="CZ35" s="45" t="s">
        <v>115</v>
      </c>
      <c r="DA35" s="49" t="s">
        <v>115</v>
      </c>
    </row>
    <row r="36" spans="1:105" ht="16" customHeight="1" x14ac:dyDescent="0.2">
      <c r="A36" s="234"/>
      <c r="B36" s="235"/>
      <c r="C36" s="236"/>
      <c r="D36" s="235"/>
      <c r="E36" s="76"/>
      <c r="F36" s="76"/>
      <c r="G36" s="76"/>
      <c r="H36" s="76"/>
      <c r="I36" s="69"/>
      <c r="K36" s="146"/>
      <c r="O36" s="146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>
        <v>1938</v>
      </c>
      <c r="AK36" s="45">
        <v>748</v>
      </c>
      <c r="BJ36" s="50"/>
      <c r="BQ36" s="147"/>
      <c r="BR36" s="147"/>
      <c r="BS36" s="147"/>
      <c r="BT36" s="148"/>
      <c r="CC36" s="237"/>
      <c r="CF36" s="49"/>
      <c r="CI36" s="49"/>
      <c r="CJ36" s="169"/>
      <c r="CK36" s="169"/>
      <c r="CL36" s="180"/>
      <c r="CM36" s="278"/>
      <c r="CN36" s="278"/>
      <c r="CO36" s="180"/>
      <c r="CP36" s="278"/>
      <c r="CQ36" s="278"/>
      <c r="CR36" s="180"/>
      <c r="CS36" s="278"/>
      <c r="CT36" s="278"/>
      <c r="CU36" s="180"/>
      <c r="CX36" s="49"/>
      <c r="DA36" s="49"/>
    </row>
    <row r="37" spans="1:105" ht="16" customHeight="1" x14ac:dyDescent="0.2">
      <c r="A37" s="234"/>
      <c r="B37" s="235"/>
      <c r="C37" s="236"/>
      <c r="D37" s="235"/>
      <c r="E37" s="76"/>
      <c r="F37" s="76"/>
      <c r="G37" s="76"/>
      <c r="H37" s="76"/>
      <c r="I37" s="69"/>
      <c r="K37" s="146"/>
      <c r="O37" s="146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>
        <v>2213</v>
      </c>
      <c r="AK37" s="45">
        <v>747</v>
      </c>
      <c r="AT37" s="50"/>
      <c r="BJ37" s="50"/>
      <c r="BQ37" s="147"/>
      <c r="BR37" s="147"/>
      <c r="BS37" s="147"/>
      <c r="BT37" s="148"/>
      <c r="CC37" s="237"/>
      <c r="CF37" s="49"/>
      <c r="CI37" s="49"/>
      <c r="CJ37" s="169"/>
      <c r="CK37" s="169"/>
      <c r="CL37" s="180"/>
      <c r="CM37" s="278"/>
      <c r="CN37" s="278"/>
      <c r="CO37" s="180"/>
      <c r="CP37" s="278"/>
      <c r="CQ37" s="278"/>
      <c r="CR37" s="180"/>
      <c r="CS37" s="278"/>
      <c r="CT37" s="278"/>
      <c r="CU37" s="180"/>
      <c r="CX37" s="49"/>
      <c r="DA37" s="49"/>
    </row>
    <row r="38" spans="1:105" ht="16" customHeight="1" x14ac:dyDescent="0.2">
      <c r="A38" s="111" t="s">
        <v>220</v>
      </c>
      <c r="B38" s="238" t="s">
        <v>136</v>
      </c>
      <c r="C38" s="112"/>
      <c r="D38" s="238" t="s">
        <v>124</v>
      </c>
      <c r="E38" s="70"/>
      <c r="F38" s="70"/>
      <c r="G38" s="70"/>
      <c r="H38" s="70"/>
      <c r="I38" s="59" t="s">
        <v>221</v>
      </c>
      <c r="J38" s="60" t="s">
        <v>115</v>
      </c>
      <c r="K38" s="60" t="s">
        <v>115</v>
      </c>
      <c r="L38" s="60" t="s">
        <v>115</v>
      </c>
      <c r="M38" s="60" t="s">
        <v>115</v>
      </c>
      <c r="N38" s="60" t="s">
        <v>115</v>
      </c>
      <c r="O38" s="60" t="s">
        <v>115</v>
      </c>
      <c r="P38" s="60" t="s">
        <v>115</v>
      </c>
      <c r="Q38" s="60" t="s">
        <v>115</v>
      </c>
      <c r="R38" s="60" t="s">
        <v>115</v>
      </c>
      <c r="S38" s="60" t="s">
        <v>115</v>
      </c>
      <c r="T38" s="60" t="s">
        <v>115</v>
      </c>
      <c r="U38" s="60" t="s">
        <v>115</v>
      </c>
      <c r="V38" s="60" t="s">
        <v>115</v>
      </c>
      <c r="W38" s="60" t="s">
        <v>115</v>
      </c>
      <c r="X38" s="60" t="s">
        <v>115</v>
      </c>
      <c r="Y38" s="60" t="s">
        <v>115</v>
      </c>
      <c r="Z38" s="60" t="s">
        <v>115</v>
      </c>
      <c r="AA38" s="60" t="s">
        <v>115</v>
      </c>
      <c r="AB38" s="60" t="s">
        <v>115</v>
      </c>
      <c r="AC38" s="60" t="s">
        <v>115</v>
      </c>
      <c r="AD38" s="60" t="s">
        <v>115</v>
      </c>
      <c r="AE38" s="60" t="s">
        <v>115</v>
      </c>
      <c r="AF38" s="60" t="s">
        <v>115</v>
      </c>
      <c r="AG38" s="60" t="s">
        <v>115</v>
      </c>
      <c r="AH38" s="60" t="s">
        <v>115</v>
      </c>
      <c r="AI38" s="60" t="s">
        <v>115</v>
      </c>
      <c r="AJ38" s="60" t="s">
        <v>115</v>
      </c>
      <c r="AK38" s="60" t="s">
        <v>115</v>
      </c>
      <c r="AL38" s="60" t="s">
        <v>115</v>
      </c>
      <c r="AM38" s="60" t="s">
        <v>115</v>
      </c>
      <c r="AN38" s="60" t="s">
        <v>115</v>
      </c>
      <c r="AO38" s="60" t="s">
        <v>115</v>
      </c>
      <c r="AP38" s="60" t="s">
        <v>115</v>
      </c>
      <c r="AQ38" s="60" t="s">
        <v>115</v>
      </c>
      <c r="AR38" s="60" t="s">
        <v>115</v>
      </c>
      <c r="AS38" s="60" t="s">
        <v>115</v>
      </c>
      <c r="AT38" s="60" t="s">
        <v>115</v>
      </c>
      <c r="AU38" s="60" t="s">
        <v>115</v>
      </c>
      <c r="AV38" s="60" t="s">
        <v>115</v>
      </c>
      <c r="AW38" s="60" t="s">
        <v>115</v>
      </c>
      <c r="AX38" s="60" t="s">
        <v>115</v>
      </c>
      <c r="AY38" s="60" t="s">
        <v>115</v>
      </c>
      <c r="AZ38" s="60" t="s">
        <v>115</v>
      </c>
      <c r="BA38" s="64" t="s">
        <v>115</v>
      </c>
      <c r="BB38" s="60">
        <v>5068</v>
      </c>
      <c r="BC38" s="60">
        <v>2833</v>
      </c>
      <c r="BD38" s="60">
        <v>1981</v>
      </c>
      <c r="BE38" s="60">
        <v>268</v>
      </c>
      <c r="BF38" s="60">
        <v>459</v>
      </c>
      <c r="BG38" s="60">
        <v>629</v>
      </c>
      <c r="BH38" s="60">
        <v>1898</v>
      </c>
      <c r="BI38" s="60">
        <v>196</v>
      </c>
      <c r="BJ38" s="60" t="s">
        <v>115</v>
      </c>
      <c r="BK38" s="60">
        <v>373</v>
      </c>
      <c r="BL38" s="60">
        <v>242</v>
      </c>
      <c r="BM38" s="60">
        <v>529</v>
      </c>
      <c r="BN38" s="60" t="s">
        <v>115</v>
      </c>
      <c r="BO38" s="60" t="s">
        <v>115</v>
      </c>
      <c r="BP38" s="64" t="s">
        <v>115</v>
      </c>
      <c r="BQ38" s="217" t="s">
        <v>115</v>
      </c>
      <c r="BR38" s="217">
        <f t="shared" si="0"/>
        <v>9.683673469387756</v>
      </c>
      <c r="BS38" s="217">
        <f t="shared" si="2"/>
        <v>5.3553875236294894</v>
      </c>
      <c r="BT38" s="218">
        <f t="shared" si="3"/>
        <v>3.7448015122873346</v>
      </c>
      <c r="BU38" s="60">
        <v>2219</v>
      </c>
      <c r="BV38" s="60">
        <v>104</v>
      </c>
      <c r="BW38" s="60">
        <v>96</v>
      </c>
      <c r="BX38" s="64">
        <v>77</v>
      </c>
      <c r="BY38" s="60">
        <v>11</v>
      </c>
      <c r="BZ38" s="60" t="s">
        <v>115</v>
      </c>
      <c r="CA38" s="72">
        <f>69+114+216+58</f>
        <v>457</v>
      </c>
      <c r="CB38" s="60">
        <v>7</v>
      </c>
      <c r="CC38" s="239">
        <v>24</v>
      </c>
      <c r="CD38" s="60">
        <v>56</v>
      </c>
      <c r="CE38" s="60">
        <v>17</v>
      </c>
      <c r="CF38" s="64">
        <v>47</v>
      </c>
      <c r="CG38" s="60">
        <v>81</v>
      </c>
      <c r="CH38" s="60">
        <v>68</v>
      </c>
      <c r="CI38" s="64">
        <v>45</v>
      </c>
      <c r="CJ38" s="263" t="s">
        <v>115</v>
      </c>
      <c r="CK38" s="263" t="s">
        <v>115</v>
      </c>
      <c r="CL38" s="267" t="s">
        <v>115</v>
      </c>
      <c r="CM38" s="263" t="s">
        <v>115</v>
      </c>
      <c r="CN38" s="263" t="s">
        <v>115</v>
      </c>
      <c r="CO38" s="267" t="s">
        <v>115</v>
      </c>
      <c r="CP38" s="263" t="s">
        <v>115</v>
      </c>
      <c r="CQ38" s="263" t="s">
        <v>115</v>
      </c>
      <c r="CR38" s="267" t="s">
        <v>115</v>
      </c>
      <c r="CS38" s="263" t="s">
        <v>115</v>
      </c>
      <c r="CT38" s="263" t="s">
        <v>115</v>
      </c>
      <c r="CU38" s="267" t="s">
        <v>115</v>
      </c>
      <c r="CV38" s="60">
        <v>38</v>
      </c>
      <c r="CW38" s="60">
        <v>24</v>
      </c>
      <c r="CX38" s="64">
        <v>23</v>
      </c>
      <c r="CY38" s="60">
        <v>36</v>
      </c>
      <c r="CZ38" s="60">
        <v>27</v>
      </c>
      <c r="DA38" s="64">
        <v>22</v>
      </c>
    </row>
    <row r="39" spans="1:105" ht="16" customHeight="1" x14ac:dyDescent="0.2">
      <c r="A39" s="111"/>
      <c r="B39" s="238"/>
      <c r="C39" s="112"/>
      <c r="D39" s="238"/>
      <c r="E39" s="70"/>
      <c r="F39" s="70"/>
      <c r="G39" s="70"/>
      <c r="H39" s="70"/>
      <c r="I39" s="59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4"/>
      <c r="BB39" s="60"/>
      <c r="BC39" s="60"/>
      <c r="BD39" s="60"/>
      <c r="BE39" s="60"/>
      <c r="BF39" s="60"/>
      <c r="BG39" s="60"/>
      <c r="BH39" s="60">
        <v>1958</v>
      </c>
      <c r="BI39" s="60">
        <v>198</v>
      </c>
      <c r="BJ39" s="60" t="s">
        <v>115</v>
      </c>
      <c r="BK39" s="60">
        <v>455</v>
      </c>
      <c r="BL39" s="60">
        <v>257</v>
      </c>
      <c r="BM39" s="60"/>
      <c r="BN39" s="60"/>
      <c r="BO39" s="60"/>
      <c r="BP39" s="64"/>
      <c r="BQ39" s="217"/>
      <c r="BR39" s="217">
        <f t="shared" si="0"/>
        <v>9.8888888888888893</v>
      </c>
      <c r="BS39" s="217"/>
      <c r="BT39" s="218"/>
      <c r="BU39" s="60"/>
      <c r="BV39" s="60">
        <v>88</v>
      </c>
      <c r="BW39" s="60">
        <v>84</v>
      </c>
      <c r="BX39" s="64">
        <v>88</v>
      </c>
      <c r="BY39" s="60">
        <v>11</v>
      </c>
      <c r="BZ39" s="60"/>
      <c r="CA39" s="72">
        <f>79+162+191</f>
        <v>432</v>
      </c>
      <c r="CB39" s="60"/>
      <c r="CC39" s="239">
        <v>29</v>
      </c>
      <c r="CD39" s="60">
        <v>43</v>
      </c>
      <c r="CE39" s="60">
        <v>17</v>
      </c>
      <c r="CF39" s="64">
        <v>37</v>
      </c>
      <c r="CG39" s="60">
        <v>68</v>
      </c>
      <c r="CH39" s="60">
        <v>58</v>
      </c>
      <c r="CI39" s="64">
        <v>45</v>
      </c>
      <c r="CJ39" s="60"/>
      <c r="CK39" s="60"/>
      <c r="CL39" s="64"/>
      <c r="CM39" s="60"/>
      <c r="CN39" s="60"/>
      <c r="CO39" s="64"/>
      <c r="CP39" s="60"/>
      <c r="CQ39" s="60"/>
      <c r="CR39" s="64"/>
      <c r="CS39" s="60"/>
      <c r="CT39" s="60"/>
      <c r="CU39" s="64"/>
      <c r="CV39" s="60">
        <v>36</v>
      </c>
      <c r="CW39" s="60">
        <v>22</v>
      </c>
      <c r="CX39" s="64">
        <v>26</v>
      </c>
      <c r="CY39" s="60">
        <v>34</v>
      </c>
      <c r="CZ39" s="60">
        <v>23</v>
      </c>
      <c r="DA39" s="64">
        <v>21</v>
      </c>
    </row>
    <row r="40" spans="1:105" s="246" customFormat="1" ht="17" thickBot="1" x14ac:dyDescent="0.25">
      <c r="A40" s="115"/>
      <c r="B40" s="240"/>
      <c r="C40" s="117"/>
      <c r="D40" s="240"/>
      <c r="E40" s="241"/>
      <c r="F40" s="241"/>
      <c r="G40" s="241"/>
      <c r="H40" s="241"/>
      <c r="I40" s="122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5"/>
      <c r="BB40" s="121"/>
      <c r="BC40" s="121"/>
      <c r="BD40" s="121"/>
      <c r="BE40" s="121"/>
      <c r="BF40" s="121"/>
      <c r="BG40" s="121"/>
      <c r="BH40" s="121">
        <v>1878</v>
      </c>
      <c r="BI40" s="121">
        <v>250</v>
      </c>
      <c r="BJ40" s="121" t="s">
        <v>115</v>
      </c>
      <c r="BK40" s="121">
        <v>485</v>
      </c>
      <c r="BL40" s="121">
        <v>242</v>
      </c>
      <c r="BM40" s="121"/>
      <c r="BN40" s="121"/>
      <c r="BO40" s="121"/>
      <c r="BP40" s="125"/>
      <c r="BQ40" s="242"/>
      <c r="BR40" s="242">
        <f t="shared" si="0"/>
        <v>7.5119999999999996</v>
      </c>
      <c r="BS40" s="242"/>
      <c r="BT40" s="243"/>
      <c r="BU40" s="244"/>
      <c r="BV40" s="121">
        <v>97</v>
      </c>
      <c r="BW40" s="121">
        <v>94</v>
      </c>
      <c r="BX40" s="125">
        <v>87</v>
      </c>
      <c r="BY40" s="121">
        <v>12</v>
      </c>
      <c r="BZ40" s="121"/>
      <c r="CA40" s="197">
        <f>131+165+161</f>
        <v>457</v>
      </c>
      <c r="CB40" s="121"/>
      <c r="CC40" s="245">
        <v>26</v>
      </c>
      <c r="CD40" s="121">
        <v>48</v>
      </c>
      <c r="CE40" s="121">
        <v>28</v>
      </c>
      <c r="CF40" s="125">
        <v>39</v>
      </c>
      <c r="CG40" s="121">
        <v>82</v>
      </c>
      <c r="CH40" s="121">
        <v>71</v>
      </c>
      <c r="CI40" s="125">
        <v>48</v>
      </c>
      <c r="CJ40" s="121"/>
      <c r="CK40" s="121"/>
      <c r="CL40" s="125"/>
      <c r="CM40" s="121"/>
      <c r="CN40" s="121"/>
      <c r="CO40" s="125"/>
      <c r="CP40" s="121"/>
      <c r="CQ40" s="121"/>
      <c r="CR40" s="125"/>
      <c r="CS40" s="121"/>
      <c r="CT40" s="121"/>
      <c r="CU40" s="125"/>
      <c r="CV40" s="121">
        <v>33</v>
      </c>
      <c r="CW40" s="121">
        <v>21</v>
      </c>
      <c r="CX40" s="125">
        <v>24</v>
      </c>
      <c r="CY40" s="121">
        <v>27</v>
      </c>
      <c r="CZ40" s="121">
        <v>25</v>
      </c>
      <c r="DA40" s="125">
        <v>21</v>
      </c>
    </row>
    <row r="41" spans="1:105" ht="18" thickTop="1" x14ac:dyDescent="0.2">
      <c r="I41" s="133" t="s">
        <v>166</v>
      </c>
      <c r="J41" s="45">
        <f>MIN(J5:J40)</f>
        <v>15490</v>
      </c>
      <c r="K41" s="45">
        <f t="shared" ref="K41:AD41" si="4">MIN(K5:K40)</f>
        <v>155</v>
      </c>
      <c r="L41" s="45">
        <f t="shared" si="4"/>
        <v>42</v>
      </c>
      <c r="M41" s="45">
        <f t="shared" si="4"/>
        <v>5</v>
      </c>
      <c r="N41" s="45">
        <f t="shared" si="4"/>
        <v>35</v>
      </c>
      <c r="O41" s="46">
        <f t="shared" si="4"/>
        <v>0.86</v>
      </c>
      <c r="P41" s="45">
        <f t="shared" si="4"/>
        <v>0</v>
      </c>
      <c r="Q41" s="45">
        <f t="shared" si="4"/>
        <v>519</v>
      </c>
      <c r="R41" s="45">
        <f t="shared" si="4"/>
        <v>265</v>
      </c>
      <c r="S41" s="45">
        <f t="shared" si="4"/>
        <v>1085</v>
      </c>
      <c r="T41" s="45">
        <f t="shared" si="4"/>
        <v>293</v>
      </c>
      <c r="U41" s="45">
        <f t="shared" si="4"/>
        <v>50</v>
      </c>
      <c r="V41" s="45">
        <f t="shared" si="4"/>
        <v>29</v>
      </c>
      <c r="W41" s="45">
        <f t="shared" si="4"/>
        <v>19</v>
      </c>
      <c r="X41" s="45">
        <f t="shared" si="4"/>
        <v>51</v>
      </c>
      <c r="Y41" s="45">
        <f t="shared" si="4"/>
        <v>90</v>
      </c>
      <c r="Z41" s="45">
        <f t="shared" si="4"/>
        <v>241</v>
      </c>
      <c r="AA41" s="45">
        <f t="shared" si="4"/>
        <v>195</v>
      </c>
      <c r="AB41" s="45">
        <f t="shared" si="4"/>
        <v>4</v>
      </c>
      <c r="AC41" s="45">
        <f t="shared" si="4"/>
        <v>509</v>
      </c>
      <c r="AD41" s="45">
        <f t="shared" si="4"/>
        <v>237</v>
      </c>
      <c r="AE41" s="45"/>
      <c r="AF41" s="45">
        <f t="shared" ref="AF41:AK41" si="5">MIN(AF5:AF40)</f>
        <v>11</v>
      </c>
      <c r="AG41" s="45">
        <f t="shared" si="5"/>
        <v>8</v>
      </c>
      <c r="AH41" s="45">
        <f t="shared" si="5"/>
        <v>696</v>
      </c>
      <c r="AI41" s="46">
        <f t="shared" si="5"/>
        <v>0.64028776978417268</v>
      </c>
      <c r="AJ41" s="45">
        <f t="shared" si="5"/>
        <v>1480</v>
      </c>
      <c r="AK41" s="45">
        <f t="shared" si="5"/>
        <v>683</v>
      </c>
      <c r="AS41" s="45">
        <f t="shared" ref="AS41:AT41" si="6">MIN(AS5:AS40)</f>
        <v>4</v>
      </c>
      <c r="AT41" s="45">
        <f t="shared" si="6"/>
        <v>634</v>
      </c>
      <c r="AW41" s="45">
        <f t="shared" ref="AW41:AX41" si="7">MIN(AW5:AW40)</f>
        <v>36</v>
      </c>
      <c r="AX41" s="45">
        <f t="shared" si="7"/>
        <v>67</v>
      </c>
      <c r="BA41" s="134">
        <f t="shared" ref="BA41:BN41" si="8">MIN(BA5:BA40)</f>
        <v>19</v>
      </c>
      <c r="BB41" s="45">
        <f t="shared" si="8"/>
        <v>4533</v>
      </c>
      <c r="BC41" s="45">
        <f t="shared" si="8"/>
        <v>2478</v>
      </c>
      <c r="BD41" s="45">
        <f t="shared" si="8"/>
        <v>1752</v>
      </c>
      <c r="BE41" s="45">
        <f t="shared" si="8"/>
        <v>76</v>
      </c>
      <c r="BF41" s="45">
        <f t="shared" si="8"/>
        <v>348</v>
      </c>
      <c r="BG41" s="45">
        <f t="shared" si="8"/>
        <v>558</v>
      </c>
      <c r="BH41" s="45">
        <f t="shared" si="8"/>
        <v>1641</v>
      </c>
      <c r="BI41" s="45">
        <f t="shared" si="8"/>
        <v>186</v>
      </c>
      <c r="BJ41" s="45">
        <f t="shared" si="8"/>
        <v>20</v>
      </c>
      <c r="BK41" s="45">
        <f t="shared" si="8"/>
        <v>373</v>
      </c>
      <c r="BL41" s="45">
        <f t="shared" si="8"/>
        <v>169</v>
      </c>
      <c r="BM41" s="45">
        <f t="shared" si="8"/>
        <v>418</v>
      </c>
      <c r="BN41" s="45">
        <f t="shared" si="8"/>
        <v>664</v>
      </c>
      <c r="BP41" s="134">
        <f t="shared" ref="BP41:BX41" si="9">MIN(BP5:BP40)</f>
        <v>664</v>
      </c>
      <c r="BQ41" s="247">
        <f t="shared" si="9"/>
        <v>5.0321057601510857</v>
      </c>
      <c r="BR41" s="247">
        <f t="shared" si="9"/>
        <v>5.7658862876254178</v>
      </c>
      <c r="BS41" s="247">
        <f t="shared" si="9"/>
        <v>3.6929955290611027</v>
      </c>
      <c r="BT41" s="135">
        <f t="shared" si="9"/>
        <v>2.769465648854962</v>
      </c>
      <c r="BU41" s="136">
        <f t="shared" si="9"/>
        <v>522</v>
      </c>
      <c r="BV41" s="136">
        <f t="shared" si="9"/>
        <v>82</v>
      </c>
      <c r="BW41" s="136">
        <f t="shared" si="9"/>
        <v>83</v>
      </c>
      <c r="BX41" s="248">
        <f t="shared" si="9"/>
        <v>77</v>
      </c>
      <c r="BY41" s="136" t="s">
        <v>222</v>
      </c>
      <c r="BZ41" s="136">
        <f t="shared" ref="BZ41:DA41" si="10">MIN(BZ5:BZ40)</f>
        <v>83</v>
      </c>
      <c r="CA41" s="137">
        <f t="shared" si="10"/>
        <v>354</v>
      </c>
      <c r="CB41" s="45">
        <v>7</v>
      </c>
      <c r="CC41" s="248">
        <f t="shared" si="10"/>
        <v>24</v>
      </c>
      <c r="CD41" s="176">
        <f t="shared" si="10"/>
        <v>32</v>
      </c>
      <c r="CE41" s="176">
        <f t="shared" si="10"/>
        <v>11</v>
      </c>
      <c r="CF41" s="177">
        <f t="shared" si="10"/>
        <v>26</v>
      </c>
      <c r="CG41" s="136">
        <f t="shared" si="10"/>
        <v>65</v>
      </c>
      <c r="CH41" s="136">
        <f t="shared" si="10"/>
        <v>53</v>
      </c>
      <c r="CI41" s="248">
        <f t="shared" si="10"/>
        <v>38</v>
      </c>
      <c r="CJ41" s="136">
        <f t="shared" si="10"/>
        <v>66</v>
      </c>
      <c r="CK41" s="136">
        <f t="shared" si="10"/>
        <v>31</v>
      </c>
      <c r="CL41" s="248">
        <f t="shared" si="10"/>
        <v>42</v>
      </c>
      <c r="CM41" s="136">
        <f t="shared" si="10"/>
        <v>62</v>
      </c>
      <c r="CN41" s="136">
        <f t="shared" si="10"/>
        <v>27</v>
      </c>
      <c r="CO41" s="248">
        <f t="shared" si="10"/>
        <v>44</v>
      </c>
      <c r="CP41" s="136">
        <f t="shared" si="10"/>
        <v>55</v>
      </c>
      <c r="CQ41" s="136">
        <f t="shared" si="10"/>
        <v>19</v>
      </c>
      <c r="CR41" s="248">
        <f t="shared" si="10"/>
        <v>29</v>
      </c>
      <c r="CS41" s="136">
        <f t="shared" si="10"/>
        <v>36</v>
      </c>
      <c r="CT41" s="136">
        <f t="shared" si="10"/>
        <v>14</v>
      </c>
      <c r="CU41" s="248">
        <f t="shared" si="10"/>
        <v>20</v>
      </c>
      <c r="CV41" s="136">
        <f t="shared" si="10"/>
        <v>24</v>
      </c>
      <c r="CW41" s="136">
        <f t="shared" si="10"/>
        <v>10</v>
      </c>
      <c r="CX41" s="248">
        <f t="shared" si="10"/>
        <v>12</v>
      </c>
      <c r="CY41" s="136">
        <f t="shared" si="10"/>
        <v>20</v>
      </c>
      <c r="CZ41" s="136">
        <f t="shared" si="10"/>
        <v>18</v>
      </c>
      <c r="DA41" s="248">
        <f t="shared" si="10"/>
        <v>15</v>
      </c>
    </row>
    <row r="42" spans="1:105" ht="17" x14ac:dyDescent="0.2">
      <c r="I42" s="133" t="s">
        <v>168</v>
      </c>
      <c r="J42" s="45">
        <f>MAX(J5:J40)</f>
        <v>22659</v>
      </c>
      <c r="K42" s="45">
        <f t="shared" ref="K42:BV42" si="11">MAX(K5:K40)</f>
        <v>164</v>
      </c>
      <c r="L42" s="45">
        <f t="shared" si="11"/>
        <v>51</v>
      </c>
      <c r="M42" s="45">
        <f t="shared" si="11"/>
        <v>7</v>
      </c>
      <c r="N42" s="45">
        <f t="shared" si="11"/>
        <v>46</v>
      </c>
      <c r="O42" s="46">
        <f t="shared" si="11"/>
        <v>0.90196078431372551</v>
      </c>
      <c r="P42" s="45">
        <f t="shared" si="11"/>
        <v>2</v>
      </c>
      <c r="Q42" s="45">
        <f t="shared" si="11"/>
        <v>824</v>
      </c>
      <c r="R42" s="45">
        <f t="shared" si="11"/>
        <v>464</v>
      </c>
      <c r="S42" s="45">
        <f t="shared" si="11"/>
        <v>1841</v>
      </c>
      <c r="T42" s="45">
        <f t="shared" si="11"/>
        <v>500</v>
      </c>
      <c r="U42" s="45">
        <f t="shared" si="11"/>
        <v>60</v>
      </c>
      <c r="V42" s="45">
        <f t="shared" si="11"/>
        <v>32</v>
      </c>
      <c r="W42" s="45">
        <f t="shared" si="11"/>
        <v>28</v>
      </c>
      <c r="X42" s="45">
        <f t="shared" si="11"/>
        <v>60</v>
      </c>
      <c r="Y42" s="45">
        <f t="shared" si="11"/>
        <v>157</v>
      </c>
      <c r="Z42" s="45"/>
      <c r="AA42" s="45"/>
      <c r="AB42" s="45"/>
      <c r="AC42" s="45"/>
      <c r="AD42" s="45">
        <f t="shared" si="11"/>
        <v>383</v>
      </c>
      <c r="AE42" s="45"/>
      <c r="AF42" s="45">
        <f t="shared" si="11"/>
        <v>21</v>
      </c>
      <c r="AG42" s="45">
        <f t="shared" si="11"/>
        <v>31</v>
      </c>
      <c r="AH42" s="45">
        <f t="shared" si="11"/>
        <v>1320</v>
      </c>
      <c r="AI42" s="46">
        <f t="shared" si="11"/>
        <v>0.71700162954915803</v>
      </c>
      <c r="AJ42" s="45">
        <f t="shared" si="11"/>
        <v>2213</v>
      </c>
      <c r="AK42" s="45">
        <f t="shared" si="11"/>
        <v>766</v>
      </c>
      <c r="AW42" s="45">
        <f t="shared" si="11"/>
        <v>51</v>
      </c>
      <c r="AX42" s="45">
        <f t="shared" si="11"/>
        <v>76</v>
      </c>
      <c r="BA42" s="49">
        <f t="shared" si="11"/>
        <v>21</v>
      </c>
      <c r="BB42" s="45">
        <f t="shared" si="11"/>
        <v>5899</v>
      </c>
      <c r="BC42" s="45">
        <f t="shared" si="11"/>
        <v>3420</v>
      </c>
      <c r="BD42" s="45">
        <f t="shared" si="11"/>
        <v>2476</v>
      </c>
      <c r="BE42" s="45">
        <f t="shared" si="11"/>
        <v>273</v>
      </c>
      <c r="BF42" s="45">
        <f t="shared" si="11"/>
        <v>785</v>
      </c>
      <c r="BG42" s="45">
        <f t="shared" si="11"/>
        <v>1059</v>
      </c>
      <c r="BH42" s="45">
        <f t="shared" si="11"/>
        <v>2450</v>
      </c>
      <c r="BI42" s="45">
        <f t="shared" si="11"/>
        <v>307</v>
      </c>
      <c r="BJ42" s="45">
        <f t="shared" si="11"/>
        <v>56</v>
      </c>
      <c r="BK42" s="45">
        <f t="shared" si="11"/>
        <v>653</v>
      </c>
      <c r="BL42" s="45">
        <f t="shared" si="11"/>
        <v>273</v>
      </c>
      <c r="BM42" s="45">
        <f t="shared" si="11"/>
        <v>714</v>
      </c>
      <c r="BN42" s="45">
        <f t="shared" si="11"/>
        <v>952</v>
      </c>
      <c r="BP42" s="49">
        <f t="shared" si="11"/>
        <v>1059</v>
      </c>
      <c r="BQ42" s="51">
        <f t="shared" si="11"/>
        <v>8.8840361445783138</v>
      </c>
      <c r="BR42" s="51">
        <f t="shared" si="11"/>
        <v>11.261682242990654</v>
      </c>
      <c r="BS42" s="51">
        <f t="shared" si="11"/>
        <v>6.1172248803827749</v>
      </c>
      <c r="BT42" s="52">
        <f t="shared" si="11"/>
        <v>5.0669856459330145</v>
      </c>
      <c r="BU42" s="50">
        <f t="shared" si="11"/>
        <v>2219</v>
      </c>
      <c r="BV42" s="50">
        <f t="shared" si="11"/>
        <v>159</v>
      </c>
      <c r="BW42" s="50">
        <f t="shared" ref="BW42:BZ42" si="12">MAX(BW5:BW40)</f>
        <v>143</v>
      </c>
      <c r="BX42" s="77">
        <f t="shared" si="12"/>
        <v>136</v>
      </c>
      <c r="BY42" s="50"/>
      <c r="BZ42" s="50">
        <f t="shared" ref="BZ42:CA42" si="13">MAX(BZ5:BZ40)</f>
        <v>99</v>
      </c>
      <c r="CA42" s="140">
        <f t="shared" si="13"/>
        <v>492</v>
      </c>
      <c r="CC42" s="77">
        <f t="shared" ref="CC42:DA42" si="14">MAX(CC5:CC40)</f>
        <v>42</v>
      </c>
      <c r="CD42" s="182">
        <f t="shared" si="14"/>
        <v>63</v>
      </c>
      <c r="CE42" s="182">
        <f t="shared" si="14"/>
        <v>28</v>
      </c>
      <c r="CF42" s="183">
        <f t="shared" si="14"/>
        <v>56</v>
      </c>
      <c r="CG42" s="50">
        <f t="shared" si="14"/>
        <v>126</v>
      </c>
      <c r="CH42" s="50">
        <f t="shared" si="14"/>
        <v>102</v>
      </c>
      <c r="CI42" s="77">
        <f t="shared" si="14"/>
        <v>82</v>
      </c>
      <c r="CJ42" s="50">
        <f t="shared" si="14"/>
        <v>125</v>
      </c>
      <c r="CK42" s="50">
        <f t="shared" si="14"/>
        <v>66</v>
      </c>
      <c r="CL42" s="77">
        <f t="shared" si="14"/>
        <v>99</v>
      </c>
      <c r="CM42" s="50">
        <f t="shared" si="14"/>
        <v>119</v>
      </c>
      <c r="CN42" s="50">
        <f t="shared" si="14"/>
        <v>42</v>
      </c>
      <c r="CO42" s="77">
        <f t="shared" si="14"/>
        <v>108</v>
      </c>
      <c r="CP42" s="50">
        <f t="shared" si="14"/>
        <v>99</v>
      </c>
      <c r="CQ42" s="50">
        <f t="shared" si="14"/>
        <v>39</v>
      </c>
      <c r="CR42" s="77">
        <f t="shared" si="14"/>
        <v>70</v>
      </c>
      <c r="CS42" s="50">
        <f t="shared" si="14"/>
        <v>75</v>
      </c>
      <c r="CT42" s="50">
        <f t="shared" si="14"/>
        <v>26</v>
      </c>
      <c r="CU42" s="77">
        <f t="shared" si="14"/>
        <v>59</v>
      </c>
      <c r="CV42" s="50">
        <f t="shared" si="14"/>
        <v>69</v>
      </c>
      <c r="CW42" s="50">
        <f t="shared" si="14"/>
        <v>31</v>
      </c>
      <c r="CX42" s="77">
        <f t="shared" si="14"/>
        <v>38</v>
      </c>
      <c r="CY42" s="50">
        <f t="shared" si="14"/>
        <v>64</v>
      </c>
      <c r="CZ42" s="50">
        <f t="shared" si="14"/>
        <v>31</v>
      </c>
      <c r="DA42" s="77">
        <f t="shared" si="14"/>
        <v>37</v>
      </c>
    </row>
    <row r="43" spans="1:105" s="50" customFormat="1" ht="17" x14ac:dyDescent="0.2">
      <c r="A43" s="77"/>
      <c r="B43" s="249"/>
      <c r="C43" s="250"/>
      <c r="D43" s="250"/>
      <c r="E43" s="249"/>
      <c r="G43" s="251"/>
      <c r="I43" s="252" t="s">
        <v>169</v>
      </c>
      <c r="J43" s="50">
        <f>AVERAGE(J5:J40)</f>
        <v>18748.25</v>
      </c>
      <c r="K43" s="50">
        <f t="shared" ref="K43:BV43" si="15">AVERAGE(K5:K40)</f>
        <v>159.5</v>
      </c>
      <c r="L43" s="50">
        <f t="shared" si="15"/>
        <v>46.25</v>
      </c>
      <c r="M43" s="50">
        <f t="shared" si="15"/>
        <v>6.333333333333333</v>
      </c>
      <c r="N43" s="50">
        <f t="shared" si="15"/>
        <v>41.333333333333336</v>
      </c>
      <c r="O43" s="46">
        <f t="shared" si="15"/>
        <v>0.88098039215686275</v>
      </c>
      <c r="P43" s="50">
        <f t="shared" si="15"/>
        <v>0.5</v>
      </c>
      <c r="Q43" s="50">
        <f t="shared" si="15"/>
        <v>705.33333333333337</v>
      </c>
      <c r="R43" s="50">
        <f t="shared" si="15"/>
        <v>359.33333333333331</v>
      </c>
      <c r="S43" s="50">
        <f t="shared" si="15"/>
        <v>1485</v>
      </c>
      <c r="T43" s="50">
        <f t="shared" si="15"/>
        <v>418</v>
      </c>
      <c r="U43" s="50">
        <f t="shared" si="15"/>
        <v>54</v>
      </c>
      <c r="V43" s="50">
        <f t="shared" si="15"/>
        <v>31</v>
      </c>
      <c r="W43" s="50">
        <f t="shared" si="15"/>
        <v>22.25</v>
      </c>
      <c r="X43" s="50">
        <f t="shared" si="15"/>
        <v>55.166666666666664</v>
      </c>
      <c r="Y43" s="50">
        <f t="shared" si="15"/>
        <v>114.33333333333333</v>
      </c>
      <c r="AF43" s="50">
        <f t="shared" si="15"/>
        <v>15.777777777777779</v>
      </c>
      <c r="AG43" s="50">
        <f t="shared" si="15"/>
        <v>20</v>
      </c>
      <c r="AH43" s="50">
        <f t="shared" si="15"/>
        <v>998.33333333333337</v>
      </c>
      <c r="AI43" s="46">
        <f t="shared" si="15"/>
        <v>0.6662546845704036</v>
      </c>
      <c r="AJ43" s="50">
        <f t="shared" si="15"/>
        <v>1841.5</v>
      </c>
      <c r="AK43" s="50">
        <f t="shared" si="15"/>
        <v>736</v>
      </c>
      <c r="AS43" s="45"/>
      <c r="AT43" s="45"/>
      <c r="AW43" s="50">
        <f t="shared" si="15"/>
        <v>45.333333333333336</v>
      </c>
      <c r="AX43" s="50">
        <f t="shared" si="15"/>
        <v>71.333333333333329</v>
      </c>
      <c r="BA43" s="77">
        <f t="shared" si="15"/>
        <v>20</v>
      </c>
      <c r="BB43" s="50">
        <f t="shared" si="15"/>
        <v>5081.181818181818</v>
      </c>
      <c r="BC43" s="50">
        <f t="shared" si="15"/>
        <v>2854.090909090909</v>
      </c>
      <c r="BD43" s="50">
        <f t="shared" si="15"/>
        <v>2101.909090909091</v>
      </c>
      <c r="BE43" s="50">
        <f t="shared" si="15"/>
        <v>150.90909090909091</v>
      </c>
      <c r="BF43" s="50">
        <f t="shared" si="15"/>
        <v>562.09090909090912</v>
      </c>
      <c r="BG43" s="50">
        <f t="shared" si="15"/>
        <v>661.63636363636363</v>
      </c>
      <c r="BH43" s="50">
        <f t="shared" si="15"/>
        <v>2047.0333333333333</v>
      </c>
      <c r="BI43" s="50">
        <f t="shared" si="15"/>
        <v>232.65517241379311</v>
      </c>
      <c r="BJ43" s="50">
        <f t="shared" si="15"/>
        <v>37.892857142857146</v>
      </c>
      <c r="BK43" s="50">
        <f t="shared" si="15"/>
        <v>493.25</v>
      </c>
      <c r="BL43" s="50">
        <f t="shared" si="15"/>
        <v>222.52380952380952</v>
      </c>
      <c r="BM43" s="50">
        <f t="shared" si="15"/>
        <v>598.5454545454545</v>
      </c>
      <c r="BN43" s="50">
        <f t="shared" si="15"/>
        <v>793.88888888888891</v>
      </c>
      <c r="BP43" s="77">
        <f t="shared" si="15"/>
        <v>805.77777777777783</v>
      </c>
      <c r="BQ43" s="51">
        <f t="shared" si="15"/>
        <v>6.358098226568119</v>
      </c>
      <c r="BR43" s="51">
        <f t="shared" si="15"/>
        <v>8.9132367192922466</v>
      </c>
      <c r="BS43" s="51">
        <f t="shared" si="15"/>
        <v>4.8490005729674834</v>
      </c>
      <c r="BT43" s="52">
        <f t="shared" si="15"/>
        <v>3.5820860751815924</v>
      </c>
      <c r="BU43" s="50">
        <f t="shared" si="15"/>
        <v>1500.4</v>
      </c>
      <c r="BV43" s="50">
        <f t="shared" si="15"/>
        <v>100.91666666666667</v>
      </c>
      <c r="BW43" s="50">
        <f t="shared" ref="BW43:BZ43" si="16">AVERAGE(BW5:BW40)</f>
        <v>107.22727272727273</v>
      </c>
      <c r="BX43" s="77">
        <f t="shared" si="16"/>
        <v>101.56521739130434</v>
      </c>
      <c r="BZ43" s="50">
        <f t="shared" ref="BZ43:CA43" si="17">AVERAGE(BZ5:BZ40)</f>
        <v>90.8</v>
      </c>
      <c r="CA43" s="140">
        <f t="shared" si="17"/>
        <v>429.6</v>
      </c>
      <c r="CC43" s="77">
        <f t="shared" ref="CC43:DA43" si="18">AVERAGE(CC5:CC40)</f>
        <v>30.25</v>
      </c>
      <c r="CD43" s="182">
        <f t="shared" si="18"/>
        <v>46.230769230769234</v>
      </c>
      <c r="CE43" s="182">
        <f t="shared" si="18"/>
        <v>18.23076923076923</v>
      </c>
      <c r="CF43" s="183">
        <f t="shared" si="18"/>
        <v>38.615384615384613</v>
      </c>
      <c r="CG43" s="50">
        <f t="shared" si="18"/>
        <v>86.32</v>
      </c>
      <c r="CH43" s="50">
        <f t="shared" si="18"/>
        <v>71.92</v>
      </c>
      <c r="CI43" s="77">
        <f t="shared" si="18"/>
        <v>53.8</v>
      </c>
      <c r="CJ43" s="50">
        <f t="shared" si="18"/>
        <v>97.083333333333329</v>
      </c>
      <c r="CK43" s="50">
        <f t="shared" si="18"/>
        <v>46.833333333333336</v>
      </c>
      <c r="CL43" s="77">
        <f t="shared" si="18"/>
        <v>69.5</v>
      </c>
      <c r="CM43" s="50">
        <f t="shared" si="18"/>
        <v>92.222222222222229</v>
      </c>
      <c r="CN43" s="50">
        <f t="shared" si="18"/>
        <v>33.666666666666664</v>
      </c>
      <c r="CO43" s="77">
        <f t="shared" si="18"/>
        <v>68.333333333333329</v>
      </c>
      <c r="CP43" s="50">
        <f t="shared" si="18"/>
        <v>70.888888888888886</v>
      </c>
      <c r="CQ43" s="50">
        <f t="shared" si="18"/>
        <v>26</v>
      </c>
      <c r="CR43" s="77">
        <f t="shared" si="18"/>
        <v>46.333333333333336</v>
      </c>
      <c r="CS43" s="50">
        <f t="shared" si="18"/>
        <v>55.769230769230766</v>
      </c>
      <c r="CT43" s="50">
        <f t="shared" si="18"/>
        <v>19.923076923076923</v>
      </c>
      <c r="CU43" s="77">
        <f t="shared" si="18"/>
        <v>36.692307692307693</v>
      </c>
      <c r="CV43" s="50">
        <f t="shared" si="18"/>
        <v>39.04</v>
      </c>
      <c r="CW43" s="50">
        <f t="shared" si="18"/>
        <v>20.32</v>
      </c>
      <c r="CX43" s="77">
        <f t="shared" si="18"/>
        <v>23.28</v>
      </c>
      <c r="CY43" s="50">
        <f t="shared" si="18"/>
        <v>39.230769230769234</v>
      </c>
      <c r="CZ43" s="50">
        <f t="shared" si="18"/>
        <v>25.692307692307693</v>
      </c>
      <c r="DA43" s="77">
        <f t="shared" si="18"/>
        <v>23.76923076923077</v>
      </c>
    </row>
    <row r="44" spans="1:105" s="51" customFormat="1" ht="17" x14ac:dyDescent="0.2">
      <c r="A44" s="52"/>
      <c r="B44" s="253"/>
      <c r="C44" s="254"/>
      <c r="D44" s="254"/>
      <c r="E44" s="253"/>
      <c r="G44" s="255"/>
      <c r="I44" s="256" t="s">
        <v>170</v>
      </c>
      <c r="J44" s="51">
        <f>STDEV(J5:J40)</f>
        <v>2982.0851066549617</v>
      </c>
      <c r="K44" s="51">
        <f t="shared" ref="K44:BV44" si="19">STDEV(K5:K40)</f>
        <v>6.3639610306789276</v>
      </c>
      <c r="L44" s="51">
        <f t="shared" si="19"/>
        <v>4.924428900898052</v>
      </c>
      <c r="M44" s="51">
        <f t="shared" si="19"/>
        <v>1.1547005383792526</v>
      </c>
      <c r="N44" s="51">
        <f t="shared" si="19"/>
        <v>5.6862407030773401</v>
      </c>
      <c r="O44" s="46">
        <f t="shared" si="19"/>
        <v>2.9670755132141426E-2</v>
      </c>
      <c r="P44" s="51">
        <f t="shared" si="19"/>
        <v>1</v>
      </c>
      <c r="Q44" s="51">
        <f t="shared" si="19"/>
        <v>163.37176418626743</v>
      </c>
      <c r="R44" s="51">
        <f t="shared" si="19"/>
        <v>99.901618271844541</v>
      </c>
      <c r="S44" s="51">
        <f t="shared" si="19"/>
        <v>379.9157801408096</v>
      </c>
      <c r="T44" s="51">
        <f t="shared" si="19"/>
        <v>109.99545445153632</v>
      </c>
      <c r="U44" s="51">
        <f t="shared" si="19"/>
        <v>4.4158804331639239</v>
      </c>
      <c r="V44" s="51">
        <f t="shared" si="19"/>
        <v>1.4142135623730951</v>
      </c>
      <c r="W44" s="51">
        <f t="shared" si="19"/>
        <v>3.9475730941090039</v>
      </c>
      <c r="X44" s="51">
        <f t="shared" si="19"/>
        <v>4.1673332800085321</v>
      </c>
      <c r="Y44" s="51">
        <f t="shared" si="19"/>
        <v>23.01883286934126</v>
      </c>
      <c r="AF44" s="51">
        <f t="shared" si="19"/>
        <v>3.270236145058099</v>
      </c>
      <c r="AG44" s="51">
        <f t="shared" si="19"/>
        <v>8.7749643873921226</v>
      </c>
      <c r="AH44" s="51">
        <f t="shared" si="19"/>
        <v>312.44892916016414</v>
      </c>
      <c r="AI44" s="257">
        <f t="shared" si="19"/>
        <v>4.3952150030086574E-2</v>
      </c>
      <c r="AJ44" s="51">
        <f t="shared" si="19"/>
        <v>310.56346640689509</v>
      </c>
      <c r="AK44" s="51">
        <f t="shared" si="19"/>
        <v>36.395970472933769</v>
      </c>
      <c r="AS44" s="45"/>
      <c r="AT44" s="45"/>
      <c r="AW44" s="51">
        <f t="shared" si="19"/>
        <v>8.1445278152470877</v>
      </c>
      <c r="AX44" s="51">
        <f t="shared" si="19"/>
        <v>4.5092497528228943</v>
      </c>
      <c r="BA44" s="52">
        <f t="shared" si="19"/>
        <v>1.4142135623730951</v>
      </c>
      <c r="BB44" s="51">
        <f t="shared" si="19"/>
        <v>441.14007258053948</v>
      </c>
      <c r="BC44" s="51">
        <f t="shared" si="19"/>
        <v>306.02857858227986</v>
      </c>
      <c r="BD44" s="51">
        <f t="shared" si="19"/>
        <v>237.96195265018866</v>
      </c>
      <c r="BE44" s="51">
        <f t="shared" si="19"/>
        <v>64.743269218436197</v>
      </c>
      <c r="BF44" s="51">
        <f t="shared" si="19"/>
        <v>117.61671186141415</v>
      </c>
      <c r="BG44" s="51">
        <f t="shared" si="19"/>
        <v>139.2438671735836</v>
      </c>
      <c r="BH44" s="51">
        <f t="shared" si="19"/>
        <v>244.46824535817697</v>
      </c>
      <c r="BI44" s="51">
        <f t="shared" si="19"/>
        <v>28.654687801560978</v>
      </c>
      <c r="BJ44" s="51">
        <f t="shared" si="19"/>
        <v>10.30404194592008</v>
      </c>
      <c r="BK44" s="51">
        <f t="shared" si="19"/>
        <v>70.178410207550726</v>
      </c>
      <c r="BL44" s="51">
        <f t="shared" si="19"/>
        <v>33.23645445534023</v>
      </c>
      <c r="BM44" s="51">
        <f t="shared" si="19"/>
        <v>90.243408220615791</v>
      </c>
      <c r="BN44" s="51">
        <f t="shared" si="19"/>
        <v>100.29636639036892</v>
      </c>
      <c r="BP44" s="52">
        <f t="shared" si="19"/>
        <v>124.74351463881598</v>
      </c>
      <c r="BQ44" s="51">
        <f t="shared" si="19"/>
        <v>1.2492638381179586</v>
      </c>
      <c r="BR44" s="51">
        <f t="shared" si="19"/>
        <v>1.4770885630782042</v>
      </c>
      <c r="BS44" s="51">
        <f t="shared" si="19"/>
        <v>0.74227770929895165</v>
      </c>
      <c r="BT44" s="52">
        <f t="shared" si="19"/>
        <v>0.65583470935283017</v>
      </c>
      <c r="BU44" s="51">
        <f t="shared" si="19"/>
        <v>577.21442193424855</v>
      </c>
      <c r="BV44" s="51">
        <f t="shared" si="19"/>
        <v>19.08087288739506</v>
      </c>
      <c r="BW44" s="51">
        <f t="shared" ref="BW44:BZ44" si="20">STDEV(BW5:BW40)</f>
        <v>16.174441384868739</v>
      </c>
      <c r="BX44" s="52">
        <f t="shared" si="20"/>
        <v>20.200868763848494</v>
      </c>
      <c r="BZ44" s="51">
        <f t="shared" ref="BZ44:CA44" si="21">STDEV(BZ5:BZ40)</f>
        <v>6.3796551630946325</v>
      </c>
      <c r="CA44" s="147">
        <f t="shared" si="21"/>
        <v>38.467210917734519</v>
      </c>
      <c r="CC44" s="52">
        <f t="shared" ref="CC44:DA44" si="22">STDEV(CC5:CC40)</f>
        <v>8.0983537421708949</v>
      </c>
      <c r="CD44" s="174">
        <f t="shared" si="22"/>
        <v>8.9270548162486172</v>
      </c>
      <c r="CE44" s="174">
        <f t="shared" si="22"/>
        <v>4.8331122849541126</v>
      </c>
      <c r="CF44" s="181">
        <f t="shared" si="22"/>
        <v>8.6075399267005146</v>
      </c>
      <c r="CG44" s="51">
        <f t="shared" si="22"/>
        <v>18.243080880158377</v>
      </c>
      <c r="CH44" s="51">
        <f t="shared" si="22"/>
        <v>13.136843862460516</v>
      </c>
      <c r="CI44" s="52">
        <f t="shared" si="22"/>
        <v>11.856784274554942</v>
      </c>
      <c r="CJ44" s="51">
        <f t="shared" si="22"/>
        <v>23.542836522287452</v>
      </c>
      <c r="CK44" s="51">
        <f t="shared" si="22"/>
        <v>11.109646368100226</v>
      </c>
      <c r="CL44" s="52">
        <f t="shared" si="22"/>
        <v>20.821754358013511</v>
      </c>
      <c r="CM44" s="51">
        <f t="shared" si="22"/>
        <v>22.895293063082754</v>
      </c>
      <c r="CN44" s="51">
        <f t="shared" si="22"/>
        <v>5.5901699437494745</v>
      </c>
      <c r="CO44" s="52">
        <f t="shared" si="22"/>
        <v>23.130067012440755</v>
      </c>
      <c r="CP44" s="51">
        <f t="shared" si="22"/>
        <v>16.654161975647749</v>
      </c>
      <c r="CQ44" s="51">
        <f t="shared" si="22"/>
        <v>6.6708320320631671</v>
      </c>
      <c r="CR44" s="52">
        <f t="shared" si="22"/>
        <v>13.45362404707371</v>
      </c>
      <c r="CS44" s="51">
        <f t="shared" si="22"/>
        <v>13.4793289036327</v>
      </c>
      <c r="CT44" s="51">
        <f t="shared" si="22"/>
        <v>4.5545131181707843</v>
      </c>
      <c r="CU44" s="52">
        <f t="shared" si="22"/>
        <v>11.242661424121776</v>
      </c>
      <c r="CV44" s="51">
        <f t="shared" si="22"/>
        <v>12.86299602218187</v>
      </c>
      <c r="CW44" s="51">
        <f t="shared" si="22"/>
        <v>4.9389607543827836</v>
      </c>
      <c r="CX44" s="52">
        <f t="shared" si="22"/>
        <v>6.167927798972145</v>
      </c>
      <c r="CY44" s="51">
        <f t="shared" si="22"/>
        <v>12.725746162194785</v>
      </c>
      <c r="CZ44" s="51">
        <f t="shared" si="22"/>
        <v>3.6196047383020207</v>
      </c>
      <c r="DA44" s="52">
        <f t="shared" si="22"/>
        <v>5.7432234315422024</v>
      </c>
    </row>
    <row r="45" spans="1:105" ht="17" x14ac:dyDescent="0.2">
      <c r="I45" s="133" t="s">
        <v>171</v>
      </c>
      <c r="J45" s="45">
        <f>COUNT(J5:J40)</f>
        <v>4</v>
      </c>
      <c r="K45" s="45">
        <f t="shared" ref="K45:BV45" si="23">COUNT(K5:K40)</f>
        <v>2</v>
      </c>
      <c r="L45" s="45">
        <f t="shared" si="23"/>
        <v>4</v>
      </c>
      <c r="M45" s="45">
        <f t="shared" si="23"/>
        <v>3</v>
      </c>
      <c r="N45" s="45">
        <f t="shared" si="23"/>
        <v>3</v>
      </c>
      <c r="O45" s="45">
        <f t="shared" si="23"/>
        <v>2</v>
      </c>
      <c r="P45" s="45">
        <f t="shared" si="23"/>
        <v>4</v>
      </c>
      <c r="Q45" s="45">
        <f t="shared" si="23"/>
        <v>3</v>
      </c>
      <c r="R45" s="45">
        <f t="shared" si="23"/>
        <v>3</v>
      </c>
      <c r="S45" s="45">
        <f t="shared" si="23"/>
        <v>3</v>
      </c>
      <c r="T45" s="45">
        <f t="shared" si="23"/>
        <v>3</v>
      </c>
      <c r="U45" s="45">
        <f t="shared" si="23"/>
        <v>5</v>
      </c>
      <c r="V45" s="45">
        <f t="shared" si="23"/>
        <v>4</v>
      </c>
      <c r="W45" s="45">
        <f t="shared" si="23"/>
        <v>4</v>
      </c>
      <c r="X45" s="45">
        <f t="shared" si="23"/>
        <v>6</v>
      </c>
      <c r="Y45" s="45">
        <f t="shared" si="23"/>
        <v>6</v>
      </c>
      <c r="Z45" s="45"/>
      <c r="AA45" s="45"/>
      <c r="AB45" s="45"/>
      <c r="AC45" s="45"/>
      <c r="AD45" s="45"/>
      <c r="AE45" s="45"/>
      <c r="AF45" s="45">
        <f t="shared" si="23"/>
        <v>9</v>
      </c>
      <c r="AG45" s="45">
        <f t="shared" si="23"/>
        <v>9</v>
      </c>
      <c r="AH45" s="45">
        <f t="shared" si="23"/>
        <v>3</v>
      </c>
      <c r="AI45" s="45">
        <f t="shared" si="23"/>
        <v>3</v>
      </c>
      <c r="AJ45" s="45">
        <f t="shared" si="23"/>
        <v>4</v>
      </c>
      <c r="AK45" s="45">
        <f t="shared" si="23"/>
        <v>4</v>
      </c>
      <c r="AS45" s="45">
        <v>1</v>
      </c>
      <c r="AT45" s="45">
        <v>1</v>
      </c>
      <c r="AW45" s="45">
        <f t="shared" si="23"/>
        <v>3</v>
      </c>
      <c r="AX45" s="45">
        <f t="shared" si="23"/>
        <v>3</v>
      </c>
      <c r="BA45" s="49">
        <f t="shared" si="23"/>
        <v>2</v>
      </c>
      <c r="BB45" s="45">
        <f t="shared" si="23"/>
        <v>11</v>
      </c>
      <c r="BC45" s="45">
        <f t="shared" si="23"/>
        <v>11</v>
      </c>
      <c r="BD45" s="45">
        <f t="shared" si="23"/>
        <v>11</v>
      </c>
      <c r="BE45" s="45">
        <f t="shared" si="23"/>
        <v>11</v>
      </c>
      <c r="BF45" s="45">
        <f t="shared" si="23"/>
        <v>11</v>
      </c>
      <c r="BG45" s="45">
        <f t="shared" si="23"/>
        <v>11</v>
      </c>
      <c r="BH45" s="45">
        <f t="shared" si="23"/>
        <v>30</v>
      </c>
      <c r="BI45" s="45">
        <f t="shared" si="23"/>
        <v>29</v>
      </c>
      <c r="BJ45" s="45">
        <f t="shared" si="23"/>
        <v>28</v>
      </c>
      <c r="BK45" s="45">
        <f t="shared" si="23"/>
        <v>28</v>
      </c>
      <c r="BL45" s="45">
        <f t="shared" si="23"/>
        <v>21</v>
      </c>
      <c r="BM45" s="45">
        <f t="shared" si="23"/>
        <v>11</v>
      </c>
      <c r="BN45" s="45">
        <f t="shared" si="23"/>
        <v>9</v>
      </c>
      <c r="BP45" s="49">
        <f t="shared" si="23"/>
        <v>9</v>
      </c>
      <c r="BQ45" s="45">
        <f t="shared" si="23"/>
        <v>9</v>
      </c>
      <c r="BR45" s="45">
        <f t="shared" si="23"/>
        <v>27</v>
      </c>
      <c r="BS45" s="45">
        <f t="shared" si="23"/>
        <v>11</v>
      </c>
      <c r="BT45" s="49">
        <f t="shared" si="23"/>
        <v>11</v>
      </c>
      <c r="BU45" s="45">
        <f t="shared" si="23"/>
        <v>10</v>
      </c>
      <c r="BV45" s="45">
        <f t="shared" si="23"/>
        <v>24</v>
      </c>
      <c r="BW45" s="45">
        <f t="shared" ref="BW45:BZ45" si="24">COUNT(BW5:BW40)</f>
        <v>22</v>
      </c>
      <c r="BX45" s="49">
        <f t="shared" si="24"/>
        <v>23</v>
      </c>
      <c r="BZ45" s="45">
        <f t="shared" ref="BZ45:CA45" si="25">COUNT(BZ5:BZ40)</f>
        <v>5</v>
      </c>
      <c r="CA45" s="80">
        <f t="shared" si="25"/>
        <v>20</v>
      </c>
      <c r="CC45" s="49">
        <f t="shared" ref="CC45:DA45" si="26">COUNT(CC5:CC40)</f>
        <v>4</v>
      </c>
      <c r="CD45" s="169">
        <f t="shared" si="26"/>
        <v>13</v>
      </c>
      <c r="CE45" s="169">
        <f t="shared" si="26"/>
        <v>13</v>
      </c>
      <c r="CF45" s="180">
        <f t="shared" si="26"/>
        <v>13</v>
      </c>
      <c r="CG45" s="45">
        <f t="shared" si="26"/>
        <v>25</v>
      </c>
      <c r="CH45" s="45">
        <f t="shared" si="26"/>
        <v>25</v>
      </c>
      <c r="CI45" s="49">
        <f t="shared" si="26"/>
        <v>25</v>
      </c>
      <c r="CJ45" s="45">
        <f t="shared" si="26"/>
        <v>12</v>
      </c>
      <c r="CK45" s="45">
        <f t="shared" si="26"/>
        <v>12</v>
      </c>
      <c r="CL45" s="49">
        <f t="shared" si="26"/>
        <v>12</v>
      </c>
      <c r="CM45" s="45">
        <f t="shared" si="26"/>
        <v>9</v>
      </c>
      <c r="CN45" s="45">
        <f t="shared" si="26"/>
        <v>9</v>
      </c>
      <c r="CO45" s="49">
        <f t="shared" si="26"/>
        <v>9</v>
      </c>
      <c r="CP45" s="45">
        <f t="shared" si="26"/>
        <v>9</v>
      </c>
      <c r="CQ45" s="45">
        <f t="shared" si="26"/>
        <v>9</v>
      </c>
      <c r="CR45" s="49">
        <f t="shared" si="26"/>
        <v>9</v>
      </c>
      <c r="CS45" s="45">
        <f t="shared" si="26"/>
        <v>13</v>
      </c>
      <c r="CT45" s="45">
        <f t="shared" si="26"/>
        <v>13</v>
      </c>
      <c r="CU45" s="49">
        <f t="shared" si="26"/>
        <v>13</v>
      </c>
      <c r="CV45" s="45">
        <f t="shared" si="26"/>
        <v>25</v>
      </c>
      <c r="CW45" s="45">
        <f t="shared" si="26"/>
        <v>25</v>
      </c>
      <c r="CX45" s="49">
        <f t="shared" si="26"/>
        <v>25</v>
      </c>
      <c r="CY45" s="45">
        <f t="shared" si="26"/>
        <v>26</v>
      </c>
      <c r="CZ45" s="45">
        <f t="shared" si="26"/>
        <v>26</v>
      </c>
      <c r="DA45" s="49">
        <f t="shared" si="26"/>
        <v>26</v>
      </c>
    </row>
    <row r="46" spans="1:105" ht="17" x14ac:dyDescent="0.2">
      <c r="I46" s="133" t="s">
        <v>189</v>
      </c>
      <c r="J46" s="45">
        <f>J45</f>
        <v>4</v>
      </c>
      <c r="K46" s="45">
        <f t="shared" ref="K46:T46" si="27">K45</f>
        <v>2</v>
      </c>
      <c r="L46" s="45">
        <f t="shared" si="27"/>
        <v>4</v>
      </c>
      <c r="M46" s="45">
        <f t="shared" si="27"/>
        <v>3</v>
      </c>
      <c r="N46" s="45">
        <f t="shared" si="27"/>
        <v>3</v>
      </c>
      <c r="O46" s="45">
        <f t="shared" si="27"/>
        <v>2</v>
      </c>
      <c r="P46" s="45">
        <f t="shared" si="27"/>
        <v>4</v>
      </c>
      <c r="Q46" s="45">
        <f t="shared" si="27"/>
        <v>3</v>
      </c>
      <c r="R46" s="45">
        <f t="shared" si="27"/>
        <v>3</v>
      </c>
      <c r="S46" s="45">
        <f t="shared" si="27"/>
        <v>3</v>
      </c>
      <c r="T46" s="45">
        <f t="shared" si="27"/>
        <v>3</v>
      </c>
      <c r="U46" s="45">
        <v>3</v>
      </c>
      <c r="V46" s="45">
        <v>3</v>
      </c>
      <c r="W46" s="45">
        <v>3</v>
      </c>
      <c r="X46" s="45">
        <v>2</v>
      </c>
      <c r="Y46" s="45">
        <v>2</v>
      </c>
      <c r="Z46" s="45"/>
      <c r="AA46" s="45"/>
      <c r="AB46" s="45"/>
      <c r="AC46" s="45"/>
      <c r="AD46" s="45"/>
      <c r="AE46" s="45"/>
      <c r="AF46" s="45">
        <v>3</v>
      </c>
      <c r="AG46" s="45">
        <v>3</v>
      </c>
      <c r="AH46" s="45">
        <f t="shared" ref="AH46:AK46" si="28">AH45</f>
        <v>3</v>
      </c>
      <c r="AI46" s="45">
        <f t="shared" si="28"/>
        <v>3</v>
      </c>
      <c r="AJ46" s="45">
        <f t="shared" si="28"/>
        <v>4</v>
      </c>
      <c r="AK46" s="45">
        <f t="shared" si="28"/>
        <v>4</v>
      </c>
      <c r="AS46" s="45">
        <v>1</v>
      </c>
      <c r="AT46" s="45">
        <v>1</v>
      </c>
      <c r="AW46" s="45">
        <f t="shared" ref="AW46:AX46" si="29">AW45</f>
        <v>3</v>
      </c>
      <c r="AX46" s="45">
        <f t="shared" si="29"/>
        <v>3</v>
      </c>
      <c r="BA46" s="49">
        <v>1</v>
      </c>
      <c r="BB46" s="45">
        <f t="shared" ref="BB46:BG46" si="30">BB45</f>
        <v>11</v>
      </c>
      <c r="BC46" s="45">
        <f t="shared" si="30"/>
        <v>11</v>
      </c>
      <c r="BD46" s="45">
        <f t="shared" si="30"/>
        <v>11</v>
      </c>
      <c r="BE46" s="45">
        <f t="shared" si="30"/>
        <v>11</v>
      </c>
      <c r="BF46" s="45">
        <f t="shared" si="30"/>
        <v>11</v>
      </c>
      <c r="BG46" s="45">
        <f t="shared" si="30"/>
        <v>11</v>
      </c>
      <c r="BH46" s="45">
        <v>11</v>
      </c>
      <c r="BI46" s="45">
        <v>11</v>
      </c>
      <c r="BJ46" s="45">
        <v>10</v>
      </c>
      <c r="BK46" s="45">
        <v>11</v>
      </c>
      <c r="BL46" s="45">
        <v>11</v>
      </c>
      <c r="BM46" s="45">
        <f t="shared" ref="BM46:BN46" si="31">BM45</f>
        <v>11</v>
      </c>
      <c r="BN46" s="45">
        <f t="shared" si="31"/>
        <v>9</v>
      </c>
      <c r="BP46" s="49">
        <f t="shared" ref="BP46:BQ46" si="32">BP45</f>
        <v>9</v>
      </c>
      <c r="BQ46" s="45">
        <f t="shared" si="32"/>
        <v>9</v>
      </c>
      <c r="BR46" s="45">
        <v>11</v>
      </c>
      <c r="BS46" s="45">
        <f t="shared" ref="BS46:BU46" si="33">BS45</f>
        <v>11</v>
      </c>
      <c r="BT46" s="49">
        <f t="shared" si="33"/>
        <v>11</v>
      </c>
      <c r="BU46" s="45">
        <f t="shared" si="33"/>
        <v>10</v>
      </c>
      <c r="BV46" s="45">
        <v>10</v>
      </c>
      <c r="BW46" s="45">
        <v>9</v>
      </c>
      <c r="BX46" s="49">
        <v>9</v>
      </c>
      <c r="BZ46" s="45">
        <f t="shared" ref="BZ46" si="34">BZ45</f>
        <v>5</v>
      </c>
      <c r="CA46" s="80">
        <v>9</v>
      </c>
      <c r="CC46" s="49">
        <v>2</v>
      </c>
      <c r="CD46" s="169">
        <v>5</v>
      </c>
      <c r="CE46" s="169">
        <v>5</v>
      </c>
      <c r="CF46" s="180">
        <v>5</v>
      </c>
      <c r="CG46" s="45">
        <v>9</v>
      </c>
      <c r="CH46" s="45">
        <v>9</v>
      </c>
      <c r="CI46" s="49">
        <v>9</v>
      </c>
      <c r="CJ46" s="45">
        <v>5</v>
      </c>
      <c r="CK46" s="45">
        <v>5</v>
      </c>
      <c r="CL46" s="49">
        <v>5</v>
      </c>
      <c r="CM46" s="45">
        <v>5</v>
      </c>
      <c r="CN46" s="45">
        <v>5</v>
      </c>
      <c r="CO46" s="49">
        <v>5</v>
      </c>
      <c r="CP46" s="45">
        <v>4</v>
      </c>
      <c r="CQ46" s="45">
        <v>4</v>
      </c>
      <c r="CR46" s="49">
        <v>4</v>
      </c>
      <c r="CS46" s="45">
        <v>5</v>
      </c>
      <c r="CT46" s="45">
        <v>5</v>
      </c>
      <c r="CU46" s="49">
        <v>5</v>
      </c>
      <c r="CV46" s="45">
        <v>9</v>
      </c>
      <c r="CW46" s="45">
        <v>9</v>
      </c>
      <c r="CX46" s="49">
        <v>9</v>
      </c>
      <c r="CY46" s="45">
        <v>9</v>
      </c>
      <c r="CZ46" s="45">
        <v>9</v>
      </c>
      <c r="DA46" s="49">
        <v>9</v>
      </c>
    </row>
  </sheetData>
  <mergeCells count="309">
    <mergeCell ref="I38:I40"/>
    <mergeCell ref="H35:H37"/>
    <mergeCell ref="I35:I37"/>
    <mergeCell ref="A38:A40"/>
    <mergeCell ref="B38:B40"/>
    <mergeCell ref="C38:C40"/>
    <mergeCell ref="D38:D40"/>
    <mergeCell ref="E38:E40"/>
    <mergeCell ref="F38:F40"/>
    <mergeCell ref="G38:G40"/>
    <mergeCell ref="H38:H40"/>
    <mergeCell ref="G32:G34"/>
    <mergeCell ref="H32:H34"/>
    <mergeCell ref="I32:I34"/>
    <mergeCell ref="A35:A37"/>
    <mergeCell ref="B35:B37"/>
    <mergeCell ref="C35:C37"/>
    <mergeCell ref="D35:D37"/>
    <mergeCell ref="E35:E37"/>
    <mergeCell ref="F35:F37"/>
    <mergeCell ref="G35:G37"/>
    <mergeCell ref="A32:A34"/>
    <mergeCell ref="B32:B34"/>
    <mergeCell ref="C32:C34"/>
    <mergeCell ref="D32:D34"/>
    <mergeCell ref="E32:E34"/>
    <mergeCell ref="F32:F34"/>
    <mergeCell ref="I26:I28"/>
    <mergeCell ref="A29:A31"/>
    <mergeCell ref="B29:B31"/>
    <mergeCell ref="C29:C31"/>
    <mergeCell ref="D29:D31"/>
    <mergeCell ref="E29:E31"/>
    <mergeCell ref="F29:F31"/>
    <mergeCell ref="G29:G31"/>
    <mergeCell ref="H29:H31"/>
    <mergeCell ref="I29:I31"/>
    <mergeCell ref="H23:H25"/>
    <mergeCell ref="I23:I25"/>
    <mergeCell ref="A26:A28"/>
    <mergeCell ref="B26:B28"/>
    <mergeCell ref="C26:C28"/>
    <mergeCell ref="D26:D28"/>
    <mergeCell ref="E26:E28"/>
    <mergeCell ref="F26:F28"/>
    <mergeCell ref="G26:G28"/>
    <mergeCell ref="H26:H28"/>
    <mergeCell ref="G20:G22"/>
    <mergeCell ref="H20:H22"/>
    <mergeCell ref="I20:I22"/>
    <mergeCell ref="A23:A25"/>
    <mergeCell ref="B23:B25"/>
    <mergeCell ref="C23:C25"/>
    <mergeCell ref="D23:D25"/>
    <mergeCell ref="E23:E25"/>
    <mergeCell ref="F23:F25"/>
    <mergeCell ref="G23:G25"/>
    <mergeCell ref="A20:A22"/>
    <mergeCell ref="B20:B22"/>
    <mergeCell ref="C20:C22"/>
    <mergeCell ref="D20:D22"/>
    <mergeCell ref="E20:E22"/>
    <mergeCell ref="F20:F22"/>
    <mergeCell ref="I14:I16"/>
    <mergeCell ref="A17:A19"/>
    <mergeCell ref="B17:B19"/>
    <mergeCell ref="C17:C19"/>
    <mergeCell ref="D17:D19"/>
    <mergeCell ref="E17:E19"/>
    <mergeCell ref="F17:F19"/>
    <mergeCell ref="G17:G19"/>
    <mergeCell ref="H17:H19"/>
    <mergeCell ref="I17:I19"/>
    <mergeCell ref="H11:H13"/>
    <mergeCell ref="I11:I13"/>
    <mergeCell ref="A14:A16"/>
    <mergeCell ref="B14:B16"/>
    <mergeCell ref="C14:C16"/>
    <mergeCell ref="D14:D16"/>
    <mergeCell ref="E14:E16"/>
    <mergeCell ref="F14:F16"/>
    <mergeCell ref="G14:G16"/>
    <mergeCell ref="H14:H16"/>
    <mergeCell ref="G8:G10"/>
    <mergeCell ref="H8:H10"/>
    <mergeCell ref="I8:I10"/>
    <mergeCell ref="A11:A13"/>
    <mergeCell ref="B11:B13"/>
    <mergeCell ref="C11:C13"/>
    <mergeCell ref="D11:D13"/>
    <mergeCell ref="E11:E13"/>
    <mergeCell ref="F11:F13"/>
    <mergeCell ref="G11:G13"/>
    <mergeCell ref="F5:F7"/>
    <mergeCell ref="G5:G7"/>
    <mergeCell ref="H5:H7"/>
    <mergeCell ref="I5:I7"/>
    <mergeCell ref="A8:A10"/>
    <mergeCell ref="B8:B10"/>
    <mergeCell ref="C8:C10"/>
    <mergeCell ref="D8:D10"/>
    <mergeCell ref="E8:E10"/>
    <mergeCell ref="F8:F10"/>
    <mergeCell ref="CW3:CW4"/>
    <mergeCell ref="CX3:CX4"/>
    <mergeCell ref="CY3:CY4"/>
    <mergeCell ref="CZ3:CZ4"/>
    <mergeCell ref="DA3:DA4"/>
    <mergeCell ref="A5:A7"/>
    <mergeCell ref="B5:B7"/>
    <mergeCell ref="C5:C7"/>
    <mergeCell ref="D5:D7"/>
    <mergeCell ref="E5:E7"/>
    <mergeCell ref="CQ3:CQ4"/>
    <mergeCell ref="CR3:CR4"/>
    <mergeCell ref="CS3:CS4"/>
    <mergeCell ref="CT3:CT4"/>
    <mergeCell ref="CU3:CU4"/>
    <mergeCell ref="CV3:CV4"/>
    <mergeCell ref="CK3:CK4"/>
    <mergeCell ref="CL3:CL4"/>
    <mergeCell ref="CM3:CM4"/>
    <mergeCell ref="CN3:CN4"/>
    <mergeCell ref="CO3:CO4"/>
    <mergeCell ref="CP3:CP4"/>
    <mergeCell ref="CE3:CE4"/>
    <mergeCell ref="CF3:CF4"/>
    <mergeCell ref="CG3:CG4"/>
    <mergeCell ref="CH3:CH4"/>
    <mergeCell ref="CI3:CI4"/>
    <mergeCell ref="CJ3:CJ4"/>
    <mergeCell ref="BY3:BY4"/>
    <mergeCell ref="BZ3:BZ4"/>
    <mergeCell ref="CA3:CA4"/>
    <mergeCell ref="CB3:CB4"/>
    <mergeCell ref="CC3:CC4"/>
    <mergeCell ref="CD3:CD4"/>
    <mergeCell ref="BS3:BS4"/>
    <mergeCell ref="BT3:BT4"/>
    <mergeCell ref="BU3:BU4"/>
    <mergeCell ref="BV3:BV4"/>
    <mergeCell ref="BW3:BW4"/>
    <mergeCell ref="BX3:BX4"/>
    <mergeCell ref="BM3:BM4"/>
    <mergeCell ref="BN3:BN4"/>
    <mergeCell ref="BO3:BO4"/>
    <mergeCell ref="BP3:BP4"/>
    <mergeCell ref="BQ3:BQ4"/>
    <mergeCell ref="BR3:BR4"/>
    <mergeCell ref="BG3:BG4"/>
    <mergeCell ref="BH3:BH4"/>
    <mergeCell ref="BI3:BI4"/>
    <mergeCell ref="BJ3:BJ4"/>
    <mergeCell ref="BK3:BK4"/>
    <mergeCell ref="BL3:BL4"/>
    <mergeCell ref="BA3:BA4"/>
    <mergeCell ref="BB3:BB4"/>
    <mergeCell ref="BC3:BC4"/>
    <mergeCell ref="BD3:BD4"/>
    <mergeCell ref="BE3:BE4"/>
    <mergeCell ref="BF3:BF4"/>
    <mergeCell ref="AU3:AU4"/>
    <mergeCell ref="AV3:AV4"/>
    <mergeCell ref="AW3:AW4"/>
    <mergeCell ref="AX3:AX4"/>
    <mergeCell ref="AY3:AY4"/>
    <mergeCell ref="AZ3:AZ4"/>
    <mergeCell ref="AO3:AO4"/>
    <mergeCell ref="AP3:AP4"/>
    <mergeCell ref="AQ3:AQ4"/>
    <mergeCell ref="AR3:AR4"/>
    <mergeCell ref="AS3:AS4"/>
    <mergeCell ref="AT3:AT4"/>
    <mergeCell ref="AI3:AI4"/>
    <mergeCell ref="AJ3:AJ4"/>
    <mergeCell ref="AK3:AK4"/>
    <mergeCell ref="AL3:AL4"/>
    <mergeCell ref="AM3:AM4"/>
    <mergeCell ref="AN3:AN4"/>
    <mergeCell ref="AC3:AC4"/>
    <mergeCell ref="AD3:AD4"/>
    <mergeCell ref="AE3:AE4"/>
    <mergeCell ref="AF3:AF4"/>
    <mergeCell ref="AG3:AG4"/>
    <mergeCell ref="AH3:AH4"/>
    <mergeCell ref="W3:W4"/>
    <mergeCell ref="X3:X4"/>
    <mergeCell ref="Y3:Y4"/>
    <mergeCell ref="Z3:Z4"/>
    <mergeCell ref="AA3:AA4"/>
    <mergeCell ref="AB3:AB4"/>
    <mergeCell ref="Q3:Q4"/>
    <mergeCell ref="R3:R4"/>
    <mergeCell ref="S3:S4"/>
    <mergeCell ref="T3:T4"/>
    <mergeCell ref="U3:U4"/>
    <mergeCell ref="V3:V4"/>
    <mergeCell ref="CY1:CY2"/>
    <mergeCell ref="CZ1:CZ2"/>
    <mergeCell ref="DA1:DA2"/>
    <mergeCell ref="J3:J4"/>
    <mergeCell ref="K3:K4"/>
    <mergeCell ref="L3:L4"/>
    <mergeCell ref="M3:M4"/>
    <mergeCell ref="N3:N4"/>
    <mergeCell ref="O3:O4"/>
    <mergeCell ref="P3:P4"/>
    <mergeCell ref="CS1:CS2"/>
    <mergeCell ref="CT1:CT2"/>
    <mergeCell ref="CU1:CU2"/>
    <mergeCell ref="CV1:CV2"/>
    <mergeCell ref="CW1:CW2"/>
    <mergeCell ref="CX1:CX2"/>
    <mergeCell ref="CM1:CM2"/>
    <mergeCell ref="CN1:CN2"/>
    <mergeCell ref="CO1:CO2"/>
    <mergeCell ref="CP1:CP2"/>
    <mergeCell ref="CQ1:CQ2"/>
    <mergeCell ref="CR1:CR2"/>
    <mergeCell ref="CG1:CG2"/>
    <mergeCell ref="CH1:CH2"/>
    <mergeCell ref="CI1:CI2"/>
    <mergeCell ref="CJ1:CJ2"/>
    <mergeCell ref="CK1:CK2"/>
    <mergeCell ref="CL1:CL2"/>
    <mergeCell ref="CA1:CA2"/>
    <mergeCell ref="CB1:CB2"/>
    <mergeCell ref="CC1:CC2"/>
    <mergeCell ref="CD1:CD2"/>
    <mergeCell ref="CE1:CE2"/>
    <mergeCell ref="CF1:CF2"/>
    <mergeCell ref="BU1:BU2"/>
    <mergeCell ref="BV1:BV2"/>
    <mergeCell ref="BW1:BW2"/>
    <mergeCell ref="BX1:BX2"/>
    <mergeCell ref="BY1:BY2"/>
    <mergeCell ref="BZ1:BZ2"/>
    <mergeCell ref="BO1:BO2"/>
    <mergeCell ref="BP1:BP2"/>
    <mergeCell ref="BQ1:BQ2"/>
    <mergeCell ref="BR1:BR2"/>
    <mergeCell ref="BS1:BS2"/>
    <mergeCell ref="BT1:BT2"/>
    <mergeCell ref="BI1:BI2"/>
    <mergeCell ref="BJ1:BJ2"/>
    <mergeCell ref="BK1:BK2"/>
    <mergeCell ref="BL1:BL2"/>
    <mergeCell ref="BM1:BM2"/>
    <mergeCell ref="BN1:BN2"/>
    <mergeCell ref="BC1:BC2"/>
    <mergeCell ref="BD1:BD2"/>
    <mergeCell ref="BE1:BE2"/>
    <mergeCell ref="BF1:BF2"/>
    <mergeCell ref="BG1:BG2"/>
    <mergeCell ref="BH1:BH2"/>
    <mergeCell ref="AW1:AW2"/>
    <mergeCell ref="AX1:AX2"/>
    <mergeCell ref="AY1:AY2"/>
    <mergeCell ref="AZ1:AZ2"/>
    <mergeCell ref="BA1:BA2"/>
    <mergeCell ref="BB1:BB2"/>
    <mergeCell ref="AQ1:AQ2"/>
    <mergeCell ref="AR1:AR2"/>
    <mergeCell ref="AS1:AS2"/>
    <mergeCell ref="AT1:AT2"/>
    <mergeCell ref="AU1:AU2"/>
    <mergeCell ref="AV1:AV2"/>
    <mergeCell ref="AK1:AK2"/>
    <mergeCell ref="AL1:AL2"/>
    <mergeCell ref="AM1:AM2"/>
    <mergeCell ref="AN1:AN2"/>
    <mergeCell ref="AO1:AO2"/>
    <mergeCell ref="AP1:AP2"/>
    <mergeCell ref="AE1:AE2"/>
    <mergeCell ref="AF1:AF2"/>
    <mergeCell ref="AG1:AG2"/>
    <mergeCell ref="AH1:AH2"/>
    <mergeCell ref="AI1:AI2"/>
    <mergeCell ref="AJ1:AJ2"/>
    <mergeCell ref="Y1:Y2"/>
    <mergeCell ref="Z1:Z2"/>
    <mergeCell ref="AA1:AA2"/>
    <mergeCell ref="AB1:AB2"/>
    <mergeCell ref="AC1:AC2"/>
    <mergeCell ref="AD1:AD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4"/>
    <mergeCell ref="H1:H4"/>
    <mergeCell ref="I1:I4"/>
    <mergeCell ref="J1:J2"/>
    <mergeCell ref="K1:K2"/>
    <mergeCell ref="L1:L2"/>
    <mergeCell ref="A1:A4"/>
    <mergeCell ref="B1:B4"/>
    <mergeCell ref="C1:C4"/>
    <mergeCell ref="D1:D4"/>
    <mergeCell ref="E1:E4"/>
    <mergeCell ref="F1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06CE9-B874-3148-A3AA-A2FC3228B123}">
  <dimension ref="A1:CW81"/>
  <sheetViews>
    <sheetView topLeftCell="A4" zoomScale="62" zoomScaleNormal="62" workbookViewId="0">
      <selection activeCell="BF29" sqref="BF29"/>
    </sheetView>
  </sheetViews>
  <sheetFormatPr baseColWidth="10" defaultColWidth="10.83203125" defaultRowHeight="16" x14ac:dyDescent="0.2"/>
  <cols>
    <col min="1" max="1" width="19.6640625" style="49" customWidth="1"/>
    <col min="2" max="2" width="16.6640625" style="338" customWidth="1"/>
    <col min="3" max="3" width="12.83203125" style="130" customWidth="1"/>
    <col min="4" max="4" width="14.83203125" style="130" customWidth="1"/>
    <col min="5" max="5" width="12.33203125" style="45" customWidth="1"/>
    <col min="6" max="6" width="10.33203125" style="132" customWidth="1"/>
    <col min="7" max="7" width="12.1640625" style="45" customWidth="1"/>
    <col min="8" max="8" width="32.83203125" style="160" customWidth="1"/>
    <col min="9" max="16" width="10.83203125" style="45"/>
    <col min="17" max="17" width="17.1640625" style="45" customWidth="1"/>
    <col min="18" max="18" width="10.83203125" style="45"/>
    <col min="19" max="19" width="12.1640625" style="45" customWidth="1"/>
    <col min="20" max="23" width="10.83203125" style="45"/>
    <col min="24" max="24" width="14" style="45" customWidth="1"/>
    <col min="25" max="40" width="10.83203125" style="45"/>
    <col min="41" max="51" width="10.83203125" style="53"/>
    <col min="52" max="52" width="10.83203125" style="81"/>
    <col min="53" max="66" width="10.83203125" style="45"/>
    <col min="67" max="67" width="10.83203125" style="49"/>
    <col min="68" max="71" width="10.83203125" style="45"/>
    <col min="72" max="72" width="10.83203125" style="79"/>
    <col min="73" max="74" width="10.83203125" style="45"/>
    <col min="75" max="75" width="10.83203125" style="49"/>
    <col min="76" max="16384" width="10.83203125" style="45"/>
  </cols>
  <sheetData>
    <row r="1" spans="1:101" s="15" customFormat="1" ht="16" customHeight="1" x14ac:dyDescent="0.2">
      <c r="A1" s="1" t="s">
        <v>0</v>
      </c>
      <c r="B1" s="279" t="s">
        <v>2</v>
      </c>
      <c r="C1" s="2" t="s">
        <v>1</v>
      </c>
      <c r="D1" s="2" t="s">
        <v>3</v>
      </c>
      <c r="E1" s="3" t="s">
        <v>4</v>
      </c>
      <c r="F1" s="3" t="s">
        <v>229</v>
      </c>
      <c r="G1" s="3" t="s">
        <v>6</v>
      </c>
      <c r="H1" s="4" t="s">
        <v>7</v>
      </c>
      <c r="I1" s="280" t="s">
        <v>8</v>
      </c>
      <c r="J1" s="280" t="s">
        <v>9</v>
      </c>
      <c r="K1" s="5"/>
      <c r="L1" s="5"/>
      <c r="M1" s="280"/>
      <c r="N1" s="5"/>
      <c r="O1" s="280"/>
      <c r="P1" s="280"/>
      <c r="Q1" s="5" t="s">
        <v>230</v>
      </c>
      <c r="R1" s="5"/>
      <c r="S1" s="5" t="s">
        <v>231</v>
      </c>
      <c r="T1" s="280"/>
      <c r="U1" s="280"/>
      <c r="V1" s="280"/>
      <c r="W1" s="280"/>
      <c r="X1" s="5" t="s">
        <v>232</v>
      </c>
      <c r="Y1" s="5"/>
      <c r="Z1" s="5" t="s">
        <v>233</v>
      </c>
      <c r="AA1" s="20"/>
      <c r="AB1" s="280"/>
      <c r="AC1" s="5" t="s">
        <v>234</v>
      </c>
      <c r="AD1" s="5" t="s">
        <v>235</v>
      </c>
      <c r="AE1" s="280"/>
      <c r="AF1" s="5" t="s">
        <v>236</v>
      </c>
      <c r="AG1" s="281"/>
      <c r="AH1" s="6" t="s">
        <v>17</v>
      </c>
      <c r="AI1" s="6"/>
      <c r="AJ1" s="6" t="s">
        <v>18</v>
      </c>
      <c r="AK1" s="282"/>
      <c r="AL1" s="282"/>
      <c r="AM1" s="282"/>
      <c r="AN1" s="282"/>
      <c r="AO1" s="6" t="s">
        <v>19</v>
      </c>
      <c r="AP1" s="6"/>
      <c r="AQ1" s="6"/>
      <c r="AR1" s="6"/>
      <c r="AS1" s="6" t="s">
        <v>20</v>
      </c>
      <c r="AT1" s="6"/>
      <c r="AU1" s="282"/>
      <c r="AV1" s="6" t="s">
        <v>237</v>
      </c>
      <c r="AW1" s="282"/>
      <c r="AX1" s="6" t="s">
        <v>23</v>
      </c>
      <c r="AY1" s="8"/>
      <c r="AZ1" s="283" t="s">
        <v>24</v>
      </c>
      <c r="BA1" s="5" t="s">
        <v>25</v>
      </c>
      <c r="BB1" s="5"/>
      <c r="BC1" s="5"/>
      <c r="BD1" s="5"/>
      <c r="BE1" s="5"/>
      <c r="BF1" s="5"/>
      <c r="BG1" s="5"/>
      <c r="BH1" s="5"/>
      <c r="BI1" s="280"/>
      <c r="BJ1" s="5"/>
      <c r="BK1" s="5"/>
      <c r="BL1" s="5"/>
      <c r="BM1" s="5"/>
      <c r="BN1" s="5"/>
      <c r="BO1" s="13"/>
      <c r="BP1" s="280" t="s">
        <v>26</v>
      </c>
      <c r="BQ1" s="280"/>
      <c r="BR1" s="280"/>
      <c r="BS1" s="280"/>
      <c r="BT1" s="284" t="s">
        <v>27</v>
      </c>
      <c r="BU1" s="280"/>
      <c r="BV1" s="280"/>
      <c r="BW1" s="285"/>
      <c r="BX1" s="280" t="s">
        <v>28</v>
      </c>
      <c r="BY1" s="280"/>
      <c r="BZ1" s="280"/>
      <c r="CA1" s="280"/>
      <c r="CB1" s="280"/>
      <c r="CC1" s="284"/>
      <c r="CD1" s="280"/>
      <c r="CE1" s="285"/>
      <c r="CF1" s="284"/>
      <c r="CG1" s="280"/>
      <c r="CH1" s="285"/>
      <c r="CI1" s="284"/>
      <c r="CJ1" s="280"/>
      <c r="CK1" s="285"/>
      <c r="CL1" s="284"/>
      <c r="CM1" s="280"/>
      <c r="CN1" s="285"/>
      <c r="CO1" s="284"/>
      <c r="CP1" s="280"/>
      <c r="CQ1" s="285"/>
      <c r="CR1" s="284"/>
      <c r="CS1" s="280"/>
      <c r="CT1" s="285"/>
      <c r="CU1" s="284"/>
      <c r="CV1" s="280"/>
      <c r="CW1" s="285"/>
    </row>
    <row r="2" spans="1:101" s="15" customFormat="1" ht="63" customHeight="1" x14ac:dyDescent="0.2">
      <c r="A2" s="1"/>
      <c r="B2" s="279"/>
      <c r="C2" s="2"/>
      <c r="D2" s="2"/>
      <c r="E2" s="3"/>
      <c r="F2" s="3"/>
      <c r="G2" s="3"/>
      <c r="H2" s="4"/>
      <c r="I2" s="280"/>
      <c r="J2" s="280"/>
      <c r="K2" s="5"/>
      <c r="L2" s="5"/>
      <c r="M2" s="280"/>
      <c r="N2" s="5"/>
      <c r="O2" s="280"/>
      <c r="P2" s="280"/>
      <c r="Q2" s="5"/>
      <c r="R2" s="5"/>
      <c r="S2" s="5"/>
      <c r="T2" s="280"/>
      <c r="U2" s="280"/>
      <c r="V2" s="280"/>
      <c r="W2" s="280"/>
      <c r="X2" s="5"/>
      <c r="Y2" s="5"/>
      <c r="Z2" s="5"/>
      <c r="AA2" s="20"/>
      <c r="AB2" s="280"/>
      <c r="AC2" s="5"/>
      <c r="AD2" s="5"/>
      <c r="AE2" s="280"/>
      <c r="AF2" s="5"/>
      <c r="AG2" s="281"/>
      <c r="AH2" s="6"/>
      <c r="AI2" s="6"/>
      <c r="AJ2" s="6"/>
      <c r="AK2" s="282"/>
      <c r="AL2" s="282"/>
      <c r="AM2" s="282"/>
      <c r="AN2" s="282"/>
      <c r="AO2" s="6"/>
      <c r="AP2" s="6"/>
      <c r="AQ2" s="6"/>
      <c r="AR2" s="6"/>
      <c r="AS2" s="6"/>
      <c r="AT2" s="6"/>
      <c r="AU2" s="282"/>
      <c r="AV2" s="6"/>
      <c r="AW2" s="282"/>
      <c r="AX2" s="6"/>
      <c r="AY2" s="8"/>
      <c r="AZ2" s="283"/>
      <c r="BA2" s="5"/>
      <c r="BB2" s="5"/>
      <c r="BC2" s="5"/>
      <c r="BD2" s="5"/>
      <c r="BE2" s="5"/>
      <c r="BF2" s="5"/>
      <c r="BG2" s="5"/>
      <c r="BH2" s="5"/>
      <c r="BI2" s="280"/>
      <c r="BJ2" s="5"/>
      <c r="BK2" s="5"/>
      <c r="BL2" s="5"/>
      <c r="BM2" s="5"/>
      <c r="BN2" s="5"/>
      <c r="BO2" s="13"/>
      <c r="BP2" s="280"/>
      <c r="BQ2" s="280"/>
      <c r="BR2" s="280"/>
      <c r="BS2" s="280"/>
      <c r="BT2" s="284"/>
      <c r="BU2" s="280"/>
      <c r="BV2" s="280"/>
      <c r="BW2" s="285"/>
      <c r="BX2" s="280"/>
      <c r="BY2" s="280"/>
      <c r="BZ2" s="280"/>
      <c r="CA2" s="280"/>
      <c r="CB2" s="280"/>
      <c r="CC2" s="284"/>
      <c r="CD2" s="280"/>
      <c r="CE2" s="285"/>
      <c r="CF2" s="284"/>
      <c r="CG2" s="280"/>
      <c r="CH2" s="285"/>
      <c r="CI2" s="284"/>
      <c r="CJ2" s="280"/>
      <c r="CK2" s="285"/>
      <c r="CL2" s="284"/>
      <c r="CM2" s="280"/>
      <c r="CN2" s="285"/>
      <c r="CO2" s="284"/>
      <c r="CP2" s="280"/>
      <c r="CQ2" s="285"/>
      <c r="CR2" s="284"/>
      <c r="CS2" s="280"/>
      <c r="CT2" s="285"/>
      <c r="CU2" s="284"/>
      <c r="CV2" s="280"/>
      <c r="CW2" s="285"/>
    </row>
    <row r="3" spans="1:101" s="15" customFormat="1" ht="26" customHeight="1" x14ac:dyDescent="0.2">
      <c r="A3" s="1"/>
      <c r="B3" s="279"/>
      <c r="C3" s="2"/>
      <c r="D3" s="2"/>
      <c r="E3" s="3"/>
      <c r="F3" s="3"/>
      <c r="G3" s="3"/>
      <c r="H3" s="4"/>
      <c r="I3" s="17" t="s">
        <v>8</v>
      </c>
      <c r="J3" s="17" t="s">
        <v>31</v>
      </c>
      <c r="K3" s="17" t="s">
        <v>32</v>
      </c>
      <c r="L3" s="17" t="s">
        <v>33</v>
      </c>
      <c r="M3" s="17" t="s">
        <v>34</v>
      </c>
      <c r="N3" s="17" t="s">
        <v>36</v>
      </c>
      <c r="O3" s="17" t="s">
        <v>37</v>
      </c>
      <c r="P3" s="17" t="s">
        <v>38</v>
      </c>
      <c r="Q3" s="20" t="s">
        <v>44</v>
      </c>
      <c r="R3" s="20" t="s">
        <v>56</v>
      </c>
      <c r="S3" s="17" t="s">
        <v>238</v>
      </c>
      <c r="T3" s="17" t="s">
        <v>239</v>
      </c>
      <c r="U3" s="17" t="s">
        <v>240</v>
      </c>
      <c r="V3" s="17" t="s">
        <v>241</v>
      </c>
      <c r="W3" s="17" t="s">
        <v>242</v>
      </c>
      <c r="X3" s="17" t="s">
        <v>243</v>
      </c>
      <c r="Y3" s="17" t="s">
        <v>244</v>
      </c>
      <c r="Z3" s="17" t="s">
        <v>46</v>
      </c>
      <c r="AA3" s="17" t="s">
        <v>245</v>
      </c>
      <c r="AB3" s="17" t="s">
        <v>246</v>
      </c>
      <c r="AC3" s="17" t="s">
        <v>49</v>
      </c>
      <c r="AD3" s="17" t="s">
        <v>247</v>
      </c>
      <c r="AE3" s="17" t="s">
        <v>248</v>
      </c>
      <c r="AF3" s="17" t="s">
        <v>52</v>
      </c>
      <c r="AG3" s="286" t="s">
        <v>53</v>
      </c>
      <c r="AH3" s="18" t="s">
        <v>44</v>
      </c>
      <c r="AI3" s="18" t="s">
        <v>56</v>
      </c>
      <c r="AJ3" s="7" t="s">
        <v>249</v>
      </c>
      <c r="AK3" s="7" t="s">
        <v>250</v>
      </c>
      <c r="AL3" s="7" t="s">
        <v>251</v>
      </c>
      <c r="AM3" s="7" t="s">
        <v>252</v>
      </c>
      <c r="AN3" s="7" t="s">
        <v>253</v>
      </c>
      <c r="AO3" s="7" t="s">
        <v>252</v>
      </c>
      <c r="AP3" s="7" t="s">
        <v>253</v>
      </c>
      <c r="AQ3" s="7" t="s">
        <v>254</v>
      </c>
      <c r="AR3" s="7" t="s">
        <v>255</v>
      </c>
      <c r="AS3" s="7" t="s">
        <v>256</v>
      </c>
      <c r="AT3" s="7" t="s">
        <v>257</v>
      </c>
      <c r="AU3" s="7" t="s">
        <v>258</v>
      </c>
      <c r="AV3" s="7" t="s">
        <v>259</v>
      </c>
      <c r="AW3" s="7" t="s">
        <v>260</v>
      </c>
      <c r="AX3" s="7" t="s">
        <v>261</v>
      </c>
      <c r="AY3" s="19" t="s">
        <v>262</v>
      </c>
      <c r="AZ3" s="287" t="s">
        <v>57</v>
      </c>
      <c r="BA3" s="17" t="s">
        <v>8</v>
      </c>
      <c r="BB3" s="17" t="s">
        <v>58</v>
      </c>
      <c r="BC3" s="17" t="s">
        <v>59</v>
      </c>
      <c r="BD3" s="17" t="s">
        <v>60</v>
      </c>
      <c r="BE3" s="17" t="s">
        <v>61</v>
      </c>
      <c r="BF3" s="17" t="s">
        <v>62</v>
      </c>
      <c r="BG3" s="17" t="s">
        <v>63</v>
      </c>
      <c r="BH3" s="17" t="s">
        <v>64</v>
      </c>
      <c r="BI3" s="17" t="s">
        <v>65</v>
      </c>
      <c r="BJ3" s="17" t="s">
        <v>66</v>
      </c>
      <c r="BK3" s="17" t="s">
        <v>67</v>
      </c>
      <c r="BL3" s="17" t="s">
        <v>68</v>
      </c>
      <c r="BM3" s="17" t="s">
        <v>69</v>
      </c>
      <c r="BN3" s="17" t="s">
        <v>70</v>
      </c>
      <c r="BO3" s="24" t="s">
        <v>56</v>
      </c>
      <c r="BP3" s="17" t="s">
        <v>71</v>
      </c>
      <c r="BQ3" s="17" t="s">
        <v>72</v>
      </c>
      <c r="BR3" s="17" t="s">
        <v>73</v>
      </c>
      <c r="BS3" s="17" t="s">
        <v>74</v>
      </c>
      <c r="BT3" s="23" t="s">
        <v>75</v>
      </c>
      <c r="BU3" s="17" t="s">
        <v>76</v>
      </c>
      <c r="BV3" s="17" t="s">
        <v>77</v>
      </c>
      <c r="BW3" s="24" t="s">
        <v>78</v>
      </c>
      <c r="BX3" s="17" t="s">
        <v>79</v>
      </c>
      <c r="BY3" s="17" t="s">
        <v>80</v>
      </c>
      <c r="BZ3" s="17" t="s">
        <v>263</v>
      </c>
      <c r="CA3" s="17" t="s">
        <v>82</v>
      </c>
      <c r="CB3" s="17" t="s">
        <v>83</v>
      </c>
      <c r="CC3" s="23" t="s">
        <v>87</v>
      </c>
      <c r="CD3" s="17" t="s">
        <v>88</v>
      </c>
      <c r="CE3" s="24" t="s">
        <v>89</v>
      </c>
      <c r="CF3" s="23" t="s">
        <v>90</v>
      </c>
      <c r="CG3" s="17" t="s">
        <v>91</v>
      </c>
      <c r="CH3" s="24" t="s">
        <v>92</v>
      </c>
      <c r="CI3" s="23" t="s">
        <v>93</v>
      </c>
      <c r="CJ3" s="17" t="s">
        <v>94</v>
      </c>
      <c r="CK3" s="24" t="s">
        <v>95</v>
      </c>
      <c r="CL3" s="23" t="s">
        <v>96</v>
      </c>
      <c r="CM3" s="17" t="s">
        <v>97</v>
      </c>
      <c r="CN3" s="24" t="s">
        <v>98</v>
      </c>
      <c r="CO3" s="23" t="s">
        <v>99</v>
      </c>
      <c r="CP3" s="17" t="s">
        <v>100</v>
      </c>
      <c r="CQ3" s="24" t="s">
        <v>101</v>
      </c>
      <c r="CR3" s="23" t="s">
        <v>102</v>
      </c>
      <c r="CS3" s="17" t="s">
        <v>264</v>
      </c>
      <c r="CT3" s="24" t="s">
        <v>104</v>
      </c>
      <c r="CU3" s="23" t="s">
        <v>105</v>
      </c>
      <c r="CV3" s="17" t="s">
        <v>265</v>
      </c>
      <c r="CW3" s="24" t="s">
        <v>107</v>
      </c>
    </row>
    <row r="4" spans="1:101" s="15" customFormat="1" ht="72" customHeight="1" x14ac:dyDescent="0.2">
      <c r="A4" s="25"/>
      <c r="B4" s="288"/>
      <c r="C4" s="26"/>
      <c r="D4" s="26"/>
      <c r="E4" s="27"/>
      <c r="F4" s="27"/>
      <c r="G4" s="27"/>
      <c r="H4" s="28"/>
      <c r="I4" s="30"/>
      <c r="J4" s="30"/>
      <c r="K4" s="30"/>
      <c r="L4" s="30"/>
      <c r="M4" s="30"/>
      <c r="N4" s="30"/>
      <c r="O4" s="30"/>
      <c r="P4" s="30"/>
      <c r="Q4" s="34"/>
      <c r="R4" s="34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289"/>
      <c r="AH4" s="31"/>
      <c r="AI4" s="31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3"/>
      <c r="AZ4" s="29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9"/>
      <c r="BP4" s="30"/>
      <c r="BQ4" s="30"/>
      <c r="BR4" s="30"/>
      <c r="BS4" s="30"/>
      <c r="BT4" s="38"/>
      <c r="BU4" s="30"/>
      <c r="BV4" s="30"/>
      <c r="BW4" s="39"/>
      <c r="BX4" s="30"/>
      <c r="BY4" s="30"/>
      <c r="BZ4" s="30"/>
      <c r="CA4" s="30"/>
      <c r="CB4" s="30"/>
      <c r="CC4" s="38"/>
      <c r="CD4" s="30"/>
      <c r="CE4" s="39"/>
      <c r="CF4" s="38"/>
      <c r="CG4" s="30"/>
      <c r="CH4" s="39"/>
      <c r="CI4" s="38"/>
      <c r="CJ4" s="30"/>
      <c r="CK4" s="39"/>
      <c r="CL4" s="38"/>
      <c r="CM4" s="30"/>
      <c r="CN4" s="39"/>
      <c r="CO4" s="38"/>
      <c r="CP4" s="30"/>
      <c r="CQ4" s="39"/>
      <c r="CR4" s="38"/>
      <c r="CS4" s="30"/>
      <c r="CT4" s="39"/>
      <c r="CU4" s="38"/>
      <c r="CV4" s="30"/>
      <c r="CW4" s="39"/>
    </row>
    <row r="5" spans="1:101" x14ac:dyDescent="0.2">
      <c r="A5" s="40" t="s">
        <v>266</v>
      </c>
      <c r="B5" s="42" t="s">
        <v>267</v>
      </c>
      <c r="C5" s="41" t="s">
        <v>109</v>
      </c>
      <c r="D5" s="41" t="s">
        <v>268</v>
      </c>
      <c r="E5" s="76" t="s">
        <v>269</v>
      </c>
      <c r="F5" s="44">
        <v>4</v>
      </c>
      <c r="G5" s="43" t="s">
        <v>115</v>
      </c>
      <c r="H5" s="69" t="s">
        <v>270</v>
      </c>
      <c r="I5" s="45">
        <f>1881+1859</f>
        <v>3740</v>
      </c>
      <c r="J5" s="45">
        <v>6</v>
      </c>
      <c r="K5" s="45">
        <v>1</v>
      </c>
      <c r="L5" s="45">
        <f>K5-N5</f>
        <v>1</v>
      </c>
      <c r="M5" s="45">
        <f>J5-K5</f>
        <v>5</v>
      </c>
      <c r="N5" s="45">
        <v>0</v>
      </c>
      <c r="O5" s="45">
        <v>690</v>
      </c>
      <c r="P5" s="45">
        <v>285</v>
      </c>
      <c r="Q5" s="45">
        <v>1166</v>
      </c>
      <c r="R5" s="45">
        <v>461</v>
      </c>
      <c r="S5" s="45" t="s">
        <v>115</v>
      </c>
      <c r="T5" s="45" t="s">
        <v>115</v>
      </c>
      <c r="U5" s="45" t="s">
        <v>115</v>
      </c>
      <c r="V5" s="45">
        <v>52</v>
      </c>
      <c r="W5" s="45" t="s">
        <v>115</v>
      </c>
      <c r="X5" s="45" t="s">
        <v>115</v>
      </c>
      <c r="Y5" s="45">
        <v>157</v>
      </c>
      <c r="Z5" s="45" t="s">
        <v>115</v>
      </c>
      <c r="AA5" s="45">
        <v>333</v>
      </c>
      <c r="AB5" s="45" t="s">
        <v>115</v>
      </c>
      <c r="AC5" s="45" t="s">
        <v>115</v>
      </c>
      <c r="AD5" s="45">
        <v>32</v>
      </c>
      <c r="AE5" s="45" t="s">
        <v>115</v>
      </c>
      <c r="AF5" s="45">
        <v>813</v>
      </c>
      <c r="AG5" s="46">
        <f>AF5/Q5</f>
        <v>0.69725557461406518</v>
      </c>
      <c r="AH5" s="53" t="s">
        <v>115</v>
      </c>
      <c r="AI5" s="53" t="s">
        <v>115</v>
      </c>
      <c r="AJ5" s="53" t="s">
        <v>115</v>
      </c>
      <c r="AK5" s="53" t="s">
        <v>115</v>
      </c>
      <c r="AL5" s="53" t="s">
        <v>115</v>
      </c>
      <c r="AM5" s="53" t="s">
        <v>115</v>
      </c>
      <c r="AN5" s="53" t="s">
        <v>115</v>
      </c>
      <c r="AO5" s="53" t="s">
        <v>115</v>
      </c>
      <c r="AP5" s="53" t="s">
        <v>115</v>
      </c>
      <c r="AQ5" s="53" t="s">
        <v>115</v>
      </c>
      <c r="AR5" s="53" t="s">
        <v>115</v>
      </c>
      <c r="AS5" s="53" t="s">
        <v>115</v>
      </c>
      <c r="AT5" s="53" t="s">
        <v>115</v>
      </c>
      <c r="AU5" s="53" t="s">
        <v>115</v>
      </c>
      <c r="AV5" s="53" t="s">
        <v>115</v>
      </c>
      <c r="AW5" s="53" t="s">
        <v>115</v>
      </c>
      <c r="AX5" s="53" t="s">
        <v>115</v>
      </c>
      <c r="AY5" s="53" t="s">
        <v>115</v>
      </c>
      <c r="AZ5" s="291" t="s">
        <v>115</v>
      </c>
      <c r="BA5" s="45">
        <v>1133</v>
      </c>
      <c r="BB5" s="45">
        <v>701</v>
      </c>
      <c r="BC5" s="45">
        <v>439</v>
      </c>
      <c r="BD5" s="45">
        <v>11</v>
      </c>
      <c r="BE5" s="45">
        <v>180</v>
      </c>
      <c r="BF5" s="45">
        <v>252</v>
      </c>
      <c r="BG5" s="45">
        <v>429</v>
      </c>
      <c r="BH5" s="45">
        <v>87</v>
      </c>
      <c r="BI5" s="50">
        <v>15</v>
      </c>
      <c r="BJ5" s="45">
        <v>199</v>
      </c>
      <c r="BK5" s="45" t="s">
        <v>115</v>
      </c>
      <c r="BL5" s="45">
        <v>277</v>
      </c>
      <c r="BM5" s="45">
        <v>273</v>
      </c>
      <c r="BN5" s="45" t="s">
        <v>128</v>
      </c>
      <c r="BO5" s="49">
        <f>BM5</f>
        <v>273</v>
      </c>
      <c r="BP5" s="51">
        <f>BA5/BO5</f>
        <v>4.1501831501831505</v>
      </c>
      <c r="BQ5" s="51">
        <f>BG5/BH5</f>
        <v>4.931034482758621</v>
      </c>
      <c r="BR5" s="51">
        <f>BB5/BL5</f>
        <v>2.5306859205776173</v>
      </c>
      <c r="BS5" s="51">
        <f>BC5/BL5</f>
        <v>1.5848375451263539</v>
      </c>
      <c r="BT5" s="79">
        <v>155</v>
      </c>
      <c r="BU5" s="45">
        <v>25</v>
      </c>
      <c r="BV5" s="45">
        <v>28</v>
      </c>
      <c r="BW5" s="81" t="s">
        <v>115</v>
      </c>
      <c r="BX5" s="80">
        <v>6</v>
      </c>
      <c r="BY5" s="80" t="s">
        <v>115</v>
      </c>
      <c r="BZ5" s="80">
        <v>82</v>
      </c>
      <c r="CA5" s="80" t="s">
        <v>115</v>
      </c>
      <c r="CB5" s="80" t="s">
        <v>115</v>
      </c>
      <c r="CC5" s="292" t="s">
        <v>115</v>
      </c>
      <c r="CD5" s="80" t="s">
        <v>115</v>
      </c>
      <c r="CE5" s="81" t="s">
        <v>115</v>
      </c>
      <c r="CF5" s="292" t="s">
        <v>115</v>
      </c>
      <c r="CG5" s="80" t="s">
        <v>115</v>
      </c>
      <c r="CH5" s="81" t="s">
        <v>115</v>
      </c>
      <c r="CI5" s="292" t="s">
        <v>115</v>
      </c>
      <c r="CJ5" s="80" t="s">
        <v>115</v>
      </c>
      <c r="CK5" s="81" t="s">
        <v>115</v>
      </c>
      <c r="CL5" s="292" t="s">
        <v>115</v>
      </c>
      <c r="CM5" s="80" t="s">
        <v>115</v>
      </c>
      <c r="CN5" s="81" t="s">
        <v>115</v>
      </c>
      <c r="CO5" s="292" t="s">
        <v>115</v>
      </c>
      <c r="CP5" s="80" t="s">
        <v>115</v>
      </c>
      <c r="CQ5" s="81" t="s">
        <v>115</v>
      </c>
      <c r="CR5" s="292" t="s">
        <v>115</v>
      </c>
      <c r="CS5" s="80" t="s">
        <v>115</v>
      </c>
      <c r="CT5" s="81" t="s">
        <v>115</v>
      </c>
      <c r="CU5" s="292" t="s">
        <v>115</v>
      </c>
      <c r="CV5" s="80" t="s">
        <v>115</v>
      </c>
      <c r="CW5" s="81" t="s">
        <v>115</v>
      </c>
    </row>
    <row r="6" spans="1:101" x14ac:dyDescent="0.2">
      <c r="A6" s="40"/>
      <c r="B6" s="42"/>
      <c r="C6" s="41"/>
      <c r="D6" s="41"/>
      <c r="E6" s="76"/>
      <c r="F6" s="44"/>
      <c r="G6" s="43"/>
      <c r="H6" s="69"/>
      <c r="V6" s="45">
        <v>64</v>
      </c>
      <c r="W6" s="45" t="s">
        <v>115</v>
      </c>
      <c r="AD6" s="45">
        <v>41</v>
      </c>
      <c r="AE6" s="45" t="s">
        <v>115</v>
      </c>
      <c r="AH6" s="53"/>
      <c r="AI6" s="53"/>
      <c r="AJ6" s="53"/>
      <c r="AK6" s="53"/>
      <c r="AL6" s="53"/>
      <c r="AM6" s="53"/>
      <c r="AN6" s="53"/>
      <c r="BG6" s="45">
        <v>413</v>
      </c>
      <c r="BH6" s="45">
        <v>80</v>
      </c>
      <c r="BI6" s="50">
        <v>19</v>
      </c>
      <c r="BJ6" s="45">
        <v>187</v>
      </c>
      <c r="BP6" s="51"/>
      <c r="BQ6" s="51">
        <f t="shared" ref="BQ6:BQ53" si="0">BG6/BH6</f>
        <v>5.1624999999999996</v>
      </c>
      <c r="BR6" s="51"/>
      <c r="BS6" s="51"/>
      <c r="BU6" s="45">
        <v>22</v>
      </c>
      <c r="BV6" s="45">
        <v>26</v>
      </c>
      <c r="BW6" s="81"/>
      <c r="BX6" s="80">
        <v>7</v>
      </c>
      <c r="BY6" s="80"/>
      <c r="BZ6" s="80">
        <v>90</v>
      </c>
      <c r="CA6" s="80"/>
      <c r="CB6" s="80"/>
      <c r="CC6" s="292"/>
      <c r="CD6" s="80"/>
      <c r="CE6" s="81"/>
      <c r="CF6" s="292"/>
      <c r="CG6" s="80"/>
      <c r="CH6" s="81"/>
      <c r="CI6" s="292"/>
      <c r="CJ6" s="80"/>
      <c r="CK6" s="81"/>
      <c r="CL6" s="292"/>
      <c r="CM6" s="80"/>
      <c r="CN6" s="81"/>
      <c r="CO6" s="292"/>
      <c r="CP6" s="80"/>
      <c r="CQ6" s="81"/>
      <c r="CR6" s="292"/>
      <c r="CS6" s="80"/>
      <c r="CT6" s="81"/>
      <c r="CU6" s="292"/>
      <c r="CV6" s="80"/>
      <c r="CW6" s="81"/>
    </row>
    <row r="7" spans="1:101" x14ac:dyDescent="0.2">
      <c r="A7" s="40"/>
      <c r="B7" s="42"/>
      <c r="C7" s="41"/>
      <c r="D7" s="41"/>
      <c r="E7" s="76"/>
      <c r="F7" s="44"/>
      <c r="G7" s="43"/>
      <c r="H7" s="69"/>
      <c r="V7" s="45">
        <v>51</v>
      </c>
      <c r="W7" s="45" t="s">
        <v>115</v>
      </c>
      <c r="AD7" s="45">
        <v>27</v>
      </c>
      <c r="AE7" s="45" t="s">
        <v>115</v>
      </c>
      <c r="AH7" s="53"/>
      <c r="AI7" s="53"/>
      <c r="AJ7" s="53"/>
      <c r="AK7" s="53"/>
      <c r="AL7" s="53"/>
      <c r="AM7" s="53"/>
      <c r="AN7" s="53"/>
      <c r="BI7" s="50">
        <v>14</v>
      </c>
      <c r="BJ7" s="45">
        <v>220</v>
      </c>
      <c r="BP7" s="51"/>
      <c r="BQ7" s="51"/>
      <c r="BR7" s="51"/>
      <c r="BS7" s="51"/>
      <c r="BU7" s="45">
        <v>22</v>
      </c>
      <c r="BW7" s="81"/>
      <c r="BX7" s="80"/>
      <c r="BY7" s="80"/>
      <c r="BZ7" s="80"/>
      <c r="CA7" s="80"/>
      <c r="CB7" s="80"/>
      <c r="CC7" s="292"/>
      <c r="CD7" s="80"/>
      <c r="CE7" s="81"/>
      <c r="CF7" s="292"/>
      <c r="CG7" s="80"/>
      <c r="CH7" s="81"/>
      <c r="CI7" s="292"/>
      <c r="CJ7" s="80"/>
      <c r="CK7" s="81"/>
      <c r="CL7" s="292"/>
      <c r="CM7" s="80"/>
      <c r="CN7" s="81"/>
      <c r="CO7" s="292"/>
      <c r="CP7" s="80"/>
      <c r="CQ7" s="81"/>
      <c r="CR7" s="292"/>
      <c r="CS7" s="80"/>
      <c r="CT7" s="81"/>
      <c r="CU7" s="292"/>
      <c r="CV7" s="80"/>
      <c r="CW7" s="81"/>
    </row>
    <row r="8" spans="1:101" s="80" customFormat="1" x14ac:dyDescent="0.2">
      <c r="A8" s="209" t="s">
        <v>271</v>
      </c>
      <c r="B8" s="211" t="s">
        <v>267</v>
      </c>
      <c r="C8" s="210" t="s">
        <v>272</v>
      </c>
      <c r="D8" s="210" t="s">
        <v>111</v>
      </c>
      <c r="E8" s="212" t="s">
        <v>124</v>
      </c>
      <c r="F8" s="213">
        <v>3</v>
      </c>
      <c r="G8" s="212" t="s">
        <v>113</v>
      </c>
      <c r="H8" s="162" t="s">
        <v>273</v>
      </c>
      <c r="I8" s="72">
        <f>2513+1908</f>
        <v>4421</v>
      </c>
      <c r="J8" s="72">
        <v>10</v>
      </c>
      <c r="K8" s="72">
        <v>2</v>
      </c>
      <c r="L8" s="60">
        <f t="shared" ref="L8:L53" si="1">K8-N8</f>
        <v>2</v>
      </c>
      <c r="M8" s="72">
        <f>J8-K8</f>
        <v>8</v>
      </c>
      <c r="N8" s="72">
        <v>0</v>
      </c>
      <c r="O8" s="72">
        <v>434</v>
      </c>
      <c r="P8" s="72">
        <v>151</v>
      </c>
      <c r="Q8" s="72">
        <v>1078</v>
      </c>
      <c r="R8" s="72">
        <v>314</v>
      </c>
      <c r="S8" s="72">
        <v>34</v>
      </c>
      <c r="T8" s="72">
        <v>19</v>
      </c>
      <c r="U8" s="72">
        <f>S8-T8</f>
        <v>15</v>
      </c>
      <c r="V8" s="72">
        <v>70</v>
      </c>
      <c r="W8" s="72">
        <v>85</v>
      </c>
      <c r="X8" s="72">
        <v>180</v>
      </c>
      <c r="Y8" s="72">
        <v>152</v>
      </c>
      <c r="Z8" s="72">
        <v>4</v>
      </c>
      <c r="AA8" s="72">
        <v>271</v>
      </c>
      <c r="AB8" s="72">
        <v>199</v>
      </c>
      <c r="AC8" s="72">
        <v>53</v>
      </c>
      <c r="AD8" s="72">
        <v>22</v>
      </c>
      <c r="AE8" s="72">
        <v>30</v>
      </c>
      <c r="AF8" s="72">
        <v>687</v>
      </c>
      <c r="AG8" s="61">
        <f>AF8/Q8</f>
        <v>0.63729128014842296</v>
      </c>
      <c r="AH8" s="68" t="s">
        <v>115</v>
      </c>
      <c r="AI8" s="68" t="s">
        <v>115</v>
      </c>
      <c r="AJ8" s="68" t="s">
        <v>115</v>
      </c>
      <c r="AK8" s="68" t="s">
        <v>115</v>
      </c>
      <c r="AL8" s="68" t="s">
        <v>115</v>
      </c>
      <c r="AM8" s="68" t="s">
        <v>115</v>
      </c>
      <c r="AN8" s="68" t="s">
        <v>115</v>
      </c>
      <c r="AO8" s="68" t="s">
        <v>115</v>
      </c>
      <c r="AP8" s="68" t="s">
        <v>115</v>
      </c>
      <c r="AQ8" s="68" t="s">
        <v>115</v>
      </c>
      <c r="AR8" s="68" t="s">
        <v>115</v>
      </c>
      <c r="AS8" s="68" t="s">
        <v>115</v>
      </c>
      <c r="AT8" s="68" t="s">
        <v>115</v>
      </c>
      <c r="AU8" s="68" t="s">
        <v>115</v>
      </c>
      <c r="AV8" s="68" t="s">
        <v>115</v>
      </c>
      <c r="AW8" s="68" t="s">
        <v>115</v>
      </c>
      <c r="AX8" s="68" t="s">
        <v>115</v>
      </c>
      <c r="AY8" s="68" t="s">
        <v>115</v>
      </c>
      <c r="AZ8" s="293" t="s">
        <v>115</v>
      </c>
      <c r="BA8" s="72">
        <v>1500</v>
      </c>
      <c r="BB8" s="72">
        <v>997</v>
      </c>
      <c r="BC8" s="72">
        <v>506</v>
      </c>
      <c r="BD8" s="72">
        <v>42</v>
      </c>
      <c r="BE8" s="72">
        <v>171</v>
      </c>
      <c r="BF8" s="72">
        <v>209</v>
      </c>
      <c r="BG8" s="72">
        <v>459</v>
      </c>
      <c r="BH8" s="72">
        <v>72</v>
      </c>
      <c r="BI8" s="215">
        <v>12</v>
      </c>
      <c r="BJ8" s="72">
        <v>206</v>
      </c>
      <c r="BK8" s="72" t="s">
        <v>115</v>
      </c>
      <c r="BL8" s="72">
        <v>224</v>
      </c>
      <c r="BM8" s="72">
        <v>264</v>
      </c>
      <c r="BN8" s="72" t="s">
        <v>128</v>
      </c>
      <c r="BO8" s="216">
        <f>BM8</f>
        <v>264</v>
      </c>
      <c r="BP8" s="66">
        <f t="shared" ref="BP8:BP53" si="2">BA8/BO8</f>
        <v>5.6818181818181817</v>
      </c>
      <c r="BQ8" s="66">
        <f t="shared" si="0"/>
        <v>6.375</v>
      </c>
      <c r="BR8" s="66">
        <f t="shared" ref="BR8:BR53" si="3">BB8/BL8</f>
        <v>4.4508928571428568</v>
      </c>
      <c r="BS8" s="66">
        <f t="shared" ref="BS8:BS53" si="4">BC8/BL8</f>
        <v>2.2589285714285716</v>
      </c>
      <c r="BT8" s="294">
        <v>148</v>
      </c>
      <c r="BU8" s="72">
        <v>32</v>
      </c>
      <c r="BV8" s="72">
        <v>32</v>
      </c>
      <c r="BW8" s="216" t="s">
        <v>115</v>
      </c>
      <c r="BX8" s="72">
        <v>6</v>
      </c>
      <c r="BY8" s="72" t="s">
        <v>115</v>
      </c>
      <c r="BZ8" s="72">
        <v>90</v>
      </c>
      <c r="CA8" s="72" t="s">
        <v>115</v>
      </c>
      <c r="CB8" s="72" t="s">
        <v>115</v>
      </c>
      <c r="CC8" s="294" t="s">
        <v>115</v>
      </c>
      <c r="CD8" s="72" t="s">
        <v>115</v>
      </c>
      <c r="CE8" s="216" t="s">
        <v>115</v>
      </c>
      <c r="CF8" s="294" t="s">
        <v>115</v>
      </c>
      <c r="CG8" s="72" t="s">
        <v>115</v>
      </c>
      <c r="CH8" s="216" t="s">
        <v>115</v>
      </c>
      <c r="CI8" s="294" t="s">
        <v>115</v>
      </c>
      <c r="CJ8" s="72" t="s">
        <v>115</v>
      </c>
      <c r="CK8" s="216" t="s">
        <v>115</v>
      </c>
      <c r="CL8" s="294" t="s">
        <v>115</v>
      </c>
      <c r="CM8" s="72" t="s">
        <v>115</v>
      </c>
      <c r="CN8" s="216" t="s">
        <v>115</v>
      </c>
      <c r="CO8" s="294" t="s">
        <v>115</v>
      </c>
      <c r="CP8" s="72" t="s">
        <v>115</v>
      </c>
      <c r="CQ8" s="216" t="s">
        <v>115</v>
      </c>
      <c r="CR8" s="294" t="s">
        <v>115</v>
      </c>
      <c r="CS8" s="72" t="s">
        <v>115</v>
      </c>
      <c r="CT8" s="216" t="s">
        <v>115</v>
      </c>
      <c r="CU8" s="294" t="s">
        <v>115</v>
      </c>
      <c r="CV8" s="72" t="s">
        <v>115</v>
      </c>
      <c r="CW8" s="216" t="s">
        <v>115</v>
      </c>
    </row>
    <row r="9" spans="1:101" s="80" customFormat="1" x14ac:dyDescent="0.2">
      <c r="A9" s="209"/>
      <c r="B9" s="211"/>
      <c r="C9" s="210"/>
      <c r="D9" s="210"/>
      <c r="E9" s="212"/>
      <c r="F9" s="213"/>
      <c r="G9" s="212"/>
      <c r="H9" s="162"/>
      <c r="I9" s="72"/>
      <c r="J9" s="72"/>
      <c r="K9" s="72"/>
      <c r="L9" s="60"/>
      <c r="M9" s="72"/>
      <c r="N9" s="72"/>
      <c r="O9" s="72"/>
      <c r="P9" s="72"/>
      <c r="Q9" s="72"/>
      <c r="R9" s="72"/>
      <c r="S9" s="72"/>
      <c r="T9" s="72"/>
      <c r="U9" s="72"/>
      <c r="V9" s="72">
        <v>65</v>
      </c>
      <c r="W9" s="72">
        <v>69</v>
      </c>
      <c r="X9" s="72"/>
      <c r="Y9" s="72"/>
      <c r="Z9" s="72"/>
      <c r="AA9" s="72"/>
      <c r="AB9" s="72"/>
      <c r="AC9" s="72"/>
      <c r="AD9" s="72">
        <v>24</v>
      </c>
      <c r="AE9" s="72">
        <v>25</v>
      </c>
      <c r="AF9" s="72"/>
      <c r="AG9" s="219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73"/>
      <c r="AZ9" s="216"/>
      <c r="BA9" s="72"/>
      <c r="BB9" s="72"/>
      <c r="BC9" s="72"/>
      <c r="BD9" s="72"/>
      <c r="BE9" s="72"/>
      <c r="BF9" s="72"/>
      <c r="BG9" s="72">
        <v>467</v>
      </c>
      <c r="BH9" s="72">
        <v>71</v>
      </c>
      <c r="BI9" s="215">
        <v>15</v>
      </c>
      <c r="BJ9" s="72">
        <v>212</v>
      </c>
      <c r="BK9" s="72"/>
      <c r="BL9" s="72"/>
      <c r="BM9" s="72"/>
      <c r="BN9" s="72"/>
      <c r="BO9" s="216"/>
      <c r="BP9" s="66"/>
      <c r="BQ9" s="66">
        <f t="shared" si="0"/>
        <v>6.577464788732394</v>
      </c>
      <c r="BR9" s="66"/>
      <c r="BS9" s="66"/>
      <c r="BT9" s="294"/>
      <c r="BU9" s="72">
        <v>30</v>
      </c>
      <c r="BV9" s="72"/>
      <c r="BW9" s="216"/>
      <c r="BX9" s="72"/>
      <c r="BY9" s="72"/>
      <c r="BZ9" s="72"/>
      <c r="CA9" s="72"/>
      <c r="CB9" s="72"/>
      <c r="CC9" s="294"/>
      <c r="CD9" s="72"/>
      <c r="CE9" s="216"/>
      <c r="CF9" s="294"/>
      <c r="CG9" s="72"/>
      <c r="CH9" s="216"/>
      <c r="CI9" s="294"/>
      <c r="CJ9" s="72"/>
      <c r="CK9" s="216"/>
      <c r="CL9" s="294"/>
      <c r="CM9" s="72"/>
      <c r="CN9" s="216"/>
      <c r="CO9" s="294"/>
      <c r="CP9" s="72"/>
      <c r="CQ9" s="216"/>
      <c r="CR9" s="294"/>
      <c r="CS9" s="72"/>
      <c r="CT9" s="216"/>
      <c r="CU9" s="294"/>
      <c r="CV9" s="72"/>
      <c r="CW9" s="216"/>
    </row>
    <row r="10" spans="1:101" s="80" customFormat="1" x14ac:dyDescent="0.2">
      <c r="A10" s="209"/>
      <c r="B10" s="211"/>
      <c r="C10" s="210"/>
      <c r="D10" s="210"/>
      <c r="E10" s="212"/>
      <c r="F10" s="213"/>
      <c r="G10" s="212"/>
      <c r="H10" s="162"/>
      <c r="I10" s="72"/>
      <c r="J10" s="72"/>
      <c r="K10" s="72"/>
      <c r="L10" s="60"/>
      <c r="M10" s="72"/>
      <c r="N10" s="72"/>
      <c r="O10" s="72"/>
      <c r="P10" s="72"/>
      <c r="Q10" s="72"/>
      <c r="R10" s="72"/>
      <c r="S10" s="72"/>
      <c r="T10" s="72"/>
      <c r="U10" s="72"/>
      <c r="V10" s="72">
        <v>53</v>
      </c>
      <c r="W10" s="72">
        <v>56</v>
      </c>
      <c r="X10" s="72"/>
      <c r="Y10" s="72"/>
      <c r="Z10" s="72"/>
      <c r="AA10" s="72"/>
      <c r="AB10" s="72"/>
      <c r="AC10" s="72"/>
      <c r="AD10" s="72">
        <v>18</v>
      </c>
      <c r="AE10" s="72">
        <v>31</v>
      </c>
      <c r="AF10" s="72"/>
      <c r="AG10" s="72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216"/>
      <c r="BA10" s="72"/>
      <c r="BB10" s="72"/>
      <c r="BC10" s="72"/>
      <c r="BD10" s="72"/>
      <c r="BE10" s="72"/>
      <c r="BF10" s="72"/>
      <c r="BG10" s="72">
        <v>446</v>
      </c>
      <c r="BH10" s="72">
        <v>79</v>
      </c>
      <c r="BI10" s="215">
        <v>16</v>
      </c>
      <c r="BJ10" s="72">
        <v>195</v>
      </c>
      <c r="BK10" s="72"/>
      <c r="BL10" s="72"/>
      <c r="BM10" s="72"/>
      <c r="BN10" s="72"/>
      <c r="BO10" s="216"/>
      <c r="BP10" s="66"/>
      <c r="BQ10" s="66">
        <f t="shared" si="0"/>
        <v>5.6455696202531644</v>
      </c>
      <c r="BR10" s="66"/>
      <c r="BS10" s="66"/>
      <c r="BT10" s="294"/>
      <c r="BU10" s="72">
        <v>31</v>
      </c>
      <c r="BV10" s="72"/>
      <c r="BW10" s="216"/>
      <c r="BX10" s="72"/>
      <c r="BY10" s="72"/>
      <c r="BZ10" s="72"/>
      <c r="CA10" s="72"/>
      <c r="CB10" s="72"/>
      <c r="CC10" s="294"/>
      <c r="CD10" s="72"/>
      <c r="CE10" s="216"/>
      <c r="CF10" s="294"/>
      <c r="CG10" s="72"/>
      <c r="CH10" s="216"/>
      <c r="CI10" s="294"/>
      <c r="CJ10" s="72"/>
      <c r="CK10" s="216"/>
      <c r="CL10" s="294"/>
      <c r="CM10" s="72"/>
      <c r="CN10" s="216"/>
      <c r="CO10" s="294"/>
      <c r="CP10" s="72"/>
      <c r="CQ10" s="216"/>
      <c r="CR10" s="294"/>
      <c r="CS10" s="72"/>
      <c r="CT10" s="216"/>
      <c r="CU10" s="294"/>
      <c r="CV10" s="72"/>
      <c r="CW10" s="216"/>
    </row>
    <row r="11" spans="1:101" ht="15.75" customHeight="1" x14ac:dyDescent="0.2">
      <c r="A11" s="40" t="s">
        <v>274</v>
      </c>
      <c r="B11" s="42" t="s">
        <v>267</v>
      </c>
      <c r="C11" s="41" t="s">
        <v>109</v>
      </c>
      <c r="D11" s="41" t="s">
        <v>111</v>
      </c>
      <c r="E11" s="76" t="s">
        <v>112</v>
      </c>
      <c r="F11" s="44">
        <v>0</v>
      </c>
      <c r="G11" s="43" t="s">
        <v>133</v>
      </c>
      <c r="H11" s="69" t="s">
        <v>275</v>
      </c>
      <c r="I11" s="45">
        <f>2590+1679</f>
        <v>4269</v>
      </c>
      <c r="J11" s="45">
        <v>10</v>
      </c>
      <c r="K11" s="45">
        <v>2</v>
      </c>
      <c r="L11" s="45">
        <f t="shared" si="1"/>
        <v>1</v>
      </c>
      <c r="M11" s="45">
        <f>J11-K11</f>
        <v>8</v>
      </c>
      <c r="N11" s="45">
        <v>1</v>
      </c>
      <c r="O11" s="45">
        <v>425</v>
      </c>
      <c r="P11" s="45">
        <v>270</v>
      </c>
      <c r="Q11" s="47">
        <v>633</v>
      </c>
      <c r="R11" s="47">
        <v>302</v>
      </c>
      <c r="S11" s="47">
        <v>35</v>
      </c>
      <c r="T11" s="47">
        <v>17</v>
      </c>
      <c r="U11" s="47">
        <f>S11-T11</f>
        <v>18</v>
      </c>
      <c r="V11" s="47">
        <v>36</v>
      </c>
      <c r="W11" s="47">
        <v>92</v>
      </c>
      <c r="X11" s="47">
        <v>151</v>
      </c>
      <c r="Y11" s="47">
        <v>89</v>
      </c>
      <c r="Z11" s="47">
        <v>4</v>
      </c>
      <c r="AA11" s="47">
        <v>108</v>
      </c>
      <c r="AB11" s="47">
        <v>194</v>
      </c>
      <c r="AC11" s="47">
        <v>36</v>
      </c>
      <c r="AD11" s="47">
        <v>16</v>
      </c>
      <c r="AE11" s="47">
        <v>34</v>
      </c>
      <c r="AF11" s="47">
        <v>390</v>
      </c>
      <c r="AG11" s="48">
        <f>AF11/Q11</f>
        <v>0.61611374407582942</v>
      </c>
      <c r="AH11" s="53">
        <v>1065</v>
      </c>
      <c r="AI11" s="53">
        <v>530</v>
      </c>
      <c r="AJ11" s="53">
        <v>35</v>
      </c>
      <c r="AK11" s="53">
        <v>16</v>
      </c>
      <c r="AL11" s="53">
        <v>19</v>
      </c>
      <c r="AM11" s="53">
        <v>60</v>
      </c>
      <c r="AN11" s="53">
        <v>97</v>
      </c>
      <c r="AO11" s="53">
        <v>274</v>
      </c>
      <c r="AP11" s="53">
        <v>126</v>
      </c>
      <c r="AQ11" s="53" t="s">
        <v>115</v>
      </c>
      <c r="AR11" s="53" t="s">
        <v>115</v>
      </c>
      <c r="AS11" s="53">
        <v>4</v>
      </c>
      <c r="AT11" s="53">
        <v>264</v>
      </c>
      <c r="AU11" s="53">
        <v>310</v>
      </c>
      <c r="AV11" s="53">
        <v>27</v>
      </c>
      <c r="AW11" s="53">
        <v>46</v>
      </c>
      <c r="AX11" s="53">
        <v>648</v>
      </c>
      <c r="AY11" s="74">
        <f>AX11/AH11</f>
        <v>0.60845070422535208</v>
      </c>
      <c r="AZ11" s="291" t="s">
        <v>115</v>
      </c>
      <c r="BA11" s="45">
        <v>1587</v>
      </c>
      <c r="BB11" s="45">
        <v>1134</v>
      </c>
      <c r="BC11" s="45">
        <v>451</v>
      </c>
      <c r="BD11" s="45">
        <v>29</v>
      </c>
      <c r="BE11" s="45">
        <v>140</v>
      </c>
      <c r="BF11" s="45">
        <v>185</v>
      </c>
      <c r="BG11" s="45">
        <v>432</v>
      </c>
      <c r="BH11" s="45">
        <v>67</v>
      </c>
      <c r="BI11" s="50">
        <v>11</v>
      </c>
      <c r="BJ11" s="45">
        <v>215</v>
      </c>
      <c r="BK11" s="45" t="s">
        <v>115</v>
      </c>
      <c r="BL11" s="45">
        <v>249</v>
      </c>
      <c r="BM11" s="45">
        <v>270</v>
      </c>
      <c r="BN11" s="45" t="s">
        <v>128</v>
      </c>
      <c r="BO11" s="49">
        <f>BM11</f>
        <v>270</v>
      </c>
      <c r="BP11" s="51">
        <f t="shared" si="2"/>
        <v>5.8777777777777782</v>
      </c>
      <c r="BQ11" s="51">
        <f t="shared" si="0"/>
        <v>6.4477611940298507</v>
      </c>
      <c r="BR11" s="51">
        <f t="shared" si="3"/>
        <v>4.5542168674698793</v>
      </c>
      <c r="BS11" s="51">
        <f t="shared" si="4"/>
        <v>1.8112449799196788</v>
      </c>
      <c r="BT11" s="79" t="s">
        <v>115</v>
      </c>
      <c r="BU11" s="45" t="s">
        <v>115</v>
      </c>
      <c r="BV11" s="45" t="s">
        <v>115</v>
      </c>
      <c r="BW11" s="49" t="s">
        <v>115</v>
      </c>
      <c r="BX11" s="45" t="s">
        <v>115</v>
      </c>
      <c r="BY11" s="45" t="s">
        <v>115</v>
      </c>
      <c r="BZ11" s="45" t="s">
        <v>115</v>
      </c>
      <c r="CA11" s="45" t="s">
        <v>115</v>
      </c>
      <c r="CB11" s="45" t="s">
        <v>115</v>
      </c>
      <c r="CC11" s="79" t="s">
        <v>115</v>
      </c>
      <c r="CD11" s="45" t="s">
        <v>115</v>
      </c>
      <c r="CE11" s="49" t="s">
        <v>115</v>
      </c>
      <c r="CF11" s="79" t="s">
        <v>115</v>
      </c>
      <c r="CG11" s="45" t="s">
        <v>115</v>
      </c>
      <c r="CH11" s="49" t="s">
        <v>115</v>
      </c>
      <c r="CI11" s="79" t="s">
        <v>115</v>
      </c>
      <c r="CJ11" s="45" t="s">
        <v>115</v>
      </c>
      <c r="CK11" s="49" t="s">
        <v>115</v>
      </c>
      <c r="CL11" s="79" t="s">
        <v>115</v>
      </c>
      <c r="CM11" s="45" t="s">
        <v>115</v>
      </c>
      <c r="CN11" s="49" t="s">
        <v>115</v>
      </c>
      <c r="CO11" s="79" t="s">
        <v>115</v>
      </c>
      <c r="CP11" s="45" t="s">
        <v>115</v>
      </c>
      <c r="CQ11" s="49" t="s">
        <v>115</v>
      </c>
      <c r="CR11" s="79" t="s">
        <v>115</v>
      </c>
      <c r="CS11" s="45" t="s">
        <v>115</v>
      </c>
      <c r="CT11" s="49" t="s">
        <v>115</v>
      </c>
      <c r="CU11" s="79" t="s">
        <v>115</v>
      </c>
      <c r="CV11" s="45" t="s">
        <v>115</v>
      </c>
      <c r="CW11" s="49" t="s">
        <v>115</v>
      </c>
    </row>
    <row r="12" spans="1:101" x14ac:dyDescent="0.2">
      <c r="A12" s="40"/>
      <c r="B12" s="42"/>
      <c r="C12" s="41"/>
      <c r="D12" s="41"/>
      <c r="E12" s="76"/>
      <c r="F12" s="44"/>
      <c r="G12" s="43"/>
      <c r="H12" s="69"/>
      <c r="Q12" s="47"/>
      <c r="R12" s="47"/>
      <c r="S12" s="80"/>
      <c r="T12" s="80"/>
      <c r="U12" s="80"/>
      <c r="V12" s="47">
        <v>40</v>
      </c>
      <c r="W12" s="47">
        <v>87</v>
      </c>
      <c r="X12" s="47"/>
      <c r="Y12" s="47"/>
      <c r="Z12" s="53"/>
      <c r="AA12" s="47"/>
      <c r="AB12" s="47"/>
      <c r="AC12" s="47"/>
      <c r="AD12" s="47">
        <v>20</v>
      </c>
      <c r="AE12" s="47">
        <v>36</v>
      </c>
      <c r="AF12" s="47"/>
      <c r="AG12" s="48"/>
      <c r="AH12" s="53"/>
      <c r="AI12" s="53"/>
      <c r="AM12" s="53">
        <v>53</v>
      </c>
      <c r="AN12" s="53">
        <v>87</v>
      </c>
      <c r="AO12" s="45"/>
      <c r="AP12" s="45"/>
      <c r="AT12" s="45"/>
      <c r="AU12" s="45"/>
      <c r="AV12" s="53">
        <v>29</v>
      </c>
      <c r="AW12" s="53">
        <v>47</v>
      </c>
      <c r="BG12" s="45">
        <v>440</v>
      </c>
      <c r="BH12" s="45">
        <v>63</v>
      </c>
      <c r="BI12" s="50">
        <v>13</v>
      </c>
      <c r="BJ12" s="45">
        <v>215</v>
      </c>
      <c r="BP12" s="51"/>
      <c r="BQ12" s="51">
        <f t="shared" si="0"/>
        <v>6.9841269841269842</v>
      </c>
      <c r="BR12" s="51"/>
      <c r="BS12" s="51"/>
      <c r="CC12" s="79"/>
      <c r="CE12" s="49"/>
      <c r="CF12" s="79"/>
      <c r="CH12" s="49"/>
      <c r="CI12" s="79"/>
      <c r="CK12" s="49"/>
      <c r="CL12" s="79"/>
      <c r="CN12" s="49"/>
      <c r="CO12" s="79"/>
      <c r="CQ12" s="49"/>
      <c r="CR12" s="79"/>
      <c r="CT12" s="49"/>
      <c r="CU12" s="79"/>
      <c r="CW12" s="49"/>
    </row>
    <row r="13" spans="1:101" x14ac:dyDescent="0.2">
      <c r="A13" s="40"/>
      <c r="B13" s="42"/>
      <c r="C13" s="41"/>
      <c r="D13" s="41"/>
      <c r="E13" s="76"/>
      <c r="F13" s="44"/>
      <c r="G13" s="43"/>
      <c r="H13" s="69"/>
      <c r="Q13" s="47"/>
      <c r="R13" s="47"/>
      <c r="S13" s="53"/>
      <c r="T13" s="53"/>
      <c r="U13" s="53"/>
      <c r="V13" s="47">
        <v>43</v>
      </c>
      <c r="W13" s="47">
        <v>97</v>
      </c>
      <c r="X13" s="47"/>
      <c r="Y13" s="47"/>
      <c r="Z13" s="53"/>
      <c r="AA13" s="47"/>
      <c r="AB13" s="47"/>
      <c r="AC13" s="47"/>
      <c r="AD13" s="47">
        <v>16</v>
      </c>
      <c r="AE13" s="47">
        <v>29</v>
      </c>
      <c r="AF13" s="47"/>
      <c r="AG13" s="47"/>
      <c r="AH13" s="53"/>
      <c r="AI13" s="53"/>
      <c r="AJ13" s="53"/>
      <c r="AK13" s="53"/>
      <c r="AL13" s="53"/>
      <c r="AM13" s="53">
        <v>49</v>
      </c>
      <c r="AN13" s="53">
        <v>123</v>
      </c>
      <c r="AV13" s="53">
        <v>27</v>
      </c>
      <c r="AW13" s="53">
        <v>51</v>
      </c>
      <c r="BG13" s="45">
        <v>405</v>
      </c>
      <c r="BH13" s="45">
        <v>69</v>
      </c>
      <c r="BI13" s="50">
        <v>13</v>
      </c>
      <c r="BP13" s="51"/>
      <c r="BQ13" s="51">
        <f t="shared" si="0"/>
        <v>5.8695652173913047</v>
      </c>
      <c r="BR13" s="51"/>
      <c r="BS13" s="51"/>
      <c r="CC13" s="79"/>
      <c r="CE13" s="49"/>
      <c r="CF13" s="79"/>
      <c r="CH13" s="49"/>
      <c r="CI13" s="79"/>
      <c r="CK13" s="49"/>
      <c r="CL13" s="79"/>
      <c r="CN13" s="49"/>
      <c r="CO13" s="79"/>
      <c r="CQ13" s="49"/>
      <c r="CR13" s="79"/>
      <c r="CT13" s="49"/>
      <c r="CU13" s="79"/>
      <c r="CW13" s="49"/>
    </row>
    <row r="14" spans="1:101" s="80" customFormat="1" x14ac:dyDescent="0.2">
      <c r="A14" s="209" t="s">
        <v>276</v>
      </c>
      <c r="B14" s="211" t="s">
        <v>267</v>
      </c>
      <c r="C14" s="210" t="s">
        <v>109</v>
      </c>
      <c r="D14" s="210" t="s">
        <v>111</v>
      </c>
      <c r="E14" s="212" t="s">
        <v>112</v>
      </c>
      <c r="F14" s="213">
        <v>0</v>
      </c>
      <c r="G14" s="212" t="s">
        <v>133</v>
      </c>
      <c r="H14" s="162" t="s">
        <v>277</v>
      </c>
      <c r="I14" s="72">
        <f>2393+1584+1122</f>
        <v>5099</v>
      </c>
      <c r="J14" s="72">
        <v>12</v>
      </c>
      <c r="K14" s="72">
        <v>2</v>
      </c>
      <c r="L14" s="60">
        <f t="shared" si="1"/>
        <v>1</v>
      </c>
      <c r="M14" s="72">
        <f>J14-K14</f>
        <v>10</v>
      </c>
      <c r="N14" s="72">
        <v>1</v>
      </c>
      <c r="O14" s="72">
        <v>513</v>
      </c>
      <c r="P14" s="72">
        <v>264</v>
      </c>
      <c r="Q14" s="62">
        <v>746</v>
      </c>
      <c r="R14" s="62">
        <v>338</v>
      </c>
      <c r="S14" s="72"/>
      <c r="T14" s="72"/>
      <c r="U14" s="72"/>
      <c r="V14" s="72" t="s">
        <v>115</v>
      </c>
      <c r="W14" s="72" t="s">
        <v>115</v>
      </c>
      <c r="X14" s="62">
        <v>187</v>
      </c>
      <c r="Y14" s="62">
        <v>127</v>
      </c>
      <c r="Z14" s="72">
        <v>4</v>
      </c>
      <c r="AA14" s="62">
        <v>135</v>
      </c>
      <c r="AB14" s="62">
        <v>243</v>
      </c>
      <c r="AC14" s="72" t="s">
        <v>115</v>
      </c>
      <c r="AD14" s="62">
        <v>20</v>
      </c>
      <c r="AE14" s="62">
        <v>36</v>
      </c>
      <c r="AF14" s="62">
        <v>433</v>
      </c>
      <c r="AG14" s="63">
        <f>AF14/Q14</f>
        <v>0.58042895442359255</v>
      </c>
      <c r="AH14" s="68">
        <v>1138</v>
      </c>
      <c r="AI14" s="68">
        <v>505</v>
      </c>
      <c r="AJ14" s="68">
        <v>32</v>
      </c>
      <c r="AK14" s="68">
        <v>16</v>
      </c>
      <c r="AL14" s="68">
        <v>16</v>
      </c>
      <c r="AM14" s="68" t="s">
        <v>115</v>
      </c>
      <c r="AN14" s="68" t="s">
        <v>115</v>
      </c>
      <c r="AO14" s="68" t="s">
        <v>115</v>
      </c>
      <c r="AP14" s="68" t="s">
        <v>115</v>
      </c>
      <c r="AQ14" s="68" t="s">
        <v>115</v>
      </c>
      <c r="AR14" s="68" t="s">
        <v>115</v>
      </c>
      <c r="AS14" s="68" t="s">
        <v>115</v>
      </c>
      <c r="AT14" s="68">
        <v>219</v>
      </c>
      <c r="AU14" s="68">
        <v>360</v>
      </c>
      <c r="AV14" s="68" t="s">
        <v>115</v>
      </c>
      <c r="AW14" s="68" t="s">
        <v>115</v>
      </c>
      <c r="AX14" s="68">
        <v>609</v>
      </c>
      <c r="AY14" s="73">
        <f>AX14/AH14</f>
        <v>0.53514938488576447</v>
      </c>
      <c r="AZ14" s="293" t="s">
        <v>115</v>
      </c>
      <c r="BA14" s="72">
        <v>1761</v>
      </c>
      <c r="BB14" s="72">
        <v>1145</v>
      </c>
      <c r="BC14" s="72">
        <v>614</v>
      </c>
      <c r="BD14" s="72">
        <v>17</v>
      </c>
      <c r="BE14" s="72">
        <v>153</v>
      </c>
      <c r="BF14" s="72">
        <v>172</v>
      </c>
      <c r="BG14" s="72">
        <v>595</v>
      </c>
      <c r="BH14" s="72">
        <v>78</v>
      </c>
      <c r="BI14" s="215">
        <v>15</v>
      </c>
      <c r="BJ14" s="72">
        <v>185</v>
      </c>
      <c r="BK14" s="72" t="s">
        <v>115</v>
      </c>
      <c r="BL14" s="72">
        <v>204</v>
      </c>
      <c r="BM14" s="72">
        <v>322</v>
      </c>
      <c r="BN14" s="72" t="s">
        <v>128</v>
      </c>
      <c r="BO14" s="216">
        <f>BM14</f>
        <v>322</v>
      </c>
      <c r="BP14" s="66">
        <f t="shared" si="2"/>
        <v>5.4689440993788816</v>
      </c>
      <c r="BQ14" s="66">
        <f t="shared" si="0"/>
        <v>7.6282051282051286</v>
      </c>
      <c r="BR14" s="66">
        <f t="shared" si="3"/>
        <v>5.6127450980392153</v>
      </c>
      <c r="BS14" s="66">
        <f t="shared" si="4"/>
        <v>3.0098039215686274</v>
      </c>
      <c r="BT14" s="294" t="s">
        <v>115</v>
      </c>
      <c r="BU14" s="72" t="s">
        <v>115</v>
      </c>
      <c r="BV14" s="72" t="s">
        <v>115</v>
      </c>
      <c r="BW14" s="216" t="s">
        <v>115</v>
      </c>
      <c r="BX14" s="72" t="s">
        <v>115</v>
      </c>
      <c r="BY14" s="72" t="s">
        <v>115</v>
      </c>
      <c r="BZ14" s="72" t="s">
        <v>115</v>
      </c>
      <c r="CA14" s="72" t="s">
        <v>115</v>
      </c>
      <c r="CB14" s="72" t="s">
        <v>115</v>
      </c>
      <c r="CC14" s="294" t="s">
        <v>115</v>
      </c>
      <c r="CD14" s="72" t="s">
        <v>115</v>
      </c>
      <c r="CE14" s="216" t="s">
        <v>115</v>
      </c>
      <c r="CF14" s="294" t="s">
        <v>115</v>
      </c>
      <c r="CG14" s="72" t="s">
        <v>115</v>
      </c>
      <c r="CH14" s="216" t="s">
        <v>115</v>
      </c>
      <c r="CI14" s="294" t="s">
        <v>115</v>
      </c>
      <c r="CJ14" s="72" t="s">
        <v>115</v>
      </c>
      <c r="CK14" s="216" t="s">
        <v>115</v>
      </c>
      <c r="CL14" s="294" t="s">
        <v>115</v>
      </c>
      <c r="CM14" s="72" t="s">
        <v>115</v>
      </c>
      <c r="CN14" s="216" t="s">
        <v>115</v>
      </c>
      <c r="CO14" s="294" t="s">
        <v>115</v>
      </c>
      <c r="CP14" s="72" t="s">
        <v>115</v>
      </c>
      <c r="CQ14" s="216" t="s">
        <v>115</v>
      </c>
      <c r="CR14" s="294" t="s">
        <v>115</v>
      </c>
      <c r="CS14" s="72" t="s">
        <v>115</v>
      </c>
      <c r="CT14" s="216" t="s">
        <v>115</v>
      </c>
      <c r="CU14" s="294" t="s">
        <v>115</v>
      </c>
      <c r="CV14" s="72" t="s">
        <v>115</v>
      </c>
      <c r="CW14" s="216" t="s">
        <v>115</v>
      </c>
    </row>
    <row r="15" spans="1:101" s="80" customFormat="1" x14ac:dyDescent="0.2">
      <c r="A15" s="209"/>
      <c r="B15" s="211"/>
      <c r="C15" s="210"/>
      <c r="D15" s="210"/>
      <c r="E15" s="212"/>
      <c r="F15" s="213"/>
      <c r="G15" s="212"/>
      <c r="H15" s="162"/>
      <c r="I15" s="72"/>
      <c r="J15" s="72"/>
      <c r="K15" s="72"/>
      <c r="L15" s="60"/>
      <c r="M15" s="72"/>
      <c r="N15" s="72"/>
      <c r="O15" s="72"/>
      <c r="P15" s="72"/>
      <c r="Q15" s="62"/>
      <c r="R15" s="62"/>
      <c r="S15" s="72"/>
      <c r="T15" s="72"/>
      <c r="U15" s="72"/>
      <c r="V15" s="72" t="s">
        <v>115</v>
      </c>
      <c r="W15" s="72" t="s">
        <v>115</v>
      </c>
      <c r="X15" s="72"/>
      <c r="Y15" s="72"/>
      <c r="Z15" s="72"/>
      <c r="AA15" s="72"/>
      <c r="AB15" s="72"/>
      <c r="AC15" s="72"/>
      <c r="AD15" s="62">
        <v>23</v>
      </c>
      <c r="AE15" s="62">
        <v>36</v>
      </c>
      <c r="AF15" s="72"/>
      <c r="AG15" s="219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216"/>
      <c r="BA15" s="72"/>
      <c r="BB15" s="72"/>
      <c r="BC15" s="72"/>
      <c r="BD15" s="72"/>
      <c r="BE15" s="72"/>
      <c r="BF15" s="72"/>
      <c r="BG15" s="72">
        <v>613</v>
      </c>
      <c r="BH15" s="72">
        <v>68</v>
      </c>
      <c r="BI15" s="215">
        <v>18</v>
      </c>
      <c r="BJ15" s="72">
        <v>187</v>
      </c>
      <c r="BK15" s="72"/>
      <c r="BL15" s="72"/>
      <c r="BM15" s="72"/>
      <c r="BN15" s="72"/>
      <c r="BO15" s="216"/>
      <c r="BP15" s="66"/>
      <c r="BQ15" s="66">
        <f t="shared" si="0"/>
        <v>9.014705882352942</v>
      </c>
      <c r="BR15" s="66"/>
      <c r="BS15" s="66"/>
      <c r="BT15" s="294"/>
      <c r="BU15" s="72"/>
      <c r="BV15" s="72"/>
      <c r="BW15" s="216"/>
      <c r="BX15" s="72"/>
      <c r="BY15" s="72"/>
      <c r="BZ15" s="72"/>
      <c r="CA15" s="72"/>
      <c r="CB15" s="72"/>
      <c r="CC15" s="294"/>
      <c r="CD15" s="72"/>
      <c r="CE15" s="216"/>
      <c r="CF15" s="294"/>
      <c r="CG15" s="72"/>
      <c r="CH15" s="216"/>
      <c r="CI15" s="294"/>
      <c r="CJ15" s="72"/>
      <c r="CK15" s="216"/>
      <c r="CL15" s="294"/>
      <c r="CM15" s="72"/>
      <c r="CN15" s="216"/>
      <c r="CO15" s="294"/>
      <c r="CP15" s="72"/>
      <c r="CQ15" s="216"/>
      <c r="CR15" s="294"/>
      <c r="CS15" s="72"/>
      <c r="CT15" s="216"/>
      <c r="CU15" s="294"/>
      <c r="CV15" s="72"/>
      <c r="CW15" s="216"/>
    </row>
    <row r="16" spans="1:101" s="80" customFormat="1" x14ac:dyDescent="0.2">
      <c r="A16" s="209"/>
      <c r="B16" s="211"/>
      <c r="C16" s="210"/>
      <c r="D16" s="210"/>
      <c r="E16" s="212"/>
      <c r="F16" s="213"/>
      <c r="G16" s="212"/>
      <c r="H16" s="162"/>
      <c r="I16" s="72"/>
      <c r="J16" s="72"/>
      <c r="K16" s="72"/>
      <c r="L16" s="60"/>
      <c r="M16" s="72"/>
      <c r="N16" s="72"/>
      <c r="O16" s="72"/>
      <c r="P16" s="72"/>
      <c r="Q16" s="72"/>
      <c r="R16" s="72"/>
      <c r="S16" s="72"/>
      <c r="T16" s="72"/>
      <c r="U16" s="72"/>
      <c r="V16" s="72" t="s">
        <v>115</v>
      </c>
      <c r="W16" s="72" t="s">
        <v>115</v>
      </c>
      <c r="X16" s="72"/>
      <c r="Y16" s="72"/>
      <c r="Z16" s="72"/>
      <c r="AA16" s="72"/>
      <c r="AB16" s="72"/>
      <c r="AC16" s="72"/>
      <c r="AD16" s="62">
        <v>24</v>
      </c>
      <c r="AE16" s="62">
        <v>35</v>
      </c>
      <c r="AF16" s="72"/>
      <c r="AG16" s="72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216"/>
      <c r="BA16" s="72"/>
      <c r="BB16" s="72"/>
      <c r="BC16" s="72"/>
      <c r="BD16" s="72"/>
      <c r="BE16" s="72"/>
      <c r="BF16" s="72"/>
      <c r="BG16" s="72">
        <v>599</v>
      </c>
      <c r="BH16" s="72">
        <v>71</v>
      </c>
      <c r="BI16" s="215">
        <v>15</v>
      </c>
      <c r="BJ16" s="72">
        <v>179</v>
      </c>
      <c r="BK16" s="72"/>
      <c r="BL16" s="72"/>
      <c r="BM16" s="72"/>
      <c r="BN16" s="72"/>
      <c r="BO16" s="216"/>
      <c r="BP16" s="66"/>
      <c r="BQ16" s="66">
        <f t="shared" si="0"/>
        <v>8.4366197183098599</v>
      </c>
      <c r="BR16" s="66"/>
      <c r="BS16" s="66"/>
      <c r="BT16" s="294"/>
      <c r="BU16" s="72"/>
      <c r="BV16" s="72"/>
      <c r="BW16" s="216"/>
      <c r="BX16" s="72"/>
      <c r="BY16" s="72"/>
      <c r="BZ16" s="72"/>
      <c r="CA16" s="72"/>
      <c r="CB16" s="72"/>
      <c r="CC16" s="294"/>
      <c r="CD16" s="72"/>
      <c r="CE16" s="216"/>
      <c r="CF16" s="294"/>
      <c r="CG16" s="72"/>
      <c r="CH16" s="216"/>
      <c r="CI16" s="294"/>
      <c r="CJ16" s="72"/>
      <c r="CK16" s="216"/>
      <c r="CL16" s="294"/>
      <c r="CM16" s="72"/>
      <c r="CN16" s="216"/>
      <c r="CO16" s="294"/>
      <c r="CP16" s="72"/>
      <c r="CQ16" s="216"/>
      <c r="CR16" s="294"/>
      <c r="CS16" s="72"/>
      <c r="CT16" s="216"/>
      <c r="CU16" s="294"/>
      <c r="CV16" s="72"/>
      <c r="CW16" s="216"/>
    </row>
    <row r="17" spans="1:101" x14ac:dyDescent="0.2">
      <c r="A17" s="40" t="s">
        <v>278</v>
      </c>
      <c r="B17" s="42" t="s">
        <v>267</v>
      </c>
      <c r="C17" s="41" t="s">
        <v>109</v>
      </c>
      <c r="D17" s="41" t="s">
        <v>111</v>
      </c>
      <c r="E17" s="76" t="s">
        <v>124</v>
      </c>
      <c r="F17" s="44">
        <v>0</v>
      </c>
      <c r="G17" s="76" t="s">
        <v>113</v>
      </c>
      <c r="H17" s="69" t="s">
        <v>279</v>
      </c>
      <c r="I17" s="45">
        <f>2714+1612+1847</f>
        <v>6173</v>
      </c>
      <c r="J17" s="45">
        <v>9</v>
      </c>
      <c r="K17" s="45">
        <v>2</v>
      </c>
      <c r="L17" s="45">
        <f t="shared" si="1"/>
        <v>2</v>
      </c>
      <c r="M17" s="45">
        <f>J17-K17</f>
        <v>7</v>
      </c>
      <c r="N17" s="45">
        <v>0</v>
      </c>
      <c r="O17" s="45">
        <v>631</v>
      </c>
      <c r="P17" s="45">
        <v>180</v>
      </c>
      <c r="Q17" s="80">
        <v>1844</v>
      </c>
      <c r="R17" s="80">
        <v>308</v>
      </c>
      <c r="S17" s="80">
        <v>37</v>
      </c>
      <c r="T17" s="80">
        <v>18</v>
      </c>
      <c r="U17" s="80">
        <f>S17-T17</f>
        <v>19</v>
      </c>
      <c r="V17" s="80">
        <v>96</v>
      </c>
      <c r="W17" s="80">
        <v>88</v>
      </c>
      <c r="X17" s="80">
        <v>198</v>
      </c>
      <c r="Y17" s="80">
        <v>145</v>
      </c>
      <c r="Z17" s="80">
        <v>4</v>
      </c>
      <c r="AA17" s="80">
        <v>391</v>
      </c>
      <c r="AB17" s="80">
        <v>220</v>
      </c>
      <c r="AC17" s="80" t="s">
        <v>115</v>
      </c>
      <c r="AD17" s="80">
        <v>39</v>
      </c>
      <c r="AE17" s="80">
        <v>39</v>
      </c>
      <c r="AF17" s="80">
        <v>1041</v>
      </c>
      <c r="AG17" s="46">
        <f>AF17/Q17</f>
        <v>0.56453362255965289</v>
      </c>
      <c r="AH17" s="53" t="s">
        <v>115</v>
      </c>
      <c r="AI17" s="53" t="s">
        <v>115</v>
      </c>
      <c r="AJ17" s="53" t="s">
        <v>115</v>
      </c>
      <c r="AK17" s="53" t="s">
        <v>115</v>
      </c>
      <c r="AL17" s="53" t="s">
        <v>115</v>
      </c>
      <c r="AM17" s="53" t="s">
        <v>115</v>
      </c>
      <c r="AN17" s="53" t="s">
        <v>115</v>
      </c>
      <c r="AO17" s="53" t="s">
        <v>115</v>
      </c>
      <c r="AP17" s="53" t="s">
        <v>115</v>
      </c>
      <c r="AQ17" s="53" t="s">
        <v>115</v>
      </c>
      <c r="AR17" s="53" t="s">
        <v>115</v>
      </c>
      <c r="AS17" s="53" t="s">
        <v>115</v>
      </c>
      <c r="AT17" s="53" t="s">
        <v>115</v>
      </c>
      <c r="AU17" s="53" t="s">
        <v>115</v>
      </c>
      <c r="AV17" s="53" t="s">
        <v>115</v>
      </c>
      <c r="AW17" s="53" t="s">
        <v>115</v>
      </c>
      <c r="AX17" s="53" t="s">
        <v>115</v>
      </c>
      <c r="AY17" s="53" t="s">
        <v>115</v>
      </c>
      <c r="AZ17" s="81" t="s">
        <v>115</v>
      </c>
      <c r="BA17" s="80">
        <f>BC17+BB17</f>
        <v>1944</v>
      </c>
      <c r="BB17" s="80">
        <v>1329</v>
      </c>
      <c r="BC17" s="80">
        <v>615</v>
      </c>
      <c r="BD17" s="80">
        <v>32</v>
      </c>
      <c r="BE17" s="80">
        <v>153</v>
      </c>
      <c r="BF17" s="80">
        <v>202</v>
      </c>
      <c r="BG17" s="80">
        <v>595</v>
      </c>
      <c r="BH17" s="80">
        <v>88</v>
      </c>
      <c r="BI17" s="140">
        <v>17</v>
      </c>
      <c r="BJ17" s="80">
        <v>253</v>
      </c>
      <c r="BK17" s="80" t="s">
        <v>115</v>
      </c>
      <c r="BL17" s="80">
        <v>309</v>
      </c>
      <c r="BM17" s="80">
        <v>302</v>
      </c>
      <c r="BN17" s="80" t="s">
        <v>128</v>
      </c>
      <c r="BO17" s="81">
        <f>BM17</f>
        <v>302</v>
      </c>
      <c r="BP17" s="51">
        <f t="shared" si="2"/>
        <v>6.4370860927152318</v>
      </c>
      <c r="BQ17" s="51">
        <f t="shared" si="0"/>
        <v>6.7613636363636367</v>
      </c>
      <c r="BR17" s="51">
        <f t="shared" si="3"/>
        <v>4.3009708737864081</v>
      </c>
      <c r="BS17" s="51">
        <f t="shared" si="4"/>
        <v>1.9902912621359223</v>
      </c>
      <c r="BT17" s="292" t="s">
        <v>115</v>
      </c>
      <c r="BU17" s="80" t="s">
        <v>115</v>
      </c>
      <c r="BV17" s="80" t="s">
        <v>115</v>
      </c>
      <c r="BW17" s="81" t="s">
        <v>115</v>
      </c>
      <c r="BX17" s="80" t="s">
        <v>115</v>
      </c>
      <c r="BY17" s="80" t="s">
        <v>115</v>
      </c>
      <c r="BZ17" s="80" t="s">
        <v>115</v>
      </c>
      <c r="CA17" s="80" t="s">
        <v>115</v>
      </c>
      <c r="CB17" s="80" t="s">
        <v>115</v>
      </c>
      <c r="CC17" s="292" t="s">
        <v>115</v>
      </c>
      <c r="CD17" s="80" t="s">
        <v>115</v>
      </c>
      <c r="CE17" s="81" t="s">
        <v>115</v>
      </c>
      <c r="CF17" s="292" t="s">
        <v>115</v>
      </c>
      <c r="CG17" s="80" t="s">
        <v>115</v>
      </c>
      <c r="CH17" s="81" t="s">
        <v>115</v>
      </c>
      <c r="CI17" s="292" t="s">
        <v>115</v>
      </c>
      <c r="CJ17" s="80" t="s">
        <v>115</v>
      </c>
      <c r="CK17" s="81" t="s">
        <v>115</v>
      </c>
      <c r="CL17" s="292" t="s">
        <v>115</v>
      </c>
      <c r="CM17" s="80" t="s">
        <v>115</v>
      </c>
      <c r="CN17" s="81" t="s">
        <v>115</v>
      </c>
      <c r="CO17" s="292" t="s">
        <v>115</v>
      </c>
      <c r="CP17" s="80" t="s">
        <v>115</v>
      </c>
      <c r="CQ17" s="81" t="s">
        <v>115</v>
      </c>
      <c r="CR17" s="292" t="s">
        <v>115</v>
      </c>
      <c r="CS17" s="80" t="s">
        <v>115</v>
      </c>
      <c r="CT17" s="81" t="s">
        <v>115</v>
      </c>
      <c r="CU17" s="292" t="s">
        <v>115</v>
      </c>
      <c r="CV17" s="80" t="s">
        <v>115</v>
      </c>
      <c r="CW17" s="81" t="s">
        <v>115</v>
      </c>
    </row>
    <row r="18" spans="1:101" x14ac:dyDescent="0.2">
      <c r="A18" s="40"/>
      <c r="B18" s="42"/>
      <c r="C18" s="41"/>
      <c r="D18" s="41"/>
      <c r="E18" s="76"/>
      <c r="F18" s="44"/>
      <c r="G18" s="76"/>
      <c r="H18" s="69"/>
      <c r="Q18" s="80"/>
      <c r="R18" s="80"/>
      <c r="S18" s="80"/>
      <c r="T18" s="80"/>
      <c r="U18" s="80"/>
      <c r="V18" s="80">
        <v>77</v>
      </c>
      <c r="W18" s="80">
        <v>76</v>
      </c>
      <c r="X18" s="80"/>
      <c r="Y18" s="80"/>
      <c r="Z18" s="80"/>
      <c r="AA18" s="80"/>
      <c r="AB18" s="80"/>
      <c r="AC18" s="80"/>
      <c r="AD18" s="80">
        <v>40</v>
      </c>
      <c r="AE18" s="80">
        <v>35</v>
      </c>
      <c r="AF18" s="80"/>
      <c r="AG18" s="146"/>
      <c r="AH18" s="53"/>
      <c r="AI18" s="53"/>
      <c r="AJ18" s="53"/>
      <c r="AK18" s="53"/>
      <c r="AL18" s="53"/>
      <c r="AM18" s="53"/>
      <c r="AN18" s="53"/>
      <c r="BA18" s="80"/>
      <c r="BB18" s="80"/>
      <c r="BC18" s="80"/>
      <c r="BD18" s="80"/>
      <c r="BE18" s="80"/>
      <c r="BF18" s="80"/>
      <c r="BG18" s="80">
        <v>591</v>
      </c>
      <c r="BH18" s="80">
        <v>70</v>
      </c>
      <c r="BI18" s="140">
        <v>18</v>
      </c>
      <c r="BJ18" s="80">
        <v>254</v>
      </c>
      <c r="BK18" s="80"/>
      <c r="BL18" s="80"/>
      <c r="BM18" s="80"/>
      <c r="BN18" s="80"/>
      <c r="BO18" s="81"/>
      <c r="BP18" s="51"/>
      <c r="BQ18" s="51">
        <f t="shared" si="0"/>
        <v>8.4428571428571431</v>
      </c>
      <c r="BR18" s="51"/>
      <c r="BS18" s="51"/>
      <c r="BT18" s="292"/>
      <c r="BU18" s="80"/>
      <c r="BV18" s="80"/>
      <c r="BW18" s="81"/>
      <c r="BX18" s="80"/>
      <c r="CC18" s="79"/>
      <c r="CE18" s="49"/>
      <c r="CF18" s="79"/>
      <c r="CH18" s="49"/>
      <c r="CI18" s="79"/>
      <c r="CK18" s="49"/>
      <c r="CL18" s="79"/>
      <c r="CN18" s="49"/>
      <c r="CO18" s="79"/>
      <c r="CQ18" s="49"/>
      <c r="CR18" s="79"/>
      <c r="CT18" s="49"/>
      <c r="CU18" s="79"/>
      <c r="CW18" s="49"/>
    </row>
    <row r="19" spans="1:101" x14ac:dyDescent="0.2">
      <c r="A19" s="40"/>
      <c r="B19" s="42"/>
      <c r="C19" s="41"/>
      <c r="D19" s="41"/>
      <c r="E19" s="76"/>
      <c r="F19" s="44"/>
      <c r="G19" s="76"/>
      <c r="H19" s="69"/>
      <c r="Q19" s="80"/>
      <c r="R19" s="80"/>
      <c r="S19" s="80"/>
      <c r="T19" s="80"/>
      <c r="U19" s="80"/>
      <c r="V19" s="80">
        <v>72</v>
      </c>
      <c r="W19" s="80">
        <v>114</v>
      </c>
      <c r="X19" s="80"/>
      <c r="Y19" s="80"/>
      <c r="Z19" s="80"/>
      <c r="AA19" s="80"/>
      <c r="AB19" s="80"/>
      <c r="AC19" s="80"/>
      <c r="AD19" s="80">
        <v>25</v>
      </c>
      <c r="AE19" s="80">
        <v>33</v>
      </c>
      <c r="AF19" s="80"/>
      <c r="AG19" s="80"/>
      <c r="AH19" s="53"/>
      <c r="AI19" s="53"/>
      <c r="AJ19" s="53"/>
      <c r="AK19" s="53"/>
      <c r="AL19" s="53"/>
      <c r="AM19" s="53"/>
      <c r="AN19" s="53"/>
      <c r="BA19" s="80"/>
      <c r="BB19" s="80"/>
      <c r="BC19" s="80"/>
      <c r="BD19" s="80"/>
      <c r="BE19" s="80"/>
      <c r="BF19" s="80"/>
      <c r="BG19" s="80">
        <v>605</v>
      </c>
      <c r="BH19" s="80">
        <v>79</v>
      </c>
      <c r="BI19" s="140">
        <v>18</v>
      </c>
      <c r="BJ19" s="80"/>
      <c r="BK19" s="80"/>
      <c r="BL19" s="80"/>
      <c r="BM19" s="80"/>
      <c r="BN19" s="80"/>
      <c r="BO19" s="81"/>
      <c r="BP19" s="51"/>
      <c r="BQ19" s="51">
        <f t="shared" si="0"/>
        <v>7.6582278481012658</v>
      </c>
      <c r="BR19" s="51"/>
      <c r="BS19" s="51"/>
      <c r="BT19" s="292"/>
      <c r="BU19" s="80"/>
      <c r="BV19" s="80"/>
      <c r="BW19" s="81"/>
      <c r="BX19" s="80"/>
      <c r="CC19" s="79"/>
      <c r="CE19" s="49"/>
      <c r="CF19" s="79"/>
      <c r="CH19" s="49"/>
      <c r="CI19" s="79"/>
      <c r="CK19" s="49"/>
      <c r="CL19" s="79"/>
      <c r="CN19" s="49"/>
      <c r="CO19" s="79"/>
      <c r="CQ19" s="49"/>
      <c r="CR19" s="79"/>
      <c r="CT19" s="49"/>
      <c r="CU19" s="79"/>
      <c r="CW19" s="49"/>
    </row>
    <row r="20" spans="1:101" s="80" customFormat="1" x14ac:dyDescent="0.2">
      <c r="A20" s="209" t="s">
        <v>280</v>
      </c>
      <c r="B20" s="211" t="s">
        <v>267</v>
      </c>
      <c r="C20" s="210" t="s">
        <v>109</v>
      </c>
      <c r="D20" s="210" t="s">
        <v>111</v>
      </c>
      <c r="E20" s="220" t="s">
        <v>269</v>
      </c>
      <c r="F20" s="213">
        <v>0</v>
      </c>
      <c r="G20" s="212" t="s">
        <v>113</v>
      </c>
      <c r="H20" s="162"/>
      <c r="I20" s="72">
        <f>2441+2068+1773</f>
        <v>6282</v>
      </c>
      <c r="J20" s="72">
        <v>10</v>
      </c>
      <c r="K20" s="72">
        <v>2</v>
      </c>
      <c r="L20" s="60">
        <f t="shared" si="1"/>
        <v>2</v>
      </c>
      <c r="M20" s="72">
        <f>J20-K20</f>
        <v>8</v>
      </c>
      <c r="N20" s="72">
        <v>0</v>
      </c>
      <c r="O20" s="72">
        <v>661</v>
      </c>
      <c r="P20" s="72">
        <v>170</v>
      </c>
      <c r="Q20" s="72">
        <v>1792</v>
      </c>
      <c r="R20" s="72">
        <v>308</v>
      </c>
      <c r="S20" s="72">
        <v>31</v>
      </c>
      <c r="T20" s="72">
        <v>18</v>
      </c>
      <c r="U20" s="72">
        <f>S20-T20</f>
        <v>13</v>
      </c>
      <c r="V20" s="72">
        <v>85</v>
      </c>
      <c r="W20" s="72">
        <v>77</v>
      </c>
      <c r="X20" s="72">
        <v>198</v>
      </c>
      <c r="Y20" s="72">
        <v>159</v>
      </c>
      <c r="Z20" s="72">
        <v>4</v>
      </c>
      <c r="AA20" s="72">
        <v>447</v>
      </c>
      <c r="AB20" s="72">
        <v>198</v>
      </c>
      <c r="AC20" s="72">
        <v>64</v>
      </c>
      <c r="AD20" s="72">
        <v>51</v>
      </c>
      <c r="AE20" s="72">
        <v>24</v>
      </c>
      <c r="AF20" s="72">
        <v>1219</v>
      </c>
      <c r="AG20" s="61">
        <f>AF20/Q20</f>
        <v>0.6802455357142857</v>
      </c>
      <c r="AH20" s="68" t="s">
        <v>115</v>
      </c>
      <c r="AI20" s="68" t="s">
        <v>115</v>
      </c>
      <c r="AJ20" s="68" t="s">
        <v>115</v>
      </c>
      <c r="AK20" s="68" t="s">
        <v>115</v>
      </c>
      <c r="AL20" s="68" t="s">
        <v>115</v>
      </c>
      <c r="AM20" s="68" t="s">
        <v>115</v>
      </c>
      <c r="AN20" s="68" t="s">
        <v>115</v>
      </c>
      <c r="AO20" s="68" t="s">
        <v>115</v>
      </c>
      <c r="AP20" s="68" t="s">
        <v>115</v>
      </c>
      <c r="AQ20" s="68" t="s">
        <v>115</v>
      </c>
      <c r="AR20" s="68" t="s">
        <v>115</v>
      </c>
      <c r="AS20" s="68" t="s">
        <v>115</v>
      </c>
      <c r="AT20" s="68" t="s">
        <v>115</v>
      </c>
      <c r="AU20" s="68" t="s">
        <v>115</v>
      </c>
      <c r="AV20" s="68" t="s">
        <v>115</v>
      </c>
      <c r="AW20" s="68" t="s">
        <v>115</v>
      </c>
      <c r="AX20" s="68" t="s">
        <v>115</v>
      </c>
      <c r="AY20" s="68" t="s">
        <v>115</v>
      </c>
      <c r="AZ20" s="216" t="s">
        <v>115</v>
      </c>
      <c r="BA20" s="72">
        <f>BB20+BC20</f>
        <v>1962</v>
      </c>
      <c r="BB20" s="72">
        <v>1336</v>
      </c>
      <c r="BC20" s="72">
        <v>626</v>
      </c>
      <c r="BD20" s="72">
        <v>11</v>
      </c>
      <c r="BE20" s="72">
        <v>154</v>
      </c>
      <c r="BF20" s="72">
        <v>202</v>
      </c>
      <c r="BG20" s="72">
        <v>617</v>
      </c>
      <c r="BH20" s="72">
        <v>77</v>
      </c>
      <c r="BI20" s="215">
        <v>17</v>
      </c>
      <c r="BJ20" s="72">
        <v>274</v>
      </c>
      <c r="BK20" s="72" t="s">
        <v>115</v>
      </c>
      <c r="BL20" s="72">
        <v>312</v>
      </c>
      <c r="BM20" s="72">
        <v>273</v>
      </c>
      <c r="BN20" s="72" t="s">
        <v>128</v>
      </c>
      <c r="BO20" s="216">
        <f>BM20</f>
        <v>273</v>
      </c>
      <c r="BP20" s="66">
        <f t="shared" si="2"/>
        <v>7.186813186813187</v>
      </c>
      <c r="BQ20" s="66">
        <f t="shared" si="0"/>
        <v>8.0129870129870131</v>
      </c>
      <c r="BR20" s="66">
        <f t="shared" si="3"/>
        <v>4.2820512820512819</v>
      </c>
      <c r="BS20" s="66">
        <f t="shared" si="4"/>
        <v>2.0064102564102564</v>
      </c>
      <c r="BT20" s="294" t="s">
        <v>115</v>
      </c>
      <c r="BU20" s="72" t="s">
        <v>115</v>
      </c>
      <c r="BV20" s="72" t="s">
        <v>115</v>
      </c>
      <c r="BW20" s="216" t="s">
        <v>115</v>
      </c>
      <c r="BX20" s="72" t="s">
        <v>115</v>
      </c>
      <c r="BY20" s="72" t="s">
        <v>115</v>
      </c>
      <c r="BZ20" s="72" t="s">
        <v>115</v>
      </c>
      <c r="CA20" s="72" t="s">
        <v>115</v>
      </c>
      <c r="CB20" s="72" t="s">
        <v>115</v>
      </c>
      <c r="CC20" s="294" t="s">
        <v>115</v>
      </c>
      <c r="CD20" s="72" t="s">
        <v>115</v>
      </c>
      <c r="CE20" s="216" t="s">
        <v>115</v>
      </c>
      <c r="CF20" s="294" t="s">
        <v>115</v>
      </c>
      <c r="CG20" s="72" t="s">
        <v>115</v>
      </c>
      <c r="CH20" s="216" t="s">
        <v>115</v>
      </c>
      <c r="CI20" s="294" t="s">
        <v>115</v>
      </c>
      <c r="CJ20" s="72" t="s">
        <v>115</v>
      </c>
      <c r="CK20" s="216" t="s">
        <v>115</v>
      </c>
      <c r="CL20" s="294" t="s">
        <v>115</v>
      </c>
      <c r="CM20" s="72" t="s">
        <v>115</v>
      </c>
      <c r="CN20" s="216" t="s">
        <v>115</v>
      </c>
      <c r="CO20" s="294" t="s">
        <v>115</v>
      </c>
      <c r="CP20" s="72" t="s">
        <v>115</v>
      </c>
      <c r="CQ20" s="216" t="s">
        <v>115</v>
      </c>
      <c r="CR20" s="294" t="s">
        <v>115</v>
      </c>
      <c r="CS20" s="72" t="s">
        <v>115</v>
      </c>
      <c r="CT20" s="216" t="s">
        <v>115</v>
      </c>
      <c r="CU20" s="294" t="s">
        <v>115</v>
      </c>
      <c r="CV20" s="72" t="s">
        <v>115</v>
      </c>
      <c r="CW20" s="216" t="s">
        <v>115</v>
      </c>
    </row>
    <row r="21" spans="1:101" s="80" customFormat="1" x14ac:dyDescent="0.2">
      <c r="A21" s="209"/>
      <c r="B21" s="211"/>
      <c r="C21" s="210"/>
      <c r="D21" s="210"/>
      <c r="E21" s="220"/>
      <c r="F21" s="213"/>
      <c r="G21" s="212"/>
      <c r="H21" s="162"/>
      <c r="I21" s="72"/>
      <c r="J21" s="72"/>
      <c r="K21" s="72"/>
      <c r="L21" s="60"/>
      <c r="M21" s="72"/>
      <c r="N21" s="72"/>
      <c r="O21" s="72"/>
      <c r="P21" s="72"/>
      <c r="Q21" s="72"/>
      <c r="R21" s="72"/>
      <c r="S21" s="72"/>
      <c r="T21" s="72"/>
      <c r="U21" s="72"/>
      <c r="V21" s="72">
        <v>68</v>
      </c>
      <c r="W21" s="72">
        <v>97</v>
      </c>
      <c r="X21" s="72"/>
      <c r="Y21" s="72"/>
      <c r="Z21" s="72"/>
      <c r="AA21" s="72"/>
      <c r="AB21" s="72"/>
      <c r="AC21" s="72"/>
      <c r="AD21" s="72">
        <v>44</v>
      </c>
      <c r="AE21" s="72">
        <v>26</v>
      </c>
      <c r="AF21" s="72"/>
      <c r="AG21" s="219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216"/>
      <c r="BA21" s="72"/>
      <c r="BB21" s="72"/>
      <c r="BC21" s="72"/>
      <c r="BD21" s="72"/>
      <c r="BE21" s="72"/>
      <c r="BF21" s="72"/>
      <c r="BG21" s="72">
        <v>624</v>
      </c>
      <c r="BH21" s="72">
        <v>55</v>
      </c>
      <c r="BI21" s="215">
        <v>15</v>
      </c>
      <c r="BJ21" s="72">
        <v>282</v>
      </c>
      <c r="BK21" s="72"/>
      <c r="BL21" s="72"/>
      <c r="BM21" s="72"/>
      <c r="BN21" s="72"/>
      <c r="BO21" s="216"/>
      <c r="BP21" s="66"/>
      <c r="BQ21" s="66">
        <f t="shared" si="0"/>
        <v>11.345454545454546</v>
      </c>
      <c r="BR21" s="66"/>
      <c r="BS21" s="66"/>
      <c r="BT21" s="294"/>
      <c r="BU21" s="72"/>
      <c r="BV21" s="72"/>
      <c r="BW21" s="216"/>
      <c r="BX21" s="72"/>
      <c r="BY21" s="72"/>
      <c r="BZ21" s="72"/>
      <c r="CA21" s="72"/>
      <c r="CB21" s="72"/>
      <c r="CC21" s="294"/>
      <c r="CD21" s="72"/>
      <c r="CE21" s="216"/>
      <c r="CF21" s="294"/>
      <c r="CG21" s="72"/>
      <c r="CH21" s="216"/>
      <c r="CI21" s="294"/>
      <c r="CJ21" s="72"/>
      <c r="CK21" s="216"/>
      <c r="CL21" s="294"/>
      <c r="CM21" s="72"/>
      <c r="CN21" s="216"/>
      <c r="CO21" s="294"/>
      <c r="CP21" s="72"/>
      <c r="CQ21" s="216"/>
      <c r="CR21" s="294"/>
      <c r="CS21" s="72"/>
      <c r="CT21" s="216"/>
      <c r="CU21" s="294"/>
      <c r="CV21" s="72"/>
      <c r="CW21" s="216"/>
    </row>
    <row r="22" spans="1:101" s="80" customFormat="1" x14ac:dyDescent="0.2">
      <c r="A22" s="209"/>
      <c r="B22" s="211"/>
      <c r="C22" s="210"/>
      <c r="D22" s="210"/>
      <c r="E22" s="220"/>
      <c r="F22" s="213"/>
      <c r="G22" s="212"/>
      <c r="H22" s="162"/>
      <c r="I22" s="72"/>
      <c r="J22" s="72"/>
      <c r="K22" s="72"/>
      <c r="L22" s="60"/>
      <c r="M22" s="72"/>
      <c r="N22" s="72"/>
      <c r="O22" s="72"/>
      <c r="P22" s="72"/>
      <c r="Q22" s="72"/>
      <c r="R22" s="72"/>
      <c r="S22" s="72"/>
      <c r="T22" s="72"/>
      <c r="U22" s="72"/>
      <c r="V22" s="72">
        <v>111</v>
      </c>
      <c r="W22" s="72">
        <v>94</v>
      </c>
      <c r="X22" s="72"/>
      <c r="Y22" s="72"/>
      <c r="Z22" s="72"/>
      <c r="AA22" s="72"/>
      <c r="AB22" s="72"/>
      <c r="AC22" s="72"/>
      <c r="AD22" s="72">
        <v>38</v>
      </c>
      <c r="AE22" s="72">
        <v>29</v>
      </c>
      <c r="AF22" s="72"/>
      <c r="AG22" s="72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216"/>
      <c r="BA22" s="72"/>
      <c r="BB22" s="72"/>
      <c r="BC22" s="72"/>
      <c r="BD22" s="72"/>
      <c r="BE22" s="72"/>
      <c r="BF22" s="72"/>
      <c r="BG22" s="72">
        <v>607</v>
      </c>
      <c r="BH22" s="72">
        <v>60</v>
      </c>
      <c r="BI22" s="215">
        <v>20</v>
      </c>
      <c r="BJ22" s="72"/>
      <c r="BK22" s="72"/>
      <c r="BL22" s="72"/>
      <c r="BM22" s="72"/>
      <c r="BN22" s="72"/>
      <c r="BO22" s="216"/>
      <c r="BP22" s="66"/>
      <c r="BQ22" s="66">
        <f t="shared" si="0"/>
        <v>10.116666666666667</v>
      </c>
      <c r="BR22" s="66"/>
      <c r="BS22" s="66"/>
      <c r="BT22" s="294"/>
      <c r="BU22" s="72"/>
      <c r="BV22" s="72"/>
      <c r="BW22" s="216"/>
      <c r="BX22" s="72"/>
      <c r="BY22" s="72"/>
      <c r="BZ22" s="72"/>
      <c r="CA22" s="72"/>
      <c r="CB22" s="72"/>
      <c r="CC22" s="294"/>
      <c r="CD22" s="72"/>
      <c r="CE22" s="216"/>
      <c r="CF22" s="294"/>
      <c r="CG22" s="72"/>
      <c r="CH22" s="216"/>
      <c r="CI22" s="294"/>
      <c r="CJ22" s="72"/>
      <c r="CK22" s="216"/>
      <c r="CL22" s="294"/>
      <c r="CM22" s="72"/>
      <c r="CN22" s="216"/>
      <c r="CO22" s="294"/>
      <c r="CP22" s="72"/>
      <c r="CQ22" s="216"/>
      <c r="CR22" s="294"/>
      <c r="CS22" s="72"/>
      <c r="CT22" s="216"/>
      <c r="CU22" s="294"/>
      <c r="CV22" s="72"/>
      <c r="CW22" s="216"/>
    </row>
    <row r="23" spans="1:101" s="80" customFormat="1" ht="15.75" customHeight="1" x14ac:dyDescent="0.2">
      <c r="A23" s="203" t="s">
        <v>281</v>
      </c>
      <c r="B23" s="42" t="s">
        <v>267</v>
      </c>
      <c r="C23" s="204" t="s">
        <v>195</v>
      </c>
      <c r="D23" s="204" t="s">
        <v>197</v>
      </c>
      <c r="E23" s="295" t="s">
        <v>115</v>
      </c>
      <c r="F23" s="207">
        <v>4</v>
      </c>
      <c r="G23" s="206" t="s">
        <v>115</v>
      </c>
      <c r="H23" s="161" t="s">
        <v>282</v>
      </c>
      <c r="I23" s="80" t="s">
        <v>115</v>
      </c>
      <c r="J23" s="80" t="s">
        <v>115</v>
      </c>
      <c r="K23" s="80" t="s">
        <v>115</v>
      </c>
      <c r="L23" s="80" t="s">
        <v>115</v>
      </c>
      <c r="M23" s="80" t="s">
        <v>115</v>
      </c>
      <c r="N23" s="80" t="s">
        <v>115</v>
      </c>
      <c r="O23" s="80" t="s">
        <v>115</v>
      </c>
      <c r="P23" s="80" t="s">
        <v>115</v>
      </c>
      <c r="Q23" s="80" t="s">
        <v>115</v>
      </c>
      <c r="R23" s="80" t="s">
        <v>115</v>
      </c>
      <c r="S23" s="80" t="s">
        <v>115</v>
      </c>
      <c r="T23" s="80" t="s">
        <v>115</v>
      </c>
      <c r="U23" s="80" t="s">
        <v>115</v>
      </c>
      <c r="V23" s="80" t="s">
        <v>115</v>
      </c>
      <c r="W23" s="80" t="s">
        <v>115</v>
      </c>
      <c r="X23" s="80" t="s">
        <v>115</v>
      </c>
      <c r="Y23" s="80" t="s">
        <v>115</v>
      </c>
      <c r="Z23" s="80" t="s">
        <v>115</v>
      </c>
      <c r="AA23" s="80" t="s">
        <v>115</v>
      </c>
      <c r="AB23" s="80" t="s">
        <v>115</v>
      </c>
      <c r="AC23" s="80" t="s">
        <v>115</v>
      </c>
      <c r="AD23" s="80" t="s">
        <v>115</v>
      </c>
      <c r="AE23" s="80" t="s">
        <v>115</v>
      </c>
      <c r="AF23" s="80" t="s">
        <v>115</v>
      </c>
      <c r="AG23" s="80" t="s">
        <v>115</v>
      </c>
      <c r="AH23" s="53" t="s">
        <v>115</v>
      </c>
      <c r="AI23" s="53" t="s">
        <v>115</v>
      </c>
      <c r="AJ23" s="53" t="s">
        <v>115</v>
      </c>
      <c r="AK23" s="53" t="s">
        <v>115</v>
      </c>
      <c r="AL23" s="53" t="s">
        <v>115</v>
      </c>
      <c r="AM23" s="53" t="s">
        <v>115</v>
      </c>
      <c r="AN23" s="53" t="s">
        <v>115</v>
      </c>
      <c r="AO23" s="53" t="s">
        <v>115</v>
      </c>
      <c r="AP23" s="53" t="s">
        <v>115</v>
      </c>
      <c r="AQ23" s="53" t="s">
        <v>115</v>
      </c>
      <c r="AR23" s="53" t="s">
        <v>115</v>
      </c>
      <c r="AS23" s="53" t="s">
        <v>115</v>
      </c>
      <c r="AT23" s="53" t="s">
        <v>115</v>
      </c>
      <c r="AU23" s="53" t="s">
        <v>115</v>
      </c>
      <c r="AV23" s="53" t="s">
        <v>115</v>
      </c>
      <c r="AW23" s="53" t="s">
        <v>115</v>
      </c>
      <c r="AX23" s="53" t="s">
        <v>115</v>
      </c>
      <c r="AY23" s="53" t="s">
        <v>115</v>
      </c>
      <c r="AZ23" s="81" t="s">
        <v>115</v>
      </c>
      <c r="BA23" s="80">
        <v>1420</v>
      </c>
      <c r="BB23" s="80">
        <v>1013</v>
      </c>
      <c r="BC23" s="80">
        <v>396</v>
      </c>
      <c r="BD23" s="80" t="s">
        <v>115</v>
      </c>
      <c r="BE23" s="80">
        <v>159</v>
      </c>
      <c r="BF23" s="80">
        <v>232</v>
      </c>
      <c r="BG23" s="80">
        <v>362</v>
      </c>
      <c r="BH23" s="80">
        <v>72</v>
      </c>
      <c r="BI23" s="140">
        <v>12</v>
      </c>
      <c r="BJ23" s="80">
        <v>262</v>
      </c>
      <c r="BK23" s="80">
        <v>69</v>
      </c>
      <c r="BL23" s="80">
        <v>312</v>
      </c>
      <c r="BM23" s="80">
        <v>214</v>
      </c>
      <c r="BN23" s="80" t="s">
        <v>131</v>
      </c>
      <c r="BO23" s="81">
        <f>BF23</f>
        <v>232</v>
      </c>
      <c r="BP23" s="51">
        <f t="shared" si="2"/>
        <v>6.1206896551724137</v>
      </c>
      <c r="BQ23" s="51">
        <f t="shared" si="0"/>
        <v>5.0277777777777777</v>
      </c>
      <c r="BR23" s="51">
        <f t="shared" si="3"/>
        <v>3.2467948717948718</v>
      </c>
      <c r="BS23" s="51">
        <f t="shared" si="4"/>
        <v>1.2692307692307692</v>
      </c>
      <c r="BT23" s="292">
        <v>1003</v>
      </c>
      <c r="BU23" s="80">
        <v>35</v>
      </c>
      <c r="BV23" s="80">
        <v>37</v>
      </c>
      <c r="BW23" s="49">
        <v>12</v>
      </c>
      <c r="BX23" s="45">
        <v>7</v>
      </c>
      <c r="BY23" s="45" t="s">
        <v>115</v>
      </c>
      <c r="BZ23" s="45">
        <v>92</v>
      </c>
      <c r="CA23" s="45" t="s">
        <v>283</v>
      </c>
      <c r="CB23" s="45">
        <v>7</v>
      </c>
      <c r="CC23" s="79">
        <v>12</v>
      </c>
      <c r="CD23" s="45">
        <v>10</v>
      </c>
      <c r="CE23" s="49">
        <v>7</v>
      </c>
      <c r="CF23" s="79">
        <v>17</v>
      </c>
      <c r="CG23" s="45">
        <v>6</v>
      </c>
      <c r="CH23" s="49">
        <v>12</v>
      </c>
      <c r="CI23" s="79">
        <v>19</v>
      </c>
      <c r="CJ23" s="45">
        <v>7</v>
      </c>
      <c r="CK23" s="49">
        <v>13</v>
      </c>
      <c r="CL23" s="79">
        <v>16</v>
      </c>
      <c r="CM23" s="45">
        <v>6</v>
      </c>
      <c r="CN23" s="49">
        <v>11</v>
      </c>
      <c r="CO23" s="79">
        <v>15</v>
      </c>
      <c r="CP23" s="45">
        <v>5</v>
      </c>
      <c r="CQ23" s="49">
        <v>10</v>
      </c>
      <c r="CR23" s="79">
        <v>6</v>
      </c>
      <c r="CS23" s="45">
        <v>4</v>
      </c>
      <c r="CT23" s="49">
        <v>3</v>
      </c>
      <c r="CU23" s="79">
        <v>5</v>
      </c>
      <c r="CV23" s="45">
        <v>3</v>
      </c>
      <c r="CW23" s="49">
        <v>3</v>
      </c>
    </row>
    <row r="24" spans="1:101" s="80" customFormat="1" x14ac:dyDescent="0.2">
      <c r="A24" s="203"/>
      <c r="B24" s="42"/>
      <c r="C24" s="204"/>
      <c r="D24" s="204"/>
      <c r="E24" s="295"/>
      <c r="F24" s="207"/>
      <c r="G24" s="206"/>
      <c r="H24" s="161"/>
      <c r="AG24" s="146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81"/>
      <c r="BG24" s="80">
        <v>342</v>
      </c>
      <c r="BH24" s="80">
        <v>69</v>
      </c>
      <c r="BI24" s="140">
        <v>14</v>
      </c>
      <c r="BJ24" s="80">
        <v>256</v>
      </c>
      <c r="BK24" s="80">
        <v>84</v>
      </c>
      <c r="BO24" s="81"/>
      <c r="BP24" s="51"/>
      <c r="BQ24" s="51">
        <f t="shared" si="0"/>
        <v>4.9565217391304346</v>
      </c>
      <c r="BR24" s="51"/>
      <c r="BS24" s="51"/>
      <c r="BT24" s="292"/>
      <c r="BU24" s="80">
        <v>34</v>
      </c>
      <c r="BV24" s="80">
        <v>35</v>
      </c>
      <c r="BW24" s="49">
        <v>14</v>
      </c>
      <c r="BX24" s="45"/>
      <c r="BY24" s="45"/>
      <c r="BZ24" s="45">
        <v>90</v>
      </c>
      <c r="CA24" s="45"/>
      <c r="CB24" s="45"/>
      <c r="CC24" s="79">
        <v>13</v>
      </c>
      <c r="CD24" s="45">
        <v>8</v>
      </c>
      <c r="CE24" s="49">
        <v>6</v>
      </c>
      <c r="CF24" s="79">
        <v>19</v>
      </c>
      <c r="CG24" s="45">
        <v>10</v>
      </c>
      <c r="CH24" s="49">
        <v>13</v>
      </c>
      <c r="CI24" s="79">
        <v>18</v>
      </c>
      <c r="CJ24" s="45">
        <v>5</v>
      </c>
      <c r="CK24" s="49">
        <v>13</v>
      </c>
      <c r="CL24" s="79">
        <v>18</v>
      </c>
      <c r="CM24" s="45">
        <v>5</v>
      </c>
      <c r="CN24" s="49">
        <v>14</v>
      </c>
      <c r="CO24" s="79">
        <v>14</v>
      </c>
      <c r="CP24" s="45">
        <v>5</v>
      </c>
      <c r="CQ24" s="49">
        <v>10</v>
      </c>
      <c r="CR24" s="79">
        <v>7</v>
      </c>
      <c r="CS24" s="45">
        <v>2</v>
      </c>
      <c r="CT24" s="49">
        <v>3</v>
      </c>
      <c r="CU24" s="79">
        <v>6</v>
      </c>
      <c r="CV24" s="45">
        <v>4</v>
      </c>
      <c r="CW24" s="49">
        <v>3</v>
      </c>
    </row>
    <row r="25" spans="1:101" s="80" customFormat="1" x14ac:dyDescent="0.2">
      <c r="A25" s="203"/>
      <c r="B25" s="42"/>
      <c r="C25" s="204"/>
      <c r="D25" s="204"/>
      <c r="E25" s="295"/>
      <c r="F25" s="207"/>
      <c r="G25" s="206"/>
      <c r="H25" s="161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81"/>
      <c r="BG25" s="80">
        <v>354</v>
      </c>
      <c r="BH25" s="80">
        <v>76</v>
      </c>
      <c r="BI25" s="140">
        <v>15</v>
      </c>
      <c r="BJ25" s="80">
        <v>232</v>
      </c>
      <c r="BK25" s="80">
        <v>68</v>
      </c>
      <c r="BO25" s="81"/>
      <c r="BP25" s="51"/>
      <c r="BQ25" s="51">
        <f t="shared" si="0"/>
        <v>4.6578947368421053</v>
      </c>
      <c r="BR25" s="51"/>
      <c r="BS25" s="51"/>
      <c r="BT25" s="292"/>
      <c r="BW25" s="49">
        <v>19</v>
      </c>
      <c r="BX25" s="45"/>
      <c r="BY25" s="45"/>
      <c r="BZ25" s="45">
        <v>78</v>
      </c>
      <c r="CA25" s="45"/>
      <c r="CB25" s="45"/>
      <c r="CC25" s="79">
        <v>13</v>
      </c>
      <c r="CD25" s="45">
        <v>11</v>
      </c>
      <c r="CE25" s="49">
        <v>8</v>
      </c>
      <c r="CF25" s="79">
        <v>18</v>
      </c>
      <c r="CG25" s="45">
        <v>9</v>
      </c>
      <c r="CH25" s="49">
        <v>10</v>
      </c>
      <c r="CI25" s="79">
        <v>20</v>
      </c>
      <c r="CJ25" s="45">
        <v>5</v>
      </c>
      <c r="CK25" s="49">
        <v>16</v>
      </c>
      <c r="CL25" s="79">
        <v>16</v>
      </c>
      <c r="CM25" s="45">
        <v>5</v>
      </c>
      <c r="CN25" s="49">
        <v>10</v>
      </c>
      <c r="CO25" s="79">
        <v>15</v>
      </c>
      <c r="CP25" s="45">
        <v>4</v>
      </c>
      <c r="CQ25" s="49">
        <v>11</v>
      </c>
      <c r="CR25" s="79">
        <v>7</v>
      </c>
      <c r="CS25" s="45">
        <v>3</v>
      </c>
      <c r="CT25" s="49">
        <v>4</v>
      </c>
      <c r="CU25" s="79"/>
      <c r="CV25" s="45"/>
      <c r="CW25" s="49"/>
    </row>
    <row r="26" spans="1:101" s="80" customFormat="1" x14ac:dyDescent="0.2">
      <c r="A26" s="209" t="s">
        <v>284</v>
      </c>
      <c r="B26" s="211" t="s">
        <v>267</v>
      </c>
      <c r="C26" s="210" t="s">
        <v>195</v>
      </c>
      <c r="D26" s="210" t="s">
        <v>197</v>
      </c>
      <c r="E26" s="220" t="s">
        <v>115</v>
      </c>
      <c r="F26" s="213">
        <v>2</v>
      </c>
      <c r="G26" s="212" t="s">
        <v>115</v>
      </c>
      <c r="H26" s="162" t="s">
        <v>285</v>
      </c>
      <c r="I26" s="72" t="s">
        <v>115</v>
      </c>
      <c r="J26" s="72" t="s">
        <v>115</v>
      </c>
      <c r="K26" s="72" t="s">
        <v>115</v>
      </c>
      <c r="L26" s="72" t="s">
        <v>115</v>
      </c>
      <c r="M26" s="72" t="s">
        <v>115</v>
      </c>
      <c r="N26" s="72" t="s">
        <v>115</v>
      </c>
      <c r="O26" s="72" t="s">
        <v>115</v>
      </c>
      <c r="P26" s="72" t="s">
        <v>115</v>
      </c>
      <c r="Q26" s="72" t="s">
        <v>115</v>
      </c>
      <c r="R26" s="72" t="s">
        <v>115</v>
      </c>
      <c r="S26" s="72" t="s">
        <v>115</v>
      </c>
      <c r="T26" s="72" t="s">
        <v>115</v>
      </c>
      <c r="U26" s="72" t="s">
        <v>115</v>
      </c>
      <c r="V26" s="72" t="s">
        <v>115</v>
      </c>
      <c r="W26" s="72" t="s">
        <v>115</v>
      </c>
      <c r="X26" s="72" t="s">
        <v>115</v>
      </c>
      <c r="Y26" s="72" t="s">
        <v>115</v>
      </c>
      <c r="Z26" s="72" t="s">
        <v>115</v>
      </c>
      <c r="AA26" s="72" t="s">
        <v>115</v>
      </c>
      <c r="AB26" s="72" t="s">
        <v>115</v>
      </c>
      <c r="AC26" s="72" t="s">
        <v>115</v>
      </c>
      <c r="AD26" s="72" t="s">
        <v>115</v>
      </c>
      <c r="AE26" s="72" t="s">
        <v>115</v>
      </c>
      <c r="AF26" s="72" t="s">
        <v>115</v>
      </c>
      <c r="AG26" s="72" t="s">
        <v>115</v>
      </c>
      <c r="AH26" s="68" t="s">
        <v>115</v>
      </c>
      <c r="AI26" s="68" t="s">
        <v>115</v>
      </c>
      <c r="AJ26" s="68" t="s">
        <v>115</v>
      </c>
      <c r="AK26" s="68" t="s">
        <v>115</v>
      </c>
      <c r="AL26" s="68" t="s">
        <v>115</v>
      </c>
      <c r="AM26" s="68" t="s">
        <v>115</v>
      </c>
      <c r="AN26" s="68" t="s">
        <v>115</v>
      </c>
      <c r="AO26" s="68" t="s">
        <v>115</v>
      </c>
      <c r="AP26" s="68" t="s">
        <v>115</v>
      </c>
      <c r="AQ26" s="68" t="s">
        <v>115</v>
      </c>
      <c r="AR26" s="68" t="s">
        <v>115</v>
      </c>
      <c r="AS26" s="68" t="s">
        <v>115</v>
      </c>
      <c r="AT26" s="68" t="s">
        <v>115</v>
      </c>
      <c r="AU26" s="68" t="s">
        <v>115</v>
      </c>
      <c r="AV26" s="68" t="s">
        <v>115</v>
      </c>
      <c r="AW26" s="68" t="s">
        <v>115</v>
      </c>
      <c r="AX26" s="68" t="s">
        <v>115</v>
      </c>
      <c r="AY26" s="68" t="s">
        <v>115</v>
      </c>
      <c r="AZ26" s="216" t="s">
        <v>115</v>
      </c>
      <c r="BA26" s="72">
        <f>498+634+679</f>
        <v>1811</v>
      </c>
      <c r="BB26" s="72">
        <f>709+568</f>
        <v>1277</v>
      </c>
      <c r="BC26" s="72">
        <f>177+358</f>
        <v>535</v>
      </c>
      <c r="BD26" s="72">
        <v>6</v>
      </c>
      <c r="BE26" s="72">
        <v>149</v>
      </c>
      <c r="BF26" s="72">
        <v>208</v>
      </c>
      <c r="BG26" s="72">
        <v>535</v>
      </c>
      <c r="BH26" s="72">
        <v>78</v>
      </c>
      <c r="BI26" s="215">
        <v>13</v>
      </c>
      <c r="BJ26" s="72">
        <v>249</v>
      </c>
      <c r="BK26" s="72">
        <v>84</v>
      </c>
      <c r="BL26" s="72">
        <v>295</v>
      </c>
      <c r="BM26" s="72">
        <v>232</v>
      </c>
      <c r="BN26" s="72" t="s">
        <v>128</v>
      </c>
      <c r="BO26" s="216">
        <f>BM26</f>
        <v>232</v>
      </c>
      <c r="BP26" s="66">
        <f t="shared" si="2"/>
        <v>7.806034482758621</v>
      </c>
      <c r="BQ26" s="66">
        <f t="shared" si="0"/>
        <v>6.8589743589743586</v>
      </c>
      <c r="BR26" s="66">
        <f t="shared" si="3"/>
        <v>4.3288135593220343</v>
      </c>
      <c r="BS26" s="66">
        <f t="shared" si="4"/>
        <v>1.8135593220338984</v>
      </c>
      <c r="BT26" s="294">
        <v>150</v>
      </c>
      <c r="BU26" s="72">
        <v>28</v>
      </c>
      <c r="BV26" s="72">
        <v>32</v>
      </c>
      <c r="BW26" s="216">
        <v>26</v>
      </c>
      <c r="BX26" s="72" t="s">
        <v>286</v>
      </c>
      <c r="BY26" s="72" t="s">
        <v>115</v>
      </c>
      <c r="BZ26" s="72">
        <v>93</v>
      </c>
      <c r="CA26" s="72">
        <v>7</v>
      </c>
      <c r="CB26" s="72">
        <v>6</v>
      </c>
      <c r="CC26" s="294" t="s">
        <v>115</v>
      </c>
      <c r="CD26" s="72" t="s">
        <v>115</v>
      </c>
      <c r="CE26" s="216" t="s">
        <v>115</v>
      </c>
      <c r="CF26" s="294">
        <v>15</v>
      </c>
      <c r="CG26" s="72">
        <v>7</v>
      </c>
      <c r="CH26" s="216">
        <v>10</v>
      </c>
      <c r="CI26" s="294">
        <v>15</v>
      </c>
      <c r="CJ26" s="72">
        <v>6</v>
      </c>
      <c r="CK26" s="216">
        <v>11</v>
      </c>
      <c r="CL26" s="294">
        <v>10</v>
      </c>
      <c r="CM26" s="72">
        <v>5</v>
      </c>
      <c r="CN26" s="216">
        <v>8</v>
      </c>
      <c r="CO26" s="294">
        <v>10</v>
      </c>
      <c r="CP26" s="72">
        <v>4</v>
      </c>
      <c r="CQ26" s="216">
        <v>6</v>
      </c>
      <c r="CR26" s="72" t="s">
        <v>115</v>
      </c>
      <c r="CS26" s="72" t="s">
        <v>115</v>
      </c>
      <c r="CT26" s="216" t="s">
        <v>115</v>
      </c>
      <c r="CU26" s="294" t="s">
        <v>115</v>
      </c>
      <c r="CV26" s="72" t="s">
        <v>115</v>
      </c>
      <c r="CW26" s="216" t="s">
        <v>115</v>
      </c>
    </row>
    <row r="27" spans="1:101" s="80" customFormat="1" x14ac:dyDescent="0.2">
      <c r="A27" s="209"/>
      <c r="B27" s="211"/>
      <c r="C27" s="210"/>
      <c r="D27" s="210"/>
      <c r="E27" s="220"/>
      <c r="F27" s="213"/>
      <c r="G27" s="212"/>
      <c r="H27" s="16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219"/>
      <c r="Y27" s="60"/>
      <c r="Z27" s="72"/>
      <c r="AA27" s="72"/>
      <c r="AB27" s="72"/>
      <c r="AC27" s="72"/>
      <c r="AD27" s="72"/>
      <c r="AE27" s="72"/>
      <c r="AF27" s="72"/>
      <c r="AG27" s="72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216"/>
      <c r="BA27" s="72"/>
      <c r="BB27" s="72"/>
      <c r="BC27" s="72"/>
      <c r="BD27" s="72"/>
      <c r="BE27" s="72"/>
      <c r="BF27" s="72"/>
      <c r="BG27" s="72">
        <v>501</v>
      </c>
      <c r="BH27" s="72">
        <v>61</v>
      </c>
      <c r="BI27" s="215">
        <v>12</v>
      </c>
      <c r="BJ27" s="72">
        <v>264</v>
      </c>
      <c r="BK27" s="72">
        <v>78</v>
      </c>
      <c r="BL27" s="72"/>
      <c r="BM27" s="72"/>
      <c r="BN27" s="72"/>
      <c r="BO27" s="216"/>
      <c r="BP27" s="66"/>
      <c r="BQ27" s="66">
        <f t="shared" si="0"/>
        <v>8.2131147540983598</v>
      </c>
      <c r="BR27" s="66"/>
      <c r="BS27" s="66"/>
      <c r="BT27" s="294"/>
      <c r="BU27" s="72">
        <v>32</v>
      </c>
      <c r="BV27" s="72">
        <v>38</v>
      </c>
      <c r="BW27" s="216">
        <v>24</v>
      </c>
      <c r="BX27" s="72"/>
      <c r="BY27" s="72"/>
      <c r="BZ27" s="72">
        <v>93</v>
      </c>
      <c r="CA27" s="72"/>
      <c r="CB27" s="72">
        <v>7</v>
      </c>
      <c r="CC27" s="294"/>
      <c r="CD27" s="72"/>
      <c r="CE27" s="216"/>
      <c r="CF27" s="294">
        <v>16</v>
      </c>
      <c r="CG27" s="72">
        <v>8</v>
      </c>
      <c r="CH27" s="216">
        <v>11</v>
      </c>
      <c r="CI27" s="294">
        <v>14</v>
      </c>
      <c r="CJ27" s="72">
        <v>6</v>
      </c>
      <c r="CK27" s="216">
        <v>9</v>
      </c>
      <c r="CL27" s="294">
        <v>12</v>
      </c>
      <c r="CM27" s="72">
        <v>5</v>
      </c>
      <c r="CN27" s="216">
        <v>7</v>
      </c>
      <c r="CO27" s="294"/>
      <c r="CP27" s="72"/>
      <c r="CQ27" s="216"/>
      <c r="CR27" s="72"/>
      <c r="CS27" s="72"/>
      <c r="CT27" s="216"/>
      <c r="CU27" s="294"/>
      <c r="CV27" s="72"/>
      <c r="CW27" s="216"/>
    </row>
    <row r="28" spans="1:101" s="80" customFormat="1" x14ac:dyDescent="0.2">
      <c r="A28" s="209"/>
      <c r="B28" s="211"/>
      <c r="C28" s="210"/>
      <c r="D28" s="210"/>
      <c r="E28" s="220"/>
      <c r="F28" s="213"/>
      <c r="G28" s="212"/>
      <c r="H28" s="16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60"/>
      <c r="Z28" s="72"/>
      <c r="AA28" s="72"/>
      <c r="AB28" s="72"/>
      <c r="AC28" s="72"/>
      <c r="AD28" s="72"/>
      <c r="AE28" s="72"/>
      <c r="AF28" s="72"/>
      <c r="AG28" s="72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216"/>
      <c r="BA28" s="72"/>
      <c r="BB28" s="72"/>
      <c r="BC28" s="72"/>
      <c r="BD28" s="72"/>
      <c r="BE28" s="72"/>
      <c r="BF28" s="72"/>
      <c r="BG28" s="72">
        <f>223+318</f>
        <v>541</v>
      </c>
      <c r="BH28" s="72">
        <v>76</v>
      </c>
      <c r="BI28" s="215">
        <v>11</v>
      </c>
      <c r="BJ28" s="72">
        <v>255</v>
      </c>
      <c r="BK28" s="72">
        <v>74</v>
      </c>
      <c r="BL28" s="72"/>
      <c r="BM28" s="72"/>
      <c r="BN28" s="72"/>
      <c r="BO28" s="216"/>
      <c r="BP28" s="66"/>
      <c r="BQ28" s="66">
        <f t="shared" si="0"/>
        <v>7.1184210526315788</v>
      </c>
      <c r="BR28" s="66"/>
      <c r="BS28" s="66"/>
      <c r="BT28" s="294"/>
      <c r="BU28" s="72"/>
      <c r="BV28" s="72"/>
      <c r="BW28" s="216"/>
      <c r="BX28" s="72"/>
      <c r="BY28" s="72"/>
      <c r="BZ28" s="72"/>
      <c r="CA28" s="72"/>
      <c r="CB28" s="72"/>
      <c r="CC28" s="294"/>
      <c r="CD28" s="72"/>
      <c r="CE28" s="216"/>
      <c r="CF28" s="294"/>
      <c r="CG28" s="72"/>
      <c r="CH28" s="216"/>
      <c r="CI28" s="294">
        <v>13</v>
      </c>
      <c r="CJ28" s="72">
        <v>5</v>
      </c>
      <c r="CK28" s="216">
        <v>9</v>
      </c>
      <c r="CL28" s="294"/>
      <c r="CM28" s="72"/>
      <c r="CN28" s="216"/>
      <c r="CO28" s="294"/>
      <c r="CP28" s="72"/>
      <c r="CQ28" s="216"/>
      <c r="CR28" s="72"/>
      <c r="CS28" s="72"/>
      <c r="CT28" s="216"/>
      <c r="CU28" s="294"/>
      <c r="CV28" s="72"/>
      <c r="CW28" s="216"/>
    </row>
    <row r="29" spans="1:101" s="80" customFormat="1" x14ac:dyDescent="0.2">
      <c r="A29" s="203" t="s">
        <v>194</v>
      </c>
      <c r="B29" s="205" t="s">
        <v>267</v>
      </c>
      <c r="C29" s="204" t="s">
        <v>195</v>
      </c>
      <c r="D29" s="204" t="s">
        <v>197</v>
      </c>
      <c r="E29" s="295" t="s">
        <v>124</v>
      </c>
      <c r="F29" s="207">
        <v>0</v>
      </c>
      <c r="G29" s="206" t="s">
        <v>115</v>
      </c>
      <c r="H29" s="161"/>
      <c r="I29" s="80" t="s">
        <v>115</v>
      </c>
      <c r="J29" s="80" t="s">
        <v>115</v>
      </c>
      <c r="K29" s="80" t="s">
        <v>115</v>
      </c>
      <c r="L29" s="80" t="s">
        <v>115</v>
      </c>
      <c r="M29" s="80" t="s">
        <v>115</v>
      </c>
      <c r="N29" s="80" t="s">
        <v>115</v>
      </c>
      <c r="O29" s="80" t="s">
        <v>115</v>
      </c>
      <c r="P29" s="80" t="s">
        <v>115</v>
      </c>
      <c r="Q29" s="80" t="s">
        <v>115</v>
      </c>
      <c r="R29" s="80" t="s">
        <v>115</v>
      </c>
      <c r="S29" s="80" t="s">
        <v>115</v>
      </c>
      <c r="T29" s="80" t="s">
        <v>115</v>
      </c>
      <c r="U29" s="80" t="s">
        <v>115</v>
      </c>
      <c r="V29" s="80" t="s">
        <v>115</v>
      </c>
      <c r="W29" s="80" t="s">
        <v>115</v>
      </c>
      <c r="X29" s="80" t="s">
        <v>115</v>
      </c>
      <c r="Y29" s="80" t="s">
        <v>115</v>
      </c>
      <c r="Z29" s="80" t="s">
        <v>115</v>
      </c>
      <c r="AA29" s="80" t="s">
        <v>115</v>
      </c>
      <c r="AB29" s="80" t="s">
        <v>115</v>
      </c>
      <c r="AC29" s="80" t="s">
        <v>115</v>
      </c>
      <c r="AD29" s="80" t="s">
        <v>115</v>
      </c>
      <c r="AE29" s="80" t="s">
        <v>115</v>
      </c>
      <c r="AF29" s="80" t="s">
        <v>115</v>
      </c>
      <c r="AG29" s="80" t="s">
        <v>115</v>
      </c>
      <c r="AH29" s="53" t="s">
        <v>115</v>
      </c>
      <c r="AI29" s="53" t="s">
        <v>115</v>
      </c>
      <c r="AJ29" s="53" t="s">
        <v>115</v>
      </c>
      <c r="AK29" s="53" t="s">
        <v>115</v>
      </c>
      <c r="AL29" s="53" t="s">
        <v>115</v>
      </c>
      <c r="AM29" s="53" t="s">
        <v>115</v>
      </c>
      <c r="AN29" s="53" t="s">
        <v>115</v>
      </c>
      <c r="AO29" s="53" t="s">
        <v>115</v>
      </c>
      <c r="AP29" s="53" t="s">
        <v>115</v>
      </c>
      <c r="AQ29" s="53" t="s">
        <v>115</v>
      </c>
      <c r="AR29" s="53" t="s">
        <v>115</v>
      </c>
      <c r="AS29" s="53" t="s">
        <v>115</v>
      </c>
      <c r="AT29" s="53" t="s">
        <v>115</v>
      </c>
      <c r="AU29" s="53" t="s">
        <v>115</v>
      </c>
      <c r="AV29" s="53" t="s">
        <v>115</v>
      </c>
      <c r="AW29" s="53" t="s">
        <v>115</v>
      </c>
      <c r="AX29" s="53" t="s">
        <v>115</v>
      </c>
      <c r="AY29" s="53" t="s">
        <v>115</v>
      </c>
      <c r="AZ29" s="81" t="s">
        <v>115</v>
      </c>
      <c r="BA29" s="80">
        <f>1519+335</f>
        <v>1854</v>
      </c>
      <c r="BB29" s="80">
        <f>992+339</f>
        <v>1331</v>
      </c>
      <c r="BC29" s="80">
        <v>538</v>
      </c>
      <c r="BD29" s="80">
        <v>16</v>
      </c>
      <c r="BE29" s="80">
        <v>109</v>
      </c>
      <c r="BF29" s="172" t="s">
        <v>115</v>
      </c>
      <c r="BG29" s="80">
        <v>518</v>
      </c>
      <c r="BH29" s="80">
        <v>78</v>
      </c>
      <c r="BI29" s="140">
        <v>11</v>
      </c>
      <c r="BJ29" s="80">
        <v>251</v>
      </c>
      <c r="BK29" s="80" t="s">
        <v>115</v>
      </c>
      <c r="BL29" s="80">
        <v>329</v>
      </c>
      <c r="BM29" s="80">
        <v>259</v>
      </c>
      <c r="BN29" s="80" t="s">
        <v>131</v>
      </c>
      <c r="BO29" s="81">
        <f>BC29</f>
        <v>538</v>
      </c>
      <c r="BP29" s="51">
        <f t="shared" si="2"/>
        <v>3.446096654275093</v>
      </c>
      <c r="BQ29" s="51">
        <f t="shared" si="0"/>
        <v>6.6410256410256414</v>
      </c>
      <c r="BR29" s="51">
        <f t="shared" si="3"/>
        <v>4.0455927051671736</v>
      </c>
      <c r="BS29" s="51">
        <f t="shared" si="4"/>
        <v>1.6352583586626139</v>
      </c>
      <c r="BT29" s="292" t="s">
        <v>115</v>
      </c>
      <c r="BU29" s="80" t="s">
        <v>115</v>
      </c>
      <c r="BV29" s="80" t="s">
        <v>115</v>
      </c>
      <c r="BW29" s="81" t="s">
        <v>115</v>
      </c>
      <c r="BX29" s="80" t="s">
        <v>115</v>
      </c>
      <c r="BY29" s="80" t="s">
        <v>115</v>
      </c>
      <c r="BZ29" s="80" t="s">
        <v>115</v>
      </c>
      <c r="CA29" s="80" t="s">
        <v>115</v>
      </c>
      <c r="CB29" s="80" t="s">
        <v>115</v>
      </c>
      <c r="CC29" s="292" t="s">
        <v>115</v>
      </c>
      <c r="CD29" s="80" t="s">
        <v>115</v>
      </c>
      <c r="CE29" s="81" t="s">
        <v>115</v>
      </c>
      <c r="CF29" s="292" t="s">
        <v>115</v>
      </c>
      <c r="CG29" s="80" t="s">
        <v>115</v>
      </c>
      <c r="CH29" s="81" t="s">
        <v>115</v>
      </c>
      <c r="CI29" s="292" t="s">
        <v>115</v>
      </c>
      <c r="CJ29" s="80" t="s">
        <v>115</v>
      </c>
      <c r="CK29" s="81" t="s">
        <v>115</v>
      </c>
      <c r="CL29" s="292" t="s">
        <v>115</v>
      </c>
      <c r="CM29" s="80" t="s">
        <v>115</v>
      </c>
      <c r="CN29" s="81" t="s">
        <v>115</v>
      </c>
      <c r="CO29" s="292" t="s">
        <v>115</v>
      </c>
      <c r="CP29" s="80" t="s">
        <v>115</v>
      </c>
      <c r="CQ29" s="81" t="s">
        <v>115</v>
      </c>
      <c r="CR29" s="80" t="s">
        <v>115</v>
      </c>
      <c r="CS29" s="80" t="s">
        <v>115</v>
      </c>
      <c r="CT29" s="81" t="s">
        <v>115</v>
      </c>
      <c r="CU29" s="292" t="s">
        <v>115</v>
      </c>
      <c r="CV29" s="80" t="s">
        <v>115</v>
      </c>
      <c r="CW29" s="81" t="s">
        <v>115</v>
      </c>
    </row>
    <row r="30" spans="1:101" s="80" customFormat="1" x14ac:dyDescent="0.2">
      <c r="A30" s="203"/>
      <c r="B30" s="205"/>
      <c r="C30" s="204"/>
      <c r="D30" s="204"/>
      <c r="E30" s="295"/>
      <c r="F30" s="207"/>
      <c r="G30" s="206"/>
      <c r="H30" s="161"/>
      <c r="AG30" s="146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81"/>
      <c r="BG30" s="80">
        <v>529</v>
      </c>
      <c r="BH30" s="80">
        <v>67</v>
      </c>
      <c r="BI30" s="140">
        <v>9</v>
      </c>
      <c r="BJ30" s="80">
        <v>253</v>
      </c>
      <c r="BO30" s="81"/>
      <c r="BP30" s="51"/>
      <c r="BQ30" s="51">
        <f t="shared" si="0"/>
        <v>7.8955223880597014</v>
      </c>
      <c r="BR30" s="51"/>
      <c r="BS30" s="51"/>
      <c r="BT30" s="292"/>
      <c r="BW30" s="81"/>
      <c r="CC30" s="292"/>
      <c r="CE30" s="81"/>
      <c r="CF30" s="292"/>
      <c r="CH30" s="81"/>
      <c r="CI30" s="292"/>
      <c r="CK30" s="81"/>
      <c r="CL30" s="292"/>
      <c r="CN30" s="81"/>
      <c r="CO30" s="292"/>
      <c r="CQ30" s="81"/>
      <c r="CT30" s="81"/>
      <c r="CU30" s="292"/>
      <c r="CW30" s="81"/>
    </row>
    <row r="31" spans="1:101" s="80" customFormat="1" x14ac:dyDescent="0.2">
      <c r="A31" s="203"/>
      <c r="B31" s="205"/>
      <c r="C31" s="204"/>
      <c r="D31" s="204"/>
      <c r="E31" s="295"/>
      <c r="F31" s="207"/>
      <c r="G31" s="206"/>
      <c r="H31" s="161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81"/>
      <c r="BG31" s="80">
        <v>521</v>
      </c>
      <c r="BH31" s="80">
        <v>78</v>
      </c>
      <c r="BI31" s="140">
        <v>10</v>
      </c>
      <c r="BJ31" s="80">
        <v>277</v>
      </c>
      <c r="BO31" s="81"/>
      <c r="BP31" s="51"/>
      <c r="BQ31" s="51">
        <f t="shared" si="0"/>
        <v>6.6794871794871797</v>
      </c>
      <c r="BR31" s="51"/>
      <c r="BS31" s="51"/>
      <c r="BT31" s="292"/>
      <c r="BW31" s="81"/>
      <c r="CC31" s="292"/>
      <c r="CE31" s="81"/>
      <c r="CF31" s="292"/>
      <c r="CH31" s="81"/>
      <c r="CI31" s="292"/>
      <c r="CK31" s="81"/>
      <c r="CL31" s="292"/>
      <c r="CN31" s="81"/>
      <c r="CO31" s="292"/>
      <c r="CQ31" s="81"/>
      <c r="CT31" s="81"/>
      <c r="CU31" s="292"/>
      <c r="CW31" s="81"/>
    </row>
    <row r="32" spans="1:101" s="80" customFormat="1" x14ac:dyDescent="0.2">
      <c r="A32" s="209" t="s">
        <v>287</v>
      </c>
      <c r="B32" s="56" t="s">
        <v>267</v>
      </c>
      <c r="C32" s="210" t="s">
        <v>195</v>
      </c>
      <c r="D32" s="210" t="s">
        <v>197</v>
      </c>
      <c r="E32" s="220" t="s">
        <v>124</v>
      </c>
      <c r="F32" s="213">
        <v>0</v>
      </c>
      <c r="G32" s="212" t="s">
        <v>115</v>
      </c>
      <c r="H32" s="162"/>
      <c r="I32" s="214" t="s">
        <v>115</v>
      </c>
      <c r="J32" s="72" t="s">
        <v>115</v>
      </c>
      <c r="K32" s="72" t="s">
        <v>115</v>
      </c>
      <c r="L32" s="72" t="s">
        <v>115</v>
      </c>
      <c r="M32" s="72" t="s">
        <v>115</v>
      </c>
      <c r="N32" s="72" t="s">
        <v>115</v>
      </c>
      <c r="O32" s="72" t="s">
        <v>115</v>
      </c>
      <c r="P32" s="72" t="s">
        <v>115</v>
      </c>
      <c r="Q32" s="72" t="s">
        <v>115</v>
      </c>
      <c r="R32" s="72" t="s">
        <v>115</v>
      </c>
      <c r="S32" s="72" t="s">
        <v>115</v>
      </c>
      <c r="T32" s="72" t="s">
        <v>115</v>
      </c>
      <c r="U32" s="72" t="s">
        <v>115</v>
      </c>
      <c r="V32" s="72" t="s">
        <v>115</v>
      </c>
      <c r="W32" s="72" t="s">
        <v>115</v>
      </c>
      <c r="X32" s="72" t="s">
        <v>115</v>
      </c>
      <c r="Y32" s="72" t="s">
        <v>115</v>
      </c>
      <c r="Z32" s="72" t="s">
        <v>115</v>
      </c>
      <c r="AA32" s="72" t="s">
        <v>115</v>
      </c>
      <c r="AB32" s="72" t="s">
        <v>115</v>
      </c>
      <c r="AC32" s="72" t="s">
        <v>115</v>
      </c>
      <c r="AD32" s="72" t="s">
        <v>115</v>
      </c>
      <c r="AE32" s="72" t="s">
        <v>115</v>
      </c>
      <c r="AF32" s="72" t="s">
        <v>115</v>
      </c>
      <c r="AG32" s="72" t="s">
        <v>115</v>
      </c>
      <c r="AH32" s="68" t="s">
        <v>115</v>
      </c>
      <c r="AI32" s="68" t="s">
        <v>115</v>
      </c>
      <c r="AJ32" s="68" t="s">
        <v>115</v>
      </c>
      <c r="AK32" s="68" t="s">
        <v>115</v>
      </c>
      <c r="AL32" s="68" t="s">
        <v>115</v>
      </c>
      <c r="AM32" s="68" t="s">
        <v>115</v>
      </c>
      <c r="AN32" s="68" t="s">
        <v>115</v>
      </c>
      <c r="AO32" s="68" t="s">
        <v>115</v>
      </c>
      <c r="AP32" s="68" t="s">
        <v>115</v>
      </c>
      <c r="AQ32" s="68" t="s">
        <v>115</v>
      </c>
      <c r="AR32" s="68" t="s">
        <v>115</v>
      </c>
      <c r="AS32" s="68" t="s">
        <v>115</v>
      </c>
      <c r="AT32" s="68" t="s">
        <v>115</v>
      </c>
      <c r="AU32" s="68" t="s">
        <v>115</v>
      </c>
      <c r="AV32" s="68" t="s">
        <v>115</v>
      </c>
      <c r="AW32" s="68" t="s">
        <v>115</v>
      </c>
      <c r="AX32" s="68" t="s">
        <v>115</v>
      </c>
      <c r="AY32" s="68" t="s">
        <v>115</v>
      </c>
      <c r="AZ32" s="216" t="s">
        <v>115</v>
      </c>
      <c r="BA32" s="72">
        <f>1291+561</f>
        <v>1852</v>
      </c>
      <c r="BB32" s="72">
        <f>662+262+348</f>
        <v>1272</v>
      </c>
      <c r="BC32" s="72">
        <v>564</v>
      </c>
      <c r="BD32" s="72">
        <v>23</v>
      </c>
      <c r="BE32" s="72">
        <v>122</v>
      </c>
      <c r="BF32" s="72">
        <v>152</v>
      </c>
      <c r="BG32" s="72">
        <v>557</v>
      </c>
      <c r="BH32" s="72">
        <v>68</v>
      </c>
      <c r="BI32" s="215">
        <v>17</v>
      </c>
      <c r="BJ32" s="72">
        <v>263</v>
      </c>
      <c r="BK32" s="72" t="s">
        <v>115</v>
      </c>
      <c r="BL32" s="72">
        <v>293</v>
      </c>
      <c r="BM32" s="72">
        <v>277</v>
      </c>
      <c r="BN32" s="72" t="s">
        <v>131</v>
      </c>
      <c r="BO32" s="216">
        <f>BC32</f>
        <v>564</v>
      </c>
      <c r="BP32" s="66">
        <f t="shared" si="2"/>
        <v>3.2836879432624113</v>
      </c>
      <c r="BQ32" s="66">
        <f t="shared" si="0"/>
        <v>8.1911764705882355</v>
      </c>
      <c r="BR32" s="66">
        <f t="shared" si="3"/>
        <v>4.3412969283276448</v>
      </c>
      <c r="BS32" s="66">
        <f t="shared" si="4"/>
        <v>1.9249146757679181</v>
      </c>
      <c r="BT32" s="294" t="s">
        <v>115</v>
      </c>
      <c r="BU32" s="72" t="s">
        <v>115</v>
      </c>
      <c r="BV32" s="72" t="s">
        <v>115</v>
      </c>
      <c r="BW32" s="216" t="s">
        <v>115</v>
      </c>
      <c r="BX32" s="72" t="s">
        <v>115</v>
      </c>
      <c r="BY32" s="72" t="s">
        <v>115</v>
      </c>
      <c r="BZ32" s="72" t="s">
        <v>115</v>
      </c>
      <c r="CA32" s="72" t="s">
        <v>115</v>
      </c>
      <c r="CB32" s="72" t="s">
        <v>115</v>
      </c>
      <c r="CC32" s="294" t="s">
        <v>115</v>
      </c>
      <c r="CD32" s="72" t="s">
        <v>115</v>
      </c>
      <c r="CE32" s="216" t="s">
        <v>115</v>
      </c>
      <c r="CF32" s="294" t="s">
        <v>115</v>
      </c>
      <c r="CG32" s="72" t="s">
        <v>115</v>
      </c>
      <c r="CH32" s="216" t="s">
        <v>115</v>
      </c>
      <c r="CI32" s="294" t="s">
        <v>115</v>
      </c>
      <c r="CJ32" s="72" t="s">
        <v>115</v>
      </c>
      <c r="CK32" s="216" t="s">
        <v>115</v>
      </c>
      <c r="CL32" s="294" t="s">
        <v>115</v>
      </c>
      <c r="CM32" s="72" t="s">
        <v>115</v>
      </c>
      <c r="CN32" s="216" t="s">
        <v>115</v>
      </c>
      <c r="CO32" s="294" t="s">
        <v>115</v>
      </c>
      <c r="CP32" s="72" t="s">
        <v>115</v>
      </c>
      <c r="CQ32" s="216" t="s">
        <v>115</v>
      </c>
      <c r="CR32" s="72" t="s">
        <v>115</v>
      </c>
      <c r="CS32" s="72" t="s">
        <v>115</v>
      </c>
      <c r="CT32" s="216" t="s">
        <v>115</v>
      </c>
      <c r="CU32" s="294" t="s">
        <v>115</v>
      </c>
      <c r="CV32" s="72" t="s">
        <v>115</v>
      </c>
      <c r="CW32" s="216" t="s">
        <v>115</v>
      </c>
    </row>
    <row r="33" spans="1:101" s="80" customFormat="1" x14ac:dyDescent="0.2">
      <c r="A33" s="209"/>
      <c r="B33" s="56"/>
      <c r="C33" s="210"/>
      <c r="D33" s="210"/>
      <c r="E33" s="220"/>
      <c r="F33" s="213"/>
      <c r="G33" s="212"/>
      <c r="H33" s="16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219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216"/>
      <c r="BA33" s="72"/>
      <c r="BB33" s="72"/>
      <c r="BC33" s="72"/>
      <c r="BD33" s="72"/>
      <c r="BE33" s="72"/>
      <c r="BF33" s="72"/>
      <c r="BG33" s="72">
        <v>553</v>
      </c>
      <c r="BH33" s="72">
        <v>63</v>
      </c>
      <c r="BI33" s="215">
        <v>11</v>
      </c>
      <c r="BJ33" s="72">
        <v>250</v>
      </c>
      <c r="BK33" s="72"/>
      <c r="BL33" s="72"/>
      <c r="BM33" s="72"/>
      <c r="BN33" s="72"/>
      <c r="BO33" s="216"/>
      <c r="BP33" s="66"/>
      <c r="BQ33" s="66">
        <f t="shared" si="0"/>
        <v>8.7777777777777786</v>
      </c>
      <c r="BR33" s="66"/>
      <c r="BS33" s="66"/>
      <c r="BT33" s="294"/>
      <c r="BU33" s="72"/>
      <c r="BV33" s="72"/>
      <c r="BW33" s="216"/>
      <c r="BX33" s="72"/>
      <c r="BY33" s="72"/>
      <c r="BZ33" s="72"/>
      <c r="CA33" s="72"/>
      <c r="CB33" s="72"/>
      <c r="CC33" s="294"/>
      <c r="CD33" s="72"/>
      <c r="CE33" s="216"/>
      <c r="CF33" s="294"/>
      <c r="CG33" s="72"/>
      <c r="CH33" s="216"/>
      <c r="CI33" s="294"/>
      <c r="CJ33" s="72"/>
      <c r="CK33" s="216"/>
      <c r="CL33" s="294"/>
      <c r="CM33" s="72"/>
      <c r="CN33" s="216"/>
      <c r="CO33" s="294"/>
      <c r="CP33" s="72"/>
      <c r="CQ33" s="216"/>
      <c r="CR33" s="72"/>
      <c r="CS33" s="72"/>
      <c r="CT33" s="216"/>
      <c r="CU33" s="294"/>
      <c r="CV33" s="72"/>
      <c r="CW33" s="216"/>
    </row>
    <row r="34" spans="1:101" s="80" customFormat="1" x14ac:dyDescent="0.2">
      <c r="A34" s="209"/>
      <c r="B34" s="56"/>
      <c r="C34" s="210"/>
      <c r="D34" s="210"/>
      <c r="E34" s="220"/>
      <c r="F34" s="213"/>
      <c r="G34" s="212"/>
      <c r="H34" s="16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216"/>
      <c r="BA34" s="72"/>
      <c r="BB34" s="72"/>
      <c r="BC34" s="72"/>
      <c r="BD34" s="72"/>
      <c r="BE34" s="72"/>
      <c r="BF34" s="72"/>
      <c r="BG34" s="72">
        <v>560</v>
      </c>
      <c r="BH34" s="72">
        <v>66</v>
      </c>
      <c r="BI34" s="215">
        <v>13</v>
      </c>
      <c r="BJ34" s="72">
        <v>252</v>
      </c>
      <c r="BK34" s="72"/>
      <c r="BL34" s="72"/>
      <c r="BM34" s="72"/>
      <c r="BN34" s="72"/>
      <c r="BO34" s="216"/>
      <c r="BP34" s="66"/>
      <c r="BQ34" s="66">
        <f t="shared" si="0"/>
        <v>8.4848484848484844</v>
      </c>
      <c r="BR34" s="66"/>
      <c r="BS34" s="66"/>
      <c r="BT34" s="294"/>
      <c r="BU34" s="72"/>
      <c r="BV34" s="72"/>
      <c r="BW34" s="216"/>
      <c r="BX34" s="72"/>
      <c r="BY34" s="72"/>
      <c r="BZ34" s="72"/>
      <c r="CA34" s="72"/>
      <c r="CB34" s="72"/>
      <c r="CC34" s="294"/>
      <c r="CD34" s="72"/>
      <c r="CE34" s="216"/>
      <c r="CF34" s="294"/>
      <c r="CG34" s="72"/>
      <c r="CH34" s="216"/>
      <c r="CI34" s="294"/>
      <c r="CJ34" s="72"/>
      <c r="CK34" s="216"/>
      <c r="CL34" s="294"/>
      <c r="CM34" s="72"/>
      <c r="CN34" s="216"/>
      <c r="CO34" s="294"/>
      <c r="CP34" s="72"/>
      <c r="CQ34" s="216"/>
      <c r="CR34" s="72"/>
      <c r="CS34" s="72"/>
      <c r="CT34" s="216"/>
      <c r="CU34" s="294"/>
      <c r="CV34" s="72"/>
      <c r="CW34" s="216"/>
    </row>
    <row r="35" spans="1:101" x14ac:dyDescent="0.2">
      <c r="A35" s="40" t="s">
        <v>288</v>
      </c>
      <c r="B35" s="42" t="s">
        <v>289</v>
      </c>
      <c r="C35" s="41" t="s">
        <v>290</v>
      </c>
      <c r="D35" s="41" t="s">
        <v>115</v>
      </c>
      <c r="E35" s="43" t="s">
        <v>115</v>
      </c>
      <c r="F35" s="44">
        <v>1</v>
      </c>
      <c r="G35" s="43" t="s">
        <v>115</v>
      </c>
      <c r="H35" s="69" t="s">
        <v>291</v>
      </c>
      <c r="I35" s="45" t="s">
        <v>115</v>
      </c>
      <c r="J35" s="45" t="s">
        <v>115</v>
      </c>
      <c r="K35" s="45" t="s">
        <v>115</v>
      </c>
      <c r="L35" s="45" t="s">
        <v>115</v>
      </c>
      <c r="M35" s="45" t="s">
        <v>115</v>
      </c>
      <c r="N35" s="45" t="s">
        <v>115</v>
      </c>
      <c r="O35" s="45" t="s">
        <v>115</v>
      </c>
      <c r="P35" s="45" t="s">
        <v>115</v>
      </c>
      <c r="Q35" s="45" t="s">
        <v>115</v>
      </c>
      <c r="R35" s="45" t="s">
        <v>115</v>
      </c>
      <c r="S35" s="45" t="s">
        <v>115</v>
      </c>
      <c r="T35" s="45" t="s">
        <v>115</v>
      </c>
      <c r="U35" s="45" t="s">
        <v>115</v>
      </c>
      <c r="V35" s="45" t="s">
        <v>115</v>
      </c>
      <c r="W35" s="45" t="s">
        <v>115</v>
      </c>
      <c r="X35" s="45" t="s">
        <v>115</v>
      </c>
      <c r="Y35" s="45" t="s">
        <v>115</v>
      </c>
      <c r="Z35" s="45" t="s">
        <v>115</v>
      </c>
      <c r="AA35" s="45" t="s">
        <v>115</v>
      </c>
      <c r="AB35" s="45" t="s">
        <v>115</v>
      </c>
      <c r="AC35" s="45" t="s">
        <v>115</v>
      </c>
      <c r="AD35" s="45" t="s">
        <v>115</v>
      </c>
      <c r="AE35" s="45" t="s">
        <v>115</v>
      </c>
      <c r="AF35" s="45" t="s">
        <v>115</v>
      </c>
      <c r="AG35" s="45" t="s">
        <v>115</v>
      </c>
      <c r="AH35" s="53" t="s">
        <v>115</v>
      </c>
      <c r="AI35" s="53" t="s">
        <v>115</v>
      </c>
      <c r="AJ35" s="53" t="s">
        <v>115</v>
      </c>
      <c r="AK35" s="53" t="s">
        <v>115</v>
      </c>
      <c r="AL35" s="53" t="s">
        <v>115</v>
      </c>
      <c r="AM35" s="53" t="s">
        <v>115</v>
      </c>
      <c r="AN35" s="53" t="s">
        <v>115</v>
      </c>
      <c r="AO35" s="53" t="s">
        <v>115</v>
      </c>
      <c r="AP35" s="53" t="s">
        <v>115</v>
      </c>
      <c r="AQ35" s="53" t="s">
        <v>115</v>
      </c>
      <c r="AR35" s="53" t="s">
        <v>115</v>
      </c>
      <c r="AS35" s="53" t="s">
        <v>115</v>
      </c>
      <c r="AT35" s="53" t="s">
        <v>115</v>
      </c>
      <c r="AU35" s="53" t="s">
        <v>115</v>
      </c>
      <c r="AV35" s="53" t="s">
        <v>115</v>
      </c>
      <c r="AW35" s="53" t="s">
        <v>115</v>
      </c>
      <c r="AX35" s="53" t="s">
        <v>115</v>
      </c>
      <c r="AY35" s="53" t="s">
        <v>115</v>
      </c>
      <c r="AZ35" s="81" t="s">
        <v>115</v>
      </c>
      <c r="BA35" s="45">
        <f>719+319+445</f>
        <v>1483</v>
      </c>
      <c r="BB35" s="45">
        <f>305+269+425</f>
        <v>999</v>
      </c>
      <c r="BC35" s="45">
        <v>509</v>
      </c>
      <c r="BD35" s="45">
        <v>0</v>
      </c>
      <c r="BE35" s="45">
        <v>191</v>
      </c>
      <c r="BF35" s="45">
        <v>240</v>
      </c>
      <c r="BG35" s="45">
        <v>482</v>
      </c>
      <c r="BH35" s="45">
        <v>82</v>
      </c>
      <c r="BI35" s="50">
        <v>13</v>
      </c>
      <c r="BJ35" s="45">
        <v>223</v>
      </c>
      <c r="BK35" s="45">
        <v>83</v>
      </c>
      <c r="BL35" s="45">
        <v>298</v>
      </c>
      <c r="BM35" s="45">
        <v>312</v>
      </c>
      <c r="BN35" s="45" t="s">
        <v>115</v>
      </c>
      <c r="BO35" s="49" t="s">
        <v>115</v>
      </c>
      <c r="BP35" s="51" t="s">
        <v>115</v>
      </c>
      <c r="BQ35" s="51">
        <f t="shared" si="0"/>
        <v>5.8780487804878048</v>
      </c>
      <c r="BR35" s="51">
        <f t="shared" si="3"/>
        <v>3.3523489932885906</v>
      </c>
      <c r="BS35" s="51">
        <f t="shared" si="4"/>
        <v>1.7080536912751678</v>
      </c>
      <c r="BT35" s="79">
        <f>126+129+181</f>
        <v>436</v>
      </c>
      <c r="BU35" s="45">
        <v>28</v>
      </c>
      <c r="BV35" s="45">
        <v>27</v>
      </c>
      <c r="BW35" s="49">
        <v>22</v>
      </c>
      <c r="BX35" s="45">
        <v>7</v>
      </c>
      <c r="BY35" s="45" t="s">
        <v>115</v>
      </c>
      <c r="BZ35" s="45">
        <v>97</v>
      </c>
      <c r="CA35" s="45" t="s">
        <v>292</v>
      </c>
      <c r="CB35" s="45" t="s">
        <v>115</v>
      </c>
      <c r="CC35" s="79">
        <v>11</v>
      </c>
      <c r="CD35" s="45">
        <v>10</v>
      </c>
      <c r="CE35" s="49">
        <v>8</v>
      </c>
      <c r="CF35" s="79">
        <v>18</v>
      </c>
      <c r="CG35" s="45">
        <v>9</v>
      </c>
      <c r="CH35" s="49">
        <v>13</v>
      </c>
      <c r="CI35" s="79">
        <v>19</v>
      </c>
      <c r="CJ35" s="45">
        <v>6</v>
      </c>
      <c r="CK35" s="49">
        <v>13</v>
      </c>
      <c r="CL35" s="79" t="s">
        <v>115</v>
      </c>
      <c r="CM35" s="45" t="s">
        <v>115</v>
      </c>
      <c r="CN35" s="45" t="s">
        <v>115</v>
      </c>
      <c r="CO35" s="79">
        <v>12</v>
      </c>
      <c r="CP35" s="45">
        <v>4</v>
      </c>
      <c r="CQ35" s="49">
        <v>5</v>
      </c>
      <c r="CR35" s="45" t="s">
        <v>115</v>
      </c>
      <c r="CS35" s="45" t="s">
        <v>115</v>
      </c>
      <c r="CT35" s="49" t="s">
        <v>115</v>
      </c>
      <c r="CU35" s="79" t="s">
        <v>115</v>
      </c>
      <c r="CV35" s="45" t="s">
        <v>115</v>
      </c>
      <c r="CW35" s="49" t="s">
        <v>115</v>
      </c>
    </row>
    <row r="36" spans="1:101" x14ac:dyDescent="0.2">
      <c r="A36" s="40"/>
      <c r="B36" s="42"/>
      <c r="C36" s="41"/>
      <c r="D36" s="41"/>
      <c r="E36" s="43"/>
      <c r="F36" s="44"/>
      <c r="G36" s="43"/>
      <c r="H36" s="69"/>
      <c r="AH36" s="53"/>
      <c r="AI36" s="53"/>
      <c r="AJ36" s="53"/>
      <c r="AK36" s="53"/>
      <c r="AL36" s="53"/>
      <c r="AM36" s="53"/>
      <c r="AN36" s="53"/>
      <c r="BG36" s="45">
        <v>479</v>
      </c>
      <c r="BH36" s="45">
        <v>78</v>
      </c>
      <c r="BI36" s="50">
        <v>15</v>
      </c>
      <c r="BJ36" s="45">
        <v>232</v>
      </c>
      <c r="BK36" s="45">
        <v>115</v>
      </c>
      <c r="BP36" s="51"/>
      <c r="BQ36" s="51">
        <f t="shared" si="0"/>
        <v>6.1410256410256414</v>
      </c>
      <c r="BR36" s="51"/>
      <c r="BS36" s="51"/>
      <c r="BX36" s="45">
        <v>8</v>
      </c>
      <c r="CC36" s="79">
        <v>13</v>
      </c>
      <c r="CD36" s="45">
        <v>10</v>
      </c>
      <c r="CE36" s="49">
        <v>9</v>
      </c>
      <c r="CF36" s="79">
        <v>21</v>
      </c>
      <c r="CG36" s="45">
        <v>7</v>
      </c>
      <c r="CH36" s="49">
        <v>10</v>
      </c>
      <c r="CI36" s="79">
        <v>22</v>
      </c>
      <c r="CJ36" s="45">
        <v>6</v>
      </c>
      <c r="CK36" s="49">
        <v>11</v>
      </c>
      <c r="CL36" s="79"/>
      <c r="CN36" s="49"/>
      <c r="CO36" s="45">
        <v>13</v>
      </c>
      <c r="CP36" s="45">
        <v>4</v>
      </c>
      <c r="CQ36" s="49">
        <v>8</v>
      </c>
      <c r="CT36" s="49"/>
      <c r="CU36" s="79"/>
      <c r="CW36" s="49"/>
    </row>
    <row r="37" spans="1:101" x14ac:dyDescent="0.2">
      <c r="A37" s="40"/>
      <c r="B37" s="42"/>
      <c r="C37" s="41"/>
      <c r="D37" s="41"/>
      <c r="E37" s="43"/>
      <c r="F37" s="44"/>
      <c r="G37" s="43"/>
      <c r="H37" s="69"/>
      <c r="AH37" s="53"/>
      <c r="AI37" s="53"/>
      <c r="AJ37" s="53"/>
      <c r="AK37" s="53"/>
      <c r="AL37" s="53"/>
      <c r="AM37" s="53"/>
      <c r="AN37" s="53"/>
      <c r="BG37" s="45">
        <v>502</v>
      </c>
      <c r="BH37" s="45">
        <v>92</v>
      </c>
      <c r="BI37" s="50">
        <v>13</v>
      </c>
      <c r="BJ37" s="45">
        <v>257</v>
      </c>
      <c r="BK37" s="45">
        <v>122</v>
      </c>
      <c r="BP37" s="51"/>
      <c r="BQ37" s="51">
        <f t="shared" si="0"/>
        <v>5.4565217391304346</v>
      </c>
      <c r="BR37" s="51"/>
      <c r="BS37" s="51"/>
      <c r="CC37" s="79">
        <v>12</v>
      </c>
      <c r="CD37" s="45">
        <v>10</v>
      </c>
      <c r="CE37" s="49">
        <v>7</v>
      </c>
      <c r="CF37" s="79">
        <v>20</v>
      </c>
      <c r="CG37" s="45">
        <v>7</v>
      </c>
      <c r="CH37" s="49">
        <v>11</v>
      </c>
      <c r="CI37" s="79">
        <v>22</v>
      </c>
      <c r="CJ37" s="45">
        <v>5</v>
      </c>
      <c r="CK37" s="49">
        <v>9</v>
      </c>
      <c r="CL37" s="79"/>
      <c r="CN37" s="49"/>
      <c r="CQ37" s="49"/>
      <c r="CT37" s="49"/>
      <c r="CU37" s="79"/>
      <c r="CW37" s="49"/>
    </row>
    <row r="38" spans="1:101" x14ac:dyDescent="0.2">
      <c r="A38" s="54" t="s">
        <v>293</v>
      </c>
      <c r="B38" s="56" t="s">
        <v>289</v>
      </c>
      <c r="C38" s="55" t="s">
        <v>109</v>
      </c>
      <c r="D38" s="55" t="s">
        <v>111</v>
      </c>
      <c r="E38" s="70" t="s">
        <v>124</v>
      </c>
      <c r="F38" s="58">
        <v>3</v>
      </c>
      <c r="G38" s="57" t="s">
        <v>113</v>
      </c>
      <c r="H38" s="59" t="s">
        <v>294</v>
      </c>
      <c r="I38" s="60">
        <f>415+609+335+499+1109+694</f>
        <v>3661</v>
      </c>
      <c r="J38" s="60">
        <v>8</v>
      </c>
      <c r="K38" s="60">
        <v>2</v>
      </c>
      <c r="L38" s="60">
        <f t="shared" si="1"/>
        <v>2</v>
      </c>
      <c r="M38" s="60">
        <f>J38-K38</f>
        <v>6</v>
      </c>
      <c r="N38" s="60">
        <v>0</v>
      </c>
      <c r="O38" s="60">
        <v>299</v>
      </c>
      <c r="P38" s="60">
        <v>186</v>
      </c>
      <c r="Q38" s="60">
        <f>303+754</f>
        <v>1057</v>
      </c>
      <c r="R38" s="60">
        <v>258</v>
      </c>
      <c r="S38" s="60">
        <v>38</v>
      </c>
      <c r="T38" s="60">
        <v>17</v>
      </c>
      <c r="U38" s="60">
        <f>S38-T38</f>
        <v>21</v>
      </c>
      <c r="V38" s="60">
        <v>43</v>
      </c>
      <c r="W38" s="60" t="s">
        <v>115</v>
      </c>
      <c r="X38" s="60" t="s">
        <v>115</v>
      </c>
      <c r="Y38" s="60">
        <v>86</v>
      </c>
      <c r="Z38" s="60">
        <v>4</v>
      </c>
      <c r="AA38" s="60">
        <v>204</v>
      </c>
      <c r="AB38" s="60" t="s">
        <v>115</v>
      </c>
      <c r="AC38" s="60">
        <v>88</v>
      </c>
      <c r="AD38" s="60">
        <v>20</v>
      </c>
      <c r="AE38" s="60" t="s">
        <v>115</v>
      </c>
      <c r="AF38" s="60">
        <f>274+338</f>
        <v>612</v>
      </c>
      <c r="AG38" s="61">
        <f>AF38/Q38</f>
        <v>0.57899716177861871</v>
      </c>
      <c r="AH38" s="68" t="s">
        <v>115</v>
      </c>
      <c r="AI38" s="68" t="s">
        <v>115</v>
      </c>
      <c r="AJ38" s="68" t="s">
        <v>115</v>
      </c>
      <c r="AK38" s="68" t="s">
        <v>115</v>
      </c>
      <c r="AL38" s="68" t="s">
        <v>115</v>
      </c>
      <c r="AM38" s="68" t="s">
        <v>115</v>
      </c>
      <c r="AN38" s="68" t="s">
        <v>115</v>
      </c>
      <c r="AO38" s="68" t="s">
        <v>115</v>
      </c>
      <c r="AP38" s="68" t="s">
        <v>115</v>
      </c>
      <c r="AQ38" s="68" t="s">
        <v>115</v>
      </c>
      <c r="AR38" s="68" t="s">
        <v>115</v>
      </c>
      <c r="AS38" s="68" t="s">
        <v>115</v>
      </c>
      <c r="AT38" s="68" t="s">
        <v>115</v>
      </c>
      <c r="AU38" s="68" t="s">
        <v>115</v>
      </c>
      <c r="AV38" s="68" t="s">
        <v>115</v>
      </c>
      <c r="AW38" s="68" t="s">
        <v>115</v>
      </c>
      <c r="AX38" s="68" t="s">
        <v>115</v>
      </c>
      <c r="AY38" s="68" t="s">
        <v>115</v>
      </c>
      <c r="AZ38" s="216" t="s">
        <v>115</v>
      </c>
      <c r="BA38" s="60">
        <f>503+254+719</f>
        <v>1476</v>
      </c>
      <c r="BB38" s="60">
        <f>230+729</f>
        <v>959</v>
      </c>
      <c r="BC38" s="60">
        <v>512</v>
      </c>
      <c r="BD38" s="60">
        <v>0</v>
      </c>
      <c r="BE38" s="60">
        <v>189</v>
      </c>
      <c r="BF38" s="60">
        <v>222</v>
      </c>
      <c r="BG38" s="60">
        <v>486</v>
      </c>
      <c r="BH38" s="60">
        <v>76</v>
      </c>
      <c r="BI38" s="65">
        <v>11</v>
      </c>
      <c r="BJ38" s="60">
        <v>280</v>
      </c>
      <c r="BK38" s="60">
        <v>82</v>
      </c>
      <c r="BL38" s="60">
        <v>274</v>
      </c>
      <c r="BM38" s="60">
        <v>282</v>
      </c>
      <c r="BN38" s="60" t="s">
        <v>128</v>
      </c>
      <c r="BO38" s="64">
        <f>BM38</f>
        <v>282</v>
      </c>
      <c r="BP38" s="66">
        <f t="shared" si="2"/>
        <v>5.2340425531914896</v>
      </c>
      <c r="BQ38" s="66">
        <f t="shared" si="0"/>
        <v>6.3947368421052628</v>
      </c>
      <c r="BR38" s="66">
        <f t="shared" si="3"/>
        <v>3.5</v>
      </c>
      <c r="BS38" s="66">
        <f t="shared" si="4"/>
        <v>1.8686131386861313</v>
      </c>
      <c r="BT38" s="75">
        <v>223</v>
      </c>
      <c r="BU38" s="60">
        <v>31</v>
      </c>
      <c r="BV38" s="60">
        <v>31</v>
      </c>
      <c r="BW38" s="64">
        <v>21</v>
      </c>
      <c r="BX38" s="60">
        <v>6</v>
      </c>
      <c r="BY38" s="60" t="s">
        <v>115</v>
      </c>
      <c r="BZ38" s="60">
        <v>78</v>
      </c>
      <c r="CA38" s="60">
        <v>7</v>
      </c>
      <c r="CB38" s="60">
        <v>7</v>
      </c>
      <c r="CC38" s="75">
        <v>13</v>
      </c>
      <c r="CD38" s="60">
        <v>10</v>
      </c>
      <c r="CE38" s="64">
        <v>9</v>
      </c>
      <c r="CF38" s="75">
        <v>14</v>
      </c>
      <c r="CG38" s="60">
        <v>9</v>
      </c>
      <c r="CH38" s="64">
        <v>11</v>
      </c>
      <c r="CI38" s="75">
        <v>10</v>
      </c>
      <c r="CJ38" s="60">
        <v>5</v>
      </c>
      <c r="CK38" s="64">
        <v>8</v>
      </c>
      <c r="CL38" s="75">
        <v>17</v>
      </c>
      <c r="CM38" s="60">
        <v>4</v>
      </c>
      <c r="CN38" s="64">
        <v>11</v>
      </c>
      <c r="CO38" s="60">
        <v>10</v>
      </c>
      <c r="CP38" s="60">
        <v>5</v>
      </c>
      <c r="CQ38" s="64">
        <v>6</v>
      </c>
      <c r="CR38" s="60">
        <v>7</v>
      </c>
      <c r="CS38" s="60">
        <v>4</v>
      </c>
      <c r="CT38" s="64">
        <v>3</v>
      </c>
      <c r="CU38" s="75">
        <v>6</v>
      </c>
      <c r="CV38" s="60">
        <v>3</v>
      </c>
      <c r="CW38" s="64">
        <v>3</v>
      </c>
    </row>
    <row r="39" spans="1:101" x14ac:dyDescent="0.2">
      <c r="A39" s="54"/>
      <c r="B39" s="56"/>
      <c r="C39" s="55"/>
      <c r="D39" s="55"/>
      <c r="E39" s="70"/>
      <c r="F39" s="58"/>
      <c r="G39" s="57"/>
      <c r="H39" s="59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>
        <v>41</v>
      </c>
      <c r="W39" s="60" t="s">
        <v>115</v>
      </c>
      <c r="X39" s="60"/>
      <c r="Y39" s="60"/>
      <c r="Z39" s="60"/>
      <c r="AA39" s="60"/>
      <c r="AB39" s="60"/>
      <c r="AC39" s="60"/>
      <c r="AD39" s="60">
        <v>12</v>
      </c>
      <c r="AE39" s="60" t="s">
        <v>115</v>
      </c>
      <c r="AF39" s="60"/>
      <c r="AG39" s="61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73"/>
      <c r="AZ39" s="216"/>
      <c r="BA39" s="60"/>
      <c r="BB39" s="60"/>
      <c r="BC39" s="60"/>
      <c r="BD39" s="60"/>
      <c r="BE39" s="60"/>
      <c r="BF39" s="60"/>
      <c r="BG39" s="60">
        <v>499</v>
      </c>
      <c r="BH39" s="60">
        <v>82</v>
      </c>
      <c r="BI39" s="65">
        <v>13</v>
      </c>
      <c r="BJ39" s="60">
        <v>261</v>
      </c>
      <c r="BK39" s="60">
        <v>68</v>
      </c>
      <c r="BL39" s="60"/>
      <c r="BM39" s="60"/>
      <c r="BN39" s="60"/>
      <c r="BO39" s="64"/>
      <c r="BP39" s="66"/>
      <c r="BQ39" s="66">
        <f t="shared" si="0"/>
        <v>6.0853658536585362</v>
      </c>
      <c r="BR39" s="66"/>
      <c r="BS39" s="66"/>
      <c r="BT39" s="75"/>
      <c r="BU39" s="60">
        <v>29</v>
      </c>
      <c r="BV39" s="60">
        <v>34</v>
      </c>
      <c r="BW39" s="64">
        <v>21</v>
      </c>
      <c r="BX39" s="60">
        <v>7</v>
      </c>
      <c r="BY39" s="60"/>
      <c r="BZ39" s="60"/>
      <c r="CA39" s="60"/>
      <c r="CB39" s="60">
        <v>7</v>
      </c>
      <c r="CC39" s="75">
        <v>12</v>
      </c>
      <c r="CD39" s="60">
        <v>9</v>
      </c>
      <c r="CE39" s="64">
        <v>9</v>
      </c>
      <c r="CF39" s="75">
        <v>16</v>
      </c>
      <c r="CG39" s="60">
        <v>6</v>
      </c>
      <c r="CH39" s="64">
        <v>10</v>
      </c>
      <c r="CI39" s="75">
        <v>17</v>
      </c>
      <c r="CJ39" s="60">
        <v>7</v>
      </c>
      <c r="CK39" s="64">
        <v>11</v>
      </c>
      <c r="CL39" s="75">
        <v>13</v>
      </c>
      <c r="CM39" s="60">
        <v>5</v>
      </c>
      <c r="CN39" s="64">
        <v>7</v>
      </c>
      <c r="CO39" s="60">
        <v>16</v>
      </c>
      <c r="CP39" s="60">
        <v>4</v>
      </c>
      <c r="CQ39" s="64">
        <v>11</v>
      </c>
      <c r="CR39" s="60">
        <v>7</v>
      </c>
      <c r="CS39" s="60">
        <v>3</v>
      </c>
      <c r="CT39" s="64">
        <v>5</v>
      </c>
      <c r="CU39" s="75"/>
      <c r="CV39" s="60"/>
      <c r="CW39" s="64"/>
    </row>
    <row r="40" spans="1:101" x14ac:dyDescent="0.2">
      <c r="A40" s="54"/>
      <c r="B40" s="56"/>
      <c r="C40" s="55"/>
      <c r="D40" s="55"/>
      <c r="E40" s="70"/>
      <c r="F40" s="58"/>
      <c r="G40" s="57"/>
      <c r="H40" s="59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>
        <v>47</v>
      </c>
      <c r="W40" s="60" t="s">
        <v>115</v>
      </c>
      <c r="X40" s="60"/>
      <c r="Y40" s="60"/>
      <c r="Z40" s="60"/>
      <c r="AA40" s="60"/>
      <c r="AB40" s="60"/>
      <c r="AC40" s="60"/>
      <c r="AD40" s="60">
        <v>15</v>
      </c>
      <c r="AE40" s="60" t="s">
        <v>115</v>
      </c>
      <c r="AF40" s="60"/>
      <c r="AG40" s="60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216"/>
      <c r="BA40" s="60"/>
      <c r="BB40" s="60"/>
      <c r="BC40" s="60"/>
      <c r="BD40" s="60"/>
      <c r="BE40" s="60"/>
      <c r="BF40" s="60"/>
      <c r="BG40" s="60">
        <v>471</v>
      </c>
      <c r="BH40" s="60">
        <v>83</v>
      </c>
      <c r="BI40" s="65">
        <v>14</v>
      </c>
      <c r="BJ40" s="60">
        <v>241</v>
      </c>
      <c r="BK40" s="60">
        <v>98</v>
      </c>
      <c r="BL40" s="60"/>
      <c r="BM40" s="60"/>
      <c r="BN40" s="60"/>
      <c r="BO40" s="64"/>
      <c r="BP40" s="66"/>
      <c r="BQ40" s="66">
        <f t="shared" si="0"/>
        <v>5.6746987951807233</v>
      </c>
      <c r="BR40" s="66"/>
      <c r="BS40" s="66"/>
      <c r="BT40" s="75"/>
      <c r="BU40" s="60"/>
      <c r="BV40" s="60"/>
      <c r="BW40" s="64"/>
      <c r="BX40" s="60"/>
      <c r="BY40" s="60"/>
      <c r="BZ40" s="60"/>
      <c r="CA40" s="60"/>
      <c r="CB40" s="60"/>
      <c r="CC40" s="75">
        <v>12</v>
      </c>
      <c r="CD40" s="60">
        <v>10</v>
      </c>
      <c r="CE40" s="64">
        <v>7</v>
      </c>
      <c r="CF40" s="75">
        <v>18</v>
      </c>
      <c r="CG40" s="60">
        <v>6</v>
      </c>
      <c r="CH40" s="64">
        <v>12</v>
      </c>
      <c r="CI40" s="75">
        <v>20</v>
      </c>
      <c r="CJ40" s="60">
        <v>5</v>
      </c>
      <c r="CK40" s="64">
        <v>13</v>
      </c>
      <c r="CL40" s="75">
        <v>17</v>
      </c>
      <c r="CM40" s="60">
        <v>4</v>
      </c>
      <c r="CN40" s="64">
        <v>11</v>
      </c>
      <c r="CO40" s="60">
        <v>9</v>
      </c>
      <c r="CP40" s="60">
        <v>5</v>
      </c>
      <c r="CQ40" s="64">
        <v>5</v>
      </c>
      <c r="CR40" s="60"/>
      <c r="CS40" s="60"/>
      <c r="CT40" s="64"/>
      <c r="CU40" s="75"/>
      <c r="CV40" s="60"/>
      <c r="CW40" s="64"/>
    </row>
    <row r="41" spans="1:101" ht="15.75" customHeight="1" x14ac:dyDescent="0.2">
      <c r="A41" s="40" t="s">
        <v>295</v>
      </c>
      <c r="B41" s="42" t="s">
        <v>289</v>
      </c>
      <c r="C41" s="41" t="s">
        <v>109</v>
      </c>
      <c r="D41" s="41" t="s">
        <v>111</v>
      </c>
      <c r="E41" s="76" t="s">
        <v>112</v>
      </c>
      <c r="F41" s="44">
        <v>4</v>
      </c>
      <c r="G41" s="43" t="s">
        <v>113</v>
      </c>
      <c r="H41" s="69" t="s">
        <v>296</v>
      </c>
      <c r="I41" s="45">
        <f>1394+384+485+803+1548+395</f>
        <v>5009</v>
      </c>
      <c r="J41" s="45">
        <v>11</v>
      </c>
      <c r="K41" s="45">
        <v>3</v>
      </c>
      <c r="L41" s="45">
        <f t="shared" si="1"/>
        <v>2</v>
      </c>
      <c r="M41" s="45">
        <f>J41-K41</f>
        <v>8</v>
      </c>
      <c r="N41" s="45">
        <v>1</v>
      </c>
      <c r="O41" s="45">
        <v>275</v>
      </c>
      <c r="P41" s="45">
        <v>218</v>
      </c>
      <c r="Q41" s="47">
        <f>356+393</f>
        <v>749</v>
      </c>
      <c r="R41" s="47">
        <v>285</v>
      </c>
      <c r="S41" s="47">
        <v>37</v>
      </c>
      <c r="T41" s="47">
        <v>19</v>
      </c>
      <c r="U41" s="47">
        <f>S41-T41</f>
        <v>18</v>
      </c>
      <c r="V41" s="47">
        <v>38</v>
      </c>
      <c r="W41" s="47">
        <v>92</v>
      </c>
      <c r="X41" s="47">
        <v>144</v>
      </c>
      <c r="Y41" s="47">
        <v>91</v>
      </c>
      <c r="Z41" s="53">
        <v>4</v>
      </c>
      <c r="AA41" s="47">
        <v>127</v>
      </c>
      <c r="AB41" s="47">
        <v>170</v>
      </c>
      <c r="AC41" s="47">
        <v>31</v>
      </c>
      <c r="AD41" s="47">
        <v>13</v>
      </c>
      <c r="AE41" s="47">
        <v>29</v>
      </c>
      <c r="AF41" s="47">
        <v>421</v>
      </c>
      <c r="AG41" s="48">
        <f>AF41/Q41</f>
        <v>0.56208277703604803</v>
      </c>
      <c r="AH41" s="53">
        <f>1159+368</f>
        <v>1527</v>
      </c>
      <c r="AI41" s="53">
        <v>462</v>
      </c>
      <c r="AJ41" s="53">
        <v>40</v>
      </c>
      <c r="AK41" s="53">
        <v>18</v>
      </c>
      <c r="AL41" s="53">
        <v>22</v>
      </c>
      <c r="AM41" s="53">
        <v>60</v>
      </c>
      <c r="AN41" s="53">
        <v>102</v>
      </c>
      <c r="AO41" s="53" t="s">
        <v>115</v>
      </c>
      <c r="AP41" s="53" t="s">
        <v>115</v>
      </c>
      <c r="AQ41" s="53" t="s">
        <v>115</v>
      </c>
      <c r="AR41" s="53">
        <v>31</v>
      </c>
      <c r="AS41" s="53" t="s">
        <v>115</v>
      </c>
      <c r="AT41" s="53">
        <v>272</v>
      </c>
      <c r="AU41" s="53">
        <v>299</v>
      </c>
      <c r="AV41" s="53">
        <v>42</v>
      </c>
      <c r="AW41" s="53">
        <v>56</v>
      </c>
      <c r="AX41" s="53">
        <v>849</v>
      </c>
      <c r="AY41" s="74">
        <f>AX41/AH41</f>
        <v>0.55599214145383102</v>
      </c>
      <c r="AZ41" s="141">
        <v>14</v>
      </c>
      <c r="BA41" s="45">
        <f>1084+397</f>
        <v>1481</v>
      </c>
      <c r="BB41" s="45">
        <f>539+383</f>
        <v>922</v>
      </c>
      <c r="BC41" s="45">
        <v>539</v>
      </c>
      <c r="BD41" s="45">
        <v>7</v>
      </c>
      <c r="BE41" s="45">
        <v>161</v>
      </c>
      <c r="BF41" s="45">
        <v>203</v>
      </c>
      <c r="BG41" s="45">
        <v>477</v>
      </c>
      <c r="BH41" s="45">
        <v>58</v>
      </c>
      <c r="BI41" s="50">
        <v>13</v>
      </c>
      <c r="BJ41" s="50">
        <v>232</v>
      </c>
      <c r="BK41" s="45" t="s">
        <v>115</v>
      </c>
      <c r="BL41" s="45">
        <v>281</v>
      </c>
      <c r="BM41" s="45">
        <v>282</v>
      </c>
      <c r="BN41" s="45" t="s">
        <v>116</v>
      </c>
      <c r="BO41" s="49">
        <f>AI41</f>
        <v>462</v>
      </c>
      <c r="BP41" s="51" t="s">
        <v>115</v>
      </c>
      <c r="BQ41" s="51">
        <f t="shared" si="0"/>
        <v>8.2241379310344822</v>
      </c>
      <c r="BR41" s="51">
        <f t="shared" si="3"/>
        <v>3.2811387900355871</v>
      </c>
      <c r="BS41" s="51">
        <f t="shared" si="4"/>
        <v>1.9181494661921707</v>
      </c>
      <c r="BT41" s="79">
        <f>30+58+113+23+143+143</f>
        <v>510</v>
      </c>
      <c r="BU41" s="45">
        <v>32</v>
      </c>
      <c r="BV41" s="45">
        <v>31</v>
      </c>
      <c r="BW41" s="49">
        <v>21</v>
      </c>
      <c r="BX41" s="45">
        <v>6</v>
      </c>
      <c r="BY41" s="45" t="s">
        <v>115</v>
      </c>
      <c r="BZ41" s="45">
        <v>79</v>
      </c>
      <c r="CA41" s="45" t="s">
        <v>292</v>
      </c>
      <c r="CB41" s="45" t="s">
        <v>115</v>
      </c>
      <c r="CC41" s="79">
        <v>13</v>
      </c>
      <c r="CD41" s="45">
        <v>10</v>
      </c>
      <c r="CE41" s="49">
        <v>7</v>
      </c>
      <c r="CF41" s="79">
        <v>15</v>
      </c>
      <c r="CG41" s="45">
        <v>9</v>
      </c>
      <c r="CH41" s="49">
        <v>9</v>
      </c>
      <c r="CI41" s="45">
        <v>20</v>
      </c>
      <c r="CJ41" s="45">
        <v>6</v>
      </c>
      <c r="CK41" s="49">
        <v>12</v>
      </c>
      <c r="CL41" s="79">
        <v>17</v>
      </c>
      <c r="CM41" s="45">
        <v>4</v>
      </c>
      <c r="CN41" s="49">
        <v>6</v>
      </c>
      <c r="CO41" s="45">
        <v>8</v>
      </c>
      <c r="CP41" s="45">
        <v>4</v>
      </c>
      <c r="CQ41" s="49">
        <v>4</v>
      </c>
      <c r="CR41" s="45">
        <v>6</v>
      </c>
      <c r="CS41" s="45">
        <v>4</v>
      </c>
      <c r="CT41" s="49">
        <v>3</v>
      </c>
      <c r="CU41" s="79">
        <v>6</v>
      </c>
      <c r="CV41" s="45">
        <v>3</v>
      </c>
      <c r="CW41" s="49">
        <v>3</v>
      </c>
    </row>
    <row r="42" spans="1:101" x14ac:dyDescent="0.2">
      <c r="A42" s="40"/>
      <c r="B42" s="42"/>
      <c r="C42" s="41"/>
      <c r="D42" s="41"/>
      <c r="E42" s="76"/>
      <c r="F42" s="44"/>
      <c r="G42" s="43"/>
      <c r="H42" s="69"/>
      <c r="V42" s="47">
        <v>35</v>
      </c>
      <c r="W42" s="47">
        <v>81</v>
      </c>
      <c r="AC42" s="47"/>
      <c r="AD42" s="47">
        <v>11</v>
      </c>
      <c r="AE42" s="47">
        <v>32</v>
      </c>
      <c r="AG42" s="46"/>
      <c r="AH42" s="53"/>
      <c r="AI42" s="53"/>
      <c r="AM42" s="53">
        <v>67</v>
      </c>
      <c r="AN42" s="53">
        <v>79</v>
      </c>
      <c r="AQ42" s="45"/>
      <c r="AR42" s="45"/>
      <c r="AS42" s="45"/>
      <c r="AT42" s="45"/>
      <c r="AU42" s="45"/>
      <c r="AV42" s="53">
        <v>39</v>
      </c>
      <c r="AW42" s="53">
        <v>46</v>
      </c>
      <c r="AX42" s="45"/>
      <c r="AY42" s="45"/>
      <c r="AZ42" s="81">
        <v>18</v>
      </c>
      <c r="BG42" s="45">
        <v>482</v>
      </c>
      <c r="BH42" s="45">
        <v>67</v>
      </c>
      <c r="BI42" s="50">
        <v>12</v>
      </c>
      <c r="BJ42" s="45">
        <v>240</v>
      </c>
      <c r="BP42" s="51" t="s">
        <v>153</v>
      </c>
      <c r="BQ42" s="51">
        <f t="shared" si="0"/>
        <v>7.1940298507462686</v>
      </c>
      <c r="BR42" s="51"/>
      <c r="BS42" s="51"/>
      <c r="BU42" s="45">
        <v>30</v>
      </c>
      <c r="BV42" s="45">
        <v>30</v>
      </c>
      <c r="BX42" s="45">
        <v>7</v>
      </c>
      <c r="CC42" s="79">
        <v>10</v>
      </c>
      <c r="CD42" s="45">
        <v>10</v>
      </c>
      <c r="CE42" s="49">
        <v>6</v>
      </c>
      <c r="CF42" s="79">
        <v>14</v>
      </c>
      <c r="CG42" s="45">
        <v>8</v>
      </c>
      <c r="CH42" s="49">
        <v>7</v>
      </c>
      <c r="CI42" s="45">
        <v>19</v>
      </c>
      <c r="CJ42" s="45">
        <v>6</v>
      </c>
      <c r="CK42" s="49">
        <v>10</v>
      </c>
      <c r="CL42" s="45">
        <v>17</v>
      </c>
      <c r="CM42" s="45">
        <v>4</v>
      </c>
      <c r="CN42" s="49">
        <v>10</v>
      </c>
      <c r="CO42" s="45">
        <v>10</v>
      </c>
      <c r="CP42" s="45">
        <v>4</v>
      </c>
      <c r="CQ42" s="49">
        <v>5</v>
      </c>
      <c r="CT42" s="49"/>
      <c r="CW42" s="49"/>
    </row>
    <row r="43" spans="1:101" s="89" customFormat="1" x14ac:dyDescent="0.2">
      <c r="A43" s="83"/>
      <c r="B43" s="85"/>
      <c r="C43" s="84"/>
      <c r="D43" s="84"/>
      <c r="E43" s="296"/>
      <c r="F43" s="87"/>
      <c r="G43" s="86"/>
      <c r="H43" s="88"/>
      <c r="L43" s="45"/>
      <c r="V43" s="297">
        <v>43</v>
      </c>
      <c r="W43" s="297">
        <v>106</v>
      </c>
      <c r="X43" s="298"/>
      <c r="Y43" s="298"/>
      <c r="AC43" s="297"/>
      <c r="AD43" s="297">
        <v>12</v>
      </c>
      <c r="AE43" s="297">
        <v>24</v>
      </c>
      <c r="AH43" s="90"/>
      <c r="AI43" s="90"/>
      <c r="AJ43" s="90"/>
      <c r="AK43" s="90"/>
      <c r="AL43" s="90"/>
      <c r="AM43" s="90">
        <v>64</v>
      </c>
      <c r="AN43" s="90">
        <v>105</v>
      </c>
      <c r="AO43" s="299"/>
      <c r="AP43" s="299"/>
      <c r="AQ43" s="299"/>
      <c r="AR43" s="299"/>
      <c r="AS43" s="90"/>
      <c r="AT43" s="90"/>
      <c r="AU43" s="90"/>
      <c r="AV43" s="90">
        <v>37</v>
      </c>
      <c r="AW43" s="90">
        <v>52</v>
      </c>
      <c r="AX43" s="90"/>
      <c r="AY43" s="90"/>
      <c r="AZ43" s="229">
        <v>21</v>
      </c>
      <c r="BG43" s="89">
        <v>544</v>
      </c>
      <c r="BH43" s="89">
        <v>62</v>
      </c>
      <c r="BI43" s="94">
        <v>13</v>
      </c>
      <c r="BJ43" s="89">
        <v>253</v>
      </c>
      <c r="BO43" s="93"/>
      <c r="BP43" s="300" t="s">
        <v>154</v>
      </c>
      <c r="BQ43" s="301">
        <f t="shared" si="0"/>
        <v>8.7741935483870961</v>
      </c>
      <c r="BR43" s="301"/>
      <c r="BS43" s="301"/>
      <c r="BT43" s="302"/>
      <c r="BW43" s="93"/>
      <c r="CC43" s="302"/>
      <c r="CE43" s="93"/>
      <c r="CF43" s="89">
        <v>19</v>
      </c>
      <c r="CG43" s="89">
        <v>7</v>
      </c>
      <c r="CH43" s="93">
        <v>11</v>
      </c>
      <c r="CI43" s="89">
        <v>21</v>
      </c>
      <c r="CJ43" s="89">
        <v>6</v>
      </c>
      <c r="CK43" s="93">
        <v>10</v>
      </c>
      <c r="CL43" s="89">
        <v>13</v>
      </c>
      <c r="CM43" s="89">
        <v>5</v>
      </c>
      <c r="CN43" s="93">
        <v>9</v>
      </c>
      <c r="CO43" s="89">
        <v>17</v>
      </c>
      <c r="CP43" s="89">
        <v>5</v>
      </c>
      <c r="CQ43" s="93">
        <v>4</v>
      </c>
      <c r="CT43" s="93"/>
      <c r="CW43" s="93"/>
    </row>
    <row r="44" spans="1:101" ht="16" customHeight="1" x14ac:dyDescent="0.2">
      <c r="A44" s="111" t="s">
        <v>297</v>
      </c>
      <c r="B44" s="303" t="s">
        <v>298</v>
      </c>
      <c r="C44" s="70" t="s">
        <v>299</v>
      </c>
      <c r="D44" s="98"/>
      <c r="E44" s="304"/>
      <c r="F44" s="304"/>
      <c r="G44" s="304"/>
      <c r="H44" s="59"/>
      <c r="I44" s="60" t="s">
        <v>115</v>
      </c>
      <c r="J44" s="60" t="s">
        <v>115</v>
      </c>
      <c r="K44" s="60" t="s">
        <v>115</v>
      </c>
      <c r="L44" s="101" t="s">
        <v>115</v>
      </c>
      <c r="M44" s="60" t="s">
        <v>115</v>
      </c>
      <c r="N44" s="60" t="s">
        <v>115</v>
      </c>
      <c r="O44" s="60" t="s">
        <v>115</v>
      </c>
      <c r="P44" s="60" t="s">
        <v>115</v>
      </c>
      <c r="Q44" s="60" t="s">
        <v>115</v>
      </c>
      <c r="R44" s="60" t="s">
        <v>115</v>
      </c>
      <c r="S44" s="60" t="s">
        <v>115</v>
      </c>
      <c r="T44" s="60" t="s">
        <v>115</v>
      </c>
      <c r="U44" s="60" t="s">
        <v>115</v>
      </c>
      <c r="V44" s="60" t="s">
        <v>115</v>
      </c>
      <c r="W44" s="60" t="s">
        <v>115</v>
      </c>
      <c r="X44" s="60" t="s">
        <v>115</v>
      </c>
      <c r="Y44" s="60" t="s">
        <v>115</v>
      </c>
      <c r="Z44" s="60" t="s">
        <v>115</v>
      </c>
      <c r="AA44" s="60" t="s">
        <v>115</v>
      </c>
      <c r="AB44" s="60" t="s">
        <v>115</v>
      </c>
      <c r="AC44" s="60" t="s">
        <v>115</v>
      </c>
      <c r="AD44" s="60" t="s">
        <v>115</v>
      </c>
      <c r="AE44" s="60" t="s">
        <v>115</v>
      </c>
      <c r="AF44" s="60" t="s">
        <v>115</v>
      </c>
      <c r="AG44" s="101" t="s">
        <v>115</v>
      </c>
      <c r="AH44" s="68" t="s">
        <v>115</v>
      </c>
      <c r="AI44" s="68" t="s">
        <v>115</v>
      </c>
      <c r="AJ44" s="102" t="s">
        <v>115</v>
      </c>
      <c r="AK44" s="102" t="s">
        <v>115</v>
      </c>
      <c r="AL44" s="102" t="s">
        <v>115</v>
      </c>
      <c r="AM44" s="102" t="s">
        <v>115</v>
      </c>
      <c r="AN44" s="102" t="s">
        <v>115</v>
      </c>
      <c r="AO44" s="102" t="s">
        <v>115</v>
      </c>
      <c r="AP44" s="102" t="s">
        <v>115</v>
      </c>
      <c r="AQ44" s="102" t="s">
        <v>115</v>
      </c>
      <c r="AR44" s="102" t="s">
        <v>115</v>
      </c>
      <c r="AS44" s="102" t="s">
        <v>115</v>
      </c>
      <c r="AT44" s="102" t="s">
        <v>115</v>
      </c>
      <c r="AU44" s="102" t="s">
        <v>115</v>
      </c>
      <c r="AV44" s="102" t="s">
        <v>115</v>
      </c>
      <c r="AW44" s="102" t="s">
        <v>115</v>
      </c>
      <c r="AX44" s="102" t="s">
        <v>115</v>
      </c>
      <c r="AY44" s="102" t="s">
        <v>115</v>
      </c>
      <c r="AZ44" s="266" t="s">
        <v>115</v>
      </c>
      <c r="BA44" s="60">
        <f>907+659</f>
        <v>1566</v>
      </c>
      <c r="BB44" s="60">
        <f>418+546</f>
        <v>964</v>
      </c>
      <c r="BC44" s="60">
        <v>583</v>
      </c>
      <c r="BD44" s="60">
        <v>16</v>
      </c>
      <c r="BE44" s="60">
        <v>170</v>
      </c>
      <c r="BF44" s="60">
        <v>230</v>
      </c>
      <c r="BG44" s="60">
        <v>582</v>
      </c>
      <c r="BH44" s="305">
        <v>79</v>
      </c>
      <c r="BI44" s="306">
        <v>24</v>
      </c>
      <c r="BJ44" s="305">
        <v>227</v>
      </c>
      <c r="BK44" s="60">
        <v>122</v>
      </c>
      <c r="BL44" s="60">
        <v>276</v>
      </c>
      <c r="BM44" s="60">
        <v>296</v>
      </c>
      <c r="BN44" s="60" t="s">
        <v>128</v>
      </c>
      <c r="BO44" s="64">
        <f>BM44</f>
        <v>296</v>
      </c>
      <c r="BP44" s="66">
        <f t="shared" si="2"/>
        <v>5.2905405405405403</v>
      </c>
      <c r="BQ44" s="66">
        <f t="shared" si="0"/>
        <v>7.3670886075949369</v>
      </c>
      <c r="BR44" s="66">
        <f t="shared" si="3"/>
        <v>3.4927536231884058</v>
      </c>
      <c r="BS44" s="109">
        <f t="shared" si="4"/>
        <v>2.11231884057971</v>
      </c>
      <c r="BT44" s="60">
        <v>284</v>
      </c>
      <c r="BU44" s="60">
        <v>29</v>
      </c>
      <c r="BV44" s="60">
        <v>30</v>
      </c>
      <c r="BW44" s="64">
        <v>21</v>
      </c>
      <c r="BX44" s="60">
        <v>8</v>
      </c>
      <c r="BY44" s="60" t="s">
        <v>115</v>
      </c>
      <c r="BZ44" s="60" t="s">
        <v>115</v>
      </c>
      <c r="CA44" s="60">
        <v>7</v>
      </c>
      <c r="CB44" s="105">
        <v>9</v>
      </c>
      <c r="CC44" s="60" t="s">
        <v>115</v>
      </c>
      <c r="CD44" s="60" t="s">
        <v>115</v>
      </c>
      <c r="CE44" s="64" t="s">
        <v>115</v>
      </c>
      <c r="CF44" s="60" t="s">
        <v>115</v>
      </c>
      <c r="CG44" s="60" t="s">
        <v>115</v>
      </c>
      <c r="CH44" s="64" t="s">
        <v>115</v>
      </c>
      <c r="CI44" s="60" t="s">
        <v>115</v>
      </c>
      <c r="CJ44" s="60" t="s">
        <v>115</v>
      </c>
      <c r="CK44" s="64" t="s">
        <v>115</v>
      </c>
      <c r="CL44" s="60" t="s">
        <v>115</v>
      </c>
      <c r="CM44" s="60" t="s">
        <v>115</v>
      </c>
      <c r="CN44" s="64" t="s">
        <v>115</v>
      </c>
      <c r="CO44" s="60" t="s">
        <v>115</v>
      </c>
      <c r="CP44" s="60" t="s">
        <v>115</v>
      </c>
      <c r="CQ44" s="64" t="s">
        <v>115</v>
      </c>
      <c r="CR44" s="60" t="s">
        <v>115</v>
      </c>
      <c r="CS44" s="60" t="s">
        <v>115</v>
      </c>
      <c r="CT44" s="64" t="s">
        <v>115</v>
      </c>
      <c r="CU44" s="60" t="s">
        <v>115</v>
      </c>
      <c r="CV44" s="60" t="s">
        <v>115</v>
      </c>
      <c r="CW44" s="64" t="s">
        <v>115</v>
      </c>
    </row>
    <row r="45" spans="1:101" ht="16" customHeight="1" x14ac:dyDescent="0.2">
      <c r="A45" s="111"/>
      <c r="B45" s="238"/>
      <c r="C45" s="70"/>
      <c r="D45" s="55"/>
      <c r="E45" s="70"/>
      <c r="F45" s="70"/>
      <c r="G45" s="70"/>
      <c r="H45" s="59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216"/>
      <c r="BA45" s="60"/>
      <c r="BB45" s="60"/>
      <c r="BC45" s="60"/>
      <c r="BD45" s="60"/>
      <c r="BE45" s="60"/>
      <c r="BF45" s="60"/>
      <c r="BG45" s="60">
        <v>571</v>
      </c>
      <c r="BH45" s="60">
        <v>73</v>
      </c>
      <c r="BI45" s="65">
        <v>22</v>
      </c>
      <c r="BJ45" s="60">
        <v>205</v>
      </c>
      <c r="BK45" s="60">
        <v>120</v>
      </c>
      <c r="BL45" s="60"/>
      <c r="BM45" s="60"/>
      <c r="BN45" s="60"/>
      <c r="BO45" s="64"/>
      <c r="BP45" s="66"/>
      <c r="BQ45" s="66">
        <f t="shared" si="0"/>
        <v>7.8219178082191778</v>
      </c>
      <c r="BR45" s="66"/>
      <c r="BS45" s="67"/>
      <c r="BT45" s="60"/>
      <c r="BU45" s="60">
        <v>34</v>
      </c>
      <c r="BV45" s="60">
        <v>28</v>
      </c>
      <c r="BW45" s="64">
        <v>19</v>
      </c>
      <c r="BX45" s="60"/>
      <c r="BY45" s="60"/>
      <c r="BZ45" s="60"/>
      <c r="CA45" s="60"/>
      <c r="CB45" s="64">
        <v>6</v>
      </c>
      <c r="CC45" s="60"/>
      <c r="CD45" s="60"/>
      <c r="CE45" s="64"/>
      <c r="CF45" s="60"/>
      <c r="CG45" s="60"/>
      <c r="CH45" s="64"/>
      <c r="CI45" s="60"/>
      <c r="CJ45" s="60"/>
      <c r="CK45" s="64"/>
      <c r="CL45" s="60"/>
      <c r="CM45" s="60"/>
      <c r="CN45" s="64"/>
      <c r="CO45" s="60"/>
      <c r="CP45" s="60"/>
      <c r="CQ45" s="64"/>
      <c r="CR45" s="60"/>
      <c r="CS45" s="60"/>
      <c r="CT45" s="64"/>
      <c r="CU45" s="60"/>
      <c r="CV45" s="60"/>
      <c r="CW45" s="64"/>
    </row>
    <row r="46" spans="1:101" ht="16" customHeight="1" x14ac:dyDescent="0.2">
      <c r="A46" s="111"/>
      <c r="B46" s="238"/>
      <c r="C46" s="70"/>
      <c r="D46" s="55"/>
      <c r="E46" s="70"/>
      <c r="F46" s="70"/>
      <c r="G46" s="70"/>
      <c r="H46" s="59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216"/>
      <c r="BA46" s="60"/>
      <c r="BB46" s="60"/>
      <c r="BC46" s="60"/>
      <c r="BD46" s="60"/>
      <c r="BE46" s="60"/>
      <c r="BF46" s="60"/>
      <c r="BG46" s="60">
        <v>550</v>
      </c>
      <c r="BH46" s="60">
        <v>62</v>
      </c>
      <c r="BI46" s="65">
        <v>21</v>
      </c>
      <c r="BJ46" s="60">
        <v>230</v>
      </c>
      <c r="BK46" s="60">
        <v>131</v>
      </c>
      <c r="BL46" s="60"/>
      <c r="BM46" s="60"/>
      <c r="BN46" s="60"/>
      <c r="BO46" s="64"/>
      <c r="BP46" s="66"/>
      <c r="BQ46" s="66">
        <f>BG46/BH46</f>
        <v>8.870967741935484</v>
      </c>
      <c r="BR46" s="66"/>
      <c r="BS46" s="67"/>
      <c r="BT46" s="60"/>
      <c r="BU46" s="60"/>
      <c r="BV46" s="60">
        <v>35</v>
      </c>
      <c r="BW46" s="64">
        <v>19</v>
      </c>
      <c r="BX46" s="60"/>
      <c r="BY46" s="60"/>
      <c r="BZ46" s="60"/>
      <c r="CA46" s="60"/>
      <c r="CB46" s="64">
        <v>7</v>
      </c>
      <c r="CC46" s="60"/>
      <c r="CD46" s="60"/>
      <c r="CE46" s="64"/>
      <c r="CF46" s="60"/>
      <c r="CG46" s="60"/>
      <c r="CH46" s="64"/>
      <c r="CI46" s="60"/>
      <c r="CJ46" s="60"/>
      <c r="CK46" s="64"/>
      <c r="CL46" s="60"/>
      <c r="CM46" s="60"/>
      <c r="CN46" s="64"/>
      <c r="CO46" s="60"/>
      <c r="CP46" s="60"/>
      <c r="CQ46" s="64"/>
      <c r="CR46" s="60"/>
      <c r="CS46" s="60"/>
      <c r="CT46" s="64"/>
      <c r="CU46" s="60"/>
      <c r="CV46" s="60"/>
      <c r="CW46" s="64"/>
    </row>
    <row r="47" spans="1:101" ht="16" customHeight="1" x14ac:dyDescent="0.2">
      <c r="A47" s="234" t="s">
        <v>300</v>
      </c>
      <c r="B47" s="235" t="s">
        <v>301</v>
      </c>
      <c r="C47" s="76" t="s">
        <v>299</v>
      </c>
      <c r="D47" s="41"/>
      <c r="E47" s="76"/>
      <c r="F47" s="76"/>
      <c r="G47" s="76"/>
      <c r="H47" s="69"/>
      <c r="I47" s="45" t="s">
        <v>115</v>
      </c>
      <c r="J47" s="45" t="s">
        <v>115</v>
      </c>
      <c r="K47" s="45" t="s">
        <v>115</v>
      </c>
      <c r="L47" s="45" t="s">
        <v>115</v>
      </c>
      <c r="M47" s="45" t="s">
        <v>115</v>
      </c>
      <c r="N47" s="45" t="s">
        <v>115</v>
      </c>
      <c r="O47" s="45" t="s">
        <v>115</v>
      </c>
      <c r="P47" s="45" t="s">
        <v>115</v>
      </c>
      <c r="Q47" s="45" t="s">
        <v>115</v>
      </c>
      <c r="R47" s="45" t="s">
        <v>115</v>
      </c>
      <c r="S47" s="45" t="s">
        <v>115</v>
      </c>
      <c r="T47" s="45" t="s">
        <v>115</v>
      </c>
      <c r="U47" s="45" t="s">
        <v>115</v>
      </c>
      <c r="V47" s="45" t="s">
        <v>115</v>
      </c>
      <c r="W47" s="45" t="s">
        <v>115</v>
      </c>
      <c r="X47" s="45" t="s">
        <v>115</v>
      </c>
      <c r="Y47" s="45" t="s">
        <v>115</v>
      </c>
      <c r="Z47" s="45" t="s">
        <v>115</v>
      </c>
      <c r="AA47" s="45" t="s">
        <v>115</v>
      </c>
      <c r="AB47" s="45" t="s">
        <v>115</v>
      </c>
      <c r="AC47" s="45" t="s">
        <v>115</v>
      </c>
      <c r="AD47" s="45" t="s">
        <v>115</v>
      </c>
      <c r="AE47" s="45" t="s">
        <v>115</v>
      </c>
      <c r="AF47" s="45" t="s">
        <v>115</v>
      </c>
      <c r="AG47" s="45" t="s">
        <v>115</v>
      </c>
      <c r="AH47" s="53" t="s">
        <v>115</v>
      </c>
      <c r="AI47" s="53" t="s">
        <v>115</v>
      </c>
      <c r="AJ47" s="53" t="s">
        <v>115</v>
      </c>
      <c r="AK47" s="53" t="s">
        <v>115</v>
      </c>
      <c r="AL47" s="53" t="s">
        <v>115</v>
      </c>
      <c r="AM47" s="53" t="s">
        <v>115</v>
      </c>
      <c r="AN47" s="53" t="s">
        <v>115</v>
      </c>
      <c r="AO47" s="53" t="s">
        <v>115</v>
      </c>
      <c r="AP47" s="53" t="s">
        <v>115</v>
      </c>
      <c r="AQ47" s="53" t="s">
        <v>115</v>
      </c>
      <c r="AR47" s="53" t="s">
        <v>115</v>
      </c>
      <c r="AS47" s="53" t="s">
        <v>115</v>
      </c>
      <c r="AT47" s="53" t="s">
        <v>115</v>
      </c>
      <c r="AU47" s="53" t="s">
        <v>115</v>
      </c>
      <c r="AV47" s="53" t="s">
        <v>115</v>
      </c>
      <c r="AW47" s="53" t="s">
        <v>115</v>
      </c>
      <c r="AX47" s="53" t="s">
        <v>115</v>
      </c>
      <c r="AY47" s="53" t="s">
        <v>115</v>
      </c>
      <c r="AZ47" s="81" t="s">
        <v>115</v>
      </c>
      <c r="BA47" s="45">
        <f>1086+426</f>
        <v>1512</v>
      </c>
      <c r="BB47" s="45">
        <f>570+343</f>
        <v>913</v>
      </c>
      <c r="BC47" s="45">
        <v>581</v>
      </c>
      <c r="BD47" s="45">
        <v>34</v>
      </c>
      <c r="BE47" s="45">
        <v>180</v>
      </c>
      <c r="BF47" s="45">
        <v>231</v>
      </c>
      <c r="BG47" s="130" t="s">
        <v>302</v>
      </c>
      <c r="BH47" s="130">
        <v>87</v>
      </c>
      <c r="BI47" s="249">
        <v>16</v>
      </c>
      <c r="BJ47" s="130">
        <v>225</v>
      </c>
      <c r="BK47" s="45">
        <v>135</v>
      </c>
      <c r="BL47" s="45">
        <v>273</v>
      </c>
      <c r="BM47" s="45">
        <v>300</v>
      </c>
      <c r="BN47" s="45" t="s">
        <v>128</v>
      </c>
      <c r="BO47" s="49">
        <f>BM47</f>
        <v>300</v>
      </c>
      <c r="BP47" s="51">
        <f t="shared" si="2"/>
        <v>5.04</v>
      </c>
      <c r="BQ47" s="51">
        <f>573/87</f>
        <v>6.5862068965517242</v>
      </c>
      <c r="BR47" s="51">
        <f t="shared" si="3"/>
        <v>3.3443223443223444</v>
      </c>
      <c r="BS47" s="52">
        <f t="shared" si="4"/>
        <v>2.1282051282051282</v>
      </c>
      <c r="BT47" s="45">
        <f>184+50+41+41+202</f>
        <v>518</v>
      </c>
      <c r="BU47" s="130">
        <v>34</v>
      </c>
      <c r="BV47" s="45">
        <v>32</v>
      </c>
      <c r="BW47" s="49">
        <v>19</v>
      </c>
      <c r="BX47" s="45">
        <v>7</v>
      </c>
      <c r="BY47" s="45" t="s">
        <v>115</v>
      </c>
      <c r="BZ47" s="45" t="s">
        <v>115</v>
      </c>
      <c r="CA47" s="45">
        <v>7</v>
      </c>
      <c r="CB47" s="49">
        <v>4</v>
      </c>
      <c r="CC47" s="45" t="s">
        <v>115</v>
      </c>
      <c r="CD47" s="45" t="s">
        <v>115</v>
      </c>
      <c r="CE47" s="49" t="s">
        <v>115</v>
      </c>
      <c r="CF47" s="45" t="s">
        <v>115</v>
      </c>
      <c r="CG47" s="45" t="s">
        <v>115</v>
      </c>
      <c r="CH47" s="49" t="s">
        <v>115</v>
      </c>
      <c r="CI47" s="45" t="s">
        <v>115</v>
      </c>
      <c r="CJ47" s="45" t="s">
        <v>115</v>
      </c>
      <c r="CK47" s="49" t="s">
        <v>115</v>
      </c>
      <c r="CL47" s="45" t="s">
        <v>115</v>
      </c>
      <c r="CM47" s="45" t="s">
        <v>115</v>
      </c>
      <c r="CN47" s="49" t="s">
        <v>115</v>
      </c>
      <c r="CO47" s="45" t="s">
        <v>115</v>
      </c>
      <c r="CP47" s="45" t="s">
        <v>115</v>
      </c>
      <c r="CQ47" s="49" t="s">
        <v>115</v>
      </c>
      <c r="CR47" s="45" t="s">
        <v>115</v>
      </c>
      <c r="CS47" s="45" t="s">
        <v>115</v>
      </c>
      <c r="CT47" s="49" t="s">
        <v>115</v>
      </c>
      <c r="CU47" s="45" t="s">
        <v>115</v>
      </c>
      <c r="CV47" s="45" t="s">
        <v>115</v>
      </c>
      <c r="CW47" s="49" t="s">
        <v>115</v>
      </c>
    </row>
    <row r="48" spans="1:101" ht="16" customHeight="1" x14ac:dyDescent="0.2">
      <c r="A48" s="234"/>
      <c r="B48" s="235"/>
      <c r="C48" s="76"/>
      <c r="D48" s="41"/>
      <c r="E48" s="76"/>
      <c r="F48" s="76"/>
      <c r="G48" s="76"/>
      <c r="H48" s="69"/>
      <c r="AH48" s="53"/>
      <c r="AI48" s="53"/>
      <c r="AJ48" s="53"/>
      <c r="AK48" s="53"/>
      <c r="AL48" s="53"/>
      <c r="AM48" s="53"/>
      <c r="AN48" s="53"/>
      <c r="BH48" s="45">
        <v>80</v>
      </c>
      <c r="BI48" s="50">
        <v>23</v>
      </c>
      <c r="BJ48" s="45">
        <v>228</v>
      </c>
      <c r="BK48" s="45">
        <v>109</v>
      </c>
      <c r="BP48" s="51"/>
      <c r="BQ48" s="51"/>
      <c r="BR48" s="51"/>
      <c r="BS48" s="52"/>
      <c r="BT48" s="45"/>
      <c r="BW48" s="49">
        <v>18</v>
      </c>
      <c r="CB48" s="49">
        <v>5</v>
      </c>
      <c r="CE48" s="49"/>
      <c r="CH48" s="49"/>
      <c r="CK48" s="49"/>
      <c r="CN48" s="49"/>
      <c r="CQ48" s="49"/>
      <c r="CT48" s="49"/>
      <c r="CW48" s="49"/>
    </row>
    <row r="49" spans="1:101" ht="16" customHeight="1" x14ac:dyDescent="0.2">
      <c r="A49" s="234"/>
      <c r="B49" s="235"/>
      <c r="C49" s="76"/>
      <c r="D49" s="41"/>
      <c r="E49" s="76"/>
      <c r="F49" s="76"/>
      <c r="G49" s="76"/>
      <c r="H49" s="69"/>
      <c r="AH49" s="53"/>
      <c r="AI49" s="53"/>
      <c r="AJ49" s="53"/>
      <c r="AK49" s="53"/>
      <c r="AL49" s="53"/>
      <c r="AM49" s="53"/>
      <c r="AN49" s="53"/>
      <c r="BH49" s="45">
        <v>83</v>
      </c>
      <c r="BI49" s="50">
        <v>15</v>
      </c>
      <c r="BJ49" s="45">
        <v>216</v>
      </c>
      <c r="BK49" s="45">
        <v>131</v>
      </c>
      <c r="BP49" s="51"/>
      <c r="BQ49" s="51"/>
      <c r="BR49" s="51"/>
      <c r="BS49" s="52"/>
      <c r="BT49" s="45"/>
      <c r="CB49" s="49"/>
      <c r="CE49" s="49"/>
      <c r="CH49" s="49"/>
      <c r="CK49" s="49"/>
      <c r="CN49" s="49"/>
      <c r="CQ49" s="49"/>
      <c r="CT49" s="49"/>
      <c r="CW49" s="49"/>
    </row>
    <row r="50" spans="1:101" ht="16" customHeight="1" x14ac:dyDescent="0.2">
      <c r="A50" s="111" t="s">
        <v>303</v>
      </c>
      <c r="B50" s="238" t="s">
        <v>304</v>
      </c>
      <c r="C50" s="70" t="s">
        <v>109</v>
      </c>
      <c r="D50" s="55"/>
      <c r="E50" s="70"/>
      <c r="F50" s="70">
        <v>0</v>
      </c>
      <c r="G50" s="70"/>
      <c r="H50" s="59"/>
      <c r="I50" s="60">
        <f>877+542+1293+369+567+732</f>
        <v>4380</v>
      </c>
      <c r="J50" s="60">
        <v>11</v>
      </c>
      <c r="K50" s="60">
        <v>2</v>
      </c>
      <c r="L50" s="60">
        <f t="shared" si="1"/>
        <v>2</v>
      </c>
      <c r="M50" s="60">
        <v>9</v>
      </c>
      <c r="N50" s="60">
        <v>0</v>
      </c>
      <c r="O50" s="60">
        <v>372</v>
      </c>
      <c r="P50" s="60">
        <v>207</v>
      </c>
      <c r="Q50" s="60">
        <v>1300</v>
      </c>
      <c r="R50" s="60">
        <v>258</v>
      </c>
      <c r="S50" s="60">
        <v>37</v>
      </c>
      <c r="T50" s="60">
        <v>20</v>
      </c>
      <c r="U50" s="60">
        <v>17</v>
      </c>
      <c r="V50" s="60">
        <v>50</v>
      </c>
      <c r="W50" s="60">
        <v>59</v>
      </c>
      <c r="X50" s="60">
        <v>149</v>
      </c>
      <c r="Y50" s="60">
        <v>127</v>
      </c>
      <c r="Z50" s="60">
        <v>4</v>
      </c>
      <c r="AA50" s="60">
        <v>361</v>
      </c>
      <c r="AB50" s="60">
        <v>145</v>
      </c>
      <c r="AC50" s="60" t="s">
        <v>115</v>
      </c>
      <c r="AD50" s="60">
        <v>29</v>
      </c>
      <c r="AE50" s="60">
        <v>27</v>
      </c>
      <c r="AF50" s="60">
        <v>851</v>
      </c>
      <c r="AG50" s="61">
        <f>AF50/Q50</f>
        <v>0.6546153846153846</v>
      </c>
      <c r="AH50" s="68" t="s">
        <v>115</v>
      </c>
      <c r="AI50" s="68" t="s">
        <v>115</v>
      </c>
      <c r="AJ50" s="68" t="s">
        <v>115</v>
      </c>
      <c r="AK50" s="68" t="s">
        <v>115</v>
      </c>
      <c r="AL50" s="68" t="s">
        <v>115</v>
      </c>
      <c r="AM50" s="68" t="s">
        <v>115</v>
      </c>
      <c r="AN50" s="68" t="s">
        <v>115</v>
      </c>
      <c r="AO50" s="68" t="s">
        <v>115</v>
      </c>
      <c r="AP50" s="68" t="s">
        <v>115</v>
      </c>
      <c r="AQ50" s="68" t="s">
        <v>115</v>
      </c>
      <c r="AR50" s="68" t="s">
        <v>115</v>
      </c>
      <c r="AS50" s="68" t="s">
        <v>115</v>
      </c>
      <c r="AT50" s="68" t="s">
        <v>115</v>
      </c>
      <c r="AU50" s="68" t="s">
        <v>115</v>
      </c>
      <c r="AV50" s="68" t="s">
        <v>115</v>
      </c>
      <c r="AW50" s="68" t="s">
        <v>115</v>
      </c>
      <c r="AX50" s="68" t="s">
        <v>115</v>
      </c>
      <c r="AY50" s="68" t="s">
        <v>115</v>
      </c>
      <c r="AZ50" s="216" t="s">
        <v>115</v>
      </c>
      <c r="BA50" s="60">
        <f>961+188+302</f>
        <v>1451</v>
      </c>
      <c r="BB50" s="60">
        <f>578+186+302</f>
        <v>1066</v>
      </c>
      <c r="BC50" s="60">
        <v>383</v>
      </c>
      <c r="BD50" s="60">
        <v>9</v>
      </c>
      <c r="BE50" s="60">
        <v>136</v>
      </c>
      <c r="BF50" s="60">
        <v>203</v>
      </c>
      <c r="BG50" s="60">
        <v>382</v>
      </c>
      <c r="BH50" s="305">
        <v>64</v>
      </c>
      <c r="BI50" s="306">
        <v>10</v>
      </c>
      <c r="BJ50" s="305">
        <v>194</v>
      </c>
      <c r="BK50" s="60" t="s">
        <v>115</v>
      </c>
      <c r="BL50" s="60">
        <v>267</v>
      </c>
      <c r="BM50" s="60">
        <v>350</v>
      </c>
      <c r="BN50" s="60" t="s">
        <v>128</v>
      </c>
      <c r="BO50" s="64">
        <f>BM50</f>
        <v>350</v>
      </c>
      <c r="BP50" s="66">
        <f t="shared" si="2"/>
        <v>4.1457142857142859</v>
      </c>
      <c r="BQ50" s="66">
        <f t="shared" si="0"/>
        <v>5.96875</v>
      </c>
      <c r="BR50" s="66">
        <f t="shared" si="3"/>
        <v>3.9925093632958801</v>
      </c>
      <c r="BS50" s="67">
        <f t="shared" si="4"/>
        <v>1.4344569288389513</v>
      </c>
      <c r="BT50" s="60" t="s">
        <v>115</v>
      </c>
      <c r="BU50" s="60">
        <v>30</v>
      </c>
      <c r="BV50" s="60" t="s">
        <v>115</v>
      </c>
      <c r="BW50" s="64" t="s">
        <v>115</v>
      </c>
      <c r="BX50" s="60" t="s">
        <v>115</v>
      </c>
      <c r="BY50" s="60" t="s">
        <v>115</v>
      </c>
      <c r="BZ50" s="60" t="s">
        <v>115</v>
      </c>
      <c r="CA50" s="60" t="s">
        <v>115</v>
      </c>
      <c r="CB50" s="64" t="s">
        <v>115</v>
      </c>
      <c r="CC50" s="60" t="s">
        <v>115</v>
      </c>
      <c r="CD50" s="60" t="s">
        <v>115</v>
      </c>
      <c r="CE50" s="64" t="s">
        <v>115</v>
      </c>
      <c r="CF50" s="60" t="s">
        <v>115</v>
      </c>
      <c r="CG50" s="60" t="s">
        <v>115</v>
      </c>
      <c r="CH50" s="64" t="s">
        <v>115</v>
      </c>
      <c r="CI50" s="60" t="s">
        <v>115</v>
      </c>
      <c r="CJ50" s="60" t="s">
        <v>115</v>
      </c>
      <c r="CK50" s="64" t="s">
        <v>115</v>
      </c>
      <c r="CL50" s="60" t="s">
        <v>115</v>
      </c>
      <c r="CM50" s="60" t="s">
        <v>115</v>
      </c>
      <c r="CN50" s="64" t="s">
        <v>115</v>
      </c>
      <c r="CO50" s="60" t="s">
        <v>115</v>
      </c>
      <c r="CP50" s="60" t="s">
        <v>115</v>
      </c>
      <c r="CQ50" s="64" t="s">
        <v>115</v>
      </c>
      <c r="CR50" s="60" t="s">
        <v>115</v>
      </c>
      <c r="CS50" s="60" t="s">
        <v>115</v>
      </c>
      <c r="CT50" s="64" t="s">
        <v>115</v>
      </c>
      <c r="CU50" s="60" t="s">
        <v>115</v>
      </c>
      <c r="CV50" s="60" t="s">
        <v>115</v>
      </c>
      <c r="CW50" s="64" t="s">
        <v>115</v>
      </c>
    </row>
    <row r="51" spans="1:101" ht="16" customHeight="1" x14ac:dyDescent="0.2">
      <c r="A51" s="111"/>
      <c r="B51" s="238"/>
      <c r="C51" s="70"/>
      <c r="D51" s="55"/>
      <c r="E51" s="70"/>
      <c r="F51" s="70"/>
      <c r="G51" s="70"/>
      <c r="H51" s="59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>
        <v>39</v>
      </c>
      <c r="W51" s="60">
        <v>64</v>
      </c>
      <c r="X51" s="60"/>
      <c r="Y51" s="60"/>
      <c r="Z51" s="60"/>
      <c r="AA51" s="60"/>
      <c r="AB51" s="60"/>
      <c r="AC51" s="60"/>
      <c r="AD51" s="60">
        <v>22</v>
      </c>
      <c r="AE51" s="60">
        <v>23</v>
      </c>
      <c r="AF51" s="60"/>
      <c r="AG51" s="60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216"/>
      <c r="BA51" s="60"/>
      <c r="BB51" s="60"/>
      <c r="BC51" s="60"/>
      <c r="BD51" s="60"/>
      <c r="BE51" s="60"/>
      <c r="BF51" s="60"/>
      <c r="BG51" s="60">
        <v>362</v>
      </c>
      <c r="BH51" s="60">
        <v>66</v>
      </c>
      <c r="BI51" s="65">
        <v>10</v>
      </c>
      <c r="BJ51" s="60">
        <v>215</v>
      </c>
      <c r="BK51" s="60"/>
      <c r="BL51" s="60"/>
      <c r="BM51" s="60"/>
      <c r="BN51" s="60"/>
      <c r="BO51" s="64"/>
      <c r="BP51" s="66"/>
      <c r="BQ51" s="66">
        <f t="shared" si="0"/>
        <v>5.4848484848484844</v>
      </c>
      <c r="BR51" s="66"/>
      <c r="BS51" s="67"/>
      <c r="BT51" s="60"/>
      <c r="BU51" s="60"/>
      <c r="BV51" s="60"/>
      <c r="BW51" s="64"/>
      <c r="BX51" s="60"/>
      <c r="BY51" s="60"/>
      <c r="BZ51" s="60"/>
      <c r="CA51" s="60"/>
      <c r="CB51" s="64"/>
      <c r="CC51" s="60"/>
      <c r="CD51" s="60"/>
      <c r="CE51" s="64"/>
      <c r="CF51" s="60"/>
      <c r="CG51" s="60"/>
      <c r="CH51" s="64"/>
      <c r="CI51" s="60"/>
      <c r="CJ51" s="60"/>
      <c r="CK51" s="64"/>
      <c r="CL51" s="60"/>
      <c r="CM51" s="60"/>
      <c r="CN51" s="64"/>
      <c r="CO51" s="60"/>
      <c r="CP51" s="60"/>
      <c r="CQ51" s="64"/>
      <c r="CR51" s="60"/>
      <c r="CS51" s="60"/>
      <c r="CT51" s="64"/>
      <c r="CU51" s="60"/>
      <c r="CV51" s="60"/>
      <c r="CW51" s="64"/>
    </row>
    <row r="52" spans="1:101" ht="16" customHeight="1" x14ac:dyDescent="0.2">
      <c r="A52" s="111"/>
      <c r="B52" s="238"/>
      <c r="C52" s="70"/>
      <c r="D52" s="55"/>
      <c r="E52" s="70"/>
      <c r="F52" s="70"/>
      <c r="G52" s="70"/>
      <c r="H52" s="59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>
        <v>51</v>
      </c>
      <c r="W52" s="60">
        <v>87</v>
      </c>
      <c r="X52" s="60"/>
      <c r="Y52" s="60"/>
      <c r="Z52" s="60"/>
      <c r="AA52" s="60"/>
      <c r="AB52" s="60"/>
      <c r="AC52" s="60"/>
      <c r="AD52" s="60">
        <v>22</v>
      </c>
      <c r="AE52" s="60">
        <v>28</v>
      </c>
      <c r="AF52" s="60"/>
      <c r="AG52" s="60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216"/>
      <c r="BA52" s="60"/>
      <c r="BB52" s="60"/>
      <c r="BC52" s="60"/>
      <c r="BD52" s="60"/>
      <c r="BE52" s="60"/>
      <c r="BF52" s="60"/>
      <c r="BG52" s="60">
        <v>373</v>
      </c>
      <c r="BH52" s="60">
        <v>71</v>
      </c>
      <c r="BI52" s="65">
        <v>9</v>
      </c>
      <c r="BJ52" s="60">
        <v>217</v>
      </c>
      <c r="BK52" s="60"/>
      <c r="BL52" s="60"/>
      <c r="BM52" s="60"/>
      <c r="BN52" s="60"/>
      <c r="BO52" s="64"/>
      <c r="BP52" s="66"/>
      <c r="BQ52" s="66">
        <f t="shared" si="0"/>
        <v>5.253521126760563</v>
      </c>
      <c r="BR52" s="66"/>
      <c r="BS52" s="67"/>
      <c r="BT52" s="60"/>
      <c r="BU52" s="60"/>
      <c r="BV52" s="60"/>
      <c r="BW52" s="64"/>
      <c r="BX52" s="60"/>
      <c r="BY52" s="60"/>
      <c r="BZ52" s="60"/>
      <c r="CA52" s="60"/>
      <c r="CB52" s="64"/>
      <c r="CC52" s="60"/>
      <c r="CD52" s="60"/>
      <c r="CE52" s="64"/>
      <c r="CF52" s="60"/>
      <c r="CG52" s="60"/>
      <c r="CH52" s="64"/>
      <c r="CI52" s="60"/>
      <c r="CJ52" s="60"/>
      <c r="CK52" s="64"/>
      <c r="CL52" s="60"/>
      <c r="CM52" s="60"/>
      <c r="CN52" s="64"/>
      <c r="CO52" s="60"/>
      <c r="CP52" s="60"/>
      <c r="CQ52" s="64"/>
      <c r="CR52" s="60"/>
      <c r="CS52" s="60"/>
      <c r="CT52" s="64"/>
      <c r="CU52" s="60"/>
      <c r="CV52" s="60"/>
      <c r="CW52" s="64"/>
    </row>
    <row r="53" spans="1:101" ht="16" customHeight="1" x14ac:dyDescent="0.2">
      <c r="A53" s="234" t="s">
        <v>305</v>
      </c>
      <c r="B53" s="235" t="s">
        <v>304</v>
      </c>
      <c r="C53" s="76" t="s">
        <v>109</v>
      </c>
      <c r="D53" s="41"/>
      <c r="E53" s="76"/>
      <c r="F53" s="76"/>
      <c r="G53" s="76"/>
      <c r="H53" s="69" t="s">
        <v>273</v>
      </c>
      <c r="I53" s="45">
        <f>909+1310+728+410</f>
        <v>3357</v>
      </c>
      <c r="J53" s="45">
        <v>9</v>
      </c>
      <c r="K53" s="45">
        <v>1</v>
      </c>
      <c r="L53" s="45">
        <f t="shared" si="1"/>
        <v>1</v>
      </c>
      <c r="M53" s="45">
        <v>8</v>
      </c>
      <c r="N53" s="45">
        <v>0</v>
      </c>
      <c r="O53" s="45">
        <v>446</v>
      </c>
      <c r="P53" s="45">
        <v>223</v>
      </c>
      <c r="Q53" s="45">
        <v>897</v>
      </c>
      <c r="R53" s="45">
        <v>237</v>
      </c>
      <c r="S53" s="45">
        <f>T53+U53</f>
        <v>35</v>
      </c>
      <c r="T53" s="45">
        <v>17</v>
      </c>
      <c r="U53" s="45">
        <v>18</v>
      </c>
      <c r="V53" s="130">
        <v>40</v>
      </c>
      <c r="W53" s="45">
        <v>54</v>
      </c>
      <c r="X53" s="45">
        <v>143</v>
      </c>
      <c r="Y53" s="45">
        <v>93</v>
      </c>
      <c r="Z53" s="45">
        <v>4</v>
      </c>
      <c r="AA53" s="45">
        <v>195</v>
      </c>
      <c r="AB53" s="45">
        <v>119</v>
      </c>
      <c r="AC53" s="45">
        <v>54</v>
      </c>
      <c r="AD53" s="45">
        <v>10</v>
      </c>
      <c r="AE53" s="45">
        <v>24</v>
      </c>
      <c r="AF53" s="45">
        <v>567</v>
      </c>
      <c r="AG53" s="46">
        <f>AF53/Q53</f>
        <v>0.63210702341137126</v>
      </c>
      <c r="AH53" s="53" t="s">
        <v>115</v>
      </c>
      <c r="AI53" s="53" t="s">
        <v>115</v>
      </c>
      <c r="AJ53" s="53" t="s">
        <v>115</v>
      </c>
      <c r="AK53" s="53" t="s">
        <v>115</v>
      </c>
      <c r="AL53" s="53" t="s">
        <v>115</v>
      </c>
      <c r="AM53" s="53" t="s">
        <v>115</v>
      </c>
      <c r="AN53" s="53" t="s">
        <v>115</v>
      </c>
      <c r="AO53" s="53" t="s">
        <v>115</v>
      </c>
      <c r="AP53" s="53" t="s">
        <v>115</v>
      </c>
      <c r="AQ53" s="53" t="s">
        <v>115</v>
      </c>
      <c r="AR53" s="53" t="s">
        <v>115</v>
      </c>
      <c r="AS53" s="53" t="s">
        <v>115</v>
      </c>
      <c r="AT53" s="53" t="s">
        <v>115</v>
      </c>
      <c r="AU53" s="53" t="s">
        <v>115</v>
      </c>
      <c r="AV53" s="53" t="s">
        <v>115</v>
      </c>
      <c r="AW53" s="53" t="s">
        <v>115</v>
      </c>
      <c r="AX53" s="53" t="s">
        <v>115</v>
      </c>
      <c r="AY53" s="53" t="s">
        <v>115</v>
      </c>
      <c r="AZ53" s="81" t="s">
        <v>115</v>
      </c>
      <c r="BA53" s="45">
        <f>883+330+245</f>
        <v>1458</v>
      </c>
      <c r="BB53" s="45">
        <v>129</v>
      </c>
      <c r="BC53" s="45">
        <v>189</v>
      </c>
      <c r="BD53" s="45">
        <f>537+268+254</f>
        <v>1059</v>
      </c>
      <c r="BE53" s="45">
        <v>124</v>
      </c>
      <c r="BF53" s="45">
        <v>191</v>
      </c>
      <c r="BG53" s="130">
        <v>414</v>
      </c>
      <c r="BH53" s="130">
        <v>53</v>
      </c>
      <c r="BI53" s="249">
        <v>12</v>
      </c>
      <c r="BJ53" s="130">
        <v>199</v>
      </c>
      <c r="BK53" s="45" t="s">
        <v>115</v>
      </c>
      <c r="BL53" s="45">
        <v>185</v>
      </c>
      <c r="BM53" s="45">
        <v>357</v>
      </c>
      <c r="BN53" s="45" t="s">
        <v>128</v>
      </c>
      <c r="BO53" s="49">
        <f>BM53</f>
        <v>357</v>
      </c>
      <c r="BP53" s="51">
        <f t="shared" si="2"/>
        <v>4.0840336134453779</v>
      </c>
      <c r="BQ53" s="51">
        <f t="shared" si="0"/>
        <v>7.8113207547169807</v>
      </c>
      <c r="BR53" s="51">
        <f t="shared" si="3"/>
        <v>0.69729729729729728</v>
      </c>
      <c r="BS53" s="52">
        <f t="shared" si="4"/>
        <v>1.0216216216216216</v>
      </c>
      <c r="BT53" s="45">
        <v>198</v>
      </c>
      <c r="BU53" s="130">
        <v>35</v>
      </c>
      <c r="BV53" s="45">
        <v>32</v>
      </c>
      <c r="BW53" s="49">
        <v>24</v>
      </c>
      <c r="BX53" s="45">
        <v>7</v>
      </c>
      <c r="BY53" s="45" t="s">
        <v>115</v>
      </c>
      <c r="BZ53" s="45" t="s">
        <v>115</v>
      </c>
      <c r="CA53" s="45" t="s">
        <v>115</v>
      </c>
      <c r="CB53" s="49" t="s">
        <v>115</v>
      </c>
      <c r="CC53" s="45" t="s">
        <v>115</v>
      </c>
      <c r="CD53" s="45" t="s">
        <v>115</v>
      </c>
      <c r="CE53" s="49" t="s">
        <v>115</v>
      </c>
      <c r="CF53" s="45" t="s">
        <v>115</v>
      </c>
      <c r="CG53" s="45" t="s">
        <v>115</v>
      </c>
      <c r="CH53" s="49" t="s">
        <v>115</v>
      </c>
      <c r="CI53" s="45" t="s">
        <v>115</v>
      </c>
      <c r="CJ53" s="45" t="s">
        <v>115</v>
      </c>
      <c r="CK53" s="49" t="s">
        <v>115</v>
      </c>
      <c r="CL53" s="45" t="s">
        <v>115</v>
      </c>
      <c r="CM53" s="45" t="s">
        <v>115</v>
      </c>
      <c r="CN53" s="49" t="s">
        <v>115</v>
      </c>
      <c r="CO53" s="45" t="s">
        <v>115</v>
      </c>
      <c r="CP53" s="45" t="s">
        <v>115</v>
      </c>
      <c r="CQ53" s="49" t="s">
        <v>115</v>
      </c>
      <c r="CR53" s="45" t="s">
        <v>115</v>
      </c>
      <c r="CS53" s="45" t="s">
        <v>115</v>
      </c>
      <c r="CT53" s="49" t="s">
        <v>115</v>
      </c>
      <c r="CU53" s="45" t="s">
        <v>115</v>
      </c>
      <c r="CV53" s="45" t="s">
        <v>115</v>
      </c>
      <c r="CW53" s="49" t="s">
        <v>115</v>
      </c>
    </row>
    <row r="54" spans="1:101" ht="16" customHeight="1" x14ac:dyDescent="0.2">
      <c r="A54" s="234"/>
      <c r="B54" s="235"/>
      <c r="C54" s="76"/>
      <c r="D54" s="41"/>
      <c r="E54" s="76"/>
      <c r="F54" s="76"/>
      <c r="G54" s="76"/>
      <c r="H54" s="69"/>
      <c r="V54" s="45">
        <v>38</v>
      </c>
      <c r="W54" s="45">
        <v>62</v>
      </c>
      <c r="AD54" s="45">
        <v>18</v>
      </c>
      <c r="AE54" s="45">
        <v>22</v>
      </c>
      <c r="AH54" s="53"/>
      <c r="AI54" s="53"/>
      <c r="AJ54" s="53"/>
      <c r="AK54" s="53"/>
      <c r="AL54" s="53"/>
      <c r="AM54" s="53"/>
      <c r="AN54" s="53"/>
      <c r="AV54" s="154"/>
      <c r="AW54" s="154"/>
      <c r="BG54" s="45">
        <v>413</v>
      </c>
      <c r="BH54" s="45">
        <v>53</v>
      </c>
      <c r="BI54" s="50">
        <v>16</v>
      </c>
      <c r="BJ54" s="45">
        <v>197</v>
      </c>
      <c r="BP54" s="51"/>
      <c r="BQ54" s="51"/>
      <c r="BR54" s="51"/>
      <c r="BS54" s="52"/>
      <c r="BT54" s="45"/>
      <c r="CB54" s="49"/>
      <c r="CE54" s="49"/>
      <c r="CH54" s="49"/>
      <c r="CK54" s="49"/>
      <c r="CN54" s="49"/>
      <c r="CQ54" s="49"/>
      <c r="CT54" s="49"/>
      <c r="CW54" s="49"/>
    </row>
    <row r="55" spans="1:101" s="246" customFormat="1" ht="16" customHeight="1" thickBot="1" x14ac:dyDescent="0.25">
      <c r="A55" s="307"/>
      <c r="B55" s="308"/>
      <c r="C55" s="309"/>
      <c r="D55" s="310"/>
      <c r="E55" s="309"/>
      <c r="F55" s="309"/>
      <c r="G55" s="309"/>
      <c r="H55" s="311"/>
      <c r="V55" s="246">
        <v>31</v>
      </c>
      <c r="W55" s="246">
        <v>53</v>
      </c>
      <c r="AD55" s="246">
        <v>18</v>
      </c>
      <c r="AE55" s="246">
        <v>25</v>
      </c>
      <c r="AH55" s="312"/>
      <c r="AI55" s="312"/>
      <c r="AJ55" s="312"/>
      <c r="AK55" s="312"/>
      <c r="AL55" s="312"/>
      <c r="AM55" s="312"/>
      <c r="AN55" s="312"/>
      <c r="AO55" s="312"/>
      <c r="AP55" s="312"/>
      <c r="AQ55" s="312"/>
      <c r="AR55" s="312"/>
      <c r="AS55" s="312"/>
      <c r="AT55" s="312"/>
      <c r="AU55" s="312"/>
      <c r="AV55" s="313"/>
      <c r="AW55" s="313"/>
      <c r="AX55" s="312"/>
      <c r="AY55" s="312"/>
      <c r="AZ55" s="314"/>
      <c r="BG55" s="246">
        <v>394</v>
      </c>
      <c r="BH55" s="246">
        <v>58</v>
      </c>
      <c r="BI55" s="315">
        <v>15</v>
      </c>
      <c r="BJ55" s="246">
        <v>198</v>
      </c>
      <c r="BO55" s="316"/>
      <c r="BP55" s="317"/>
      <c r="BQ55" s="317"/>
      <c r="BR55" s="317"/>
      <c r="BS55" s="318"/>
      <c r="BW55" s="316"/>
      <c r="CB55" s="316"/>
      <c r="CE55" s="316"/>
      <c r="CH55" s="316"/>
      <c r="CK55" s="316"/>
      <c r="CN55" s="316"/>
      <c r="CQ55" s="316"/>
      <c r="CT55" s="316"/>
      <c r="CW55" s="316"/>
    </row>
    <row r="56" spans="1:101" s="50" customFormat="1" ht="18" thickTop="1" x14ac:dyDescent="0.2">
      <c r="A56" s="319"/>
      <c r="B56" s="320"/>
      <c r="C56" s="321"/>
      <c r="D56" s="321"/>
      <c r="E56" s="322"/>
      <c r="F56" s="251"/>
      <c r="G56" s="322"/>
      <c r="H56" s="252" t="s">
        <v>166</v>
      </c>
      <c r="I56" s="50">
        <f>MIN(I5:I55)</f>
        <v>3357</v>
      </c>
      <c r="J56" s="50">
        <f t="shared" ref="J56:AZ56" si="5">MIN(J5:J55)</f>
        <v>6</v>
      </c>
      <c r="K56" s="50">
        <f t="shared" si="5"/>
        <v>1</v>
      </c>
      <c r="L56" s="50">
        <f t="shared" si="5"/>
        <v>1</v>
      </c>
      <c r="M56" s="50">
        <f t="shared" si="5"/>
        <v>5</v>
      </c>
      <c r="N56" s="50">
        <f t="shared" si="5"/>
        <v>0</v>
      </c>
      <c r="O56" s="50">
        <f t="shared" si="5"/>
        <v>275</v>
      </c>
      <c r="P56" s="50">
        <f t="shared" si="5"/>
        <v>151</v>
      </c>
      <c r="Q56" s="50">
        <f t="shared" si="5"/>
        <v>633</v>
      </c>
      <c r="R56" s="50">
        <f t="shared" si="5"/>
        <v>237</v>
      </c>
      <c r="S56" s="50">
        <f t="shared" si="5"/>
        <v>31</v>
      </c>
      <c r="T56" s="50">
        <f t="shared" si="5"/>
        <v>17</v>
      </c>
      <c r="U56" s="50">
        <f t="shared" si="5"/>
        <v>13</v>
      </c>
      <c r="V56" s="50">
        <f t="shared" si="5"/>
        <v>31</v>
      </c>
      <c r="W56" s="50">
        <f t="shared" si="5"/>
        <v>53</v>
      </c>
      <c r="X56" s="50">
        <f t="shared" si="5"/>
        <v>143</v>
      </c>
      <c r="Y56" s="50">
        <f t="shared" si="5"/>
        <v>86</v>
      </c>
      <c r="Z56" s="50">
        <f t="shared" si="5"/>
        <v>4</v>
      </c>
      <c r="AA56" s="50">
        <f t="shared" si="5"/>
        <v>108</v>
      </c>
      <c r="AB56" s="50">
        <f t="shared" si="5"/>
        <v>119</v>
      </c>
      <c r="AC56" s="50">
        <f t="shared" si="5"/>
        <v>31</v>
      </c>
      <c r="AD56" s="50">
        <f t="shared" si="5"/>
        <v>10</v>
      </c>
      <c r="AE56" s="50">
        <f t="shared" si="5"/>
        <v>22</v>
      </c>
      <c r="AF56" s="50">
        <f t="shared" si="5"/>
        <v>390</v>
      </c>
      <c r="AG56" s="46">
        <f t="shared" si="5"/>
        <v>0.56208277703604803</v>
      </c>
      <c r="AH56" s="139">
        <f t="shared" si="5"/>
        <v>1065</v>
      </c>
      <c r="AI56" s="139">
        <f t="shared" si="5"/>
        <v>462</v>
      </c>
      <c r="AJ56" s="139">
        <f t="shared" si="5"/>
        <v>32</v>
      </c>
      <c r="AK56" s="139">
        <f t="shared" si="5"/>
        <v>16</v>
      </c>
      <c r="AL56" s="139">
        <f t="shared" si="5"/>
        <v>16</v>
      </c>
      <c r="AM56" s="139">
        <f t="shared" si="5"/>
        <v>49</v>
      </c>
      <c r="AN56" s="139">
        <f t="shared" si="5"/>
        <v>79</v>
      </c>
      <c r="AO56" s="139">
        <f t="shared" si="5"/>
        <v>274</v>
      </c>
      <c r="AP56" s="139">
        <f t="shared" si="5"/>
        <v>126</v>
      </c>
      <c r="AQ56" s="139">
        <f t="shared" si="5"/>
        <v>0</v>
      </c>
      <c r="AR56" s="139">
        <f t="shared" si="5"/>
        <v>31</v>
      </c>
      <c r="AS56" s="139">
        <f t="shared" si="5"/>
        <v>4</v>
      </c>
      <c r="AT56" s="139">
        <f t="shared" si="5"/>
        <v>219</v>
      </c>
      <c r="AU56" s="139">
        <f t="shared" si="5"/>
        <v>299</v>
      </c>
      <c r="AV56" s="139">
        <f t="shared" si="5"/>
        <v>27</v>
      </c>
      <c r="AW56" s="139">
        <f t="shared" si="5"/>
        <v>46</v>
      </c>
      <c r="AX56" s="139">
        <f t="shared" si="5"/>
        <v>609</v>
      </c>
      <c r="AY56" s="74">
        <f t="shared" si="5"/>
        <v>0.53514938488576447</v>
      </c>
      <c r="AZ56" s="138">
        <f t="shared" si="5"/>
        <v>14</v>
      </c>
      <c r="BA56" s="50">
        <f>MIN(BA5:BA55)</f>
        <v>1133</v>
      </c>
      <c r="BB56" s="50">
        <f t="shared" ref="BB56:BK56" si="6">MIN(BB5:BB55)</f>
        <v>129</v>
      </c>
      <c r="BC56" s="50">
        <f t="shared" si="6"/>
        <v>189</v>
      </c>
      <c r="BD56" s="50">
        <f t="shared" si="6"/>
        <v>0</v>
      </c>
      <c r="BE56" s="50">
        <f t="shared" si="6"/>
        <v>109</v>
      </c>
      <c r="BF56" s="50">
        <f t="shared" si="6"/>
        <v>152</v>
      </c>
      <c r="BG56" s="50">
        <f t="shared" si="6"/>
        <v>342</v>
      </c>
      <c r="BH56" s="50">
        <f t="shared" si="6"/>
        <v>53</v>
      </c>
      <c r="BI56" s="50">
        <f t="shared" si="6"/>
        <v>9</v>
      </c>
      <c r="BJ56" s="50">
        <f t="shared" si="6"/>
        <v>179</v>
      </c>
      <c r="BK56" s="50">
        <f t="shared" si="6"/>
        <v>68</v>
      </c>
      <c r="BL56" s="50">
        <v>1</v>
      </c>
      <c r="BM56" s="50">
        <f t="shared" ref="BM56" si="7">MIN(BM5:BM55)</f>
        <v>214</v>
      </c>
      <c r="BO56" s="248">
        <f t="shared" ref="BO56:BW56" si="8">MIN(BO5:BO55)</f>
        <v>232</v>
      </c>
      <c r="BP56" s="51">
        <f t="shared" si="8"/>
        <v>3.2836879432624113</v>
      </c>
      <c r="BQ56" s="51">
        <f t="shared" si="8"/>
        <v>4.6578947368421053</v>
      </c>
      <c r="BR56" s="51">
        <f t="shared" si="8"/>
        <v>0.69729729729729728</v>
      </c>
      <c r="BS56" s="135">
        <f t="shared" si="8"/>
        <v>1.0216216216216216</v>
      </c>
      <c r="BT56" s="323">
        <f t="shared" si="8"/>
        <v>148</v>
      </c>
      <c r="BU56" s="136">
        <f t="shared" si="8"/>
        <v>22</v>
      </c>
      <c r="BV56" s="136">
        <f t="shared" si="8"/>
        <v>26</v>
      </c>
      <c r="BW56" s="248">
        <f t="shared" si="8"/>
        <v>12</v>
      </c>
      <c r="BX56" s="50" t="s">
        <v>306</v>
      </c>
      <c r="BY56" s="136"/>
      <c r="BZ56" s="136">
        <f t="shared" ref="BZ56:CW56" si="9">MIN(BZ5:BZ55)</f>
        <v>78</v>
      </c>
      <c r="CA56" s="50" t="s">
        <v>283</v>
      </c>
      <c r="CB56" s="248">
        <f t="shared" si="9"/>
        <v>4</v>
      </c>
      <c r="CC56" s="136">
        <f t="shared" si="9"/>
        <v>10</v>
      </c>
      <c r="CD56" s="136">
        <f t="shared" si="9"/>
        <v>8</v>
      </c>
      <c r="CE56" s="248">
        <f t="shared" si="9"/>
        <v>6</v>
      </c>
      <c r="CF56" s="136">
        <f t="shared" si="9"/>
        <v>14</v>
      </c>
      <c r="CG56" s="136">
        <f t="shared" si="9"/>
        <v>6</v>
      </c>
      <c r="CH56" s="248">
        <f t="shared" si="9"/>
        <v>7</v>
      </c>
      <c r="CI56" s="136">
        <f t="shared" si="9"/>
        <v>10</v>
      </c>
      <c r="CJ56" s="136">
        <f t="shared" si="9"/>
        <v>5</v>
      </c>
      <c r="CK56" s="248">
        <f t="shared" si="9"/>
        <v>8</v>
      </c>
      <c r="CL56" s="136">
        <f t="shared" si="9"/>
        <v>10</v>
      </c>
      <c r="CM56" s="136">
        <f t="shared" si="9"/>
        <v>4</v>
      </c>
      <c r="CN56" s="248">
        <f t="shared" si="9"/>
        <v>6</v>
      </c>
      <c r="CO56" s="136">
        <f t="shared" si="9"/>
        <v>8</v>
      </c>
      <c r="CP56" s="136">
        <f t="shared" si="9"/>
        <v>4</v>
      </c>
      <c r="CQ56" s="248">
        <f t="shared" si="9"/>
        <v>4</v>
      </c>
      <c r="CR56" s="136">
        <f t="shared" si="9"/>
        <v>6</v>
      </c>
      <c r="CS56" s="136">
        <f t="shared" si="9"/>
        <v>2</v>
      </c>
      <c r="CT56" s="248">
        <f t="shared" si="9"/>
        <v>3</v>
      </c>
      <c r="CU56" s="136">
        <f t="shared" si="9"/>
        <v>5</v>
      </c>
      <c r="CV56" s="136">
        <f t="shared" si="9"/>
        <v>3</v>
      </c>
      <c r="CW56" s="248">
        <f t="shared" si="9"/>
        <v>3</v>
      </c>
    </row>
    <row r="57" spans="1:101" s="50" customFormat="1" ht="17" x14ac:dyDescent="0.2">
      <c r="A57" s="319"/>
      <c r="B57" s="320"/>
      <c r="C57" s="321"/>
      <c r="D57" s="321"/>
      <c r="E57" s="322"/>
      <c r="F57" s="251"/>
      <c r="G57" s="322"/>
      <c r="H57" s="252" t="s">
        <v>168</v>
      </c>
      <c r="I57" s="50">
        <f>MAX(I5:I55)</f>
        <v>6282</v>
      </c>
      <c r="J57" s="50">
        <f t="shared" ref="J57:BU57" si="10">MAX(J5:J55)</f>
        <v>12</v>
      </c>
      <c r="K57" s="50">
        <f t="shared" si="10"/>
        <v>3</v>
      </c>
      <c r="L57" s="50">
        <f t="shared" si="10"/>
        <v>2</v>
      </c>
      <c r="M57" s="50">
        <f t="shared" si="10"/>
        <v>10</v>
      </c>
      <c r="N57" s="50">
        <f t="shared" si="10"/>
        <v>1</v>
      </c>
      <c r="O57" s="50">
        <f t="shared" si="10"/>
        <v>690</v>
      </c>
      <c r="P57" s="50">
        <f t="shared" si="10"/>
        <v>285</v>
      </c>
      <c r="Q57" s="50">
        <f t="shared" si="10"/>
        <v>1844</v>
      </c>
      <c r="R57" s="50">
        <f t="shared" si="10"/>
        <v>461</v>
      </c>
      <c r="S57" s="50">
        <f t="shared" si="10"/>
        <v>38</v>
      </c>
      <c r="T57" s="50">
        <f t="shared" si="10"/>
        <v>20</v>
      </c>
      <c r="U57" s="50">
        <f t="shared" si="10"/>
        <v>21</v>
      </c>
      <c r="V57" s="50">
        <f t="shared" si="10"/>
        <v>111</v>
      </c>
      <c r="W57" s="50">
        <f t="shared" si="10"/>
        <v>114</v>
      </c>
      <c r="X57" s="50">
        <f t="shared" si="10"/>
        <v>198</v>
      </c>
      <c r="Y57" s="50">
        <f t="shared" si="10"/>
        <v>159</v>
      </c>
      <c r="AA57" s="50">
        <f t="shared" si="10"/>
        <v>447</v>
      </c>
      <c r="AB57" s="50">
        <f t="shared" si="10"/>
        <v>243</v>
      </c>
      <c r="AC57" s="50">
        <f t="shared" si="10"/>
        <v>88</v>
      </c>
      <c r="AD57" s="50">
        <f t="shared" si="10"/>
        <v>51</v>
      </c>
      <c r="AE57" s="50">
        <f t="shared" si="10"/>
        <v>39</v>
      </c>
      <c r="AF57" s="50">
        <f t="shared" si="10"/>
        <v>1219</v>
      </c>
      <c r="AG57" s="46">
        <f t="shared" si="10"/>
        <v>0.69725557461406518</v>
      </c>
      <c r="AH57" s="139">
        <f t="shared" si="10"/>
        <v>1527</v>
      </c>
      <c r="AI57" s="139">
        <f t="shared" si="10"/>
        <v>530</v>
      </c>
      <c r="AJ57" s="139">
        <f t="shared" si="10"/>
        <v>40</v>
      </c>
      <c r="AK57" s="139">
        <f t="shared" si="10"/>
        <v>18</v>
      </c>
      <c r="AL57" s="139">
        <f t="shared" si="10"/>
        <v>22</v>
      </c>
      <c r="AM57" s="139">
        <f t="shared" si="10"/>
        <v>67</v>
      </c>
      <c r="AN57" s="139">
        <f t="shared" si="10"/>
        <v>123</v>
      </c>
      <c r="AO57" s="139"/>
      <c r="AP57" s="139"/>
      <c r="AQ57" s="139"/>
      <c r="AR57" s="139"/>
      <c r="AS57" s="139"/>
      <c r="AT57" s="139">
        <f t="shared" si="10"/>
        <v>272</v>
      </c>
      <c r="AU57" s="139">
        <f t="shared" si="10"/>
        <v>360</v>
      </c>
      <c r="AV57" s="139">
        <f t="shared" si="10"/>
        <v>42</v>
      </c>
      <c r="AW57" s="139">
        <f t="shared" si="10"/>
        <v>56</v>
      </c>
      <c r="AX57" s="139">
        <f t="shared" si="10"/>
        <v>849</v>
      </c>
      <c r="AY57" s="74">
        <f t="shared" si="10"/>
        <v>0.60845070422535208</v>
      </c>
      <c r="AZ57" s="141">
        <f t="shared" si="10"/>
        <v>21</v>
      </c>
      <c r="BA57" s="50">
        <f t="shared" si="10"/>
        <v>1962</v>
      </c>
      <c r="BB57" s="50">
        <f t="shared" si="10"/>
        <v>1336</v>
      </c>
      <c r="BC57" s="50">
        <f t="shared" si="10"/>
        <v>626</v>
      </c>
      <c r="BD57" s="50">
        <f t="shared" si="10"/>
        <v>1059</v>
      </c>
      <c r="BE57" s="50">
        <f t="shared" si="10"/>
        <v>191</v>
      </c>
      <c r="BF57" s="50">
        <f t="shared" si="10"/>
        <v>252</v>
      </c>
      <c r="BG57" s="50">
        <f t="shared" si="10"/>
        <v>624</v>
      </c>
      <c r="BH57" s="50">
        <f t="shared" si="10"/>
        <v>92</v>
      </c>
      <c r="BI57" s="50">
        <f t="shared" si="10"/>
        <v>24</v>
      </c>
      <c r="BJ57" s="50">
        <f t="shared" si="10"/>
        <v>282</v>
      </c>
      <c r="BK57" s="50">
        <f t="shared" si="10"/>
        <v>135</v>
      </c>
      <c r="BL57" s="50">
        <f>MAX(BL5:BL55)</f>
        <v>329</v>
      </c>
      <c r="BM57" s="50">
        <f t="shared" si="10"/>
        <v>357</v>
      </c>
      <c r="BO57" s="77">
        <f t="shared" si="10"/>
        <v>564</v>
      </c>
      <c r="BP57" s="51">
        <f t="shared" si="10"/>
        <v>7.806034482758621</v>
      </c>
      <c r="BQ57" s="51">
        <f t="shared" si="10"/>
        <v>11.345454545454546</v>
      </c>
      <c r="BR57" s="51">
        <f t="shared" si="10"/>
        <v>5.6127450980392153</v>
      </c>
      <c r="BS57" s="52">
        <f t="shared" si="10"/>
        <v>3.0098039215686274</v>
      </c>
      <c r="BT57" s="50">
        <f t="shared" si="10"/>
        <v>1003</v>
      </c>
      <c r="BU57" s="50">
        <f t="shared" si="10"/>
        <v>35</v>
      </c>
      <c r="BV57" s="50">
        <f t="shared" ref="BV57:BY57" si="11">MAX(BV5:BV55)</f>
        <v>38</v>
      </c>
      <c r="BW57" s="77">
        <f t="shared" si="11"/>
        <v>26</v>
      </c>
      <c r="BZ57" s="50">
        <f t="shared" ref="BZ57:CW57" si="12">MAX(BZ5:BZ55)</f>
        <v>97</v>
      </c>
      <c r="CB57" s="77">
        <f t="shared" si="12"/>
        <v>9</v>
      </c>
      <c r="CC57" s="50">
        <f t="shared" si="12"/>
        <v>13</v>
      </c>
      <c r="CD57" s="50">
        <f t="shared" si="12"/>
        <v>11</v>
      </c>
      <c r="CE57" s="77">
        <f t="shared" si="12"/>
        <v>9</v>
      </c>
      <c r="CF57" s="50">
        <f t="shared" si="12"/>
        <v>21</v>
      </c>
      <c r="CG57" s="50">
        <f t="shared" si="12"/>
        <v>10</v>
      </c>
      <c r="CH57" s="77">
        <f t="shared" si="12"/>
        <v>13</v>
      </c>
      <c r="CI57" s="50">
        <f t="shared" si="12"/>
        <v>22</v>
      </c>
      <c r="CJ57" s="50">
        <f t="shared" si="12"/>
        <v>7</v>
      </c>
      <c r="CK57" s="77">
        <f t="shared" si="12"/>
        <v>16</v>
      </c>
      <c r="CL57" s="50">
        <f t="shared" si="12"/>
        <v>18</v>
      </c>
      <c r="CM57" s="50">
        <f t="shared" si="12"/>
        <v>6</v>
      </c>
      <c r="CN57" s="77">
        <f t="shared" si="12"/>
        <v>14</v>
      </c>
      <c r="CO57" s="50">
        <f t="shared" si="12"/>
        <v>17</v>
      </c>
      <c r="CP57" s="50">
        <f t="shared" si="12"/>
        <v>5</v>
      </c>
      <c r="CQ57" s="77">
        <f t="shared" si="12"/>
        <v>11</v>
      </c>
      <c r="CR57" s="50">
        <f t="shared" si="12"/>
        <v>7</v>
      </c>
      <c r="CS57" s="50">
        <f t="shared" si="12"/>
        <v>4</v>
      </c>
      <c r="CT57" s="77">
        <f t="shared" si="12"/>
        <v>5</v>
      </c>
      <c r="CU57" s="50">
        <f t="shared" si="12"/>
        <v>6</v>
      </c>
      <c r="CV57" s="50">
        <f t="shared" si="12"/>
        <v>4</v>
      </c>
      <c r="CW57" s="77">
        <f t="shared" si="12"/>
        <v>3</v>
      </c>
    </row>
    <row r="58" spans="1:101" s="50" customFormat="1" ht="17" x14ac:dyDescent="0.2">
      <c r="A58" s="319"/>
      <c r="B58" s="320"/>
      <c r="C58" s="321"/>
      <c r="D58" s="321"/>
      <c r="E58" s="322"/>
      <c r="F58" s="251"/>
      <c r="G58" s="322"/>
      <c r="H58" s="252" t="s">
        <v>169</v>
      </c>
      <c r="I58" s="50">
        <f>AVERAGE(I5:I55)</f>
        <v>4639.1000000000004</v>
      </c>
      <c r="J58" s="50">
        <f t="shared" ref="J58:BU58" si="13">AVERAGE(J5:J55)</f>
        <v>9.6</v>
      </c>
      <c r="K58" s="50">
        <f t="shared" si="13"/>
        <v>1.9</v>
      </c>
      <c r="L58" s="50">
        <f t="shared" si="13"/>
        <v>1.6</v>
      </c>
      <c r="M58" s="50">
        <f t="shared" si="13"/>
        <v>7.7</v>
      </c>
      <c r="N58" s="50">
        <f t="shared" si="13"/>
        <v>0.3</v>
      </c>
      <c r="O58" s="50">
        <f t="shared" si="13"/>
        <v>474.6</v>
      </c>
      <c r="P58" s="50">
        <f t="shared" si="13"/>
        <v>215.4</v>
      </c>
      <c r="Q58" s="50">
        <f t="shared" si="13"/>
        <v>1126.2</v>
      </c>
      <c r="R58" s="50">
        <f t="shared" si="13"/>
        <v>306.89999999999998</v>
      </c>
      <c r="S58" s="50">
        <f t="shared" si="13"/>
        <v>35.5</v>
      </c>
      <c r="T58" s="50">
        <f t="shared" si="13"/>
        <v>18.125</v>
      </c>
      <c r="U58" s="50">
        <f t="shared" si="13"/>
        <v>17.375</v>
      </c>
      <c r="V58" s="50">
        <f t="shared" si="13"/>
        <v>54.777777777777779</v>
      </c>
      <c r="W58" s="50">
        <f t="shared" si="13"/>
        <v>80.476190476190482</v>
      </c>
      <c r="X58" s="50">
        <f t="shared" si="13"/>
        <v>168.75</v>
      </c>
      <c r="Y58" s="50">
        <f t="shared" si="13"/>
        <v>122.6</v>
      </c>
      <c r="AA58" s="50">
        <f t="shared" si="13"/>
        <v>257.2</v>
      </c>
      <c r="AB58" s="50">
        <f t="shared" si="13"/>
        <v>186</v>
      </c>
      <c r="AC58" s="50">
        <f t="shared" si="13"/>
        <v>54.333333333333336</v>
      </c>
      <c r="AD58" s="50">
        <f t="shared" si="13"/>
        <v>24.066666666666666</v>
      </c>
      <c r="AE58" s="50">
        <f t="shared" si="13"/>
        <v>29.666666666666668</v>
      </c>
      <c r="AF58" s="50">
        <f t="shared" si="13"/>
        <v>703.4</v>
      </c>
      <c r="AG58" s="46">
        <f t="shared" si="13"/>
        <v>0.62036710583772714</v>
      </c>
      <c r="AH58" s="139">
        <f t="shared" si="13"/>
        <v>1243.3333333333333</v>
      </c>
      <c r="AI58" s="139">
        <f t="shared" si="13"/>
        <v>499</v>
      </c>
      <c r="AJ58" s="139">
        <f t="shared" si="13"/>
        <v>35.666666666666664</v>
      </c>
      <c r="AK58" s="139">
        <f t="shared" si="13"/>
        <v>16.666666666666668</v>
      </c>
      <c r="AL58" s="139">
        <f t="shared" si="13"/>
        <v>19</v>
      </c>
      <c r="AM58" s="139">
        <f t="shared" si="13"/>
        <v>58.833333333333336</v>
      </c>
      <c r="AN58" s="139">
        <f t="shared" si="13"/>
        <v>98.833333333333329</v>
      </c>
      <c r="AO58" s="139"/>
      <c r="AP58" s="139"/>
      <c r="AQ58" s="139"/>
      <c r="AR58" s="139"/>
      <c r="AS58" s="139"/>
      <c r="AT58" s="139">
        <f t="shared" si="13"/>
        <v>251.66666666666666</v>
      </c>
      <c r="AU58" s="139">
        <f t="shared" si="13"/>
        <v>323</v>
      </c>
      <c r="AV58" s="139">
        <f t="shared" si="13"/>
        <v>33.5</v>
      </c>
      <c r="AW58" s="139">
        <f t="shared" si="13"/>
        <v>49.666666666666664</v>
      </c>
      <c r="AX58" s="139">
        <f t="shared" si="13"/>
        <v>702</v>
      </c>
      <c r="AY58" s="74">
        <f t="shared" si="13"/>
        <v>0.56653074352164923</v>
      </c>
      <c r="AZ58" s="141">
        <f t="shared" si="13"/>
        <v>17.666666666666668</v>
      </c>
      <c r="BA58" s="50">
        <f t="shared" si="13"/>
        <v>1603</v>
      </c>
      <c r="BB58" s="50">
        <f t="shared" si="13"/>
        <v>1028.6470588235295</v>
      </c>
      <c r="BC58" s="50">
        <f t="shared" si="13"/>
        <v>504.70588235294116</v>
      </c>
      <c r="BD58" s="50">
        <f t="shared" si="13"/>
        <v>82</v>
      </c>
      <c r="BE58" s="50">
        <f t="shared" si="13"/>
        <v>155.35294117647058</v>
      </c>
      <c r="BF58" s="50">
        <f t="shared" si="13"/>
        <v>208.375</v>
      </c>
      <c r="BG58" s="50">
        <f t="shared" si="13"/>
        <v>495.17021276595744</v>
      </c>
      <c r="BH58" s="50">
        <f t="shared" si="13"/>
        <v>71.900000000000006</v>
      </c>
      <c r="BI58" s="50">
        <f t="shared" si="13"/>
        <v>14.490196078431373</v>
      </c>
      <c r="BJ58" s="50">
        <f t="shared" si="13"/>
        <v>231.1875</v>
      </c>
      <c r="BK58" s="50">
        <f t="shared" si="13"/>
        <v>98.5</v>
      </c>
      <c r="BL58" s="50">
        <f t="shared" si="13"/>
        <v>274</v>
      </c>
      <c r="BM58" s="50">
        <f t="shared" si="13"/>
        <v>286.1764705882353</v>
      </c>
      <c r="BO58" s="77">
        <f t="shared" si="13"/>
        <v>332.3125</v>
      </c>
      <c r="BP58" s="51">
        <f t="shared" si="13"/>
        <v>5.2835641478031103</v>
      </c>
      <c r="BQ58" s="51">
        <f t="shared" si="13"/>
        <v>7.0413050572220817</v>
      </c>
      <c r="BR58" s="51">
        <f t="shared" si="13"/>
        <v>3.7267312573592402</v>
      </c>
      <c r="BS58" s="52">
        <f t="shared" si="13"/>
        <v>1.8526999104519701</v>
      </c>
      <c r="BT58" s="50">
        <f t="shared" si="13"/>
        <v>362.5</v>
      </c>
      <c r="BU58" s="50">
        <f t="shared" si="13"/>
        <v>30.15</v>
      </c>
      <c r="BV58" s="50">
        <f t="shared" ref="BV58:BY58" si="14">AVERAGE(BV5:BV55)</f>
        <v>31.647058823529413</v>
      </c>
      <c r="BW58" s="77">
        <f t="shared" si="14"/>
        <v>20</v>
      </c>
      <c r="BZ58" s="50">
        <f t="shared" ref="BZ58:CW58" si="15">AVERAGE(BZ5:BZ55)</f>
        <v>87.454545454545453</v>
      </c>
      <c r="CB58" s="77">
        <f t="shared" si="15"/>
        <v>6.5</v>
      </c>
      <c r="CC58" s="50">
        <f t="shared" si="15"/>
        <v>12.181818181818182</v>
      </c>
      <c r="CD58" s="50">
        <f t="shared" si="15"/>
        <v>9.8181818181818183</v>
      </c>
      <c r="CE58" s="77">
        <f t="shared" si="15"/>
        <v>7.5454545454545459</v>
      </c>
      <c r="CF58" s="50">
        <f t="shared" si="15"/>
        <v>17.142857142857142</v>
      </c>
      <c r="CG58" s="50">
        <f t="shared" si="15"/>
        <v>7.7142857142857144</v>
      </c>
      <c r="CH58" s="77">
        <f t="shared" si="15"/>
        <v>10.714285714285714</v>
      </c>
      <c r="CI58" s="50">
        <f t="shared" si="15"/>
        <v>17.933333333333334</v>
      </c>
      <c r="CJ58" s="50">
        <f t="shared" si="15"/>
        <v>5.7333333333333334</v>
      </c>
      <c r="CK58" s="77">
        <f t="shared" si="15"/>
        <v>11.2</v>
      </c>
      <c r="CL58" s="50">
        <f t="shared" si="15"/>
        <v>15.090909090909092</v>
      </c>
      <c r="CM58" s="50">
        <f t="shared" si="15"/>
        <v>4.7272727272727275</v>
      </c>
      <c r="CN58" s="77">
        <f t="shared" si="15"/>
        <v>9.454545454545455</v>
      </c>
      <c r="CO58" s="50">
        <f t="shared" si="15"/>
        <v>12.416666666666666</v>
      </c>
      <c r="CP58" s="50">
        <f t="shared" si="15"/>
        <v>4.416666666666667</v>
      </c>
      <c r="CQ58" s="77">
        <f t="shared" si="15"/>
        <v>7.083333333333333</v>
      </c>
      <c r="CR58" s="50">
        <f t="shared" si="15"/>
        <v>6.666666666666667</v>
      </c>
      <c r="CS58" s="50">
        <f t="shared" si="15"/>
        <v>3.3333333333333335</v>
      </c>
      <c r="CT58" s="77">
        <f t="shared" si="15"/>
        <v>3.5</v>
      </c>
      <c r="CU58" s="50">
        <f t="shared" si="15"/>
        <v>5.75</v>
      </c>
      <c r="CV58" s="50">
        <f t="shared" si="15"/>
        <v>3.25</v>
      </c>
      <c r="CW58" s="77">
        <f t="shared" si="15"/>
        <v>3</v>
      </c>
    </row>
    <row r="59" spans="1:101" s="51" customFormat="1" ht="17" x14ac:dyDescent="0.2">
      <c r="A59" s="324"/>
      <c r="B59" s="325"/>
      <c r="C59" s="326"/>
      <c r="D59" s="326"/>
      <c r="E59" s="327"/>
      <c r="F59" s="255"/>
      <c r="G59" s="327"/>
      <c r="H59" s="256" t="s">
        <v>170</v>
      </c>
      <c r="I59" s="51">
        <f>STDEV(I5:I55)</f>
        <v>1003.3731387452806</v>
      </c>
      <c r="J59" s="51">
        <f t="shared" ref="J59:BU59" si="16">STDEV(J5:J55)</f>
        <v>1.7126976771553499</v>
      </c>
      <c r="K59" s="51">
        <f t="shared" si="16"/>
        <v>0.56764621219754663</v>
      </c>
      <c r="L59" s="51">
        <f t="shared" si="16"/>
        <v>0.51639777949432208</v>
      </c>
      <c r="M59" s="51">
        <f t="shared" si="16"/>
        <v>1.4181364924121773</v>
      </c>
      <c r="N59" s="51">
        <f t="shared" si="16"/>
        <v>0.48304589153964794</v>
      </c>
      <c r="O59" s="51">
        <f t="shared" si="16"/>
        <v>146.51749990283676</v>
      </c>
      <c r="P59" s="51">
        <f t="shared" si="16"/>
        <v>45.519714898540904</v>
      </c>
      <c r="Q59" s="51">
        <f t="shared" si="16"/>
        <v>418.99875364439396</v>
      </c>
      <c r="R59" s="51">
        <f t="shared" si="16"/>
        <v>62.306500463434816</v>
      </c>
      <c r="S59" s="51">
        <f t="shared" si="16"/>
        <v>2.2677868380553634</v>
      </c>
      <c r="T59" s="51">
        <f t="shared" si="16"/>
        <v>1.1259916264596033</v>
      </c>
      <c r="U59" s="51">
        <f t="shared" si="16"/>
        <v>2.4458419526091331</v>
      </c>
      <c r="V59" s="51">
        <f t="shared" si="16"/>
        <v>20.044821570542155</v>
      </c>
      <c r="W59" s="51">
        <f t="shared" si="16"/>
        <v>17.642616154128199</v>
      </c>
      <c r="X59" s="51">
        <f t="shared" si="16"/>
        <v>24.353057889542917</v>
      </c>
      <c r="Y59" s="51">
        <f t="shared" si="16"/>
        <v>30.28824487780329</v>
      </c>
      <c r="AA59" s="51">
        <f t="shared" si="16"/>
        <v>120.86797204663716</v>
      </c>
      <c r="AB59" s="51">
        <f t="shared" si="16"/>
        <v>40.014283164175978</v>
      </c>
      <c r="AC59" s="51">
        <f t="shared" si="16"/>
        <v>20.539393045235453</v>
      </c>
      <c r="AD59" s="51">
        <f t="shared" si="16"/>
        <v>10.741262153195876</v>
      </c>
      <c r="AE59" s="51">
        <f t="shared" si="16"/>
        <v>4.9753013163431365</v>
      </c>
      <c r="AF59" s="51">
        <f t="shared" si="16"/>
        <v>277.27411226678441</v>
      </c>
      <c r="AG59" s="257">
        <f t="shared" si="16"/>
        <v>4.8228070514718203E-2</v>
      </c>
      <c r="AH59" s="154">
        <f t="shared" si="16"/>
        <v>248.3592827605473</v>
      </c>
      <c r="AI59" s="154">
        <f t="shared" si="16"/>
        <v>34.394767043839678</v>
      </c>
      <c r="AJ59" s="154">
        <f t="shared" si="16"/>
        <v>4.0414518843273806</v>
      </c>
      <c r="AK59" s="154">
        <f t="shared" si="16"/>
        <v>1.1547005383792515</v>
      </c>
      <c r="AL59" s="154">
        <f t="shared" si="16"/>
        <v>3</v>
      </c>
      <c r="AM59" s="154">
        <f t="shared" si="16"/>
        <v>6.7354782062349834</v>
      </c>
      <c r="AN59" s="154">
        <f t="shared" si="16"/>
        <v>15.289429899988658</v>
      </c>
      <c r="AO59" s="154"/>
      <c r="AP59" s="154"/>
      <c r="AQ59" s="154"/>
      <c r="AR59" s="154"/>
      <c r="AS59" s="154"/>
      <c r="AT59" s="154">
        <f t="shared" si="16"/>
        <v>28.571547618799602</v>
      </c>
      <c r="AU59" s="154">
        <f t="shared" si="16"/>
        <v>32.511536414017719</v>
      </c>
      <c r="AV59" s="154">
        <f t="shared" si="16"/>
        <v>6.6257075093909785</v>
      </c>
      <c r="AW59" s="154">
        <f t="shared" si="16"/>
        <v>4.0331955899344463</v>
      </c>
      <c r="AX59" s="154">
        <f t="shared" si="16"/>
        <v>128.79052760199409</v>
      </c>
      <c r="AY59" s="328">
        <f t="shared" si="16"/>
        <v>3.7769927910824987E-2</v>
      </c>
      <c r="AZ59" s="148">
        <f t="shared" si="16"/>
        <v>3.5118845842842434</v>
      </c>
      <c r="BA59" s="51">
        <f t="shared" si="16"/>
        <v>224.00306917540215</v>
      </c>
      <c r="BB59" s="51">
        <f t="shared" si="16"/>
        <v>293.22004134618561</v>
      </c>
      <c r="BC59" s="51">
        <f t="shared" si="16"/>
        <v>109.27760789949285</v>
      </c>
      <c r="BD59" s="51">
        <f t="shared" si="16"/>
        <v>260.82177823180331</v>
      </c>
      <c r="BE59" s="51">
        <f t="shared" si="16"/>
        <v>23.756423280006299</v>
      </c>
      <c r="BF59" s="51">
        <f t="shared" si="16"/>
        <v>25.968891646224204</v>
      </c>
      <c r="BG59" s="51">
        <f t="shared" si="16"/>
        <v>81.899015004146449</v>
      </c>
      <c r="BH59" s="51">
        <f t="shared" si="16"/>
        <v>9.4485718605555213</v>
      </c>
      <c r="BI59" s="51">
        <f t="shared" si="16"/>
        <v>3.4949823977788927</v>
      </c>
      <c r="BJ59" s="51">
        <f t="shared" si="16"/>
        <v>28.15432867969427</v>
      </c>
      <c r="BK59" s="51">
        <f t="shared" si="16"/>
        <v>24.348571645508706</v>
      </c>
      <c r="BL59" s="51">
        <f>STDEV(BL5:BL55)</f>
        <v>39.190241132200249</v>
      </c>
      <c r="BM59" s="51">
        <f t="shared" si="16"/>
        <v>36.810724140726968</v>
      </c>
      <c r="BO59" s="52">
        <f t="shared" si="16"/>
        <v>101.7701454258566</v>
      </c>
      <c r="BP59" s="51">
        <f t="shared" si="16"/>
        <v>1.3098094681733159</v>
      </c>
      <c r="BQ59" s="51">
        <f t="shared" si="16"/>
        <v>1.4660881178852272</v>
      </c>
      <c r="BR59" s="51">
        <f t="shared" si="16"/>
        <v>1.0531578768860383</v>
      </c>
      <c r="BS59" s="52">
        <f t="shared" si="16"/>
        <v>0.43651927813211278</v>
      </c>
      <c r="BT59" s="51">
        <f t="shared" si="16"/>
        <v>268.42845105043045</v>
      </c>
      <c r="BU59" s="51">
        <f t="shared" si="16"/>
        <v>3.8013155617496377</v>
      </c>
      <c r="BV59" s="51">
        <f t="shared" ref="BV59:BY59" si="17">STDEV(BV5:BV55)</f>
        <v>3.3900806861818822</v>
      </c>
      <c r="BW59" s="52">
        <f t="shared" si="17"/>
        <v>3.625307868699863</v>
      </c>
      <c r="BZ59" s="51">
        <f t="shared" ref="BZ59:CW59" si="18">STDEV(BZ5:BZ55)</f>
        <v>6.875516509523286</v>
      </c>
      <c r="CB59" s="52">
        <f t="shared" si="18"/>
        <v>1.35400640077266</v>
      </c>
      <c r="CC59" s="51">
        <f t="shared" si="18"/>
        <v>0.98164981721404276</v>
      </c>
      <c r="CD59" s="51">
        <f t="shared" si="18"/>
        <v>0.75075719352954828</v>
      </c>
      <c r="CE59" s="52">
        <f t="shared" si="18"/>
        <v>1.1281521496355333</v>
      </c>
      <c r="CF59" s="51">
        <f t="shared" si="18"/>
        <v>2.2138425646596622</v>
      </c>
      <c r="CG59" s="51">
        <f t="shared" si="18"/>
        <v>1.3259870882635927</v>
      </c>
      <c r="CH59" s="52">
        <f t="shared" si="18"/>
        <v>1.5898026693500455</v>
      </c>
      <c r="CI59" s="51">
        <f t="shared" si="18"/>
        <v>3.4942129027184095</v>
      </c>
      <c r="CJ59" s="51">
        <f t="shared" si="18"/>
        <v>0.70373155054899705</v>
      </c>
      <c r="CK59" s="52">
        <f t="shared" si="18"/>
        <v>2.1447610589527231</v>
      </c>
      <c r="CL59" s="51">
        <f t="shared" si="18"/>
        <v>2.6250541119963793</v>
      </c>
      <c r="CM59" s="51">
        <f t="shared" si="18"/>
        <v>0.64666979068286368</v>
      </c>
      <c r="CN59" s="52">
        <f t="shared" si="18"/>
        <v>2.3393860888547819</v>
      </c>
      <c r="CO59" s="51">
        <f t="shared" si="18"/>
        <v>2.9987371079213077</v>
      </c>
      <c r="CP59" s="51">
        <f t="shared" si="18"/>
        <v>0.51492865054443637</v>
      </c>
      <c r="CQ59" s="52">
        <f t="shared" si="18"/>
        <v>2.745519766433814</v>
      </c>
      <c r="CR59" s="51">
        <f t="shared" si="18"/>
        <v>0.51639777949432231</v>
      </c>
      <c r="CS59" s="51">
        <f t="shared" si="18"/>
        <v>0.81649658092772548</v>
      </c>
      <c r="CT59" s="52">
        <f t="shared" si="18"/>
        <v>0.83666002653407556</v>
      </c>
      <c r="CU59" s="51">
        <f t="shared" si="18"/>
        <v>0.5</v>
      </c>
      <c r="CV59" s="51">
        <f t="shared" si="18"/>
        <v>0.5</v>
      </c>
      <c r="CW59" s="52">
        <f t="shared" si="18"/>
        <v>0</v>
      </c>
    </row>
    <row r="60" spans="1:101" s="140" customFormat="1" ht="17" x14ac:dyDescent="0.2">
      <c r="A60" s="329"/>
      <c r="B60" s="330"/>
      <c r="C60" s="331"/>
      <c r="D60" s="331"/>
      <c r="E60" s="332"/>
      <c r="F60" s="144"/>
      <c r="G60" s="332"/>
      <c r="H60" s="145" t="s">
        <v>171</v>
      </c>
      <c r="I60" s="140">
        <f>COUNT(I5:I55)</f>
        <v>10</v>
      </c>
      <c r="J60" s="140">
        <f t="shared" ref="J60:BU60" si="19">COUNT(J5:J55)</f>
        <v>10</v>
      </c>
      <c r="K60" s="140">
        <f t="shared" si="19"/>
        <v>10</v>
      </c>
      <c r="L60" s="140">
        <f t="shared" si="19"/>
        <v>10</v>
      </c>
      <c r="M60" s="140">
        <f t="shared" si="19"/>
        <v>10</v>
      </c>
      <c r="N60" s="140">
        <f t="shared" si="19"/>
        <v>10</v>
      </c>
      <c r="O60" s="140">
        <f t="shared" si="19"/>
        <v>10</v>
      </c>
      <c r="P60" s="140">
        <f t="shared" si="19"/>
        <v>10</v>
      </c>
      <c r="Q60" s="140">
        <f t="shared" si="19"/>
        <v>10</v>
      </c>
      <c r="R60" s="140">
        <f t="shared" si="19"/>
        <v>10</v>
      </c>
      <c r="S60" s="140">
        <f t="shared" si="19"/>
        <v>8</v>
      </c>
      <c r="T60" s="140">
        <f t="shared" si="19"/>
        <v>8</v>
      </c>
      <c r="U60" s="140">
        <f t="shared" si="19"/>
        <v>8</v>
      </c>
      <c r="V60" s="140">
        <f t="shared" si="19"/>
        <v>27</v>
      </c>
      <c r="W60" s="140">
        <f t="shared" si="19"/>
        <v>21</v>
      </c>
      <c r="X60" s="140">
        <f t="shared" si="19"/>
        <v>8</v>
      </c>
      <c r="Y60" s="140">
        <f t="shared" si="19"/>
        <v>10</v>
      </c>
      <c r="AA60" s="140">
        <f t="shared" si="19"/>
        <v>10</v>
      </c>
      <c r="AB60" s="140">
        <f t="shared" si="19"/>
        <v>8</v>
      </c>
      <c r="AC60" s="140">
        <f t="shared" si="19"/>
        <v>6</v>
      </c>
      <c r="AD60" s="140">
        <f t="shared" si="19"/>
        <v>30</v>
      </c>
      <c r="AE60" s="140">
        <f t="shared" si="19"/>
        <v>24</v>
      </c>
      <c r="AF60" s="140">
        <f t="shared" si="19"/>
        <v>10</v>
      </c>
      <c r="AG60" s="140">
        <f t="shared" si="19"/>
        <v>10</v>
      </c>
      <c r="AH60" s="139">
        <f t="shared" si="19"/>
        <v>3</v>
      </c>
      <c r="AI60" s="139">
        <f t="shared" si="19"/>
        <v>3</v>
      </c>
      <c r="AJ60" s="139">
        <f t="shared" si="19"/>
        <v>3</v>
      </c>
      <c r="AK60" s="139">
        <f t="shared" si="19"/>
        <v>3</v>
      </c>
      <c r="AL60" s="139">
        <f t="shared" si="19"/>
        <v>3</v>
      </c>
      <c r="AM60" s="139">
        <f t="shared" si="19"/>
        <v>6</v>
      </c>
      <c r="AN60" s="139">
        <f t="shared" si="19"/>
        <v>6</v>
      </c>
      <c r="AO60" s="139"/>
      <c r="AP60" s="139"/>
      <c r="AQ60" s="139"/>
      <c r="AR60" s="139"/>
      <c r="AS60" s="139"/>
      <c r="AT60" s="139">
        <f t="shared" si="19"/>
        <v>3</v>
      </c>
      <c r="AU60" s="139">
        <f t="shared" si="19"/>
        <v>3</v>
      </c>
      <c r="AV60" s="139">
        <f t="shared" si="19"/>
        <v>6</v>
      </c>
      <c r="AW60" s="139">
        <f t="shared" si="19"/>
        <v>6</v>
      </c>
      <c r="AX60" s="139">
        <f t="shared" si="19"/>
        <v>3</v>
      </c>
      <c r="AY60" s="139">
        <f t="shared" si="19"/>
        <v>3</v>
      </c>
      <c r="AZ60" s="141">
        <f t="shared" si="19"/>
        <v>3</v>
      </c>
      <c r="BA60" s="140">
        <f t="shared" si="19"/>
        <v>17</v>
      </c>
      <c r="BB60" s="140">
        <f t="shared" si="19"/>
        <v>17</v>
      </c>
      <c r="BC60" s="140">
        <f t="shared" si="19"/>
        <v>17</v>
      </c>
      <c r="BD60" s="140">
        <f t="shared" si="19"/>
        <v>16</v>
      </c>
      <c r="BE60" s="140">
        <f t="shared" si="19"/>
        <v>17</v>
      </c>
      <c r="BF60" s="140">
        <f t="shared" si="19"/>
        <v>16</v>
      </c>
      <c r="BG60" s="140">
        <f t="shared" si="19"/>
        <v>47</v>
      </c>
      <c r="BH60" s="140">
        <f t="shared" si="19"/>
        <v>50</v>
      </c>
      <c r="BI60" s="140">
        <f t="shared" si="19"/>
        <v>51</v>
      </c>
      <c r="BJ60" s="140">
        <f t="shared" si="19"/>
        <v>48</v>
      </c>
      <c r="BK60" s="140">
        <f t="shared" si="19"/>
        <v>18</v>
      </c>
      <c r="BL60" s="140">
        <f>COUNT(BL5:BL55)</f>
        <v>17</v>
      </c>
      <c r="BM60" s="140">
        <f t="shared" si="19"/>
        <v>17</v>
      </c>
      <c r="BO60" s="141">
        <f t="shared" si="19"/>
        <v>16</v>
      </c>
      <c r="BP60" s="140">
        <f t="shared" si="19"/>
        <v>15</v>
      </c>
      <c r="BQ60" s="140">
        <f t="shared" si="19"/>
        <v>46</v>
      </c>
      <c r="BR60" s="140">
        <f t="shared" si="19"/>
        <v>17</v>
      </c>
      <c r="BS60" s="141">
        <f t="shared" si="19"/>
        <v>17</v>
      </c>
      <c r="BT60" s="140">
        <f t="shared" si="19"/>
        <v>10</v>
      </c>
      <c r="BU60" s="140">
        <f t="shared" si="19"/>
        <v>20</v>
      </c>
      <c r="BV60" s="140">
        <f t="shared" ref="BV60:BY60" si="20">COUNT(BV5:BV55)</f>
        <v>17</v>
      </c>
      <c r="BW60" s="141">
        <f t="shared" si="20"/>
        <v>15</v>
      </c>
      <c r="BZ60" s="140">
        <f t="shared" ref="BZ60:CW60" si="21">COUNT(BZ5:BZ55)</f>
        <v>11</v>
      </c>
      <c r="CB60" s="141">
        <f t="shared" si="21"/>
        <v>10</v>
      </c>
      <c r="CC60" s="140">
        <f t="shared" si="21"/>
        <v>11</v>
      </c>
      <c r="CD60" s="140">
        <f t="shared" si="21"/>
        <v>11</v>
      </c>
      <c r="CE60" s="141">
        <f t="shared" si="21"/>
        <v>11</v>
      </c>
      <c r="CF60" s="140">
        <f t="shared" si="21"/>
        <v>14</v>
      </c>
      <c r="CG60" s="140">
        <f t="shared" si="21"/>
        <v>14</v>
      </c>
      <c r="CH60" s="141">
        <f t="shared" si="21"/>
        <v>14</v>
      </c>
      <c r="CI60" s="140">
        <f t="shared" si="21"/>
        <v>15</v>
      </c>
      <c r="CJ60" s="140">
        <f t="shared" si="21"/>
        <v>15</v>
      </c>
      <c r="CK60" s="141">
        <f t="shared" si="21"/>
        <v>15</v>
      </c>
      <c r="CL60" s="140">
        <f t="shared" si="21"/>
        <v>11</v>
      </c>
      <c r="CM60" s="140">
        <f t="shared" si="21"/>
        <v>11</v>
      </c>
      <c r="CN60" s="141">
        <f t="shared" si="21"/>
        <v>11</v>
      </c>
      <c r="CO60" s="140">
        <f t="shared" si="21"/>
        <v>12</v>
      </c>
      <c r="CP60" s="140">
        <f t="shared" si="21"/>
        <v>12</v>
      </c>
      <c r="CQ60" s="141">
        <f t="shared" si="21"/>
        <v>12</v>
      </c>
      <c r="CR60" s="140">
        <f t="shared" si="21"/>
        <v>6</v>
      </c>
      <c r="CS60" s="140">
        <f t="shared" si="21"/>
        <v>6</v>
      </c>
      <c r="CT60" s="141">
        <f t="shared" si="21"/>
        <v>6</v>
      </c>
      <c r="CU60" s="140">
        <f t="shared" si="21"/>
        <v>4</v>
      </c>
      <c r="CV60" s="140">
        <f t="shared" si="21"/>
        <v>4</v>
      </c>
      <c r="CW60" s="141">
        <f t="shared" si="21"/>
        <v>4</v>
      </c>
    </row>
    <row r="61" spans="1:101" s="140" customFormat="1" ht="17" x14ac:dyDescent="0.2">
      <c r="A61" s="329"/>
      <c r="B61" s="330"/>
      <c r="C61" s="331"/>
      <c r="D61" s="331"/>
      <c r="E61" s="332"/>
      <c r="F61" s="144"/>
      <c r="G61" s="332"/>
      <c r="H61" s="145" t="s">
        <v>189</v>
      </c>
      <c r="I61" s="140">
        <f>I60</f>
        <v>10</v>
      </c>
      <c r="J61" s="140">
        <f t="shared" ref="J61:BF61" si="22">J60</f>
        <v>10</v>
      </c>
      <c r="K61" s="140">
        <f t="shared" si="22"/>
        <v>10</v>
      </c>
      <c r="L61" s="140">
        <f t="shared" si="22"/>
        <v>10</v>
      </c>
      <c r="M61" s="140">
        <f t="shared" si="22"/>
        <v>10</v>
      </c>
      <c r="N61" s="140">
        <f t="shared" si="22"/>
        <v>10</v>
      </c>
      <c r="O61" s="140">
        <f t="shared" si="22"/>
        <v>10</v>
      </c>
      <c r="P61" s="140">
        <f t="shared" si="22"/>
        <v>10</v>
      </c>
      <c r="Q61" s="140">
        <f t="shared" si="22"/>
        <v>10</v>
      </c>
      <c r="R61" s="140">
        <f t="shared" si="22"/>
        <v>10</v>
      </c>
      <c r="S61" s="140">
        <f t="shared" si="22"/>
        <v>8</v>
      </c>
      <c r="T61" s="140">
        <f t="shared" si="22"/>
        <v>8</v>
      </c>
      <c r="U61" s="140">
        <f t="shared" si="22"/>
        <v>8</v>
      </c>
      <c r="V61" s="140">
        <v>9</v>
      </c>
      <c r="W61" s="140">
        <v>7</v>
      </c>
      <c r="X61" s="140">
        <f t="shared" si="22"/>
        <v>8</v>
      </c>
      <c r="Y61" s="140">
        <f t="shared" si="22"/>
        <v>10</v>
      </c>
      <c r="AA61" s="140">
        <f t="shared" si="22"/>
        <v>10</v>
      </c>
      <c r="AB61" s="140">
        <f t="shared" si="22"/>
        <v>8</v>
      </c>
      <c r="AC61" s="140">
        <f t="shared" si="22"/>
        <v>6</v>
      </c>
      <c r="AD61" s="140">
        <v>10</v>
      </c>
      <c r="AE61" s="140">
        <v>8</v>
      </c>
      <c r="AF61" s="140">
        <f t="shared" si="22"/>
        <v>10</v>
      </c>
      <c r="AG61" s="140">
        <f t="shared" si="22"/>
        <v>10</v>
      </c>
      <c r="AH61" s="139">
        <f t="shared" si="22"/>
        <v>3</v>
      </c>
      <c r="AI61" s="139">
        <f t="shared" si="22"/>
        <v>3</v>
      </c>
      <c r="AJ61" s="139">
        <f t="shared" si="22"/>
        <v>3</v>
      </c>
      <c r="AK61" s="139">
        <f t="shared" si="22"/>
        <v>3</v>
      </c>
      <c r="AL61" s="139">
        <f t="shared" si="22"/>
        <v>3</v>
      </c>
      <c r="AM61" s="139">
        <v>2</v>
      </c>
      <c r="AN61" s="139">
        <v>2</v>
      </c>
      <c r="AO61" s="139"/>
      <c r="AP61" s="139"/>
      <c r="AQ61" s="139"/>
      <c r="AR61" s="139"/>
      <c r="AS61" s="139"/>
      <c r="AT61" s="139">
        <f t="shared" si="22"/>
        <v>3</v>
      </c>
      <c r="AU61" s="139">
        <f t="shared" si="22"/>
        <v>3</v>
      </c>
      <c r="AV61" s="139">
        <v>2</v>
      </c>
      <c r="AW61" s="139">
        <v>2</v>
      </c>
      <c r="AX61" s="139">
        <f t="shared" si="22"/>
        <v>3</v>
      </c>
      <c r="AY61" s="139">
        <f t="shared" si="22"/>
        <v>3</v>
      </c>
      <c r="AZ61" s="141">
        <v>1</v>
      </c>
      <c r="BA61" s="140">
        <f t="shared" si="22"/>
        <v>17</v>
      </c>
      <c r="BB61" s="140">
        <f t="shared" si="22"/>
        <v>17</v>
      </c>
      <c r="BC61" s="140">
        <f t="shared" si="22"/>
        <v>17</v>
      </c>
      <c r="BD61" s="140">
        <f t="shared" si="22"/>
        <v>16</v>
      </c>
      <c r="BE61" s="140">
        <f t="shared" si="22"/>
        <v>17</v>
      </c>
      <c r="BF61" s="140">
        <f t="shared" si="22"/>
        <v>16</v>
      </c>
      <c r="BG61" s="140">
        <v>17</v>
      </c>
      <c r="BH61" s="140">
        <v>17</v>
      </c>
      <c r="BI61" s="140">
        <v>17</v>
      </c>
      <c r="BJ61" s="140">
        <v>17</v>
      </c>
      <c r="BK61" s="140">
        <v>6</v>
      </c>
      <c r="BL61" s="140">
        <f t="shared" ref="BL61:BM61" si="23">BL60</f>
        <v>17</v>
      </c>
      <c r="BM61" s="140">
        <f t="shared" si="23"/>
        <v>17</v>
      </c>
      <c r="BO61" s="141">
        <f t="shared" ref="BO61:BP61" si="24">BO60</f>
        <v>16</v>
      </c>
      <c r="BP61" s="140">
        <f t="shared" si="24"/>
        <v>15</v>
      </c>
      <c r="BQ61" s="140">
        <v>17</v>
      </c>
      <c r="BR61" s="140">
        <f t="shared" ref="BR61:BT61" si="25">BR60</f>
        <v>17</v>
      </c>
      <c r="BS61" s="141">
        <f t="shared" si="25"/>
        <v>17</v>
      </c>
      <c r="BT61" s="140">
        <f t="shared" si="25"/>
        <v>10</v>
      </c>
      <c r="BU61" s="140">
        <v>11</v>
      </c>
      <c r="BV61" s="140">
        <v>10</v>
      </c>
      <c r="BW61" s="141">
        <v>8</v>
      </c>
      <c r="BZ61" s="140">
        <v>7</v>
      </c>
      <c r="CB61" s="141">
        <v>5</v>
      </c>
      <c r="CC61" s="140">
        <v>4</v>
      </c>
      <c r="CD61" s="140">
        <v>4</v>
      </c>
      <c r="CE61" s="141">
        <v>4</v>
      </c>
      <c r="CF61" s="140">
        <v>5</v>
      </c>
      <c r="CG61" s="140">
        <v>5</v>
      </c>
      <c r="CH61" s="141">
        <v>5</v>
      </c>
      <c r="CI61" s="140">
        <v>5</v>
      </c>
      <c r="CJ61" s="140">
        <v>5</v>
      </c>
      <c r="CK61" s="141">
        <v>5</v>
      </c>
      <c r="CL61" s="140">
        <v>4</v>
      </c>
      <c r="CM61" s="140">
        <v>4</v>
      </c>
      <c r="CN61" s="141">
        <v>4</v>
      </c>
      <c r="CO61" s="140">
        <v>5</v>
      </c>
      <c r="CP61" s="140">
        <v>5</v>
      </c>
      <c r="CQ61" s="141">
        <v>5</v>
      </c>
      <c r="CR61" s="140">
        <v>3</v>
      </c>
      <c r="CS61" s="140">
        <v>3</v>
      </c>
      <c r="CT61" s="141">
        <v>3</v>
      </c>
      <c r="CU61" s="140">
        <v>3</v>
      </c>
      <c r="CV61" s="140">
        <v>3</v>
      </c>
      <c r="CW61" s="141">
        <v>3</v>
      </c>
    </row>
    <row r="62" spans="1:101" x14ac:dyDescent="0.2">
      <c r="A62" s="333"/>
      <c r="B62" s="334"/>
      <c r="C62" s="335"/>
      <c r="D62" s="335"/>
      <c r="E62" s="336"/>
      <c r="G62" s="336"/>
      <c r="H62" s="337"/>
      <c r="BI62" s="50"/>
    </row>
    <row r="63" spans="1:101" x14ac:dyDescent="0.2">
      <c r="A63" s="333"/>
      <c r="B63" s="334"/>
      <c r="C63" s="335"/>
      <c r="D63" s="335"/>
      <c r="E63" s="336"/>
      <c r="G63" s="336"/>
      <c r="H63" s="337"/>
      <c r="BI63" s="50"/>
    </row>
    <row r="64" spans="1:101" x14ac:dyDescent="0.2">
      <c r="A64" s="333"/>
      <c r="B64" s="334"/>
      <c r="C64" s="335"/>
      <c r="D64" s="335"/>
      <c r="E64" s="336"/>
      <c r="G64" s="336"/>
      <c r="H64" s="337"/>
      <c r="BI64" s="50"/>
    </row>
    <row r="65" spans="1:61" x14ac:dyDescent="0.2">
      <c r="A65" s="333"/>
      <c r="B65" s="334"/>
      <c r="C65" s="335"/>
      <c r="D65" s="335"/>
      <c r="E65" s="336"/>
      <c r="G65" s="336"/>
      <c r="H65" s="337"/>
      <c r="BI65" s="50"/>
    </row>
    <row r="66" spans="1:61" x14ac:dyDescent="0.2">
      <c r="A66" s="333"/>
      <c r="B66" s="334"/>
      <c r="C66" s="335"/>
      <c r="D66" s="335"/>
      <c r="E66" s="336"/>
      <c r="G66" s="336"/>
      <c r="H66" s="337"/>
      <c r="BI66" s="50"/>
    </row>
    <row r="67" spans="1:61" x14ac:dyDescent="0.2">
      <c r="A67" s="333"/>
      <c r="B67" s="334"/>
      <c r="C67" s="335"/>
      <c r="D67" s="335"/>
      <c r="E67" s="336"/>
      <c r="G67" s="336"/>
      <c r="H67" s="337"/>
      <c r="BI67" s="50"/>
    </row>
    <row r="68" spans="1:61" x14ac:dyDescent="0.2">
      <c r="A68" s="333"/>
      <c r="B68" s="334"/>
      <c r="C68" s="335"/>
      <c r="D68" s="335"/>
      <c r="E68" s="336"/>
      <c r="G68" s="336"/>
      <c r="H68" s="337"/>
      <c r="BI68" s="50"/>
    </row>
    <row r="69" spans="1:61" x14ac:dyDescent="0.2">
      <c r="A69" s="333"/>
      <c r="B69" s="334"/>
      <c r="C69" s="335"/>
      <c r="D69" s="335"/>
      <c r="E69" s="336"/>
      <c r="G69" s="336"/>
      <c r="H69" s="337"/>
      <c r="BI69" s="50"/>
    </row>
    <row r="70" spans="1:61" x14ac:dyDescent="0.2">
      <c r="A70" s="333"/>
      <c r="B70" s="334"/>
      <c r="C70" s="335"/>
      <c r="D70" s="335"/>
      <c r="E70" s="336"/>
      <c r="G70" s="336"/>
      <c r="H70" s="337"/>
      <c r="BI70" s="50"/>
    </row>
    <row r="71" spans="1:61" x14ac:dyDescent="0.2">
      <c r="A71" s="333"/>
      <c r="B71" s="334"/>
      <c r="C71" s="335"/>
      <c r="D71" s="335"/>
      <c r="E71" s="336"/>
      <c r="G71" s="336"/>
      <c r="H71" s="337"/>
      <c r="BI71" s="50"/>
    </row>
    <row r="72" spans="1:61" x14ac:dyDescent="0.2">
      <c r="A72" s="333"/>
      <c r="B72" s="334"/>
      <c r="C72" s="335"/>
      <c r="D72" s="335"/>
      <c r="E72" s="336"/>
      <c r="G72" s="336"/>
      <c r="H72" s="337"/>
      <c r="BI72" s="50"/>
    </row>
    <row r="73" spans="1:61" x14ac:dyDescent="0.2">
      <c r="A73" s="333"/>
      <c r="B73" s="334"/>
      <c r="C73" s="335"/>
      <c r="D73" s="335"/>
      <c r="E73" s="336"/>
      <c r="G73" s="336"/>
      <c r="H73" s="337"/>
      <c r="BI73" s="50"/>
    </row>
    <row r="74" spans="1:61" x14ac:dyDescent="0.2">
      <c r="A74" s="333"/>
      <c r="B74" s="334"/>
      <c r="C74" s="335"/>
      <c r="D74" s="335"/>
      <c r="E74" s="336"/>
      <c r="G74" s="336"/>
      <c r="H74" s="337"/>
    </row>
    <row r="75" spans="1:61" x14ac:dyDescent="0.2">
      <c r="A75" s="333"/>
      <c r="B75" s="334"/>
      <c r="C75" s="335"/>
      <c r="D75" s="335"/>
      <c r="E75" s="336"/>
      <c r="G75" s="336"/>
      <c r="H75" s="337"/>
    </row>
    <row r="76" spans="1:61" x14ac:dyDescent="0.2">
      <c r="A76" s="333"/>
      <c r="B76" s="334"/>
      <c r="C76" s="335"/>
      <c r="D76" s="335"/>
      <c r="E76" s="336"/>
      <c r="G76" s="336"/>
      <c r="H76" s="337"/>
    </row>
    <row r="77" spans="1:61" x14ac:dyDescent="0.2">
      <c r="A77" s="333"/>
      <c r="B77" s="334"/>
      <c r="C77" s="335"/>
      <c r="D77" s="335"/>
      <c r="E77" s="336"/>
      <c r="G77" s="336"/>
      <c r="H77" s="337"/>
    </row>
    <row r="78" spans="1:61" x14ac:dyDescent="0.2">
      <c r="A78" s="333"/>
      <c r="B78" s="334"/>
      <c r="C78" s="335"/>
      <c r="D78" s="335"/>
      <c r="E78" s="336"/>
      <c r="G78" s="336"/>
      <c r="H78" s="337"/>
    </row>
    <row r="79" spans="1:61" x14ac:dyDescent="0.2">
      <c r="A79" s="333"/>
      <c r="B79" s="334"/>
      <c r="C79" s="335"/>
      <c r="D79" s="335"/>
      <c r="E79" s="336"/>
      <c r="G79" s="336"/>
      <c r="H79" s="337"/>
    </row>
    <row r="80" spans="1:61" x14ac:dyDescent="0.2">
      <c r="A80" s="333"/>
      <c r="B80" s="334"/>
      <c r="C80" s="335"/>
      <c r="D80" s="335"/>
      <c r="E80" s="336"/>
      <c r="G80" s="336"/>
      <c r="H80" s="337"/>
    </row>
    <row r="81" spans="1:8" x14ac:dyDescent="0.2">
      <c r="A81" s="333"/>
      <c r="B81" s="334"/>
      <c r="C81" s="335"/>
      <c r="D81" s="335"/>
      <c r="E81" s="336"/>
      <c r="G81" s="336"/>
      <c r="H81" s="337"/>
    </row>
  </sheetData>
  <mergeCells count="330">
    <mergeCell ref="G53:G55"/>
    <mergeCell ref="H53:H55"/>
    <mergeCell ref="A53:A55"/>
    <mergeCell ref="B53:B55"/>
    <mergeCell ref="C53:C55"/>
    <mergeCell ref="D53:D55"/>
    <mergeCell ref="E53:E55"/>
    <mergeCell ref="F53:F55"/>
    <mergeCell ref="G47:G49"/>
    <mergeCell ref="H47:H49"/>
    <mergeCell ref="A50:A52"/>
    <mergeCell ref="B50:B52"/>
    <mergeCell ref="C50:C52"/>
    <mergeCell ref="D50:D52"/>
    <mergeCell ref="E50:E52"/>
    <mergeCell ref="F50:F52"/>
    <mergeCell ref="G50:G52"/>
    <mergeCell ref="H50:H52"/>
    <mergeCell ref="A47:A49"/>
    <mergeCell ref="B47:B49"/>
    <mergeCell ref="C47:C49"/>
    <mergeCell ref="D47:D49"/>
    <mergeCell ref="E47:E49"/>
    <mergeCell ref="F47:F49"/>
    <mergeCell ref="G41:G43"/>
    <mergeCell ref="H41:H43"/>
    <mergeCell ref="A44:A46"/>
    <mergeCell ref="B44:B46"/>
    <mergeCell ref="C44:C46"/>
    <mergeCell ref="D44:D46"/>
    <mergeCell ref="E44:E46"/>
    <mergeCell ref="F44:F46"/>
    <mergeCell ref="G44:G46"/>
    <mergeCell ref="H44:H46"/>
    <mergeCell ref="A41:A43"/>
    <mergeCell ref="B41:B43"/>
    <mergeCell ref="C41:C43"/>
    <mergeCell ref="D41:D43"/>
    <mergeCell ref="E41:E43"/>
    <mergeCell ref="F41:F43"/>
    <mergeCell ref="G35:G37"/>
    <mergeCell ref="H35:H37"/>
    <mergeCell ref="A38:A40"/>
    <mergeCell ref="B38:B40"/>
    <mergeCell ref="C38:C40"/>
    <mergeCell ref="D38:D40"/>
    <mergeCell ref="E38:E40"/>
    <mergeCell ref="F38:F40"/>
    <mergeCell ref="G38:G40"/>
    <mergeCell ref="H38:H40"/>
    <mergeCell ref="A35:A37"/>
    <mergeCell ref="B35:B37"/>
    <mergeCell ref="C35:C37"/>
    <mergeCell ref="D35:D37"/>
    <mergeCell ref="E35:E37"/>
    <mergeCell ref="F35:F37"/>
    <mergeCell ref="G29:G31"/>
    <mergeCell ref="H29:H31"/>
    <mergeCell ref="A32:A34"/>
    <mergeCell ref="B32:B34"/>
    <mergeCell ref="C32:C34"/>
    <mergeCell ref="D32:D34"/>
    <mergeCell ref="E32:E34"/>
    <mergeCell ref="F32:F34"/>
    <mergeCell ref="G32:G34"/>
    <mergeCell ref="H32:H34"/>
    <mergeCell ref="A29:A31"/>
    <mergeCell ref="B29:B31"/>
    <mergeCell ref="C29:C31"/>
    <mergeCell ref="D29:D31"/>
    <mergeCell ref="E29:E31"/>
    <mergeCell ref="F29:F31"/>
    <mergeCell ref="G23:G25"/>
    <mergeCell ref="H23:H25"/>
    <mergeCell ref="A26:A28"/>
    <mergeCell ref="B26:B28"/>
    <mergeCell ref="C26:C28"/>
    <mergeCell ref="D26:D28"/>
    <mergeCell ref="E26:E28"/>
    <mergeCell ref="F26:F28"/>
    <mergeCell ref="G26:G28"/>
    <mergeCell ref="H26:H28"/>
    <mergeCell ref="A23:A25"/>
    <mergeCell ref="B23:B25"/>
    <mergeCell ref="C23:C25"/>
    <mergeCell ref="D23:D25"/>
    <mergeCell ref="E23:E25"/>
    <mergeCell ref="F23:F25"/>
    <mergeCell ref="G17:G19"/>
    <mergeCell ref="H17:H19"/>
    <mergeCell ref="A20:A22"/>
    <mergeCell ref="B20:B22"/>
    <mergeCell ref="C20:C22"/>
    <mergeCell ref="D20:D22"/>
    <mergeCell ref="E20:E22"/>
    <mergeCell ref="F20:F22"/>
    <mergeCell ref="G20:G22"/>
    <mergeCell ref="H20:H22"/>
    <mergeCell ref="A17:A19"/>
    <mergeCell ref="B17:B19"/>
    <mergeCell ref="C17:C19"/>
    <mergeCell ref="D17:D19"/>
    <mergeCell ref="E17:E19"/>
    <mergeCell ref="F17:F19"/>
    <mergeCell ref="G11:G13"/>
    <mergeCell ref="H11:H13"/>
    <mergeCell ref="A14:A16"/>
    <mergeCell ref="B14:B16"/>
    <mergeCell ref="C14:C16"/>
    <mergeCell ref="D14:D16"/>
    <mergeCell ref="E14:E16"/>
    <mergeCell ref="F14:F16"/>
    <mergeCell ref="G14:G16"/>
    <mergeCell ref="H14:H16"/>
    <mergeCell ref="A11:A13"/>
    <mergeCell ref="B11:B13"/>
    <mergeCell ref="C11:C13"/>
    <mergeCell ref="D11:D13"/>
    <mergeCell ref="E11:E13"/>
    <mergeCell ref="F11:F13"/>
    <mergeCell ref="G5:G7"/>
    <mergeCell ref="H5:H7"/>
    <mergeCell ref="A8:A10"/>
    <mergeCell ref="B8:B10"/>
    <mergeCell ref="C8:C10"/>
    <mergeCell ref="D8:D10"/>
    <mergeCell ref="E8:E10"/>
    <mergeCell ref="F8:F10"/>
    <mergeCell ref="G8:G10"/>
    <mergeCell ref="H8:H10"/>
    <mergeCell ref="CT3:CT4"/>
    <mergeCell ref="CU3:CU4"/>
    <mergeCell ref="CV3:CV4"/>
    <mergeCell ref="CW3:CW4"/>
    <mergeCell ref="A5:A7"/>
    <mergeCell ref="B5:B7"/>
    <mergeCell ref="C5:C7"/>
    <mergeCell ref="D5:D7"/>
    <mergeCell ref="E5:E7"/>
    <mergeCell ref="F5:F7"/>
    <mergeCell ref="CN3:CN4"/>
    <mergeCell ref="CO3:CO4"/>
    <mergeCell ref="CP3:CP4"/>
    <mergeCell ref="CQ3:CQ4"/>
    <mergeCell ref="CR3:CR4"/>
    <mergeCell ref="CS3:CS4"/>
    <mergeCell ref="CH3:CH4"/>
    <mergeCell ref="CI3:CI4"/>
    <mergeCell ref="CJ3:CJ4"/>
    <mergeCell ref="CK3:CK4"/>
    <mergeCell ref="CL3:CL4"/>
    <mergeCell ref="CM3:CM4"/>
    <mergeCell ref="CB3:CB4"/>
    <mergeCell ref="CC3:CC4"/>
    <mergeCell ref="CD3:CD4"/>
    <mergeCell ref="CE3:CE4"/>
    <mergeCell ref="CF3:CF4"/>
    <mergeCell ref="CG3:CG4"/>
    <mergeCell ref="BV3:BV4"/>
    <mergeCell ref="BW3:BW4"/>
    <mergeCell ref="BX3:BX4"/>
    <mergeCell ref="BY3:BY4"/>
    <mergeCell ref="BZ3:BZ4"/>
    <mergeCell ref="CA3:CA4"/>
    <mergeCell ref="BP3:BP4"/>
    <mergeCell ref="BQ3:BQ4"/>
    <mergeCell ref="BR3:BR4"/>
    <mergeCell ref="BS3:BS4"/>
    <mergeCell ref="BT3:BT4"/>
    <mergeCell ref="BU3:BU4"/>
    <mergeCell ref="BJ3:BJ4"/>
    <mergeCell ref="BK3:BK4"/>
    <mergeCell ref="BL3:BL4"/>
    <mergeCell ref="BM3:BM4"/>
    <mergeCell ref="BN3:BN4"/>
    <mergeCell ref="BO3:BO4"/>
    <mergeCell ref="BD3:BD4"/>
    <mergeCell ref="BE3:BE4"/>
    <mergeCell ref="BF3:BF4"/>
    <mergeCell ref="BG3:BG4"/>
    <mergeCell ref="BH3:BH4"/>
    <mergeCell ref="BI3:BI4"/>
    <mergeCell ref="AX3:AX4"/>
    <mergeCell ref="AY3:AY4"/>
    <mergeCell ref="AZ3:AZ4"/>
    <mergeCell ref="BA3:BA4"/>
    <mergeCell ref="BB3:BB4"/>
    <mergeCell ref="BC3:BC4"/>
    <mergeCell ref="AR3:AR4"/>
    <mergeCell ref="AS3:AS4"/>
    <mergeCell ref="AT3:AT4"/>
    <mergeCell ref="AU3:AU4"/>
    <mergeCell ref="AV3:AV4"/>
    <mergeCell ref="AW3:AW4"/>
    <mergeCell ref="AL3:AL4"/>
    <mergeCell ref="AM3:AM4"/>
    <mergeCell ref="AN3:AN4"/>
    <mergeCell ref="AO3:AO4"/>
    <mergeCell ref="AP3:AP4"/>
    <mergeCell ref="AQ3:AQ4"/>
    <mergeCell ref="AF3:AF4"/>
    <mergeCell ref="AG3:AG4"/>
    <mergeCell ref="AH3:AH4"/>
    <mergeCell ref="AI3:AI4"/>
    <mergeCell ref="AJ3:AJ4"/>
    <mergeCell ref="AK3:AK4"/>
    <mergeCell ref="Z3:Z4"/>
    <mergeCell ref="AA3:AA4"/>
    <mergeCell ref="AB3:AB4"/>
    <mergeCell ref="AC3:AC4"/>
    <mergeCell ref="AD3:AD4"/>
    <mergeCell ref="AE3:AE4"/>
    <mergeCell ref="T3:T4"/>
    <mergeCell ref="U3:U4"/>
    <mergeCell ref="V3:V4"/>
    <mergeCell ref="W3:W4"/>
    <mergeCell ref="X3:X4"/>
    <mergeCell ref="Y3:Y4"/>
    <mergeCell ref="N3:N4"/>
    <mergeCell ref="O3:O4"/>
    <mergeCell ref="P3:P4"/>
    <mergeCell ref="Q3:Q4"/>
    <mergeCell ref="R3:R4"/>
    <mergeCell ref="S3:S4"/>
    <mergeCell ref="CS1:CS2"/>
    <mergeCell ref="CT1:CT2"/>
    <mergeCell ref="CU1:CU2"/>
    <mergeCell ref="CV1:CV2"/>
    <mergeCell ref="CW1:CW2"/>
    <mergeCell ref="I3:I4"/>
    <mergeCell ref="J3:J4"/>
    <mergeCell ref="K3:K4"/>
    <mergeCell ref="L3:L4"/>
    <mergeCell ref="M3:M4"/>
    <mergeCell ref="CM1:CM2"/>
    <mergeCell ref="CN1:CN2"/>
    <mergeCell ref="CO1:CO2"/>
    <mergeCell ref="CP1:CP2"/>
    <mergeCell ref="CQ1:CQ2"/>
    <mergeCell ref="CR1:CR2"/>
    <mergeCell ref="CG1:CG2"/>
    <mergeCell ref="CH1:CH2"/>
    <mergeCell ref="CI1:CI2"/>
    <mergeCell ref="CJ1:CJ2"/>
    <mergeCell ref="CK1:CK2"/>
    <mergeCell ref="CL1:CL2"/>
    <mergeCell ref="CA1:CA2"/>
    <mergeCell ref="CB1:CB2"/>
    <mergeCell ref="CC1:CC2"/>
    <mergeCell ref="CD1:CD2"/>
    <mergeCell ref="CE1:CE2"/>
    <mergeCell ref="CF1:CF2"/>
    <mergeCell ref="BU1:BU2"/>
    <mergeCell ref="BV1:BV2"/>
    <mergeCell ref="BW1:BW2"/>
    <mergeCell ref="BX1:BX2"/>
    <mergeCell ref="BY1:BY2"/>
    <mergeCell ref="BZ1:BZ2"/>
    <mergeCell ref="BO1:BO2"/>
    <mergeCell ref="BP1:BP2"/>
    <mergeCell ref="BQ1:BQ2"/>
    <mergeCell ref="BR1:BR2"/>
    <mergeCell ref="BS1:BS2"/>
    <mergeCell ref="BT1:BT2"/>
    <mergeCell ref="BI1:BI2"/>
    <mergeCell ref="BJ1:BJ2"/>
    <mergeCell ref="BK1:BK2"/>
    <mergeCell ref="BL1:BL2"/>
    <mergeCell ref="BM1:BM2"/>
    <mergeCell ref="BN1:BN2"/>
    <mergeCell ref="BC1:BC2"/>
    <mergeCell ref="BD1:BD2"/>
    <mergeCell ref="BE1:BE2"/>
    <mergeCell ref="BF1:BF2"/>
    <mergeCell ref="BG1:BG2"/>
    <mergeCell ref="BH1:BH2"/>
    <mergeCell ref="AW1:AW2"/>
    <mergeCell ref="AX1:AX2"/>
    <mergeCell ref="AY1:AY2"/>
    <mergeCell ref="AZ1:AZ2"/>
    <mergeCell ref="BA1:BA2"/>
    <mergeCell ref="BB1:BB2"/>
    <mergeCell ref="AQ1:AQ2"/>
    <mergeCell ref="AR1:AR2"/>
    <mergeCell ref="AS1:AS2"/>
    <mergeCell ref="AT1:AT2"/>
    <mergeCell ref="AU1:AU2"/>
    <mergeCell ref="AV1:AV2"/>
    <mergeCell ref="AK1:AK2"/>
    <mergeCell ref="AL1:AL2"/>
    <mergeCell ref="AM1:AM2"/>
    <mergeCell ref="AN1:AN2"/>
    <mergeCell ref="AO1:AO2"/>
    <mergeCell ref="AP1:AP2"/>
    <mergeCell ref="AE1:AE2"/>
    <mergeCell ref="AF1:AF2"/>
    <mergeCell ref="AG1:AG2"/>
    <mergeCell ref="AH1:AH2"/>
    <mergeCell ref="AI1:AI2"/>
    <mergeCell ref="AJ1:AJ2"/>
    <mergeCell ref="Y1:Y2"/>
    <mergeCell ref="Z1:Z2"/>
    <mergeCell ref="AA1:AA2"/>
    <mergeCell ref="AB1:AB2"/>
    <mergeCell ref="AC1:AC2"/>
    <mergeCell ref="AD1:AD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4"/>
    <mergeCell ref="H1:H4"/>
    <mergeCell ref="I1:I2"/>
    <mergeCell ref="J1:J2"/>
    <mergeCell ref="K1:K2"/>
    <mergeCell ref="L1:L2"/>
    <mergeCell ref="A1:A4"/>
    <mergeCell ref="B1:B4"/>
    <mergeCell ref="C1:C4"/>
    <mergeCell ref="D1:D4"/>
    <mergeCell ref="E1:E4"/>
    <mergeCell ref="F1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0459B-FF49-FA4B-A68E-04EE42E8B16A}">
  <dimension ref="A1:CL53"/>
  <sheetViews>
    <sheetView topLeftCell="A10" workbookViewId="0">
      <selection activeCell="I32" sqref="I32"/>
    </sheetView>
  </sheetViews>
  <sheetFormatPr baseColWidth="10" defaultColWidth="10.83203125" defaultRowHeight="16" x14ac:dyDescent="0.2"/>
  <cols>
    <col min="1" max="1" width="13" style="49" customWidth="1"/>
    <col min="2" max="2" width="10.33203125" style="130" customWidth="1"/>
    <col min="3" max="3" width="14.6640625" style="131" customWidth="1"/>
    <col min="4" max="4" width="14.83203125" style="130" customWidth="1"/>
    <col min="5" max="5" width="12.33203125" style="45" customWidth="1"/>
    <col min="6" max="6" width="10.33203125" style="132" customWidth="1"/>
    <col min="7" max="7" width="12.1640625" style="45" customWidth="1"/>
    <col min="8" max="8" width="32.83203125" style="160" customWidth="1"/>
    <col min="9" max="34" width="10.83203125" style="45"/>
    <col min="35" max="35" width="10.83203125" style="49"/>
    <col min="36" max="49" width="10.83203125" style="45"/>
    <col min="50" max="50" width="10.83203125" style="49"/>
    <col min="51" max="53" width="10.83203125" style="45"/>
    <col min="54" max="54" width="10.83203125" style="49"/>
    <col min="55" max="57" width="10.83203125" style="45"/>
    <col min="58" max="58" width="10.83203125" style="49"/>
    <col min="59" max="16384" width="10.83203125" style="45"/>
  </cols>
  <sheetData>
    <row r="1" spans="1:90" s="15" customFormat="1" ht="16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280" t="s">
        <v>8</v>
      </c>
      <c r="J1" s="280" t="s">
        <v>9</v>
      </c>
      <c r="K1" s="5"/>
      <c r="L1" s="280"/>
      <c r="M1" s="5"/>
      <c r="N1" s="280"/>
      <c r="O1" s="280"/>
      <c r="P1" s="5" t="s">
        <v>307</v>
      </c>
      <c r="Q1" s="5"/>
      <c r="R1" s="6" t="s">
        <v>17</v>
      </c>
      <c r="S1" s="6"/>
      <c r="T1" s="280" t="s">
        <v>308</v>
      </c>
      <c r="U1" s="280"/>
      <c r="V1" s="280"/>
      <c r="W1" s="280"/>
      <c r="X1" s="280"/>
      <c r="Y1" s="5" t="s">
        <v>309</v>
      </c>
      <c r="Z1" s="5"/>
      <c r="AA1" s="280" t="s">
        <v>310</v>
      </c>
      <c r="AB1" s="20"/>
      <c r="AC1" s="280"/>
      <c r="AD1" s="280" t="s">
        <v>311</v>
      </c>
      <c r="AE1" s="280" t="s">
        <v>312</v>
      </c>
      <c r="AF1" s="280"/>
      <c r="AG1" s="5" t="s">
        <v>313</v>
      </c>
      <c r="AH1" s="281"/>
      <c r="AI1" s="339" t="s">
        <v>24</v>
      </c>
      <c r="AJ1" s="5" t="s">
        <v>25</v>
      </c>
      <c r="AK1" s="5"/>
      <c r="AL1" s="5"/>
      <c r="AM1" s="5"/>
      <c r="AN1" s="5"/>
      <c r="AO1" s="5"/>
      <c r="AP1" s="5"/>
      <c r="AQ1" s="5"/>
      <c r="AR1" s="280"/>
      <c r="AS1" s="5"/>
      <c r="AT1" s="5"/>
      <c r="AU1" s="5"/>
      <c r="AV1" s="5"/>
      <c r="AW1" s="5"/>
      <c r="AX1" s="13"/>
      <c r="AY1" s="280" t="s">
        <v>26</v>
      </c>
      <c r="AZ1" s="280"/>
      <c r="BA1" s="280"/>
      <c r="BB1" s="285"/>
      <c r="BC1" s="280" t="s">
        <v>27</v>
      </c>
      <c r="BD1" s="280"/>
      <c r="BE1" s="280"/>
      <c r="BF1" s="285"/>
      <c r="BG1" s="280" t="s">
        <v>28</v>
      </c>
      <c r="BH1" s="280"/>
      <c r="BI1" s="280"/>
      <c r="BJ1" s="280"/>
      <c r="BK1" s="280"/>
      <c r="BL1" s="280"/>
      <c r="BM1" s="280"/>
      <c r="BN1" s="280"/>
      <c r="BO1" s="280"/>
      <c r="BP1" s="280"/>
      <c r="BQ1" s="280"/>
      <c r="BR1" s="280"/>
      <c r="BS1" s="280"/>
      <c r="BT1" s="280"/>
      <c r="BU1" s="280"/>
      <c r="BV1" s="280"/>
      <c r="BW1" s="280"/>
      <c r="BX1" s="280"/>
      <c r="BY1" s="280"/>
      <c r="BZ1" s="280"/>
      <c r="CA1" s="280"/>
      <c r="CB1" s="280"/>
      <c r="CC1" s="280"/>
      <c r="CD1" s="280"/>
      <c r="CE1" s="280"/>
      <c r="CF1" s="280"/>
      <c r="CG1" s="280"/>
      <c r="CH1" s="280"/>
      <c r="CI1" s="280"/>
      <c r="CJ1" s="280"/>
      <c r="CK1" s="280"/>
      <c r="CL1" s="285"/>
    </row>
    <row r="2" spans="1:90" s="15" customFormat="1" ht="63" customHeight="1" x14ac:dyDescent="0.2">
      <c r="A2" s="1"/>
      <c r="B2" s="2"/>
      <c r="C2" s="2"/>
      <c r="D2" s="2"/>
      <c r="E2" s="3"/>
      <c r="F2" s="3"/>
      <c r="G2" s="3"/>
      <c r="H2" s="4"/>
      <c r="I2" s="280"/>
      <c r="J2" s="280"/>
      <c r="K2" s="5"/>
      <c r="L2" s="280"/>
      <c r="M2" s="5"/>
      <c r="N2" s="280"/>
      <c r="O2" s="280"/>
      <c r="P2" s="5"/>
      <c r="Q2" s="5"/>
      <c r="R2" s="6"/>
      <c r="S2" s="6"/>
      <c r="T2" s="280"/>
      <c r="U2" s="280"/>
      <c r="V2" s="280"/>
      <c r="W2" s="280"/>
      <c r="X2" s="280"/>
      <c r="Y2" s="5"/>
      <c r="Z2" s="5"/>
      <c r="AA2" s="280"/>
      <c r="AB2" s="20"/>
      <c r="AC2" s="280"/>
      <c r="AD2" s="280"/>
      <c r="AE2" s="280"/>
      <c r="AF2" s="280"/>
      <c r="AG2" s="5"/>
      <c r="AH2" s="281"/>
      <c r="AI2" s="339"/>
      <c r="AJ2" s="5"/>
      <c r="AK2" s="5"/>
      <c r="AL2" s="5"/>
      <c r="AM2" s="5"/>
      <c r="AN2" s="5"/>
      <c r="AO2" s="5"/>
      <c r="AP2" s="5"/>
      <c r="AQ2" s="5"/>
      <c r="AR2" s="280"/>
      <c r="AS2" s="5"/>
      <c r="AT2" s="5"/>
      <c r="AU2" s="5"/>
      <c r="AV2" s="5"/>
      <c r="AW2" s="5"/>
      <c r="AX2" s="13"/>
      <c r="AY2" s="280"/>
      <c r="AZ2" s="280"/>
      <c r="BA2" s="280"/>
      <c r="BB2" s="285"/>
      <c r="BC2" s="280"/>
      <c r="BD2" s="280"/>
      <c r="BE2" s="280"/>
      <c r="BF2" s="285"/>
      <c r="BG2" s="280"/>
      <c r="BH2" s="280"/>
      <c r="BI2" s="280"/>
      <c r="BJ2" s="280"/>
      <c r="BK2" s="280"/>
      <c r="BL2" s="280"/>
      <c r="BM2" s="280"/>
      <c r="BN2" s="280"/>
      <c r="BO2" s="280"/>
      <c r="BP2" s="280"/>
      <c r="BQ2" s="280"/>
      <c r="BR2" s="280"/>
      <c r="BS2" s="280"/>
      <c r="BT2" s="280"/>
      <c r="BU2" s="280"/>
      <c r="BV2" s="280"/>
      <c r="BW2" s="280"/>
      <c r="BX2" s="280"/>
      <c r="BY2" s="280"/>
      <c r="BZ2" s="280"/>
      <c r="CA2" s="280"/>
      <c r="CB2" s="280"/>
      <c r="CC2" s="280"/>
      <c r="CD2" s="280"/>
      <c r="CE2" s="280"/>
      <c r="CF2" s="280"/>
      <c r="CG2" s="280"/>
      <c r="CH2" s="280"/>
      <c r="CI2" s="280"/>
      <c r="CJ2" s="280"/>
      <c r="CK2" s="280"/>
      <c r="CL2" s="285"/>
    </row>
    <row r="3" spans="1:90" s="15" customFormat="1" ht="26" customHeight="1" x14ac:dyDescent="0.2">
      <c r="A3" s="1"/>
      <c r="B3" s="2"/>
      <c r="C3" s="2"/>
      <c r="D3" s="2"/>
      <c r="E3" s="3"/>
      <c r="F3" s="3"/>
      <c r="G3" s="3"/>
      <c r="H3" s="4"/>
      <c r="I3" s="17" t="s">
        <v>29</v>
      </c>
      <c r="J3" s="17" t="s">
        <v>31</v>
      </c>
      <c r="K3" s="17" t="s">
        <v>32</v>
      </c>
      <c r="L3" s="17" t="s">
        <v>34</v>
      </c>
      <c r="M3" s="17" t="s">
        <v>36</v>
      </c>
      <c r="N3" s="17" t="s">
        <v>37</v>
      </c>
      <c r="O3" s="17" t="s">
        <v>38</v>
      </c>
      <c r="P3" s="20" t="s">
        <v>39</v>
      </c>
      <c r="Q3" s="17" t="s">
        <v>40</v>
      </c>
      <c r="R3" s="18" t="s">
        <v>54</v>
      </c>
      <c r="S3" s="18" t="s">
        <v>55</v>
      </c>
      <c r="T3" s="17" t="s">
        <v>41</v>
      </c>
      <c r="U3" s="17" t="s">
        <v>42</v>
      </c>
      <c r="V3" s="17" t="s">
        <v>43</v>
      </c>
      <c r="W3" s="17" t="s">
        <v>44</v>
      </c>
      <c r="X3" s="17" t="s">
        <v>45</v>
      </c>
      <c r="Y3" s="17" t="s">
        <v>44</v>
      </c>
      <c r="Z3" s="17" t="s">
        <v>45</v>
      </c>
      <c r="AA3" s="17" t="s">
        <v>46</v>
      </c>
      <c r="AB3" s="17" t="s">
        <v>47</v>
      </c>
      <c r="AC3" s="17" t="s">
        <v>56</v>
      </c>
      <c r="AD3" s="17" t="s">
        <v>49</v>
      </c>
      <c r="AE3" s="17" t="s">
        <v>50</v>
      </c>
      <c r="AF3" s="17" t="s">
        <v>51</v>
      </c>
      <c r="AG3" s="17" t="s">
        <v>52</v>
      </c>
      <c r="AH3" s="286" t="s">
        <v>53</v>
      </c>
      <c r="AI3" s="287" t="s">
        <v>57</v>
      </c>
      <c r="AJ3" s="17" t="s">
        <v>8</v>
      </c>
      <c r="AK3" s="17" t="s">
        <v>58</v>
      </c>
      <c r="AL3" s="17" t="s">
        <v>59</v>
      </c>
      <c r="AM3" s="17" t="s">
        <v>60</v>
      </c>
      <c r="AN3" s="17" t="s">
        <v>61</v>
      </c>
      <c r="AO3" s="17" t="s">
        <v>62</v>
      </c>
      <c r="AP3" s="17" t="s">
        <v>63</v>
      </c>
      <c r="AQ3" s="17" t="s">
        <v>64</v>
      </c>
      <c r="AR3" s="17" t="s">
        <v>65</v>
      </c>
      <c r="AS3" s="17" t="s">
        <v>66</v>
      </c>
      <c r="AT3" s="17" t="s">
        <v>67</v>
      </c>
      <c r="AU3" s="17" t="s">
        <v>68</v>
      </c>
      <c r="AV3" s="17" t="s">
        <v>69</v>
      </c>
      <c r="AW3" s="17" t="s">
        <v>70</v>
      </c>
      <c r="AX3" s="24" t="s">
        <v>56</v>
      </c>
      <c r="AY3" s="17" t="s">
        <v>71</v>
      </c>
      <c r="AZ3" s="17" t="s">
        <v>72</v>
      </c>
      <c r="BA3" s="17" t="s">
        <v>73</v>
      </c>
      <c r="BB3" s="24" t="s">
        <v>74</v>
      </c>
      <c r="BC3" s="17" t="s">
        <v>75</v>
      </c>
      <c r="BD3" s="17" t="s">
        <v>76</v>
      </c>
      <c r="BE3" s="17" t="s">
        <v>77</v>
      </c>
      <c r="BF3" s="24" t="s">
        <v>78</v>
      </c>
      <c r="BG3" s="17" t="s">
        <v>79</v>
      </c>
      <c r="BH3" s="17" t="s">
        <v>80</v>
      </c>
      <c r="BI3" s="17" t="s">
        <v>263</v>
      </c>
      <c r="BJ3" s="17" t="s">
        <v>82</v>
      </c>
      <c r="BK3" s="24" t="s">
        <v>83</v>
      </c>
      <c r="BL3" s="17" t="s">
        <v>87</v>
      </c>
      <c r="BM3" s="17" t="s">
        <v>88</v>
      </c>
      <c r="BN3" s="24" t="s">
        <v>89</v>
      </c>
      <c r="BO3" s="17" t="s">
        <v>90</v>
      </c>
      <c r="BP3" s="17" t="s">
        <v>91</v>
      </c>
      <c r="BQ3" s="24" t="s">
        <v>92</v>
      </c>
      <c r="BR3" s="17" t="s">
        <v>93</v>
      </c>
      <c r="BS3" s="17" t="s">
        <v>94</v>
      </c>
      <c r="BT3" s="24" t="s">
        <v>95</v>
      </c>
      <c r="BU3" s="17" t="s">
        <v>96</v>
      </c>
      <c r="BV3" s="17" t="s">
        <v>97</v>
      </c>
      <c r="BW3" s="24" t="s">
        <v>98</v>
      </c>
      <c r="BX3" s="17" t="s">
        <v>99</v>
      </c>
      <c r="BY3" s="17" t="s">
        <v>100</v>
      </c>
      <c r="BZ3" s="24" t="s">
        <v>101</v>
      </c>
      <c r="CA3" s="17" t="s">
        <v>102</v>
      </c>
      <c r="CB3" s="17" t="s">
        <v>103</v>
      </c>
      <c r="CC3" s="24" t="s">
        <v>104</v>
      </c>
      <c r="CD3" s="17" t="s">
        <v>105</v>
      </c>
      <c r="CE3" s="17" t="s">
        <v>106</v>
      </c>
      <c r="CF3" s="24" t="s">
        <v>107</v>
      </c>
      <c r="CG3" s="17" t="s">
        <v>314</v>
      </c>
      <c r="CH3" s="17" t="s">
        <v>315</v>
      </c>
      <c r="CI3" s="24" t="s">
        <v>316</v>
      </c>
      <c r="CJ3" s="17" t="s">
        <v>317</v>
      </c>
      <c r="CK3" s="17" t="s">
        <v>318</v>
      </c>
      <c r="CL3" s="24" t="s">
        <v>319</v>
      </c>
    </row>
    <row r="4" spans="1:90" s="15" customFormat="1" ht="72" customHeight="1" x14ac:dyDescent="0.2">
      <c r="A4" s="25"/>
      <c r="B4" s="26"/>
      <c r="C4" s="26"/>
      <c r="D4" s="26"/>
      <c r="E4" s="27"/>
      <c r="F4" s="27"/>
      <c r="G4" s="27"/>
      <c r="H4" s="28"/>
      <c r="I4" s="30"/>
      <c r="J4" s="30"/>
      <c r="K4" s="30"/>
      <c r="L4" s="30"/>
      <c r="M4" s="30"/>
      <c r="N4" s="30"/>
      <c r="O4" s="30"/>
      <c r="P4" s="34"/>
      <c r="Q4" s="30"/>
      <c r="R4" s="31"/>
      <c r="S4" s="31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289"/>
      <c r="AI4" s="29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9"/>
      <c r="AY4" s="30"/>
      <c r="AZ4" s="30"/>
      <c r="BA4" s="30"/>
      <c r="BB4" s="39"/>
      <c r="BC4" s="30"/>
      <c r="BD4" s="30"/>
      <c r="BE4" s="30"/>
      <c r="BF4" s="39"/>
      <c r="BG4" s="30"/>
      <c r="BH4" s="30"/>
      <c r="BI4" s="30"/>
      <c r="BJ4" s="30"/>
      <c r="BK4" s="39"/>
      <c r="BL4" s="30"/>
      <c r="BM4" s="30"/>
      <c r="BN4" s="39"/>
      <c r="BO4" s="30"/>
      <c r="BP4" s="30"/>
      <c r="BQ4" s="39"/>
      <c r="BR4" s="30"/>
      <c r="BS4" s="30"/>
      <c r="BT4" s="39"/>
      <c r="BU4" s="30"/>
      <c r="BV4" s="30"/>
      <c r="BW4" s="39"/>
      <c r="BX4" s="30"/>
      <c r="BY4" s="30"/>
      <c r="BZ4" s="39"/>
      <c r="CA4" s="30"/>
      <c r="CB4" s="30"/>
      <c r="CC4" s="39"/>
      <c r="CD4" s="30"/>
      <c r="CE4" s="30"/>
      <c r="CF4" s="39"/>
      <c r="CG4" s="30"/>
      <c r="CH4" s="30"/>
      <c r="CI4" s="39"/>
      <c r="CJ4" s="30"/>
      <c r="CK4" s="30"/>
      <c r="CL4" s="39"/>
    </row>
    <row r="5" spans="1:90" s="80" customFormat="1" x14ac:dyDescent="0.2">
      <c r="A5" s="203" t="s">
        <v>320</v>
      </c>
      <c r="B5" s="204" t="s">
        <v>321</v>
      </c>
      <c r="C5" s="205" t="s">
        <v>322</v>
      </c>
      <c r="D5" s="204" t="s">
        <v>115</v>
      </c>
      <c r="E5" s="206" t="s">
        <v>115</v>
      </c>
      <c r="F5" s="207">
        <v>4</v>
      </c>
      <c r="G5" s="206" t="s">
        <v>115</v>
      </c>
      <c r="H5" s="161" t="s">
        <v>323</v>
      </c>
      <c r="I5" s="80" t="s">
        <v>115</v>
      </c>
      <c r="J5" s="80" t="s">
        <v>115</v>
      </c>
      <c r="K5" s="80" t="s">
        <v>115</v>
      </c>
      <c r="L5" s="80" t="s">
        <v>115</v>
      </c>
      <c r="M5" s="80" t="s">
        <v>115</v>
      </c>
      <c r="N5" s="80" t="s">
        <v>115</v>
      </c>
      <c r="O5" s="80" t="s">
        <v>115</v>
      </c>
      <c r="P5" s="80" t="s">
        <v>115</v>
      </c>
      <c r="Q5" s="80" t="s">
        <v>115</v>
      </c>
      <c r="R5" s="80" t="s">
        <v>115</v>
      </c>
      <c r="S5" s="80" t="s">
        <v>115</v>
      </c>
      <c r="T5" s="80" t="s">
        <v>115</v>
      </c>
      <c r="U5" s="80" t="s">
        <v>115</v>
      </c>
      <c r="V5" s="80" t="s">
        <v>115</v>
      </c>
      <c r="W5" s="80" t="s">
        <v>115</v>
      </c>
      <c r="X5" s="80" t="s">
        <v>115</v>
      </c>
      <c r="Y5" s="80" t="s">
        <v>115</v>
      </c>
      <c r="Z5" s="80" t="s">
        <v>115</v>
      </c>
      <c r="AA5" s="80" t="s">
        <v>115</v>
      </c>
      <c r="AB5" s="80" t="s">
        <v>115</v>
      </c>
      <c r="AC5" s="80" t="s">
        <v>115</v>
      </c>
      <c r="AD5" s="80" t="s">
        <v>115</v>
      </c>
      <c r="AE5" s="80" t="s">
        <v>115</v>
      </c>
      <c r="AF5" s="80" t="s">
        <v>115</v>
      </c>
      <c r="AG5" s="80" t="s">
        <v>115</v>
      </c>
      <c r="AH5" s="80" t="s">
        <v>115</v>
      </c>
      <c r="AI5" s="81" t="s">
        <v>115</v>
      </c>
      <c r="AJ5" s="80">
        <v>1323</v>
      </c>
      <c r="AK5" s="80">
        <v>849</v>
      </c>
      <c r="AL5" s="80">
        <v>485</v>
      </c>
      <c r="AM5" s="80">
        <v>20</v>
      </c>
      <c r="AN5" s="80">
        <v>157</v>
      </c>
      <c r="AO5" s="80">
        <v>174</v>
      </c>
      <c r="AP5" s="80">
        <v>448</v>
      </c>
      <c r="AQ5" s="80">
        <v>65</v>
      </c>
      <c r="AR5" s="140">
        <v>20</v>
      </c>
      <c r="AS5" s="80">
        <v>231</v>
      </c>
      <c r="AT5" s="80">
        <v>99</v>
      </c>
      <c r="AU5" s="80">
        <v>242</v>
      </c>
      <c r="AV5" s="80">
        <v>234</v>
      </c>
      <c r="AW5" s="80" t="s">
        <v>128</v>
      </c>
      <c r="AX5" s="81">
        <f>AV5</f>
        <v>234</v>
      </c>
      <c r="AY5" s="51">
        <f>AJ5/AX5</f>
        <v>5.6538461538461542</v>
      </c>
      <c r="AZ5" s="51">
        <f>AP5/AQ5</f>
        <v>6.8923076923076927</v>
      </c>
      <c r="BA5" s="51">
        <f>AK5/AU5</f>
        <v>3.5082644628099175</v>
      </c>
      <c r="BB5" s="52">
        <f>AL5/AU5</f>
        <v>2.0041322314049586</v>
      </c>
      <c r="BC5" s="80">
        <f>122+77+66</f>
        <v>265</v>
      </c>
      <c r="BD5" s="80">
        <v>24</v>
      </c>
      <c r="BE5" s="80">
        <v>29</v>
      </c>
      <c r="BF5" s="81">
        <v>28</v>
      </c>
      <c r="BG5" s="80" t="s">
        <v>324</v>
      </c>
      <c r="BH5" s="80" t="s">
        <v>115</v>
      </c>
      <c r="BI5" s="80">
        <v>68</v>
      </c>
      <c r="BJ5" s="80" t="s">
        <v>325</v>
      </c>
      <c r="BK5" s="81" t="s">
        <v>115</v>
      </c>
      <c r="BL5" s="80">
        <v>11</v>
      </c>
      <c r="BM5" s="80">
        <v>10</v>
      </c>
      <c r="BN5" s="81">
        <v>6</v>
      </c>
      <c r="BO5" s="80">
        <v>16</v>
      </c>
      <c r="BP5" s="80">
        <v>8</v>
      </c>
      <c r="BQ5" s="81">
        <v>6</v>
      </c>
      <c r="BR5" s="80" t="s">
        <v>115</v>
      </c>
      <c r="BS5" s="80" t="s">
        <v>115</v>
      </c>
      <c r="BT5" s="81" t="s">
        <v>115</v>
      </c>
      <c r="BU5" s="80" t="s">
        <v>115</v>
      </c>
      <c r="BV5" s="80" t="s">
        <v>115</v>
      </c>
      <c r="BW5" s="81" t="s">
        <v>115</v>
      </c>
      <c r="BX5" s="80">
        <v>14</v>
      </c>
      <c r="BY5" s="80">
        <v>4</v>
      </c>
      <c r="BZ5" s="81">
        <v>5</v>
      </c>
      <c r="CA5" s="80">
        <v>8</v>
      </c>
      <c r="CB5" s="80">
        <v>3</v>
      </c>
      <c r="CC5" s="81">
        <v>4</v>
      </c>
      <c r="CD5" s="80">
        <v>11</v>
      </c>
      <c r="CE5" s="80">
        <v>4</v>
      </c>
      <c r="CF5" s="81">
        <v>6</v>
      </c>
      <c r="CG5" s="80" t="s">
        <v>115</v>
      </c>
      <c r="CH5" s="80" t="s">
        <v>115</v>
      </c>
      <c r="CI5" s="81" t="s">
        <v>115</v>
      </c>
      <c r="CJ5" s="80">
        <v>8</v>
      </c>
      <c r="CK5" s="80">
        <v>3</v>
      </c>
      <c r="CL5" s="81" t="s">
        <v>115</v>
      </c>
    </row>
    <row r="6" spans="1:90" s="80" customFormat="1" x14ac:dyDescent="0.2">
      <c r="A6" s="203"/>
      <c r="B6" s="204"/>
      <c r="C6" s="205"/>
      <c r="D6" s="204"/>
      <c r="E6" s="206"/>
      <c r="F6" s="207"/>
      <c r="G6" s="206"/>
      <c r="H6" s="161"/>
      <c r="AH6" s="146"/>
      <c r="AI6" s="49"/>
      <c r="AP6" s="80">
        <v>445</v>
      </c>
      <c r="AQ6" s="80">
        <v>56</v>
      </c>
      <c r="AR6" s="140">
        <v>31</v>
      </c>
      <c r="AS6" s="80">
        <v>233</v>
      </c>
      <c r="AT6" s="80">
        <v>100</v>
      </c>
      <c r="AX6" s="81"/>
      <c r="AY6" s="51"/>
      <c r="AZ6" s="51">
        <f t="shared" ref="AZ6:AZ43" si="0">AP6/AQ6</f>
        <v>7.9464285714285712</v>
      </c>
      <c r="BA6" s="51"/>
      <c r="BB6" s="52"/>
      <c r="BD6" s="80">
        <v>27</v>
      </c>
      <c r="BE6" s="80">
        <v>23</v>
      </c>
      <c r="BF6" s="81"/>
      <c r="BI6" s="80">
        <v>66</v>
      </c>
      <c r="BJ6" s="80" t="s">
        <v>326</v>
      </c>
      <c r="BK6" s="81"/>
      <c r="BN6" s="81"/>
      <c r="BO6" s="80">
        <v>19</v>
      </c>
      <c r="BP6" s="80">
        <v>6</v>
      </c>
      <c r="BQ6" s="81">
        <v>11</v>
      </c>
      <c r="BT6" s="81"/>
      <c r="BW6" s="81"/>
      <c r="BZ6" s="81"/>
      <c r="CA6" s="80">
        <v>12</v>
      </c>
      <c r="CB6" s="80">
        <v>3</v>
      </c>
      <c r="CC6" s="81">
        <v>6</v>
      </c>
      <c r="CF6" s="81"/>
      <c r="CI6" s="81"/>
      <c r="CJ6" s="80">
        <v>9</v>
      </c>
      <c r="CK6" s="80">
        <v>4</v>
      </c>
      <c r="CL6" s="81" t="s">
        <v>115</v>
      </c>
    </row>
    <row r="7" spans="1:90" s="80" customFormat="1" x14ac:dyDescent="0.2">
      <c r="A7" s="203"/>
      <c r="B7" s="204"/>
      <c r="C7" s="205"/>
      <c r="D7" s="204"/>
      <c r="E7" s="206"/>
      <c r="F7" s="207"/>
      <c r="G7" s="206"/>
      <c r="H7" s="161"/>
      <c r="AI7" s="49"/>
      <c r="AP7" s="80">
        <v>446</v>
      </c>
      <c r="AQ7" s="80">
        <v>65</v>
      </c>
      <c r="AR7" s="140" t="s">
        <v>115</v>
      </c>
      <c r="AS7" s="80">
        <v>235</v>
      </c>
      <c r="AX7" s="81"/>
      <c r="AY7" s="51"/>
      <c r="AZ7" s="51">
        <f t="shared" si="0"/>
        <v>6.8615384615384611</v>
      </c>
      <c r="BA7" s="51"/>
      <c r="BB7" s="52"/>
      <c r="BD7" s="80">
        <v>24</v>
      </c>
      <c r="BF7" s="81"/>
      <c r="BK7" s="81"/>
      <c r="BN7" s="81"/>
      <c r="BQ7" s="81"/>
      <c r="BT7" s="81"/>
      <c r="BW7" s="81"/>
      <c r="BZ7" s="81"/>
      <c r="CC7" s="81"/>
      <c r="CF7" s="81"/>
      <c r="CI7" s="81"/>
      <c r="CL7" s="81"/>
    </row>
    <row r="8" spans="1:90" x14ac:dyDescent="0.2">
      <c r="A8" s="54" t="s">
        <v>327</v>
      </c>
      <c r="B8" s="55" t="s">
        <v>321</v>
      </c>
      <c r="C8" s="56" t="s">
        <v>328</v>
      </c>
      <c r="D8" s="55" t="s">
        <v>115</v>
      </c>
      <c r="E8" s="57" t="s">
        <v>115</v>
      </c>
      <c r="F8" s="58">
        <v>4</v>
      </c>
      <c r="G8" s="57" t="s">
        <v>115</v>
      </c>
      <c r="H8" s="59" t="s">
        <v>329</v>
      </c>
      <c r="I8" s="60" t="s">
        <v>115</v>
      </c>
      <c r="J8" s="60" t="s">
        <v>115</v>
      </c>
      <c r="K8" s="60" t="s">
        <v>115</v>
      </c>
      <c r="L8" s="60" t="s">
        <v>115</v>
      </c>
      <c r="M8" s="60" t="s">
        <v>115</v>
      </c>
      <c r="N8" s="60" t="s">
        <v>115</v>
      </c>
      <c r="O8" s="60" t="s">
        <v>115</v>
      </c>
      <c r="P8" s="60" t="s">
        <v>115</v>
      </c>
      <c r="Q8" s="60" t="s">
        <v>115</v>
      </c>
      <c r="R8" s="60" t="s">
        <v>115</v>
      </c>
      <c r="S8" s="60" t="s">
        <v>115</v>
      </c>
      <c r="T8" s="60" t="s">
        <v>115</v>
      </c>
      <c r="U8" s="60" t="s">
        <v>115</v>
      </c>
      <c r="V8" s="60" t="s">
        <v>115</v>
      </c>
      <c r="W8" s="60" t="s">
        <v>115</v>
      </c>
      <c r="X8" s="60" t="s">
        <v>115</v>
      </c>
      <c r="Y8" s="60" t="s">
        <v>115</v>
      </c>
      <c r="Z8" s="60" t="s">
        <v>115</v>
      </c>
      <c r="AA8" s="60" t="s">
        <v>115</v>
      </c>
      <c r="AB8" s="60" t="s">
        <v>115</v>
      </c>
      <c r="AC8" s="60" t="s">
        <v>115</v>
      </c>
      <c r="AD8" s="60" t="s">
        <v>115</v>
      </c>
      <c r="AE8" s="60" t="s">
        <v>115</v>
      </c>
      <c r="AF8" s="60" t="s">
        <v>115</v>
      </c>
      <c r="AG8" s="60" t="s">
        <v>115</v>
      </c>
      <c r="AH8" s="60" t="s">
        <v>115</v>
      </c>
      <c r="AI8" s="64" t="s">
        <v>115</v>
      </c>
      <c r="AJ8" s="60">
        <v>1242</v>
      </c>
      <c r="AK8" s="60">
        <v>671</v>
      </c>
      <c r="AL8" s="60">
        <v>555</v>
      </c>
      <c r="AM8" s="60">
        <v>11</v>
      </c>
      <c r="AN8" s="60">
        <v>173</v>
      </c>
      <c r="AO8" s="60">
        <v>194</v>
      </c>
      <c r="AP8" s="60">
        <v>529</v>
      </c>
      <c r="AQ8" s="60">
        <v>66</v>
      </c>
      <c r="AR8" s="65">
        <v>23</v>
      </c>
      <c r="AS8" s="60">
        <v>217</v>
      </c>
      <c r="AT8" s="60">
        <v>96</v>
      </c>
      <c r="AU8" s="60">
        <v>246</v>
      </c>
      <c r="AV8" s="60">
        <v>213</v>
      </c>
      <c r="AW8" s="60" t="s">
        <v>128</v>
      </c>
      <c r="AX8" s="64">
        <f>AV8</f>
        <v>213</v>
      </c>
      <c r="AY8" s="66">
        <f t="shared" ref="AY8:AY35" si="1">AJ8/AX8</f>
        <v>5.830985915492958</v>
      </c>
      <c r="AZ8" s="66">
        <f t="shared" si="0"/>
        <v>8.0151515151515156</v>
      </c>
      <c r="BA8" s="66">
        <f t="shared" ref="BA8:BA41" si="2">AK8/AU8</f>
        <v>2.7276422764227641</v>
      </c>
      <c r="BB8" s="67">
        <f t="shared" ref="BB8:BB41" si="3">AL8/AU8</f>
        <v>2.2560975609756095</v>
      </c>
      <c r="BC8" s="60">
        <f>96+118+158+63</f>
        <v>435</v>
      </c>
      <c r="BD8" s="60">
        <v>34</v>
      </c>
      <c r="BE8" s="60">
        <v>33</v>
      </c>
      <c r="BF8" s="64">
        <v>22</v>
      </c>
      <c r="BG8" s="60" t="s">
        <v>324</v>
      </c>
      <c r="BH8" s="60" t="s">
        <v>115</v>
      </c>
      <c r="BI8" s="60">
        <v>64</v>
      </c>
      <c r="BJ8" s="60" t="s">
        <v>325</v>
      </c>
      <c r="BK8" s="64">
        <v>9</v>
      </c>
      <c r="BL8" s="60">
        <v>12</v>
      </c>
      <c r="BM8" s="60">
        <v>8</v>
      </c>
      <c r="BN8" s="64">
        <v>6</v>
      </c>
      <c r="BO8" s="60">
        <v>14</v>
      </c>
      <c r="BP8" s="60">
        <v>6</v>
      </c>
      <c r="BQ8" s="64">
        <v>7</v>
      </c>
      <c r="BR8" s="60">
        <v>18</v>
      </c>
      <c r="BS8" s="60">
        <v>5</v>
      </c>
      <c r="BT8" s="64">
        <v>11</v>
      </c>
      <c r="BU8" s="60">
        <v>16</v>
      </c>
      <c r="BV8" s="60">
        <v>5</v>
      </c>
      <c r="BW8" s="64">
        <v>10</v>
      </c>
      <c r="BX8" s="60">
        <v>15</v>
      </c>
      <c r="BY8" s="60">
        <v>5</v>
      </c>
      <c r="BZ8" s="64">
        <v>9</v>
      </c>
      <c r="CA8" s="60">
        <v>9</v>
      </c>
      <c r="CB8" s="60">
        <v>3</v>
      </c>
      <c r="CC8" s="64">
        <v>6</v>
      </c>
      <c r="CD8" s="60" t="s">
        <v>115</v>
      </c>
      <c r="CE8" s="60" t="s">
        <v>115</v>
      </c>
      <c r="CF8" s="64" t="s">
        <v>115</v>
      </c>
      <c r="CG8" s="60" t="s">
        <v>115</v>
      </c>
      <c r="CH8" s="60" t="s">
        <v>115</v>
      </c>
      <c r="CI8" s="64" t="s">
        <v>115</v>
      </c>
      <c r="CJ8" s="60">
        <v>9</v>
      </c>
      <c r="CK8" s="60">
        <v>3</v>
      </c>
      <c r="CL8" s="64">
        <v>3</v>
      </c>
    </row>
    <row r="9" spans="1:90" x14ac:dyDescent="0.2">
      <c r="A9" s="54"/>
      <c r="B9" s="55"/>
      <c r="C9" s="56"/>
      <c r="D9" s="55"/>
      <c r="E9" s="57"/>
      <c r="F9" s="58"/>
      <c r="G9" s="57"/>
      <c r="H9" s="59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4"/>
      <c r="AJ9" s="60"/>
      <c r="AK9" s="60"/>
      <c r="AL9" s="60"/>
      <c r="AM9" s="60"/>
      <c r="AN9" s="60"/>
      <c r="AO9" s="60"/>
      <c r="AP9" s="60">
        <v>532</v>
      </c>
      <c r="AQ9" s="60">
        <v>65</v>
      </c>
      <c r="AR9" s="65">
        <v>26</v>
      </c>
      <c r="AS9" s="60">
        <v>232</v>
      </c>
      <c r="AT9" s="60">
        <v>90</v>
      </c>
      <c r="AU9" s="60"/>
      <c r="AV9" s="60"/>
      <c r="AW9" s="60"/>
      <c r="AX9" s="64"/>
      <c r="AY9" s="66"/>
      <c r="AZ9" s="66">
        <f t="shared" si="0"/>
        <v>8.184615384615384</v>
      </c>
      <c r="BA9" s="66"/>
      <c r="BB9" s="67"/>
      <c r="BC9" s="60"/>
      <c r="BD9" s="60">
        <v>31</v>
      </c>
      <c r="BE9" s="60">
        <v>30</v>
      </c>
      <c r="BF9" s="64">
        <v>22</v>
      </c>
      <c r="BG9" s="60"/>
      <c r="BH9" s="60"/>
      <c r="BI9" s="60">
        <v>65</v>
      </c>
      <c r="BJ9" s="60" t="s">
        <v>326</v>
      </c>
      <c r="BK9" s="64"/>
      <c r="BL9" s="60">
        <v>8</v>
      </c>
      <c r="BM9" s="60">
        <v>5</v>
      </c>
      <c r="BN9" s="64">
        <v>8</v>
      </c>
      <c r="BO9" s="60"/>
      <c r="BP9" s="60"/>
      <c r="BQ9" s="64"/>
      <c r="BR9" s="60">
        <v>18</v>
      </c>
      <c r="BS9" s="60">
        <v>4</v>
      </c>
      <c r="BT9" s="64">
        <v>11</v>
      </c>
      <c r="BU9" s="60"/>
      <c r="BV9" s="60"/>
      <c r="BW9" s="64"/>
      <c r="BX9" s="60">
        <v>11</v>
      </c>
      <c r="BY9" s="60">
        <v>2</v>
      </c>
      <c r="BZ9" s="64">
        <v>9</v>
      </c>
      <c r="CA9" s="60"/>
      <c r="CB9" s="60"/>
      <c r="CC9" s="64"/>
      <c r="CD9" s="60"/>
      <c r="CE9" s="60"/>
      <c r="CF9" s="64"/>
      <c r="CG9" s="60"/>
      <c r="CH9" s="60"/>
      <c r="CI9" s="64"/>
      <c r="CJ9" s="60"/>
      <c r="CK9" s="60"/>
      <c r="CL9" s="64"/>
    </row>
    <row r="10" spans="1:90" x14ac:dyDescent="0.2">
      <c r="A10" s="54"/>
      <c r="B10" s="55"/>
      <c r="C10" s="56"/>
      <c r="D10" s="55"/>
      <c r="E10" s="57"/>
      <c r="F10" s="58"/>
      <c r="G10" s="57"/>
      <c r="H10" s="59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4"/>
      <c r="AJ10" s="60"/>
      <c r="AK10" s="60"/>
      <c r="AL10" s="60"/>
      <c r="AM10" s="60"/>
      <c r="AN10" s="60"/>
      <c r="AO10" s="60"/>
      <c r="AP10" s="60">
        <v>535</v>
      </c>
      <c r="AQ10" s="60">
        <v>78</v>
      </c>
      <c r="AR10" s="65">
        <v>16</v>
      </c>
      <c r="AS10" s="60">
        <v>239</v>
      </c>
      <c r="AT10" s="60"/>
      <c r="AU10" s="60"/>
      <c r="AV10" s="60"/>
      <c r="AW10" s="60"/>
      <c r="AX10" s="64"/>
      <c r="AY10" s="66"/>
      <c r="AZ10" s="66">
        <f t="shared" si="0"/>
        <v>6.8589743589743586</v>
      </c>
      <c r="BA10" s="66"/>
      <c r="BB10" s="67"/>
      <c r="BC10" s="60"/>
      <c r="BD10" s="60">
        <v>30</v>
      </c>
      <c r="BE10" s="60">
        <v>29</v>
      </c>
      <c r="BF10" s="64"/>
      <c r="BG10" s="60"/>
      <c r="BH10" s="60"/>
      <c r="BI10" s="60"/>
      <c r="BJ10" s="60"/>
      <c r="BK10" s="64"/>
      <c r="BL10" s="60"/>
      <c r="BM10" s="60"/>
      <c r="BN10" s="64"/>
      <c r="BO10" s="60"/>
      <c r="BP10" s="60"/>
      <c r="BQ10" s="64"/>
      <c r="BR10" s="60"/>
      <c r="BS10" s="60"/>
      <c r="BT10" s="64"/>
      <c r="BU10" s="60"/>
      <c r="BV10" s="60"/>
      <c r="BW10" s="64"/>
      <c r="BX10" s="60"/>
      <c r="BY10" s="60"/>
      <c r="BZ10" s="64"/>
      <c r="CA10" s="60"/>
      <c r="CB10" s="60"/>
      <c r="CC10" s="64"/>
      <c r="CD10" s="60"/>
      <c r="CE10" s="60"/>
      <c r="CF10" s="64"/>
      <c r="CG10" s="60"/>
      <c r="CH10" s="60"/>
      <c r="CI10" s="64"/>
      <c r="CJ10" s="60"/>
      <c r="CK10" s="60"/>
      <c r="CL10" s="64"/>
    </row>
    <row r="11" spans="1:90" x14ac:dyDescent="0.2">
      <c r="A11" s="40" t="s">
        <v>330</v>
      </c>
      <c r="B11" s="41" t="s">
        <v>321</v>
      </c>
      <c r="C11" s="42" t="s">
        <v>328</v>
      </c>
      <c r="D11" s="41" t="s">
        <v>115</v>
      </c>
      <c r="E11" s="43" t="s">
        <v>115</v>
      </c>
      <c r="F11" s="44">
        <v>4</v>
      </c>
      <c r="G11" s="43" t="s">
        <v>115</v>
      </c>
      <c r="H11" s="69" t="s">
        <v>331</v>
      </c>
      <c r="I11" s="45" t="s">
        <v>115</v>
      </c>
      <c r="J11" s="45" t="s">
        <v>115</v>
      </c>
      <c r="K11" s="45" t="s">
        <v>115</v>
      </c>
      <c r="L11" s="45" t="s">
        <v>115</v>
      </c>
      <c r="M11" s="45" t="s">
        <v>115</v>
      </c>
      <c r="N11" s="45" t="s">
        <v>115</v>
      </c>
      <c r="O11" s="45" t="s">
        <v>115</v>
      </c>
      <c r="P11" s="45" t="s">
        <v>115</v>
      </c>
      <c r="Q11" s="45" t="s">
        <v>115</v>
      </c>
      <c r="R11" s="45" t="s">
        <v>115</v>
      </c>
      <c r="S11" s="45" t="s">
        <v>115</v>
      </c>
      <c r="T11" s="45" t="s">
        <v>115</v>
      </c>
      <c r="U11" s="45" t="s">
        <v>115</v>
      </c>
      <c r="V11" s="45" t="s">
        <v>115</v>
      </c>
      <c r="W11" s="45" t="s">
        <v>115</v>
      </c>
      <c r="X11" s="45" t="s">
        <v>115</v>
      </c>
      <c r="Y11" s="45" t="s">
        <v>115</v>
      </c>
      <c r="Z11" s="45" t="s">
        <v>115</v>
      </c>
      <c r="AA11" s="45" t="s">
        <v>115</v>
      </c>
      <c r="AB11" s="45" t="s">
        <v>115</v>
      </c>
      <c r="AC11" s="45" t="s">
        <v>115</v>
      </c>
      <c r="AD11" s="45" t="s">
        <v>115</v>
      </c>
      <c r="AE11" s="45" t="s">
        <v>115</v>
      </c>
      <c r="AF11" s="45" t="s">
        <v>115</v>
      </c>
      <c r="AG11" s="45" t="s">
        <v>115</v>
      </c>
      <c r="AH11" s="45" t="s">
        <v>115</v>
      </c>
      <c r="AI11" s="49" t="s">
        <v>115</v>
      </c>
      <c r="AJ11" s="45">
        <f>199+653+263</f>
        <v>1115</v>
      </c>
      <c r="AK11" s="45">
        <f>282+256</f>
        <v>538</v>
      </c>
      <c r="AL11" s="45">
        <v>479</v>
      </c>
      <c r="AM11" s="45">
        <v>92</v>
      </c>
      <c r="AN11" s="45">
        <v>165</v>
      </c>
      <c r="AO11" s="45">
        <v>202</v>
      </c>
      <c r="AP11" s="45">
        <v>450</v>
      </c>
      <c r="AQ11" s="45">
        <v>63</v>
      </c>
      <c r="AR11" s="50">
        <v>15</v>
      </c>
      <c r="AS11" s="45">
        <v>149</v>
      </c>
      <c r="AT11" s="45" t="s">
        <v>115</v>
      </c>
      <c r="AU11" s="45">
        <v>171</v>
      </c>
      <c r="AV11" s="45">
        <v>302</v>
      </c>
      <c r="AW11" s="45" t="s">
        <v>128</v>
      </c>
      <c r="AX11" s="49">
        <f>AV11</f>
        <v>302</v>
      </c>
      <c r="AY11" s="51">
        <f t="shared" si="1"/>
        <v>3.6920529801324502</v>
      </c>
      <c r="AZ11" s="51">
        <f t="shared" si="0"/>
        <v>7.1428571428571432</v>
      </c>
      <c r="BA11" s="51">
        <f t="shared" si="2"/>
        <v>3.1461988304093569</v>
      </c>
      <c r="BB11" s="52">
        <f t="shared" si="3"/>
        <v>2.801169590643275</v>
      </c>
      <c r="BC11" s="45">
        <f>125+41+11+88+129+118</f>
        <v>512</v>
      </c>
      <c r="BD11" s="45">
        <v>21</v>
      </c>
      <c r="BE11" s="45">
        <v>34</v>
      </c>
      <c r="BF11" s="49">
        <v>23</v>
      </c>
      <c r="BG11" s="45" t="s">
        <v>324</v>
      </c>
      <c r="BH11" s="45" t="s">
        <v>115</v>
      </c>
      <c r="BI11" s="45">
        <v>61</v>
      </c>
      <c r="BJ11" s="45" t="s">
        <v>325</v>
      </c>
      <c r="BK11" s="49">
        <v>6</v>
      </c>
      <c r="BL11" s="45">
        <v>13</v>
      </c>
      <c r="BM11" s="45">
        <v>10</v>
      </c>
      <c r="BN11" s="49">
        <v>5</v>
      </c>
      <c r="BO11" s="45">
        <v>15</v>
      </c>
      <c r="BP11" s="45">
        <v>9</v>
      </c>
      <c r="BQ11" s="49">
        <v>9</v>
      </c>
      <c r="BR11" s="45">
        <v>16</v>
      </c>
      <c r="BS11" s="45">
        <v>6</v>
      </c>
      <c r="BT11" s="49">
        <v>8</v>
      </c>
      <c r="BU11" s="45">
        <v>16</v>
      </c>
      <c r="BV11" s="45">
        <v>2</v>
      </c>
      <c r="BW11" s="49">
        <v>12</v>
      </c>
      <c r="BX11" s="45">
        <v>15</v>
      </c>
      <c r="BY11" s="45">
        <v>4</v>
      </c>
      <c r="BZ11" s="49">
        <v>8</v>
      </c>
      <c r="CA11" s="45">
        <v>10</v>
      </c>
      <c r="CB11" s="45">
        <v>4</v>
      </c>
      <c r="CC11" s="49">
        <v>9</v>
      </c>
      <c r="CD11" s="45">
        <v>13</v>
      </c>
      <c r="CE11" s="45">
        <v>4</v>
      </c>
      <c r="CF11" s="49">
        <v>10</v>
      </c>
      <c r="CG11" s="340">
        <v>13</v>
      </c>
      <c r="CH11" s="341">
        <v>4</v>
      </c>
      <c r="CI11" s="342">
        <v>7</v>
      </c>
      <c r="CJ11" s="45">
        <v>9</v>
      </c>
      <c r="CK11" s="45">
        <v>4</v>
      </c>
      <c r="CL11" s="49">
        <v>3</v>
      </c>
    </row>
    <row r="12" spans="1:90" x14ac:dyDescent="0.2">
      <c r="A12" s="40"/>
      <c r="B12" s="41"/>
      <c r="C12" s="42"/>
      <c r="D12" s="41"/>
      <c r="E12" s="43"/>
      <c r="F12" s="44"/>
      <c r="G12" s="43"/>
      <c r="H12" s="69"/>
      <c r="AP12" s="45">
        <v>447</v>
      </c>
      <c r="AQ12" s="45">
        <v>62</v>
      </c>
      <c r="AR12" s="50">
        <v>10</v>
      </c>
      <c r="AS12" s="45">
        <v>135</v>
      </c>
      <c r="AY12" s="51"/>
      <c r="AZ12" s="51">
        <f t="shared" si="0"/>
        <v>7.209677419354839</v>
      </c>
      <c r="BA12" s="51"/>
      <c r="BB12" s="52"/>
      <c r="BF12" s="49">
        <v>22</v>
      </c>
      <c r="BI12" s="45">
        <v>71</v>
      </c>
      <c r="BJ12" s="45" t="s">
        <v>326</v>
      </c>
      <c r="BK12" s="49"/>
      <c r="BL12" s="45">
        <v>11</v>
      </c>
      <c r="BM12" s="45">
        <v>8</v>
      </c>
      <c r="BN12" s="49">
        <v>6</v>
      </c>
      <c r="BO12" s="45">
        <v>16</v>
      </c>
      <c r="BP12" s="45">
        <v>7</v>
      </c>
      <c r="BQ12" s="49">
        <v>12</v>
      </c>
      <c r="BR12" s="45">
        <v>17</v>
      </c>
      <c r="BS12" s="45">
        <v>5</v>
      </c>
      <c r="BT12" s="49">
        <v>11</v>
      </c>
      <c r="BU12" s="45">
        <v>15</v>
      </c>
      <c r="BV12" s="45">
        <v>4</v>
      </c>
      <c r="BW12" s="49">
        <v>11</v>
      </c>
      <c r="BX12" s="45">
        <v>12</v>
      </c>
      <c r="BY12" s="45">
        <v>2</v>
      </c>
      <c r="BZ12" s="49">
        <v>8</v>
      </c>
      <c r="CA12" s="45">
        <v>13</v>
      </c>
      <c r="CB12" s="45">
        <v>5</v>
      </c>
      <c r="CC12" s="49">
        <v>10</v>
      </c>
      <c r="CD12" s="45">
        <v>9</v>
      </c>
      <c r="CE12" s="45">
        <v>5</v>
      </c>
      <c r="CF12" s="49">
        <v>6</v>
      </c>
      <c r="CG12" s="340">
        <v>18</v>
      </c>
      <c r="CH12" s="341">
        <v>4</v>
      </c>
      <c r="CI12" s="342">
        <v>9</v>
      </c>
      <c r="CJ12" s="45">
        <v>8</v>
      </c>
      <c r="CK12" s="45">
        <v>3</v>
      </c>
      <c r="CL12" s="49">
        <v>3</v>
      </c>
    </row>
    <row r="13" spans="1:90" x14ac:dyDescent="0.2">
      <c r="A13" s="40"/>
      <c r="B13" s="41"/>
      <c r="C13" s="42"/>
      <c r="D13" s="41"/>
      <c r="E13" s="43"/>
      <c r="F13" s="44"/>
      <c r="G13" s="43"/>
      <c r="H13" s="69"/>
      <c r="AP13" s="45">
        <v>463</v>
      </c>
      <c r="AQ13" s="45">
        <v>65</v>
      </c>
      <c r="AR13" s="50">
        <v>15</v>
      </c>
      <c r="AS13" s="45">
        <v>157</v>
      </c>
      <c r="AY13" s="51"/>
      <c r="AZ13" s="51">
        <f t="shared" si="0"/>
        <v>7.1230769230769226</v>
      </c>
      <c r="BA13" s="51"/>
      <c r="BB13" s="52"/>
      <c r="BF13" s="49">
        <v>28</v>
      </c>
      <c r="BK13" s="49"/>
      <c r="BL13" s="45">
        <v>8</v>
      </c>
      <c r="BM13" s="45">
        <v>6</v>
      </c>
      <c r="BN13" s="49">
        <v>5</v>
      </c>
      <c r="BQ13" s="49"/>
      <c r="BT13" s="49"/>
      <c r="BW13" s="49"/>
      <c r="BX13" s="45">
        <v>12</v>
      </c>
      <c r="BY13" s="45">
        <v>5</v>
      </c>
      <c r="BZ13" s="49">
        <v>11</v>
      </c>
      <c r="CC13" s="49"/>
      <c r="CF13" s="49"/>
      <c r="CI13" s="49"/>
      <c r="CL13" s="49"/>
    </row>
    <row r="14" spans="1:90" s="80" customFormat="1" ht="15.75" customHeight="1" x14ac:dyDescent="0.2">
      <c r="A14" s="209" t="s">
        <v>332</v>
      </c>
      <c r="B14" s="210" t="s">
        <v>321</v>
      </c>
      <c r="C14" s="211" t="s">
        <v>328</v>
      </c>
      <c r="D14" s="210" t="s">
        <v>115</v>
      </c>
      <c r="E14" s="220" t="s">
        <v>115</v>
      </c>
      <c r="F14" s="221">
        <v>4</v>
      </c>
      <c r="G14" s="212" t="s">
        <v>115</v>
      </c>
      <c r="H14" s="162" t="s">
        <v>331</v>
      </c>
      <c r="I14" s="72" t="s">
        <v>115</v>
      </c>
      <c r="J14" s="72" t="s">
        <v>115</v>
      </c>
      <c r="K14" s="72" t="s">
        <v>115</v>
      </c>
      <c r="L14" s="72" t="s">
        <v>115</v>
      </c>
      <c r="M14" s="72" t="s">
        <v>115</v>
      </c>
      <c r="N14" s="72" t="s">
        <v>115</v>
      </c>
      <c r="O14" s="72" t="s">
        <v>115</v>
      </c>
      <c r="P14" s="72" t="s">
        <v>115</v>
      </c>
      <c r="Q14" s="72" t="s">
        <v>115</v>
      </c>
      <c r="R14" s="72" t="s">
        <v>115</v>
      </c>
      <c r="S14" s="72" t="s">
        <v>115</v>
      </c>
      <c r="T14" s="72" t="s">
        <v>115</v>
      </c>
      <c r="U14" s="72" t="s">
        <v>115</v>
      </c>
      <c r="V14" s="72" t="s">
        <v>115</v>
      </c>
      <c r="W14" s="72" t="s">
        <v>115</v>
      </c>
      <c r="X14" s="72" t="s">
        <v>115</v>
      </c>
      <c r="Y14" s="72" t="s">
        <v>115</v>
      </c>
      <c r="Z14" s="72" t="s">
        <v>115</v>
      </c>
      <c r="AA14" s="72" t="s">
        <v>115</v>
      </c>
      <c r="AB14" s="72" t="s">
        <v>115</v>
      </c>
      <c r="AC14" s="72" t="s">
        <v>115</v>
      </c>
      <c r="AD14" s="72" t="s">
        <v>115</v>
      </c>
      <c r="AE14" s="72" t="s">
        <v>115</v>
      </c>
      <c r="AF14" s="72" t="s">
        <v>115</v>
      </c>
      <c r="AG14" s="72" t="s">
        <v>115</v>
      </c>
      <c r="AH14" s="72" t="s">
        <v>115</v>
      </c>
      <c r="AI14" s="216" t="s">
        <v>115</v>
      </c>
      <c r="AJ14" s="72">
        <f>416+349+610</f>
        <v>1375</v>
      </c>
      <c r="AK14" s="72">
        <f>262+620</f>
        <v>882</v>
      </c>
      <c r="AL14" s="72">
        <v>495</v>
      </c>
      <c r="AM14" s="72">
        <v>27</v>
      </c>
      <c r="AN14" s="72">
        <v>144</v>
      </c>
      <c r="AO14" s="72">
        <v>241</v>
      </c>
      <c r="AP14" s="72">
        <v>476</v>
      </c>
      <c r="AQ14" s="72">
        <v>65</v>
      </c>
      <c r="AR14" s="215">
        <v>14</v>
      </c>
      <c r="AS14" s="215">
        <v>230</v>
      </c>
      <c r="AT14" s="72" t="s">
        <v>115</v>
      </c>
      <c r="AU14" s="72">
        <v>258</v>
      </c>
      <c r="AV14" s="72">
        <v>217</v>
      </c>
      <c r="AW14" s="72" t="s">
        <v>131</v>
      </c>
      <c r="AX14" s="216">
        <v>241</v>
      </c>
      <c r="AY14" s="66">
        <f t="shared" si="1"/>
        <v>5.7053941908713695</v>
      </c>
      <c r="AZ14" s="66">
        <f t="shared" si="0"/>
        <v>7.3230769230769228</v>
      </c>
      <c r="BA14" s="66">
        <f t="shared" si="2"/>
        <v>3.4186046511627906</v>
      </c>
      <c r="BB14" s="67">
        <f t="shared" si="3"/>
        <v>1.9186046511627908</v>
      </c>
      <c r="BC14" s="72">
        <f>73+243+154+65</f>
        <v>535</v>
      </c>
      <c r="BD14" s="72">
        <v>30</v>
      </c>
      <c r="BE14" s="72">
        <v>28</v>
      </c>
      <c r="BF14" s="216">
        <v>21</v>
      </c>
      <c r="BG14" s="72">
        <v>5</v>
      </c>
      <c r="BH14" s="72" t="s">
        <v>115</v>
      </c>
      <c r="BI14" s="72">
        <v>78</v>
      </c>
      <c r="BJ14" s="72" t="s">
        <v>333</v>
      </c>
      <c r="BK14" s="216">
        <v>6</v>
      </c>
      <c r="BL14" s="72">
        <v>12</v>
      </c>
      <c r="BM14" s="72">
        <v>4</v>
      </c>
      <c r="BN14" s="216">
        <v>7</v>
      </c>
      <c r="BO14" s="72">
        <v>12</v>
      </c>
      <c r="BP14" s="72">
        <v>5</v>
      </c>
      <c r="BQ14" s="216">
        <v>5</v>
      </c>
      <c r="BR14" s="72">
        <v>15</v>
      </c>
      <c r="BS14" s="72">
        <v>5</v>
      </c>
      <c r="BT14" s="216">
        <v>7</v>
      </c>
      <c r="BU14" s="72">
        <v>14</v>
      </c>
      <c r="BV14" s="72">
        <v>3</v>
      </c>
      <c r="BW14" s="216">
        <v>4</v>
      </c>
      <c r="BX14" s="72">
        <v>14</v>
      </c>
      <c r="BY14" s="72">
        <v>4</v>
      </c>
      <c r="BZ14" s="216">
        <v>9</v>
      </c>
      <c r="CA14" s="72">
        <v>12</v>
      </c>
      <c r="CB14" s="72">
        <v>4</v>
      </c>
      <c r="CC14" s="216">
        <v>4</v>
      </c>
      <c r="CD14" s="72">
        <v>10</v>
      </c>
      <c r="CE14" s="72">
        <v>3</v>
      </c>
      <c r="CF14" s="216">
        <v>6</v>
      </c>
      <c r="CG14" s="72">
        <v>14</v>
      </c>
      <c r="CH14" s="72">
        <v>4</v>
      </c>
      <c r="CI14" s="216">
        <v>5</v>
      </c>
      <c r="CJ14" s="72" t="s">
        <v>115</v>
      </c>
      <c r="CK14" s="72" t="s">
        <v>115</v>
      </c>
      <c r="CL14" s="216" t="s">
        <v>115</v>
      </c>
    </row>
    <row r="15" spans="1:90" s="80" customFormat="1" x14ac:dyDescent="0.2">
      <c r="A15" s="209"/>
      <c r="B15" s="210"/>
      <c r="C15" s="211"/>
      <c r="D15" s="210"/>
      <c r="E15" s="220"/>
      <c r="F15" s="221"/>
      <c r="G15" s="212"/>
      <c r="H15" s="16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219"/>
      <c r="AI15" s="64"/>
      <c r="AJ15" s="72"/>
      <c r="AK15" s="72"/>
      <c r="AL15" s="72"/>
      <c r="AM15" s="72"/>
      <c r="AN15" s="72"/>
      <c r="AO15" s="72"/>
      <c r="AP15" s="72">
        <v>455</v>
      </c>
      <c r="AQ15" s="72">
        <v>65</v>
      </c>
      <c r="AR15" s="215">
        <v>13</v>
      </c>
      <c r="AS15" s="72">
        <v>246</v>
      </c>
      <c r="AT15" s="72"/>
      <c r="AU15" s="72"/>
      <c r="AV15" s="72"/>
      <c r="AW15" s="72"/>
      <c r="AX15" s="216"/>
      <c r="AY15" s="66"/>
      <c r="AZ15" s="66">
        <f t="shared" si="0"/>
        <v>7</v>
      </c>
      <c r="BA15" s="66"/>
      <c r="BB15" s="67"/>
      <c r="BC15" s="72"/>
      <c r="BD15" s="72">
        <v>31</v>
      </c>
      <c r="BE15" s="72"/>
      <c r="BF15" s="216"/>
      <c r="BG15" s="72"/>
      <c r="BH15" s="72"/>
      <c r="BI15" s="72">
        <v>58</v>
      </c>
      <c r="BJ15" s="72" t="s">
        <v>326</v>
      </c>
      <c r="BK15" s="216"/>
      <c r="BL15" s="72">
        <v>7</v>
      </c>
      <c r="BM15" s="72">
        <v>4</v>
      </c>
      <c r="BN15" s="216">
        <v>6</v>
      </c>
      <c r="BO15" s="72">
        <v>14</v>
      </c>
      <c r="BP15" s="72">
        <v>5</v>
      </c>
      <c r="BQ15" s="216">
        <v>6</v>
      </c>
      <c r="BR15" s="72"/>
      <c r="BS15" s="72"/>
      <c r="BT15" s="216"/>
      <c r="BU15" s="72">
        <v>18</v>
      </c>
      <c r="BV15" s="72">
        <v>6</v>
      </c>
      <c r="BW15" s="216">
        <v>10</v>
      </c>
      <c r="BX15" s="72"/>
      <c r="BY15" s="72"/>
      <c r="BZ15" s="216"/>
      <c r="CA15" s="72"/>
      <c r="CB15" s="72"/>
      <c r="CC15" s="216"/>
      <c r="CD15" s="72"/>
      <c r="CE15" s="72"/>
      <c r="CF15" s="216"/>
      <c r="CG15" s="72"/>
      <c r="CH15" s="72"/>
      <c r="CI15" s="216"/>
      <c r="CJ15" s="72"/>
      <c r="CK15" s="72"/>
      <c r="CL15" s="216"/>
    </row>
    <row r="16" spans="1:90" s="80" customFormat="1" x14ac:dyDescent="0.2">
      <c r="A16" s="209"/>
      <c r="B16" s="210"/>
      <c r="C16" s="211"/>
      <c r="D16" s="210"/>
      <c r="E16" s="220"/>
      <c r="F16" s="221"/>
      <c r="G16" s="212"/>
      <c r="H16" s="16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64"/>
      <c r="AJ16" s="72"/>
      <c r="AK16" s="72"/>
      <c r="AL16" s="72"/>
      <c r="AM16" s="72"/>
      <c r="AN16" s="72"/>
      <c r="AO16" s="72"/>
      <c r="AP16" s="72">
        <v>482</v>
      </c>
      <c r="AQ16" s="72">
        <v>83</v>
      </c>
      <c r="AR16" s="215">
        <v>36</v>
      </c>
      <c r="AS16" s="72">
        <v>238</v>
      </c>
      <c r="AT16" s="72"/>
      <c r="AU16" s="72"/>
      <c r="AV16" s="72"/>
      <c r="AW16" s="72"/>
      <c r="AX16" s="216"/>
      <c r="AY16" s="66"/>
      <c r="AZ16" s="66">
        <f t="shared" si="0"/>
        <v>5.8072289156626509</v>
      </c>
      <c r="BA16" s="66"/>
      <c r="BB16" s="67"/>
      <c r="BC16" s="72"/>
      <c r="BD16" s="72"/>
      <c r="BE16" s="72"/>
      <c r="BF16" s="216"/>
      <c r="BG16" s="72"/>
      <c r="BH16" s="72"/>
      <c r="BI16" s="72"/>
      <c r="BJ16" s="72"/>
      <c r="BK16" s="216"/>
      <c r="BL16" s="72"/>
      <c r="BM16" s="72"/>
      <c r="BN16" s="216"/>
      <c r="BO16" s="72"/>
      <c r="BP16" s="72"/>
      <c r="BQ16" s="216"/>
      <c r="BR16" s="72"/>
      <c r="BS16" s="72"/>
      <c r="BT16" s="216"/>
      <c r="BU16" s="72"/>
      <c r="BV16" s="72"/>
      <c r="BW16" s="216"/>
      <c r="BX16" s="72"/>
      <c r="BY16" s="72"/>
      <c r="BZ16" s="216"/>
      <c r="CA16" s="72"/>
      <c r="CB16" s="72"/>
      <c r="CC16" s="216"/>
      <c r="CD16" s="72"/>
      <c r="CE16" s="72"/>
      <c r="CF16" s="216"/>
      <c r="CG16" s="72"/>
      <c r="CH16" s="72"/>
      <c r="CI16" s="216"/>
      <c r="CJ16" s="72"/>
      <c r="CK16" s="72"/>
      <c r="CL16" s="216"/>
    </row>
    <row r="17" spans="1:90" x14ac:dyDescent="0.2">
      <c r="A17" s="40" t="s">
        <v>334</v>
      </c>
      <c r="B17" s="41" t="s">
        <v>321</v>
      </c>
      <c r="C17" s="42" t="s">
        <v>328</v>
      </c>
      <c r="D17" s="41" t="s">
        <v>115</v>
      </c>
      <c r="E17" s="43" t="s">
        <v>115</v>
      </c>
      <c r="F17" s="44">
        <v>4</v>
      </c>
      <c r="G17" s="43" t="s">
        <v>115</v>
      </c>
      <c r="H17" s="69" t="s">
        <v>329</v>
      </c>
      <c r="I17" s="45" t="s">
        <v>115</v>
      </c>
      <c r="J17" s="45" t="s">
        <v>115</v>
      </c>
      <c r="K17" s="45" t="s">
        <v>115</v>
      </c>
      <c r="L17" s="45" t="s">
        <v>115</v>
      </c>
      <c r="M17" s="45" t="s">
        <v>115</v>
      </c>
      <c r="N17" s="45" t="s">
        <v>115</v>
      </c>
      <c r="O17" s="45" t="s">
        <v>115</v>
      </c>
      <c r="P17" s="45" t="s">
        <v>115</v>
      </c>
      <c r="Q17" s="45" t="s">
        <v>115</v>
      </c>
      <c r="R17" s="45" t="s">
        <v>115</v>
      </c>
      <c r="S17" s="45" t="s">
        <v>115</v>
      </c>
      <c r="T17" s="45" t="s">
        <v>115</v>
      </c>
      <c r="U17" s="45" t="s">
        <v>115</v>
      </c>
      <c r="V17" s="45" t="s">
        <v>115</v>
      </c>
      <c r="W17" s="45" t="s">
        <v>115</v>
      </c>
      <c r="X17" s="45" t="s">
        <v>115</v>
      </c>
      <c r="Y17" s="45" t="s">
        <v>115</v>
      </c>
      <c r="Z17" s="45" t="s">
        <v>115</v>
      </c>
      <c r="AA17" s="45" t="s">
        <v>115</v>
      </c>
      <c r="AB17" s="45" t="s">
        <v>115</v>
      </c>
      <c r="AC17" s="45" t="s">
        <v>115</v>
      </c>
      <c r="AD17" s="45" t="s">
        <v>115</v>
      </c>
      <c r="AE17" s="45" t="s">
        <v>115</v>
      </c>
      <c r="AF17" s="45" t="s">
        <v>115</v>
      </c>
      <c r="AG17" s="45" t="s">
        <v>115</v>
      </c>
      <c r="AH17" s="45" t="s">
        <v>115</v>
      </c>
      <c r="AI17" s="49" t="s">
        <v>115</v>
      </c>
      <c r="AJ17" s="45">
        <v>1080</v>
      </c>
      <c r="AK17" s="45">
        <v>586</v>
      </c>
      <c r="AL17" s="45">
        <v>514</v>
      </c>
      <c r="AM17" s="45">
        <v>21</v>
      </c>
      <c r="AN17" s="45">
        <v>192</v>
      </c>
      <c r="AO17" s="45">
        <v>228</v>
      </c>
      <c r="AP17" s="45">
        <v>487</v>
      </c>
      <c r="AQ17" s="45">
        <v>90</v>
      </c>
      <c r="AR17" s="50">
        <v>20</v>
      </c>
      <c r="AS17" s="45">
        <v>171</v>
      </c>
      <c r="AT17" s="45">
        <v>89</v>
      </c>
      <c r="AU17" s="45" t="s">
        <v>115</v>
      </c>
      <c r="AV17" s="45">
        <v>224</v>
      </c>
      <c r="AW17" s="45" t="s">
        <v>131</v>
      </c>
      <c r="AX17" s="49">
        <v>228</v>
      </c>
      <c r="AY17" s="51">
        <f t="shared" si="1"/>
        <v>4.7368421052631575</v>
      </c>
      <c r="AZ17" s="51">
        <f t="shared" si="0"/>
        <v>5.4111111111111114</v>
      </c>
      <c r="BA17" s="51" t="s">
        <v>115</v>
      </c>
      <c r="BB17" s="52" t="s">
        <v>115</v>
      </c>
      <c r="BC17" s="45">
        <f>49+63+140+117</f>
        <v>369</v>
      </c>
      <c r="BD17" s="45">
        <v>28</v>
      </c>
      <c r="BE17" s="45">
        <v>39</v>
      </c>
      <c r="BF17" s="49">
        <v>24</v>
      </c>
      <c r="BG17" s="45" t="s">
        <v>324</v>
      </c>
      <c r="BH17" s="45" t="s">
        <v>115</v>
      </c>
      <c r="BI17" s="45">
        <v>73</v>
      </c>
      <c r="BJ17" s="45" t="s">
        <v>115</v>
      </c>
      <c r="BK17" s="49">
        <v>5</v>
      </c>
      <c r="BL17" s="45">
        <v>12</v>
      </c>
      <c r="BM17" s="45">
        <v>8</v>
      </c>
      <c r="BN17" s="49">
        <v>6</v>
      </c>
      <c r="BO17" s="45">
        <v>17</v>
      </c>
      <c r="BP17" s="45">
        <v>8</v>
      </c>
      <c r="BQ17" s="49">
        <v>7</v>
      </c>
      <c r="BR17" s="45">
        <v>15</v>
      </c>
      <c r="BS17" s="45">
        <v>7</v>
      </c>
      <c r="BT17" s="49">
        <v>8</v>
      </c>
      <c r="BU17" s="45">
        <v>13</v>
      </c>
      <c r="BV17" s="45">
        <v>5</v>
      </c>
      <c r="BW17" s="49">
        <v>7</v>
      </c>
      <c r="BX17" s="45">
        <v>16</v>
      </c>
      <c r="BY17" s="45">
        <v>4</v>
      </c>
      <c r="BZ17" s="49">
        <v>8</v>
      </c>
      <c r="CA17" s="45">
        <v>13</v>
      </c>
      <c r="CB17" s="45">
        <v>4</v>
      </c>
      <c r="CC17" s="49">
        <v>5</v>
      </c>
      <c r="CD17" s="45">
        <v>12</v>
      </c>
      <c r="CE17" s="45">
        <v>4</v>
      </c>
      <c r="CF17" s="49">
        <v>6</v>
      </c>
      <c r="CG17" s="45" t="s">
        <v>115</v>
      </c>
      <c r="CH17" s="45" t="s">
        <v>115</v>
      </c>
      <c r="CI17" s="49" t="s">
        <v>115</v>
      </c>
      <c r="CJ17" s="45" t="s">
        <v>115</v>
      </c>
      <c r="CK17" s="45" t="s">
        <v>115</v>
      </c>
      <c r="CL17" s="49" t="s">
        <v>115</v>
      </c>
    </row>
    <row r="18" spans="1:90" x14ac:dyDescent="0.2">
      <c r="A18" s="40"/>
      <c r="B18" s="41"/>
      <c r="C18" s="42"/>
      <c r="D18" s="41"/>
      <c r="E18" s="43"/>
      <c r="F18" s="44"/>
      <c r="G18" s="43"/>
      <c r="H18" s="69"/>
      <c r="AP18" s="45">
        <v>454</v>
      </c>
      <c r="AQ18" s="45">
        <v>79</v>
      </c>
      <c r="AR18" s="50">
        <v>12</v>
      </c>
      <c r="AS18" s="45">
        <v>187</v>
      </c>
      <c r="AT18" s="45">
        <v>86</v>
      </c>
      <c r="AY18" s="51"/>
      <c r="AZ18" s="51">
        <f t="shared" si="0"/>
        <v>5.7468354430379751</v>
      </c>
      <c r="BA18" s="51"/>
      <c r="BB18" s="52"/>
      <c r="BD18" s="45">
        <v>32</v>
      </c>
      <c r="BK18" s="49"/>
      <c r="BN18" s="49"/>
      <c r="BQ18" s="49"/>
      <c r="BT18" s="49"/>
      <c r="BW18" s="49"/>
      <c r="BZ18" s="49"/>
      <c r="CA18" s="45">
        <v>13</v>
      </c>
      <c r="CB18" s="45">
        <v>5</v>
      </c>
      <c r="CC18" s="49">
        <v>5</v>
      </c>
      <c r="CF18" s="49"/>
      <c r="CI18" s="49"/>
      <c r="CL18" s="49"/>
    </row>
    <row r="19" spans="1:90" x14ac:dyDescent="0.2">
      <c r="A19" s="40"/>
      <c r="B19" s="41"/>
      <c r="C19" s="42"/>
      <c r="D19" s="41"/>
      <c r="E19" s="43"/>
      <c r="F19" s="44"/>
      <c r="G19" s="43"/>
      <c r="H19" s="69"/>
      <c r="AP19" s="45">
        <v>480</v>
      </c>
      <c r="AQ19" s="45">
        <v>80</v>
      </c>
      <c r="AR19" s="50">
        <v>13</v>
      </c>
      <c r="AS19" s="45">
        <v>206</v>
      </c>
      <c r="AT19" s="45">
        <v>87</v>
      </c>
      <c r="AY19" s="51"/>
      <c r="AZ19" s="51">
        <f t="shared" si="0"/>
        <v>6</v>
      </c>
      <c r="BA19" s="51"/>
      <c r="BB19" s="52"/>
      <c r="BK19" s="49"/>
      <c r="BN19" s="49"/>
      <c r="BQ19" s="49"/>
      <c r="BT19" s="49"/>
      <c r="BW19" s="49"/>
      <c r="BZ19" s="49"/>
      <c r="CC19" s="49"/>
      <c r="CF19" s="49"/>
      <c r="CI19" s="49"/>
      <c r="CL19" s="49"/>
    </row>
    <row r="20" spans="1:90" s="80" customFormat="1" x14ac:dyDescent="0.2">
      <c r="A20" s="209" t="s">
        <v>335</v>
      </c>
      <c r="B20" s="210" t="s">
        <v>109</v>
      </c>
      <c r="C20" s="211" t="s">
        <v>328</v>
      </c>
      <c r="D20" s="210" t="s">
        <v>111</v>
      </c>
      <c r="E20" s="212" t="s">
        <v>124</v>
      </c>
      <c r="F20" s="213">
        <v>1</v>
      </c>
      <c r="G20" s="212" t="s">
        <v>113</v>
      </c>
      <c r="H20" s="162" t="s">
        <v>336</v>
      </c>
      <c r="I20" s="72">
        <f>2006+977+589</f>
        <v>3572</v>
      </c>
      <c r="J20" s="72">
        <v>6</v>
      </c>
      <c r="K20" s="72">
        <v>1</v>
      </c>
      <c r="L20" s="72">
        <f>J20-K20</f>
        <v>5</v>
      </c>
      <c r="M20" s="72">
        <v>0</v>
      </c>
      <c r="N20" s="72">
        <v>535</v>
      </c>
      <c r="O20" s="72">
        <v>187</v>
      </c>
      <c r="P20" s="72">
        <v>1518</v>
      </c>
      <c r="Q20" s="72">
        <v>277</v>
      </c>
      <c r="R20" s="72" t="s">
        <v>115</v>
      </c>
      <c r="S20" s="72" t="s">
        <v>115</v>
      </c>
      <c r="T20" s="72">
        <v>46</v>
      </c>
      <c r="U20" s="72">
        <v>22</v>
      </c>
      <c r="V20" s="72">
        <f>T20-U20</f>
        <v>24</v>
      </c>
      <c r="W20" s="72">
        <v>49</v>
      </c>
      <c r="X20" s="72">
        <v>77</v>
      </c>
      <c r="Y20" s="72">
        <v>190</v>
      </c>
      <c r="Z20" s="72">
        <v>119</v>
      </c>
      <c r="AA20" s="72">
        <v>4</v>
      </c>
      <c r="AB20" s="343">
        <v>374</v>
      </c>
      <c r="AC20" s="72">
        <v>127</v>
      </c>
      <c r="AD20" s="72">
        <v>109</v>
      </c>
      <c r="AE20" s="72">
        <v>22</v>
      </c>
      <c r="AF20" s="72">
        <v>33</v>
      </c>
      <c r="AG20" s="72">
        <v>994</v>
      </c>
      <c r="AH20" s="61">
        <f>AG20/P20</f>
        <v>0.65480895915678528</v>
      </c>
      <c r="AI20" s="344" t="s">
        <v>115</v>
      </c>
      <c r="AJ20" s="72">
        <v>1121</v>
      </c>
      <c r="AK20" s="72">
        <v>771</v>
      </c>
      <c r="AL20" s="72">
        <v>386</v>
      </c>
      <c r="AM20" s="72">
        <v>11</v>
      </c>
      <c r="AN20" s="72">
        <v>190</v>
      </c>
      <c r="AO20" s="72">
        <v>208</v>
      </c>
      <c r="AP20" s="72">
        <v>377</v>
      </c>
      <c r="AQ20" s="72">
        <v>73</v>
      </c>
      <c r="AR20" s="215">
        <v>13</v>
      </c>
      <c r="AS20" s="72">
        <v>179</v>
      </c>
      <c r="AT20" s="72" t="s">
        <v>115</v>
      </c>
      <c r="AU20" s="72">
        <v>327</v>
      </c>
      <c r="AV20" s="72">
        <v>223</v>
      </c>
      <c r="AW20" s="72" t="s">
        <v>337</v>
      </c>
      <c r="AX20" s="216">
        <v>277</v>
      </c>
      <c r="AY20" s="66">
        <f t="shared" si="1"/>
        <v>4.046931407942238</v>
      </c>
      <c r="AZ20" s="66">
        <f t="shared" si="0"/>
        <v>5.1643835616438354</v>
      </c>
      <c r="BA20" s="66">
        <f t="shared" si="2"/>
        <v>2.3577981651376145</v>
      </c>
      <c r="BB20" s="67">
        <f t="shared" si="3"/>
        <v>1.180428134556575</v>
      </c>
      <c r="BC20" s="72">
        <f>66+107</f>
        <v>173</v>
      </c>
      <c r="BD20" s="72">
        <v>22</v>
      </c>
      <c r="BE20" s="72">
        <v>23</v>
      </c>
      <c r="BF20" s="216" t="s">
        <v>115</v>
      </c>
      <c r="BG20" s="72" t="s">
        <v>324</v>
      </c>
      <c r="BH20" s="72" t="s">
        <v>115</v>
      </c>
      <c r="BI20" s="72">
        <v>49</v>
      </c>
      <c r="BJ20" s="72" t="s">
        <v>115</v>
      </c>
      <c r="BK20" s="216" t="s">
        <v>115</v>
      </c>
      <c r="BL20" s="72" t="s">
        <v>115</v>
      </c>
      <c r="BM20" s="72" t="s">
        <v>115</v>
      </c>
      <c r="BN20" s="216" t="s">
        <v>115</v>
      </c>
      <c r="BO20" s="72" t="s">
        <v>115</v>
      </c>
      <c r="BP20" s="72" t="s">
        <v>115</v>
      </c>
      <c r="BQ20" s="216" t="s">
        <v>115</v>
      </c>
      <c r="BR20" s="72" t="s">
        <v>115</v>
      </c>
      <c r="BS20" s="72" t="s">
        <v>115</v>
      </c>
      <c r="BT20" s="216" t="s">
        <v>115</v>
      </c>
      <c r="BU20" s="72" t="s">
        <v>115</v>
      </c>
      <c r="BV20" s="72" t="s">
        <v>115</v>
      </c>
      <c r="BW20" s="216" t="s">
        <v>115</v>
      </c>
      <c r="BX20" s="72" t="s">
        <v>115</v>
      </c>
      <c r="BY20" s="72" t="s">
        <v>115</v>
      </c>
      <c r="BZ20" s="216" t="s">
        <v>115</v>
      </c>
      <c r="CA20" s="72" t="s">
        <v>115</v>
      </c>
      <c r="CB20" s="72" t="s">
        <v>115</v>
      </c>
      <c r="CC20" s="216" t="s">
        <v>115</v>
      </c>
      <c r="CD20" s="72" t="s">
        <v>115</v>
      </c>
      <c r="CE20" s="72" t="s">
        <v>115</v>
      </c>
      <c r="CF20" s="216" t="s">
        <v>115</v>
      </c>
      <c r="CG20" s="72" t="s">
        <v>115</v>
      </c>
      <c r="CH20" s="72" t="s">
        <v>115</v>
      </c>
      <c r="CI20" s="216" t="s">
        <v>115</v>
      </c>
      <c r="CJ20" s="72" t="s">
        <v>115</v>
      </c>
      <c r="CK20" s="72" t="s">
        <v>115</v>
      </c>
      <c r="CL20" s="216" t="s">
        <v>115</v>
      </c>
    </row>
    <row r="21" spans="1:90" s="80" customFormat="1" x14ac:dyDescent="0.2">
      <c r="A21" s="209"/>
      <c r="B21" s="210"/>
      <c r="C21" s="211"/>
      <c r="D21" s="210"/>
      <c r="E21" s="212"/>
      <c r="F21" s="213"/>
      <c r="G21" s="212"/>
      <c r="H21" s="16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>
        <v>52</v>
      </c>
      <c r="X21" s="72">
        <v>82</v>
      </c>
      <c r="Y21" s="72"/>
      <c r="Z21" s="72"/>
      <c r="AA21" s="72"/>
      <c r="AB21" s="72"/>
      <c r="AC21" s="72"/>
      <c r="AD21" s="72"/>
      <c r="AE21" s="72">
        <v>31</v>
      </c>
      <c r="AF21" s="72">
        <v>24</v>
      </c>
      <c r="AG21" s="72"/>
      <c r="AH21" s="219"/>
      <c r="AI21" s="64"/>
      <c r="AJ21" s="72"/>
      <c r="AK21" s="72"/>
      <c r="AL21" s="72"/>
      <c r="AM21" s="72"/>
      <c r="AN21" s="72"/>
      <c r="AO21" s="72"/>
      <c r="AP21" s="72">
        <v>373</v>
      </c>
      <c r="AQ21" s="72">
        <v>66</v>
      </c>
      <c r="AR21" s="215">
        <v>12</v>
      </c>
      <c r="AS21" s="72">
        <v>167</v>
      </c>
      <c r="AT21" s="72"/>
      <c r="AU21" s="72"/>
      <c r="AV21" s="72"/>
      <c r="AW21" s="72"/>
      <c r="AX21" s="216"/>
      <c r="AY21" s="66"/>
      <c r="AZ21" s="66">
        <f t="shared" si="0"/>
        <v>5.6515151515151514</v>
      </c>
      <c r="BA21" s="66"/>
      <c r="BB21" s="67"/>
      <c r="BC21" s="72"/>
      <c r="BD21" s="72"/>
      <c r="BE21" s="72"/>
      <c r="BF21" s="216"/>
      <c r="BG21" s="72"/>
      <c r="BH21" s="72"/>
      <c r="BI21" s="72"/>
      <c r="BJ21" s="72"/>
      <c r="BK21" s="216"/>
      <c r="BL21" s="72"/>
      <c r="BM21" s="72"/>
      <c r="BN21" s="216"/>
      <c r="BO21" s="72"/>
      <c r="BP21" s="72"/>
      <c r="BQ21" s="216"/>
      <c r="BR21" s="72"/>
      <c r="BS21" s="72"/>
      <c r="BT21" s="216"/>
      <c r="BU21" s="72"/>
      <c r="BV21" s="72"/>
      <c r="BW21" s="216"/>
      <c r="BX21" s="72"/>
      <c r="BY21" s="72"/>
      <c r="BZ21" s="216"/>
      <c r="CA21" s="72"/>
      <c r="CB21" s="72"/>
      <c r="CC21" s="216"/>
      <c r="CD21" s="72"/>
      <c r="CE21" s="72"/>
      <c r="CF21" s="216"/>
      <c r="CG21" s="72"/>
      <c r="CH21" s="72"/>
      <c r="CI21" s="216"/>
      <c r="CJ21" s="72"/>
      <c r="CK21" s="72"/>
      <c r="CL21" s="216"/>
    </row>
    <row r="22" spans="1:90" s="80" customFormat="1" x14ac:dyDescent="0.2">
      <c r="A22" s="209"/>
      <c r="B22" s="210"/>
      <c r="C22" s="211"/>
      <c r="D22" s="210"/>
      <c r="E22" s="212"/>
      <c r="F22" s="213"/>
      <c r="G22" s="212"/>
      <c r="H22" s="16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>
        <v>66</v>
      </c>
      <c r="X22" s="72">
        <v>76</v>
      </c>
      <c r="Y22" s="72"/>
      <c r="Z22" s="72"/>
      <c r="AA22" s="72"/>
      <c r="AB22" s="72"/>
      <c r="AC22" s="72"/>
      <c r="AD22" s="72"/>
      <c r="AE22" s="72">
        <v>21</v>
      </c>
      <c r="AF22" s="72">
        <v>46</v>
      </c>
      <c r="AG22" s="72"/>
      <c r="AH22" s="72"/>
      <c r="AI22" s="64"/>
      <c r="AJ22" s="72"/>
      <c r="AK22" s="72"/>
      <c r="AL22" s="72"/>
      <c r="AM22" s="72"/>
      <c r="AN22" s="72"/>
      <c r="AO22" s="72"/>
      <c r="AP22" s="72">
        <v>364</v>
      </c>
      <c r="AQ22" s="72">
        <v>68</v>
      </c>
      <c r="AR22" s="215">
        <v>14</v>
      </c>
      <c r="AS22" s="72">
        <v>166</v>
      </c>
      <c r="AT22" s="72"/>
      <c r="AU22" s="72"/>
      <c r="AV22" s="72"/>
      <c r="AW22" s="72"/>
      <c r="AX22" s="216"/>
      <c r="AY22" s="66"/>
      <c r="AZ22" s="66">
        <f t="shared" si="0"/>
        <v>5.3529411764705879</v>
      </c>
      <c r="BA22" s="66"/>
      <c r="BB22" s="67"/>
      <c r="BC22" s="72"/>
      <c r="BD22" s="72"/>
      <c r="BE22" s="72"/>
      <c r="BF22" s="216"/>
      <c r="BG22" s="72"/>
      <c r="BH22" s="72"/>
      <c r="BI22" s="72"/>
      <c r="BJ22" s="72"/>
      <c r="BK22" s="216"/>
      <c r="BL22" s="72"/>
      <c r="BM22" s="72"/>
      <c r="BN22" s="216"/>
      <c r="BO22" s="72"/>
      <c r="BP22" s="72"/>
      <c r="BQ22" s="216"/>
      <c r="BR22" s="72"/>
      <c r="BS22" s="72"/>
      <c r="BT22" s="216"/>
      <c r="BU22" s="72"/>
      <c r="BV22" s="72"/>
      <c r="BW22" s="216"/>
      <c r="BX22" s="72"/>
      <c r="BY22" s="72"/>
      <c r="BZ22" s="216"/>
      <c r="CA22" s="72"/>
      <c r="CB22" s="72"/>
      <c r="CC22" s="216"/>
      <c r="CD22" s="72"/>
      <c r="CE22" s="72"/>
      <c r="CF22" s="216"/>
      <c r="CG22" s="72"/>
      <c r="CH22" s="72"/>
      <c r="CI22" s="216"/>
      <c r="CJ22" s="72"/>
      <c r="CK22" s="72"/>
      <c r="CL22" s="216"/>
    </row>
    <row r="23" spans="1:90" s="80" customFormat="1" x14ac:dyDescent="0.2">
      <c r="A23" s="203" t="s">
        <v>338</v>
      </c>
      <c r="B23" s="204" t="s">
        <v>109</v>
      </c>
      <c r="C23" s="205" t="s">
        <v>328</v>
      </c>
      <c r="D23" s="204" t="s">
        <v>111</v>
      </c>
      <c r="E23" s="295" t="s">
        <v>112</v>
      </c>
      <c r="F23" s="207">
        <v>4</v>
      </c>
      <c r="G23" s="206" t="s">
        <v>113</v>
      </c>
      <c r="H23" s="161" t="s">
        <v>339</v>
      </c>
      <c r="I23" s="80">
        <f>113+82+180+603+363+584+704</f>
        <v>2629</v>
      </c>
      <c r="J23" s="80">
        <v>7</v>
      </c>
      <c r="K23" s="80">
        <v>2</v>
      </c>
      <c r="L23" s="80">
        <f>J23-K23</f>
        <v>5</v>
      </c>
      <c r="M23" s="80">
        <v>1</v>
      </c>
      <c r="N23" s="80">
        <v>598</v>
      </c>
      <c r="O23" s="80">
        <v>301</v>
      </c>
      <c r="P23" s="80">
        <v>896</v>
      </c>
      <c r="Q23" s="80">
        <v>259</v>
      </c>
      <c r="R23" s="53">
        <f>157+248+1200</f>
        <v>1605</v>
      </c>
      <c r="S23" s="53">
        <v>369</v>
      </c>
      <c r="T23" s="80">
        <v>45</v>
      </c>
      <c r="U23" s="80">
        <v>21</v>
      </c>
      <c r="V23" s="80">
        <f>T23-U23</f>
        <v>24</v>
      </c>
      <c r="W23" s="80">
        <v>39</v>
      </c>
      <c r="X23" s="80">
        <v>82</v>
      </c>
      <c r="Y23" s="80">
        <f>67+83</f>
        <v>150</v>
      </c>
      <c r="Z23" s="80">
        <v>84</v>
      </c>
      <c r="AA23" s="80">
        <v>4</v>
      </c>
      <c r="AB23" s="345">
        <v>125</v>
      </c>
      <c r="AC23" s="80">
        <v>145</v>
      </c>
      <c r="AD23" s="80">
        <v>63</v>
      </c>
      <c r="AE23" s="80">
        <v>17</v>
      </c>
      <c r="AF23" s="80">
        <v>32</v>
      </c>
      <c r="AG23" s="80">
        <v>493</v>
      </c>
      <c r="AH23" s="146">
        <f>AG23/P23</f>
        <v>0.5502232142857143</v>
      </c>
      <c r="AI23" s="141">
        <v>14</v>
      </c>
      <c r="AJ23" s="80">
        <v>1068</v>
      </c>
      <c r="AK23" s="80">
        <v>661</v>
      </c>
      <c r="AL23" s="80">
        <v>403</v>
      </c>
      <c r="AM23" s="80">
        <v>14</v>
      </c>
      <c r="AN23" s="80">
        <v>163</v>
      </c>
      <c r="AO23" s="80">
        <v>186</v>
      </c>
      <c r="AP23" s="80">
        <v>383</v>
      </c>
      <c r="AQ23" s="80">
        <v>58</v>
      </c>
      <c r="AR23" s="140">
        <v>13</v>
      </c>
      <c r="AS23" s="80">
        <v>145</v>
      </c>
      <c r="AT23" s="80">
        <v>81</v>
      </c>
      <c r="AU23" s="80">
        <v>182</v>
      </c>
      <c r="AV23" s="80">
        <v>232</v>
      </c>
      <c r="AW23" s="53" t="s">
        <v>340</v>
      </c>
      <c r="AX23" s="346">
        <v>369</v>
      </c>
      <c r="AY23" s="51">
        <f t="shared" si="1"/>
        <v>2.8943089430894311</v>
      </c>
      <c r="AZ23" s="51">
        <f t="shared" si="0"/>
        <v>6.6034482758620694</v>
      </c>
      <c r="BA23" s="51">
        <f t="shared" si="2"/>
        <v>3.6318681318681318</v>
      </c>
      <c r="BB23" s="52">
        <f t="shared" si="3"/>
        <v>2.2142857142857144</v>
      </c>
      <c r="BC23" s="80">
        <f>91+69</f>
        <v>160</v>
      </c>
      <c r="BD23" s="80">
        <v>25</v>
      </c>
      <c r="BE23" s="80">
        <v>23</v>
      </c>
      <c r="BF23" s="81">
        <v>24</v>
      </c>
      <c r="BG23" s="80" t="s">
        <v>324</v>
      </c>
      <c r="BH23" s="80" t="s">
        <v>115</v>
      </c>
      <c r="BI23" s="80">
        <v>61</v>
      </c>
      <c r="BJ23" s="80" t="s">
        <v>325</v>
      </c>
      <c r="BK23" s="81" t="s">
        <v>115</v>
      </c>
      <c r="BL23" s="80">
        <v>13</v>
      </c>
      <c r="BM23" s="80">
        <v>9</v>
      </c>
      <c r="BN23" s="81">
        <v>7</v>
      </c>
      <c r="BO23" s="80" t="s">
        <v>115</v>
      </c>
      <c r="BP23" s="80" t="s">
        <v>115</v>
      </c>
      <c r="BQ23" s="81" t="s">
        <v>115</v>
      </c>
      <c r="BR23" s="80">
        <v>25</v>
      </c>
      <c r="BS23" s="80">
        <v>7</v>
      </c>
      <c r="BT23" s="81">
        <v>9</v>
      </c>
      <c r="BU23" s="80" t="s">
        <v>115</v>
      </c>
      <c r="BV23" s="80" t="s">
        <v>115</v>
      </c>
      <c r="BW23" s="81" t="s">
        <v>115</v>
      </c>
      <c r="BX23" s="80" t="s">
        <v>115</v>
      </c>
      <c r="BY23" s="80" t="s">
        <v>115</v>
      </c>
      <c r="BZ23" s="81" t="s">
        <v>115</v>
      </c>
      <c r="CA23" s="80" t="s">
        <v>115</v>
      </c>
      <c r="CB23" s="80" t="s">
        <v>115</v>
      </c>
      <c r="CC23" s="81" t="s">
        <v>115</v>
      </c>
      <c r="CD23" s="80" t="s">
        <v>115</v>
      </c>
      <c r="CE23" s="80" t="s">
        <v>115</v>
      </c>
      <c r="CF23" s="81" t="s">
        <v>115</v>
      </c>
      <c r="CG23" s="80" t="s">
        <v>115</v>
      </c>
      <c r="CH23" s="80" t="s">
        <v>115</v>
      </c>
      <c r="CI23" s="81" t="s">
        <v>115</v>
      </c>
      <c r="CJ23" s="80" t="s">
        <v>115</v>
      </c>
      <c r="CK23" s="80" t="s">
        <v>115</v>
      </c>
      <c r="CL23" s="81" t="s">
        <v>115</v>
      </c>
    </row>
    <row r="24" spans="1:90" s="80" customFormat="1" x14ac:dyDescent="0.2">
      <c r="A24" s="203"/>
      <c r="B24" s="204"/>
      <c r="C24" s="205"/>
      <c r="D24" s="204"/>
      <c r="E24" s="295"/>
      <c r="F24" s="207"/>
      <c r="G24" s="206"/>
      <c r="H24" s="161"/>
      <c r="W24" s="80">
        <v>36</v>
      </c>
      <c r="X24" s="80">
        <v>75</v>
      </c>
      <c r="Y24" s="53">
        <v>161</v>
      </c>
      <c r="Z24" s="53">
        <v>131</v>
      </c>
      <c r="AE24" s="80">
        <v>17</v>
      </c>
      <c r="AF24" s="80">
        <v>24</v>
      </c>
      <c r="AG24" s="53">
        <f>398+663</f>
        <v>1061</v>
      </c>
      <c r="AH24" s="74">
        <f>AG24/R23</f>
        <v>0.66105919003115265</v>
      </c>
      <c r="AI24" s="81">
        <v>13</v>
      </c>
      <c r="AP24" s="80">
        <v>392</v>
      </c>
      <c r="AQ24" s="80">
        <v>54</v>
      </c>
      <c r="AR24" s="140">
        <v>12</v>
      </c>
      <c r="AS24" s="80">
        <v>141</v>
      </c>
      <c r="AT24" s="80">
        <v>89</v>
      </c>
      <c r="AX24" s="81"/>
      <c r="AY24" s="51"/>
      <c r="AZ24" s="51">
        <f t="shared" si="0"/>
        <v>7.2592592592592595</v>
      </c>
      <c r="BA24" s="51"/>
      <c r="BB24" s="52"/>
      <c r="BD24" s="80">
        <v>29</v>
      </c>
      <c r="BE24" s="80">
        <v>24</v>
      </c>
      <c r="BF24" s="81"/>
      <c r="BI24" s="80">
        <v>77</v>
      </c>
      <c r="BJ24" s="80" t="s">
        <v>326</v>
      </c>
      <c r="BK24" s="81"/>
      <c r="BN24" s="81"/>
      <c r="BQ24" s="81"/>
      <c r="BR24" s="80">
        <v>23</v>
      </c>
      <c r="BS24" s="80">
        <v>5</v>
      </c>
      <c r="BT24" s="81">
        <v>14</v>
      </c>
      <c r="BW24" s="81"/>
      <c r="BZ24" s="81"/>
      <c r="CC24" s="81"/>
      <c r="CF24" s="81"/>
      <c r="CI24" s="81"/>
      <c r="CL24" s="81"/>
    </row>
    <row r="25" spans="1:90" s="80" customFormat="1" x14ac:dyDescent="0.2">
      <c r="A25" s="203"/>
      <c r="B25" s="204"/>
      <c r="C25" s="205"/>
      <c r="D25" s="204"/>
      <c r="E25" s="295"/>
      <c r="F25" s="207"/>
      <c r="G25" s="206"/>
      <c r="H25" s="161"/>
      <c r="W25" s="80">
        <v>33</v>
      </c>
      <c r="X25" s="80">
        <v>95</v>
      </c>
      <c r="AE25" s="80">
        <v>20</v>
      </c>
      <c r="AF25" s="80">
        <v>41</v>
      </c>
      <c r="AI25" s="81">
        <v>16</v>
      </c>
      <c r="AP25" s="80">
        <v>390</v>
      </c>
      <c r="AQ25" s="80">
        <v>55</v>
      </c>
      <c r="AR25" s="140">
        <v>13</v>
      </c>
      <c r="AS25" s="80">
        <v>146</v>
      </c>
      <c r="AT25" s="80">
        <v>97</v>
      </c>
      <c r="AX25" s="81"/>
      <c r="AY25" s="51"/>
      <c r="AZ25" s="51">
        <f t="shared" si="0"/>
        <v>7.0909090909090908</v>
      </c>
      <c r="BA25" s="51"/>
      <c r="BB25" s="52"/>
      <c r="BD25" s="80">
        <v>21</v>
      </c>
      <c r="BF25" s="81"/>
      <c r="BI25" s="80">
        <v>57</v>
      </c>
      <c r="BK25" s="81"/>
      <c r="BN25" s="81"/>
      <c r="BQ25" s="81"/>
      <c r="BT25" s="81"/>
      <c r="BW25" s="81"/>
      <c r="BZ25" s="81"/>
      <c r="CC25" s="81"/>
      <c r="CF25" s="81"/>
      <c r="CI25" s="81"/>
      <c r="CL25" s="81"/>
    </row>
    <row r="26" spans="1:90" s="80" customFormat="1" ht="15.75" customHeight="1" x14ac:dyDescent="0.2">
      <c r="A26" s="209" t="s">
        <v>341</v>
      </c>
      <c r="B26" s="210" t="s">
        <v>109</v>
      </c>
      <c r="C26" s="211" t="s">
        <v>328</v>
      </c>
      <c r="D26" s="210" t="s">
        <v>111</v>
      </c>
      <c r="E26" s="220" t="s">
        <v>124</v>
      </c>
      <c r="F26" s="221">
        <v>0</v>
      </c>
      <c r="G26" s="212" t="s">
        <v>113</v>
      </c>
      <c r="H26" s="162" t="s">
        <v>342</v>
      </c>
      <c r="I26" s="72">
        <f>310+666+1521+389+536</f>
        <v>3422</v>
      </c>
      <c r="J26" s="72">
        <v>6</v>
      </c>
      <c r="K26" s="72">
        <v>1</v>
      </c>
      <c r="L26" s="72">
        <f>J26-K26</f>
        <v>5</v>
      </c>
      <c r="M26" s="72">
        <v>0</v>
      </c>
      <c r="N26" s="72">
        <v>550</v>
      </c>
      <c r="O26" s="72">
        <v>235</v>
      </c>
      <c r="P26" s="72">
        <f>107+151+315+373+593</f>
        <v>1539</v>
      </c>
      <c r="Q26" s="72">
        <v>243</v>
      </c>
      <c r="R26" s="72" t="s">
        <v>115</v>
      </c>
      <c r="S26" s="72" t="s">
        <v>115</v>
      </c>
      <c r="T26" s="72">
        <v>36</v>
      </c>
      <c r="U26" s="72">
        <v>13</v>
      </c>
      <c r="V26" s="72">
        <f>T26-U26</f>
        <v>23</v>
      </c>
      <c r="W26" s="72">
        <v>76</v>
      </c>
      <c r="X26" s="72">
        <v>82</v>
      </c>
      <c r="Y26" s="72">
        <v>164</v>
      </c>
      <c r="Z26" s="72">
        <v>137</v>
      </c>
      <c r="AA26" s="72">
        <v>4</v>
      </c>
      <c r="AB26" s="72">
        <f>109+155</f>
        <v>264</v>
      </c>
      <c r="AC26" s="72">
        <v>162</v>
      </c>
      <c r="AD26" s="72" t="s">
        <v>115</v>
      </c>
      <c r="AE26" s="72">
        <v>22</v>
      </c>
      <c r="AF26" s="72">
        <v>28</v>
      </c>
      <c r="AG26" s="72">
        <f>186+231+444</f>
        <v>861</v>
      </c>
      <c r="AH26" s="219">
        <f>AG26/P26</f>
        <v>0.55945419103313843</v>
      </c>
      <c r="AI26" s="344" t="s">
        <v>115</v>
      </c>
      <c r="AJ26" s="72">
        <f>256+171+511</f>
        <v>938</v>
      </c>
      <c r="AK26" s="72">
        <f>102+434</f>
        <v>536</v>
      </c>
      <c r="AL26" s="72">
        <f>275+109</f>
        <v>384</v>
      </c>
      <c r="AM26" s="72">
        <v>24</v>
      </c>
      <c r="AN26" s="72">
        <v>191</v>
      </c>
      <c r="AO26" s="72">
        <v>200</v>
      </c>
      <c r="AP26" s="72">
        <f>77+291</f>
        <v>368</v>
      </c>
      <c r="AQ26" s="72">
        <v>68</v>
      </c>
      <c r="AR26" s="215">
        <v>9</v>
      </c>
      <c r="AS26" s="215">
        <v>152</v>
      </c>
      <c r="AT26" s="72">
        <v>83</v>
      </c>
      <c r="AU26" s="72">
        <v>175</v>
      </c>
      <c r="AV26" s="72">
        <v>211</v>
      </c>
      <c r="AW26" s="72" t="s">
        <v>337</v>
      </c>
      <c r="AX26" s="216">
        <v>243</v>
      </c>
      <c r="AY26" s="66">
        <f t="shared" si="1"/>
        <v>3.8600823045267489</v>
      </c>
      <c r="AZ26" s="66">
        <f t="shared" si="0"/>
        <v>5.4117647058823533</v>
      </c>
      <c r="BA26" s="66">
        <f t="shared" si="2"/>
        <v>3.0628571428571427</v>
      </c>
      <c r="BB26" s="67">
        <f t="shared" si="3"/>
        <v>2.1942857142857144</v>
      </c>
      <c r="BC26" s="72" t="s">
        <v>115</v>
      </c>
      <c r="BD26" s="72" t="s">
        <v>115</v>
      </c>
      <c r="BE26" s="72" t="s">
        <v>115</v>
      </c>
      <c r="BF26" s="216" t="s">
        <v>115</v>
      </c>
      <c r="BG26" s="294" t="s">
        <v>115</v>
      </c>
      <c r="BH26" s="72" t="s">
        <v>115</v>
      </c>
      <c r="BI26" s="72" t="s">
        <v>115</v>
      </c>
      <c r="BJ26" s="72" t="s">
        <v>115</v>
      </c>
      <c r="BK26" s="216" t="s">
        <v>115</v>
      </c>
      <c r="BL26" s="294" t="s">
        <v>115</v>
      </c>
      <c r="BM26" s="72" t="s">
        <v>115</v>
      </c>
      <c r="BN26" s="216" t="s">
        <v>115</v>
      </c>
      <c r="BO26" s="294" t="s">
        <v>115</v>
      </c>
      <c r="BP26" s="72" t="s">
        <v>115</v>
      </c>
      <c r="BQ26" s="216" t="s">
        <v>115</v>
      </c>
      <c r="BR26" s="294" t="s">
        <v>115</v>
      </c>
      <c r="BS26" s="72" t="s">
        <v>115</v>
      </c>
      <c r="BT26" s="216" t="s">
        <v>115</v>
      </c>
      <c r="BU26" s="294" t="s">
        <v>115</v>
      </c>
      <c r="BV26" s="72" t="s">
        <v>115</v>
      </c>
      <c r="BW26" s="216" t="s">
        <v>115</v>
      </c>
      <c r="BX26" s="294" t="s">
        <v>115</v>
      </c>
      <c r="BY26" s="72" t="s">
        <v>115</v>
      </c>
      <c r="BZ26" s="216" t="s">
        <v>115</v>
      </c>
      <c r="CA26" s="294" t="s">
        <v>115</v>
      </c>
      <c r="CB26" s="72" t="s">
        <v>115</v>
      </c>
      <c r="CC26" s="216" t="s">
        <v>115</v>
      </c>
      <c r="CD26" s="294" t="s">
        <v>115</v>
      </c>
      <c r="CE26" s="72" t="s">
        <v>115</v>
      </c>
      <c r="CF26" s="216" t="s">
        <v>115</v>
      </c>
      <c r="CG26" s="294" t="s">
        <v>115</v>
      </c>
      <c r="CH26" s="72" t="s">
        <v>115</v>
      </c>
      <c r="CI26" s="216" t="s">
        <v>115</v>
      </c>
      <c r="CJ26" s="294" t="s">
        <v>115</v>
      </c>
      <c r="CK26" s="72" t="s">
        <v>115</v>
      </c>
      <c r="CL26" s="216" t="s">
        <v>115</v>
      </c>
    </row>
    <row r="27" spans="1:90" s="80" customFormat="1" x14ac:dyDescent="0.2">
      <c r="A27" s="209"/>
      <c r="B27" s="210"/>
      <c r="C27" s="211"/>
      <c r="D27" s="210"/>
      <c r="E27" s="220"/>
      <c r="F27" s="221"/>
      <c r="G27" s="212"/>
      <c r="H27" s="16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>
        <v>88</v>
      </c>
      <c r="X27" s="72">
        <v>87</v>
      </c>
      <c r="Y27" s="72"/>
      <c r="Z27" s="72"/>
      <c r="AA27" s="72"/>
      <c r="AB27" s="72"/>
      <c r="AC27" s="72"/>
      <c r="AD27" s="72"/>
      <c r="AE27" s="72">
        <v>28</v>
      </c>
      <c r="AF27" s="72">
        <v>36</v>
      </c>
      <c r="AG27" s="72"/>
      <c r="AH27" s="219"/>
      <c r="AI27" s="64"/>
      <c r="AJ27" s="72"/>
      <c r="AK27" s="72"/>
      <c r="AL27" s="72"/>
      <c r="AM27" s="72"/>
      <c r="AN27" s="72"/>
      <c r="AO27" s="72"/>
      <c r="AP27" s="72">
        <f>182+202</f>
        <v>384</v>
      </c>
      <c r="AQ27" s="72">
        <v>52</v>
      </c>
      <c r="AR27" s="215">
        <v>8</v>
      </c>
      <c r="AS27" s="72">
        <v>153</v>
      </c>
      <c r="AT27" s="72"/>
      <c r="AU27" s="72"/>
      <c r="AV27" s="72"/>
      <c r="AW27" s="72"/>
      <c r="AX27" s="216"/>
      <c r="AY27" s="66"/>
      <c r="AZ27" s="66">
        <f t="shared" si="0"/>
        <v>7.384615384615385</v>
      </c>
      <c r="BA27" s="66"/>
      <c r="BB27" s="67"/>
      <c r="BC27" s="72"/>
      <c r="BD27" s="72"/>
      <c r="BE27" s="72"/>
      <c r="BF27" s="216"/>
      <c r="BG27" s="72"/>
      <c r="BH27" s="72"/>
      <c r="BI27" s="72"/>
      <c r="BJ27" s="72"/>
      <c r="BK27" s="216"/>
      <c r="BL27" s="72"/>
      <c r="BM27" s="72"/>
      <c r="BN27" s="216"/>
      <c r="BO27" s="72"/>
      <c r="BP27" s="72"/>
      <c r="BQ27" s="216"/>
      <c r="BR27" s="72"/>
      <c r="BS27" s="72"/>
      <c r="BT27" s="216"/>
      <c r="BU27" s="72"/>
      <c r="BV27" s="72"/>
      <c r="BW27" s="216"/>
      <c r="BX27" s="72"/>
      <c r="BY27" s="72"/>
      <c r="BZ27" s="216"/>
      <c r="CA27" s="72"/>
      <c r="CB27" s="72"/>
      <c r="CC27" s="216"/>
      <c r="CD27" s="72"/>
      <c r="CE27" s="72"/>
      <c r="CF27" s="216"/>
      <c r="CG27" s="72"/>
      <c r="CH27" s="72"/>
      <c r="CI27" s="216"/>
      <c r="CJ27" s="72"/>
      <c r="CK27" s="72"/>
      <c r="CL27" s="216"/>
    </row>
    <row r="28" spans="1:90" s="80" customFormat="1" x14ac:dyDescent="0.2">
      <c r="A28" s="209"/>
      <c r="B28" s="210"/>
      <c r="C28" s="211"/>
      <c r="D28" s="210"/>
      <c r="E28" s="220"/>
      <c r="F28" s="221"/>
      <c r="G28" s="212"/>
      <c r="H28" s="16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>
        <v>88</v>
      </c>
      <c r="X28" s="72">
        <v>77</v>
      </c>
      <c r="Y28" s="72"/>
      <c r="Z28" s="72"/>
      <c r="AA28" s="72"/>
      <c r="AB28" s="72"/>
      <c r="AC28" s="72"/>
      <c r="AD28" s="72"/>
      <c r="AE28" s="72">
        <v>44</v>
      </c>
      <c r="AF28" s="72">
        <v>27</v>
      </c>
      <c r="AG28" s="72"/>
      <c r="AH28" s="72"/>
      <c r="AI28" s="64"/>
      <c r="AJ28" s="72"/>
      <c r="AK28" s="72"/>
      <c r="AL28" s="72"/>
      <c r="AM28" s="72"/>
      <c r="AN28" s="72"/>
      <c r="AO28" s="72"/>
      <c r="AP28" s="72">
        <f>212+148</f>
        <v>360</v>
      </c>
      <c r="AQ28" s="72">
        <v>67</v>
      </c>
      <c r="AR28" s="215">
        <v>10</v>
      </c>
      <c r="AS28" s="72">
        <v>152</v>
      </c>
      <c r="AT28" s="72"/>
      <c r="AU28" s="72"/>
      <c r="AV28" s="72"/>
      <c r="AW28" s="72"/>
      <c r="AX28" s="216"/>
      <c r="AY28" s="66"/>
      <c r="AZ28" s="66">
        <f t="shared" si="0"/>
        <v>5.3731343283582094</v>
      </c>
      <c r="BA28" s="66"/>
      <c r="BB28" s="67"/>
      <c r="BC28" s="72"/>
      <c r="BD28" s="72"/>
      <c r="BE28" s="72"/>
      <c r="BF28" s="216"/>
      <c r="BG28" s="72"/>
      <c r="BH28" s="72"/>
      <c r="BI28" s="72"/>
      <c r="BJ28" s="72"/>
      <c r="BK28" s="216"/>
      <c r="BL28" s="72"/>
      <c r="BM28" s="72"/>
      <c r="BN28" s="216"/>
      <c r="BO28" s="72"/>
      <c r="BP28" s="72"/>
      <c r="BQ28" s="216"/>
      <c r="BR28" s="72"/>
      <c r="BS28" s="72"/>
      <c r="BT28" s="216"/>
      <c r="BU28" s="72"/>
      <c r="BV28" s="72"/>
      <c r="BW28" s="216"/>
      <c r="BX28" s="72"/>
      <c r="BY28" s="72"/>
      <c r="BZ28" s="216"/>
      <c r="CA28" s="72"/>
      <c r="CB28" s="72"/>
      <c r="CC28" s="216"/>
      <c r="CD28" s="72"/>
      <c r="CE28" s="72"/>
      <c r="CF28" s="216"/>
      <c r="CG28" s="72"/>
      <c r="CH28" s="72"/>
      <c r="CI28" s="216"/>
      <c r="CJ28" s="72"/>
      <c r="CK28" s="72"/>
      <c r="CL28" s="216"/>
    </row>
    <row r="29" spans="1:90" x14ac:dyDescent="0.2">
      <c r="A29" s="40" t="s">
        <v>343</v>
      </c>
      <c r="B29" s="41" t="s">
        <v>136</v>
      </c>
      <c r="C29" s="42" t="s">
        <v>328</v>
      </c>
      <c r="D29" s="41" t="s">
        <v>115</v>
      </c>
      <c r="E29" s="43" t="s">
        <v>115</v>
      </c>
      <c r="F29" s="44">
        <v>4</v>
      </c>
      <c r="G29" s="43" t="s">
        <v>115</v>
      </c>
      <c r="H29" s="69" t="s">
        <v>344</v>
      </c>
      <c r="I29" s="45" t="s">
        <v>115</v>
      </c>
      <c r="J29" s="45" t="s">
        <v>115</v>
      </c>
      <c r="K29" s="45" t="s">
        <v>115</v>
      </c>
      <c r="L29" s="45" t="s">
        <v>115</v>
      </c>
      <c r="M29" s="45" t="s">
        <v>115</v>
      </c>
      <c r="N29" s="45" t="s">
        <v>115</v>
      </c>
      <c r="O29" s="45" t="s">
        <v>115</v>
      </c>
      <c r="P29" s="45" t="s">
        <v>115</v>
      </c>
      <c r="Q29" s="45" t="s">
        <v>115</v>
      </c>
      <c r="R29" s="45" t="s">
        <v>115</v>
      </c>
      <c r="S29" s="45" t="s">
        <v>115</v>
      </c>
      <c r="T29" s="45" t="s">
        <v>115</v>
      </c>
      <c r="U29" s="45" t="s">
        <v>115</v>
      </c>
      <c r="V29" s="45" t="s">
        <v>115</v>
      </c>
      <c r="W29" s="45" t="s">
        <v>115</v>
      </c>
      <c r="X29" s="45" t="s">
        <v>115</v>
      </c>
      <c r="Y29" s="45" t="s">
        <v>115</v>
      </c>
      <c r="Z29" s="45" t="s">
        <v>115</v>
      </c>
      <c r="AA29" s="45" t="s">
        <v>115</v>
      </c>
      <c r="AB29" s="45" t="s">
        <v>115</v>
      </c>
      <c r="AC29" s="45" t="s">
        <v>115</v>
      </c>
      <c r="AD29" s="45" t="s">
        <v>115</v>
      </c>
      <c r="AE29" s="45" t="s">
        <v>115</v>
      </c>
      <c r="AF29" s="45" t="s">
        <v>115</v>
      </c>
      <c r="AG29" s="45" t="s">
        <v>115</v>
      </c>
      <c r="AH29" s="45" t="s">
        <v>115</v>
      </c>
      <c r="AI29" s="49" t="s">
        <v>115</v>
      </c>
      <c r="AJ29" s="45">
        <f>346+370+545</f>
        <v>1261</v>
      </c>
      <c r="AK29" s="45">
        <v>789</v>
      </c>
      <c r="AL29" s="45">
        <v>503</v>
      </c>
      <c r="AM29" s="45">
        <v>37</v>
      </c>
      <c r="AN29" s="45">
        <v>185</v>
      </c>
      <c r="AO29" s="45">
        <v>183</v>
      </c>
      <c r="AP29" s="45">
        <v>462</v>
      </c>
      <c r="AQ29" s="45">
        <v>63</v>
      </c>
      <c r="AR29" s="50">
        <v>13</v>
      </c>
      <c r="AS29" s="45">
        <v>213</v>
      </c>
      <c r="AT29" s="45">
        <v>89</v>
      </c>
      <c r="AU29" s="45">
        <v>267</v>
      </c>
      <c r="AV29" s="45">
        <v>227</v>
      </c>
      <c r="AW29" s="45" t="s">
        <v>128</v>
      </c>
      <c r="AX29" s="49">
        <f>AV29</f>
        <v>227</v>
      </c>
      <c r="AY29" s="51">
        <f t="shared" si="1"/>
        <v>5.5550660792951545</v>
      </c>
      <c r="AZ29" s="51">
        <f t="shared" si="0"/>
        <v>7.333333333333333</v>
      </c>
      <c r="BA29" s="51">
        <f t="shared" si="2"/>
        <v>2.9550561797752808</v>
      </c>
      <c r="BB29" s="52">
        <f t="shared" si="3"/>
        <v>1.8838951310861423</v>
      </c>
      <c r="BC29" s="45">
        <f>73+74</f>
        <v>147</v>
      </c>
      <c r="BD29" s="45">
        <v>29</v>
      </c>
      <c r="BE29" s="45">
        <v>31</v>
      </c>
      <c r="BF29" s="49">
        <v>27</v>
      </c>
      <c r="BG29" s="45" t="s">
        <v>324</v>
      </c>
      <c r="BH29" s="45" t="s">
        <v>115</v>
      </c>
      <c r="BI29" s="45">
        <v>68</v>
      </c>
      <c r="BJ29" s="45" t="s">
        <v>325</v>
      </c>
      <c r="BK29" s="49">
        <v>5</v>
      </c>
      <c r="BL29" s="80" t="s">
        <v>115</v>
      </c>
      <c r="BM29" s="80" t="s">
        <v>115</v>
      </c>
      <c r="BN29" s="81" t="s">
        <v>115</v>
      </c>
      <c r="BO29" s="45">
        <v>15</v>
      </c>
      <c r="BP29" s="45">
        <v>5</v>
      </c>
      <c r="BQ29" s="49">
        <v>6</v>
      </c>
      <c r="BR29" s="45">
        <v>15</v>
      </c>
      <c r="BS29" s="45">
        <v>5</v>
      </c>
      <c r="BT29" s="49">
        <v>8</v>
      </c>
      <c r="BU29" s="45">
        <v>16</v>
      </c>
      <c r="BV29" s="45">
        <v>5</v>
      </c>
      <c r="BW29" s="49">
        <v>7</v>
      </c>
      <c r="BX29" s="45">
        <v>11</v>
      </c>
      <c r="BY29" s="45">
        <v>4</v>
      </c>
      <c r="BZ29" s="49">
        <v>5</v>
      </c>
      <c r="CA29" s="45">
        <v>12</v>
      </c>
      <c r="CB29" s="45">
        <v>3</v>
      </c>
      <c r="CC29" s="49">
        <v>9</v>
      </c>
      <c r="CD29" s="80" t="s">
        <v>115</v>
      </c>
      <c r="CE29" s="80" t="s">
        <v>115</v>
      </c>
      <c r="CF29" s="81" t="s">
        <v>115</v>
      </c>
      <c r="CG29" s="80" t="s">
        <v>115</v>
      </c>
      <c r="CH29" s="80" t="s">
        <v>115</v>
      </c>
      <c r="CI29" s="81" t="s">
        <v>115</v>
      </c>
      <c r="CJ29" s="80">
        <v>10</v>
      </c>
      <c r="CK29" s="80">
        <v>3</v>
      </c>
      <c r="CL29" s="81">
        <v>2</v>
      </c>
    </row>
    <row r="30" spans="1:90" x14ac:dyDescent="0.2">
      <c r="A30" s="40"/>
      <c r="B30" s="41"/>
      <c r="C30" s="42"/>
      <c r="D30" s="41"/>
      <c r="E30" s="43"/>
      <c r="F30" s="44"/>
      <c r="G30" s="43"/>
      <c r="H30" s="69"/>
      <c r="AP30" s="45">
        <v>444</v>
      </c>
      <c r="AQ30" s="45">
        <v>65</v>
      </c>
      <c r="AR30" s="50">
        <v>12</v>
      </c>
      <c r="AS30" s="45">
        <v>216</v>
      </c>
      <c r="AY30" s="51"/>
      <c r="AZ30" s="51">
        <f t="shared" si="0"/>
        <v>6.8307692307692305</v>
      </c>
      <c r="BA30" s="51"/>
      <c r="BB30" s="52"/>
      <c r="BD30" s="45">
        <v>27</v>
      </c>
      <c r="BE30" s="45">
        <v>27</v>
      </c>
      <c r="BI30" s="45">
        <v>56</v>
      </c>
      <c r="BJ30" s="45" t="s">
        <v>326</v>
      </c>
      <c r="BK30" s="49">
        <v>5</v>
      </c>
      <c r="BL30" s="80"/>
      <c r="BM30" s="80"/>
      <c r="BN30" s="81"/>
      <c r="BO30" s="45">
        <v>11</v>
      </c>
      <c r="BP30" s="45">
        <v>5</v>
      </c>
      <c r="BQ30" s="49">
        <v>6</v>
      </c>
      <c r="BT30" s="49"/>
      <c r="BW30" s="49"/>
      <c r="BZ30" s="49"/>
      <c r="CC30" s="49"/>
      <c r="CD30" s="80"/>
      <c r="CE30" s="80"/>
      <c r="CF30" s="81"/>
      <c r="CG30" s="80"/>
      <c r="CH30" s="80"/>
      <c r="CI30" s="81"/>
      <c r="CJ30" s="80"/>
      <c r="CK30" s="80"/>
      <c r="CL30" s="81"/>
    </row>
    <row r="31" spans="1:90" x14ac:dyDescent="0.2">
      <c r="A31" s="40"/>
      <c r="B31" s="41"/>
      <c r="C31" s="42"/>
      <c r="D31" s="41"/>
      <c r="E31" s="43"/>
      <c r="F31" s="44"/>
      <c r="G31" s="43"/>
      <c r="H31" s="69"/>
      <c r="AP31" s="45">
        <v>450</v>
      </c>
      <c r="AQ31" s="45">
        <v>65</v>
      </c>
      <c r="AR31" s="50">
        <v>13</v>
      </c>
      <c r="AS31" s="45">
        <v>216</v>
      </c>
      <c r="AY31" s="51"/>
      <c r="AZ31" s="51">
        <f t="shared" si="0"/>
        <v>6.9230769230769234</v>
      </c>
      <c r="BA31" s="51"/>
      <c r="BB31" s="52"/>
      <c r="BK31" s="49"/>
      <c r="BL31" s="80"/>
      <c r="BM31" s="80"/>
      <c r="BN31" s="81"/>
      <c r="BQ31" s="49"/>
      <c r="BT31" s="49"/>
      <c r="BW31" s="49"/>
      <c r="BZ31" s="49"/>
      <c r="CC31" s="49"/>
      <c r="CD31" s="80"/>
      <c r="CE31" s="80"/>
      <c r="CF31" s="81"/>
      <c r="CG31" s="80"/>
      <c r="CH31" s="80"/>
      <c r="CI31" s="81"/>
      <c r="CJ31" s="80"/>
      <c r="CK31" s="80"/>
      <c r="CL31" s="81"/>
    </row>
    <row r="32" spans="1:90" x14ac:dyDescent="0.2">
      <c r="A32" s="54" t="s">
        <v>345</v>
      </c>
      <c r="B32" s="55" t="s">
        <v>109</v>
      </c>
      <c r="C32" s="56" t="s">
        <v>328</v>
      </c>
      <c r="D32" s="55" t="s">
        <v>111</v>
      </c>
      <c r="E32" s="57" t="s">
        <v>124</v>
      </c>
      <c r="F32" s="58">
        <v>3</v>
      </c>
      <c r="G32" s="57" t="s">
        <v>133</v>
      </c>
      <c r="H32" s="59" t="s">
        <v>346</v>
      </c>
      <c r="I32" s="60">
        <f>157+141+463+1457+494+996+625</f>
        <v>4333</v>
      </c>
      <c r="J32" s="60">
        <v>7</v>
      </c>
      <c r="K32" s="60">
        <v>2</v>
      </c>
      <c r="L32" s="60">
        <f>J32-K32</f>
        <v>5</v>
      </c>
      <c r="M32" s="60">
        <v>0</v>
      </c>
      <c r="N32" s="60">
        <v>354</v>
      </c>
      <c r="O32" s="60">
        <v>141</v>
      </c>
      <c r="P32" s="60">
        <f>154+147+432+592</f>
        <v>1325</v>
      </c>
      <c r="Q32" s="60">
        <v>218</v>
      </c>
      <c r="R32" s="60" t="s">
        <v>115</v>
      </c>
      <c r="S32" s="60" t="s">
        <v>115</v>
      </c>
      <c r="T32" s="60">
        <v>49</v>
      </c>
      <c r="U32" s="60">
        <v>25</v>
      </c>
      <c r="V32" s="60">
        <f>T32-U32</f>
        <v>24</v>
      </c>
      <c r="W32" s="60">
        <v>59</v>
      </c>
      <c r="X32" s="60">
        <v>64</v>
      </c>
      <c r="Y32" s="60">
        <v>172</v>
      </c>
      <c r="Z32" s="60">
        <v>137</v>
      </c>
      <c r="AA32" s="60">
        <v>4</v>
      </c>
      <c r="AB32" s="60">
        <v>271</v>
      </c>
      <c r="AC32" s="60" t="s">
        <v>115</v>
      </c>
      <c r="AD32" s="60" t="s">
        <v>115</v>
      </c>
      <c r="AE32" s="60">
        <v>24</v>
      </c>
      <c r="AF32" s="60">
        <v>29</v>
      </c>
      <c r="AG32" s="60">
        <f>153+174+436</f>
        <v>763</v>
      </c>
      <c r="AH32" s="61">
        <f>AG32/P32</f>
        <v>0.57584905660377361</v>
      </c>
      <c r="AI32" s="344" t="s">
        <v>115</v>
      </c>
      <c r="AJ32" s="60">
        <f>841+623</f>
        <v>1464</v>
      </c>
      <c r="AK32" s="60">
        <f>328+648</f>
        <v>976</v>
      </c>
      <c r="AL32" s="60">
        <v>451</v>
      </c>
      <c r="AM32" s="60">
        <v>32</v>
      </c>
      <c r="AN32" s="60">
        <v>116</v>
      </c>
      <c r="AO32" s="60">
        <v>168</v>
      </c>
      <c r="AP32" s="60">
        <v>433</v>
      </c>
      <c r="AQ32" s="60">
        <v>64</v>
      </c>
      <c r="AR32" s="65">
        <v>11</v>
      </c>
      <c r="AS32" s="60">
        <v>188</v>
      </c>
      <c r="AT32" s="60">
        <v>72</v>
      </c>
      <c r="AU32" s="60">
        <v>211</v>
      </c>
      <c r="AV32" s="60">
        <v>204</v>
      </c>
      <c r="AW32" s="60" t="s">
        <v>337</v>
      </c>
      <c r="AX32" s="64">
        <v>218</v>
      </c>
      <c r="AY32" s="66">
        <f t="shared" si="1"/>
        <v>6.7155963302752291</v>
      </c>
      <c r="AZ32" s="66">
        <f t="shared" si="0"/>
        <v>6.765625</v>
      </c>
      <c r="BA32" s="66">
        <f t="shared" si="2"/>
        <v>4.6255924170616112</v>
      </c>
      <c r="BB32" s="67">
        <f t="shared" si="3"/>
        <v>2.1374407582938391</v>
      </c>
      <c r="BC32" s="60">
        <f>85+85+54</f>
        <v>224</v>
      </c>
      <c r="BD32" s="60">
        <v>25</v>
      </c>
      <c r="BE32" s="60">
        <v>31</v>
      </c>
      <c r="BF32" s="216">
        <v>29</v>
      </c>
      <c r="BG32" s="72" t="s">
        <v>324</v>
      </c>
      <c r="BH32" s="72" t="s">
        <v>115</v>
      </c>
      <c r="BI32" s="72">
        <v>58</v>
      </c>
      <c r="BJ32" s="72" t="s">
        <v>325</v>
      </c>
      <c r="BK32" s="216">
        <v>7</v>
      </c>
      <c r="BL32" s="72">
        <v>10</v>
      </c>
      <c r="BM32" s="72">
        <v>6</v>
      </c>
      <c r="BN32" s="216">
        <v>4</v>
      </c>
      <c r="BO32" s="72">
        <v>18</v>
      </c>
      <c r="BP32" s="72">
        <v>7</v>
      </c>
      <c r="BQ32" s="216">
        <v>11</v>
      </c>
      <c r="BR32" s="72">
        <v>15</v>
      </c>
      <c r="BS32" s="72">
        <v>4</v>
      </c>
      <c r="BT32" s="216">
        <v>5</v>
      </c>
      <c r="BU32" s="72">
        <v>18</v>
      </c>
      <c r="BV32" s="72">
        <v>5</v>
      </c>
      <c r="BW32" s="216">
        <v>8</v>
      </c>
      <c r="BX32" s="72">
        <v>15</v>
      </c>
      <c r="BY32" s="72">
        <v>4</v>
      </c>
      <c r="BZ32" s="216">
        <v>5</v>
      </c>
      <c r="CA32" s="72">
        <v>10</v>
      </c>
      <c r="CB32" s="72">
        <v>3</v>
      </c>
      <c r="CC32" s="216">
        <v>4</v>
      </c>
      <c r="CD32" s="72">
        <v>10</v>
      </c>
      <c r="CE32" s="72">
        <v>4</v>
      </c>
      <c r="CF32" s="216">
        <v>6</v>
      </c>
      <c r="CG32" s="294" t="s">
        <v>115</v>
      </c>
      <c r="CH32" s="72" t="s">
        <v>115</v>
      </c>
      <c r="CI32" s="216" t="s">
        <v>115</v>
      </c>
      <c r="CJ32" s="294" t="s">
        <v>115</v>
      </c>
      <c r="CK32" s="72" t="s">
        <v>115</v>
      </c>
      <c r="CL32" s="216" t="s">
        <v>115</v>
      </c>
    </row>
    <row r="33" spans="1:90" x14ac:dyDescent="0.2">
      <c r="A33" s="54"/>
      <c r="B33" s="55"/>
      <c r="C33" s="56"/>
      <c r="D33" s="55"/>
      <c r="E33" s="57"/>
      <c r="F33" s="58"/>
      <c r="G33" s="57"/>
      <c r="H33" s="59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>
        <v>36</v>
      </c>
      <c r="X33" s="60">
        <v>75</v>
      </c>
      <c r="Y33" s="60"/>
      <c r="Z33" s="60"/>
      <c r="AA33" s="60"/>
      <c r="AB33" s="60"/>
      <c r="AC33" s="60"/>
      <c r="AD33" s="60"/>
      <c r="AE33" s="60">
        <v>22</v>
      </c>
      <c r="AF33" s="60">
        <v>45</v>
      </c>
      <c r="AG33" s="60"/>
      <c r="AH33" s="60"/>
      <c r="AI33" s="64"/>
      <c r="AJ33" s="60"/>
      <c r="AK33" s="60"/>
      <c r="AL33" s="60"/>
      <c r="AM33" s="60"/>
      <c r="AN33" s="60"/>
      <c r="AO33" s="60"/>
      <c r="AP33" s="60">
        <v>418</v>
      </c>
      <c r="AQ33" s="60">
        <v>57</v>
      </c>
      <c r="AR33" s="65">
        <v>11</v>
      </c>
      <c r="AS33" s="60">
        <v>180</v>
      </c>
      <c r="AT33" s="60"/>
      <c r="AU33" s="60"/>
      <c r="AV33" s="60"/>
      <c r="AW33" s="60"/>
      <c r="AX33" s="64"/>
      <c r="AY33" s="66"/>
      <c r="AZ33" s="66">
        <f t="shared" si="0"/>
        <v>7.333333333333333</v>
      </c>
      <c r="BA33" s="66"/>
      <c r="BB33" s="67"/>
      <c r="BC33" s="60"/>
      <c r="BD33" s="60">
        <v>29</v>
      </c>
      <c r="BE33" s="60">
        <v>32</v>
      </c>
      <c r="BF33" s="216">
        <v>22</v>
      </c>
      <c r="BG33" s="72"/>
      <c r="BH33" s="72"/>
      <c r="BI33" s="72">
        <v>55</v>
      </c>
      <c r="BJ33" s="72" t="s">
        <v>326</v>
      </c>
      <c r="BK33" s="216">
        <v>5</v>
      </c>
      <c r="BL33" s="72">
        <v>11</v>
      </c>
      <c r="BM33" s="72">
        <v>5</v>
      </c>
      <c r="BN33" s="216">
        <v>5</v>
      </c>
      <c r="BO33" s="72">
        <v>18</v>
      </c>
      <c r="BP33" s="72">
        <v>6</v>
      </c>
      <c r="BQ33" s="216">
        <v>9</v>
      </c>
      <c r="BR33" s="72"/>
      <c r="BS33" s="72"/>
      <c r="BT33" s="216"/>
      <c r="BU33" s="72">
        <v>17</v>
      </c>
      <c r="BV33" s="72">
        <v>5</v>
      </c>
      <c r="BW33" s="216">
        <v>7</v>
      </c>
      <c r="BX33" s="72"/>
      <c r="BY33" s="72"/>
      <c r="BZ33" s="216"/>
      <c r="CA33" s="72"/>
      <c r="CB33" s="72"/>
      <c r="CC33" s="216"/>
      <c r="CD33" s="72"/>
      <c r="CE33" s="72"/>
      <c r="CF33" s="216"/>
      <c r="CG33" s="72"/>
      <c r="CH33" s="72"/>
      <c r="CI33" s="216"/>
      <c r="CJ33" s="72"/>
      <c r="CK33" s="72"/>
      <c r="CL33" s="216"/>
    </row>
    <row r="34" spans="1:90" x14ac:dyDescent="0.2">
      <c r="A34" s="54"/>
      <c r="B34" s="55"/>
      <c r="C34" s="56"/>
      <c r="D34" s="55"/>
      <c r="E34" s="57"/>
      <c r="F34" s="58"/>
      <c r="G34" s="57"/>
      <c r="H34" s="59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 t="s">
        <v>115</v>
      </c>
      <c r="X34" s="60" t="s">
        <v>115</v>
      </c>
      <c r="Y34" s="60"/>
      <c r="Z34" s="60"/>
      <c r="AA34" s="60"/>
      <c r="AB34" s="60"/>
      <c r="AC34" s="60"/>
      <c r="AD34" s="60"/>
      <c r="AE34" s="60">
        <v>23</v>
      </c>
      <c r="AF34" s="60">
        <v>26</v>
      </c>
      <c r="AG34" s="60"/>
      <c r="AH34" s="60"/>
      <c r="AI34" s="64"/>
      <c r="AJ34" s="60"/>
      <c r="AK34" s="60"/>
      <c r="AL34" s="60"/>
      <c r="AM34" s="60"/>
      <c r="AN34" s="60"/>
      <c r="AO34" s="60"/>
      <c r="AP34" s="60">
        <v>447</v>
      </c>
      <c r="AQ34" s="60">
        <v>61</v>
      </c>
      <c r="AR34" s="65">
        <v>13</v>
      </c>
      <c r="AS34" s="60">
        <v>196</v>
      </c>
      <c r="AT34" s="60"/>
      <c r="AU34" s="60"/>
      <c r="AV34" s="60"/>
      <c r="AW34" s="60"/>
      <c r="AX34" s="64"/>
      <c r="AY34" s="66"/>
      <c r="AZ34" s="66">
        <f t="shared" si="0"/>
        <v>7.3278688524590168</v>
      </c>
      <c r="BA34" s="66"/>
      <c r="BB34" s="67"/>
      <c r="BC34" s="60"/>
      <c r="BD34" s="60">
        <v>27</v>
      </c>
      <c r="BE34" s="60"/>
      <c r="BF34" s="216"/>
      <c r="BG34" s="72"/>
      <c r="BH34" s="72"/>
      <c r="BI34" s="72">
        <v>60</v>
      </c>
      <c r="BJ34" s="72"/>
      <c r="BK34" s="216"/>
      <c r="BL34" s="72"/>
      <c r="BM34" s="72"/>
      <c r="BN34" s="216"/>
      <c r="BO34" s="72"/>
      <c r="BP34" s="72"/>
      <c r="BQ34" s="216"/>
      <c r="BR34" s="72"/>
      <c r="BS34" s="72"/>
      <c r="BT34" s="216"/>
      <c r="BU34" s="72"/>
      <c r="BV34" s="72"/>
      <c r="BW34" s="216"/>
      <c r="BX34" s="72"/>
      <c r="BY34" s="72"/>
      <c r="BZ34" s="216"/>
      <c r="CA34" s="72"/>
      <c r="CB34" s="72"/>
      <c r="CC34" s="216"/>
      <c r="CD34" s="72"/>
      <c r="CE34" s="72"/>
      <c r="CF34" s="216"/>
      <c r="CG34" s="72"/>
      <c r="CH34" s="72"/>
      <c r="CI34" s="216"/>
      <c r="CJ34" s="72"/>
      <c r="CK34" s="72"/>
      <c r="CL34" s="216"/>
    </row>
    <row r="35" spans="1:90" ht="15.75" customHeight="1" x14ac:dyDescent="0.2">
      <c r="A35" s="40" t="s">
        <v>347</v>
      </c>
      <c r="B35" s="41" t="s">
        <v>109</v>
      </c>
      <c r="C35" s="42" t="s">
        <v>328</v>
      </c>
      <c r="D35" s="41" t="s">
        <v>111</v>
      </c>
      <c r="E35" s="43" t="s">
        <v>124</v>
      </c>
      <c r="F35" s="44">
        <v>0</v>
      </c>
      <c r="G35" s="43" t="s">
        <v>133</v>
      </c>
      <c r="H35" s="69" t="s">
        <v>348</v>
      </c>
      <c r="I35" s="45">
        <f>211+359+1071+950+1797</f>
        <v>4388</v>
      </c>
      <c r="J35" s="45">
        <v>6</v>
      </c>
      <c r="K35" s="45">
        <v>2</v>
      </c>
      <c r="L35" s="45">
        <f>J35-K35</f>
        <v>4</v>
      </c>
      <c r="M35" s="45">
        <v>0</v>
      </c>
      <c r="N35" s="45">
        <v>389</v>
      </c>
      <c r="O35" s="45">
        <v>164</v>
      </c>
      <c r="P35" s="45">
        <f>176+1482</f>
        <v>1658</v>
      </c>
      <c r="Q35" s="45">
        <v>237</v>
      </c>
      <c r="R35" s="45" t="s">
        <v>115</v>
      </c>
      <c r="S35" s="45" t="s">
        <v>115</v>
      </c>
      <c r="T35" s="45">
        <v>43</v>
      </c>
      <c r="U35" s="45">
        <v>19</v>
      </c>
      <c r="V35" s="45">
        <f>T35-U35</f>
        <v>24</v>
      </c>
      <c r="W35" s="45">
        <v>69</v>
      </c>
      <c r="X35" s="45" t="s">
        <v>115</v>
      </c>
      <c r="Y35" s="45" t="s">
        <v>115</v>
      </c>
      <c r="Z35" s="45">
        <v>170</v>
      </c>
      <c r="AA35" s="45">
        <v>4</v>
      </c>
      <c r="AB35" s="45">
        <v>354</v>
      </c>
      <c r="AC35" s="45" t="s">
        <v>115</v>
      </c>
      <c r="AD35" s="45" t="s">
        <v>115</v>
      </c>
      <c r="AE35" s="45">
        <v>31</v>
      </c>
      <c r="AF35" s="45" t="s">
        <v>115</v>
      </c>
      <c r="AG35" s="45">
        <f>239+844</f>
        <v>1083</v>
      </c>
      <c r="AH35" s="46">
        <f>AG35/P35</f>
        <v>0.65319662243667065</v>
      </c>
      <c r="AI35" s="347" t="s">
        <v>115</v>
      </c>
      <c r="AJ35" s="45">
        <v>1130</v>
      </c>
      <c r="AK35" s="45">
        <v>593</v>
      </c>
      <c r="AL35" s="45">
        <v>502</v>
      </c>
      <c r="AM35" s="45">
        <v>40</v>
      </c>
      <c r="AN35" s="45">
        <v>190</v>
      </c>
      <c r="AO35" s="45">
        <v>168</v>
      </c>
      <c r="AP35" s="45">
        <v>499</v>
      </c>
      <c r="AQ35" s="45">
        <v>66</v>
      </c>
      <c r="AR35" s="50">
        <v>10</v>
      </c>
      <c r="AS35" s="45">
        <v>158</v>
      </c>
      <c r="AT35" s="45" t="s">
        <v>115</v>
      </c>
      <c r="AU35" s="45">
        <v>205</v>
      </c>
      <c r="AV35" s="45" t="s">
        <v>115</v>
      </c>
      <c r="AW35" s="45" t="s">
        <v>337</v>
      </c>
      <c r="AX35" s="49">
        <v>237</v>
      </c>
      <c r="AY35" s="51">
        <f t="shared" si="1"/>
        <v>4.7679324894514767</v>
      </c>
      <c r="AZ35" s="51">
        <f t="shared" si="0"/>
        <v>7.5606060606060606</v>
      </c>
      <c r="BA35" s="51">
        <f t="shared" si="2"/>
        <v>2.8926829268292682</v>
      </c>
      <c r="BB35" s="52">
        <f t="shared" si="3"/>
        <v>2.448780487804878</v>
      </c>
      <c r="BC35" s="45" t="s">
        <v>115</v>
      </c>
      <c r="BD35" s="45" t="s">
        <v>115</v>
      </c>
      <c r="BE35" s="45" t="s">
        <v>115</v>
      </c>
      <c r="BF35" s="49" t="s">
        <v>115</v>
      </c>
      <c r="BG35" s="292" t="s">
        <v>115</v>
      </c>
      <c r="BH35" s="80" t="s">
        <v>115</v>
      </c>
      <c r="BI35" s="80" t="s">
        <v>115</v>
      </c>
      <c r="BJ35" s="80" t="s">
        <v>115</v>
      </c>
      <c r="BK35" s="81" t="s">
        <v>115</v>
      </c>
      <c r="BL35" s="80" t="s">
        <v>115</v>
      </c>
      <c r="BM35" s="80" t="s">
        <v>115</v>
      </c>
      <c r="BN35" s="81" t="s">
        <v>115</v>
      </c>
      <c r="BO35" s="80" t="s">
        <v>115</v>
      </c>
      <c r="BP35" s="80" t="s">
        <v>115</v>
      </c>
      <c r="BQ35" s="81" t="s">
        <v>115</v>
      </c>
      <c r="BR35" s="80" t="s">
        <v>115</v>
      </c>
      <c r="BS35" s="80" t="s">
        <v>115</v>
      </c>
      <c r="BT35" s="81" t="s">
        <v>115</v>
      </c>
      <c r="BU35" s="80" t="s">
        <v>115</v>
      </c>
      <c r="BV35" s="80" t="s">
        <v>115</v>
      </c>
      <c r="BW35" s="81" t="s">
        <v>115</v>
      </c>
      <c r="BX35" s="80" t="s">
        <v>115</v>
      </c>
      <c r="BY35" s="80" t="s">
        <v>115</v>
      </c>
      <c r="BZ35" s="81" t="s">
        <v>115</v>
      </c>
      <c r="CA35" s="80" t="s">
        <v>115</v>
      </c>
      <c r="CB35" s="80" t="s">
        <v>115</v>
      </c>
      <c r="CC35" s="81" t="s">
        <v>115</v>
      </c>
      <c r="CD35" s="80" t="s">
        <v>115</v>
      </c>
      <c r="CE35" s="80" t="s">
        <v>115</v>
      </c>
      <c r="CF35" s="81" t="s">
        <v>115</v>
      </c>
      <c r="CG35" s="80" t="s">
        <v>115</v>
      </c>
      <c r="CH35" s="80" t="s">
        <v>115</v>
      </c>
      <c r="CI35" s="81" t="s">
        <v>115</v>
      </c>
      <c r="CJ35" s="80" t="s">
        <v>115</v>
      </c>
      <c r="CK35" s="80" t="s">
        <v>115</v>
      </c>
      <c r="CL35" s="81" t="s">
        <v>115</v>
      </c>
    </row>
    <row r="36" spans="1:90" x14ac:dyDescent="0.2">
      <c r="A36" s="40"/>
      <c r="B36" s="41"/>
      <c r="C36" s="42"/>
      <c r="D36" s="41"/>
      <c r="E36" s="43"/>
      <c r="F36" s="44"/>
      <c r="G36" s="43"/>
      <c r="H36" s="69"/>
      <c r="W36" s="45">
        <v>56</v>
      </c>
      <c r="X36" s="45" t="s">
        <v>115</v>
      </c>
      <c r="AE36" s="45">
        <v>23</v>
      </c>
      <c r="AF36" s="45" t="s">
        <v>115</v>
      </c>
      <c r="AP36" s="45">
        <v>488</v>
      </c>
      <c r="AQ36" s="45">
        <v>61</v>
      </c>
      <c r="AR36" s="50">
        <v>13</v>
      </c>
      <c r="AS36" s="45">
        <v>167</v>
      </c>
      <c r="AT36" s="45" t="s">
        <v>115</v>
      </c>
      <c r="AY36" s="51"/>
      <c r="AZ36" s="51">
        <f t="shared" si="0"/>
        <v>8</v>
      </c>
      <c r="BA36" s="51"/>
      <c r="BB36" s="52"/>
      <c r="BG36" s="80"/>
      <c r="BH36" s="80"/>
      <c r="BI36" s="80"/>
      <c r="BJ36" s="80"/>
      <c r="BK36" s="81"/>
      <c r="BL36" s="80"/>
      <c r="BM36" s="80"/>
      <c r="BN36" s="81"/>
      <c r="BO36" s="80"/>
      <c r="BP36" s="80"/>
      <c r="BQ36" s="81"/>
      <c r="BR36" s="80"/>
      <c r="BS36" s="80"/>
      <c r="BT36" s="81"/>
      <c r="BU36" s="80"/>
      <c r="BV36" s="80"/>
      <c r="BW36" s="81"/>
      <c r="BX36" s="80"/>
      <c r="BY36" s="80"/>
      <c r="BZ36" s="81"/>
      <c r="CA36" s="80"/>
      <c r="CB36" s="80"/>
      <c r="CC36" s="81"/>
      <c r="CD36" s="80"/>
      <c r="CE36" s="80"/>
      <c r="CF36" s="81"/>
      <c r="CG36" s="80"/>
      <c r="CH36" s="80"/>
      <c r="CI36" s="81"/>
      <c r="CJ36" s="80"/>
      <c r="CK36" s="80"/>
      <c r="CL36" s="81"/>
    </row>
    <row r="37" spans="1:90" x14ac:dyDescent="0.2">
      <c r="A37" s="40"/>
      <c r="B37" s="41"/>
      <c r="C37" s="42"/>
      <c r="D37" s="41"/>
      <c r="E37" s="43"/>
      <c r="F37" s="44"/>
      <c r="G37" s="43"/>
      <c r="H37" s="69"/>
      <c r="W37" s="45">
        <v>59</v>
      </c>
      <c r="X37" s="45" t="s">
        <v>115</v>
      </c>
      <c r="AE37" s="45">
        <v>23</v>
      </c>
      <c r="AF37" s="45" t="s">
        <v>115</v>
      </c>
      <c r="AP37" s="45">
        <v>497</v>
      </c>
      <c r="AQ37" s="45">
        <v>61</v>
      </c>
      <c r="AR37" s="50">
        <v>14</v>
      </c>
      <c r="AS37" s="45" t="s">
        <v>115</v>
      </c>
      <c r="AT37" s="45" t="s">
        <v>115</v>
      </c>
      <c r="AY37" s="51"/>
      <c r="AZ37" s="51">
        <f t="shared" si="0"/>
        <v>8.1475409836065573</v>
      </c>
      <c r="BA37" s="51"/>
      <c r="BB37" s="52"/>
      <c r="BG37" s="80"/>
      <c r="BH37" s="80"/>
      <c r="BI37" s="80"/>
      <c r="BJ37" s="80"/>
      <c r="BK37" s="81"/>
      <c r="BL37" s="80"/>
      <c r="BM37" s="80"/>
      <c r="BN37" s="81"/>
      <c r="BO37" s="80"/>
      <c r="BP37" s="80"/>
      <c r="BQ37" s="81"/>
      <c r="BR37" s="80"/>
      <c r="BS37" s="80"/>
      <c r="BT37" s="81"/>
      <c r="BU37" s="80"/>
      <c r="BV37" s="80"/>
      <c r="BW37" s="81"/>
      <c r="BX37" s="80"/>
      <c r="BY37" s="80"/>
      <c r="BZ37" s="81"/>
      <c r="CA37" s="80"/>
      <c r="CB37" s="80"/>
      <c r="CC37" s="81"/>
      <c r="CD37" s="80"/>
      <c r="CE37" s="80"/>
      <c r="CF37" s="81"/>
      <c r="CG37" s="80"/>
      <c r="CH37" s="80"/>
      <c r="CI37" s="81"/>
      <c r="CJ37" s="80"/>
      <c r="CK37" s="80"/>
      <c r="CL37" s="81"/>
    </row>
    <row r="38" spans="1:90" x14ac:dyDescent="0.2">
      <c r="A38" s="54" t="s">
        <v>349</v>
      </c>
      <c r="B38" s="55" t="s">
        <v>109</v>
      </c>
      <c r="C38" s="56" t="s">
        <v>328</v>
      </c>
      <c r="D38" s="55" t="s">
        <v>111</v>
      </c>
      <c r="E38" s="57" t="s">
        <v>124</v>
      </c>
      <c r="F38" s="58">
        <v>1</v>
      </c>
      <c r="G38" s="57"/>
      <c r="H38" s="59" t="s">
        <v>270</v>
      </c>
      <c r="I38" s="60">
        <f>488+900+870+915+662</f>
        <v>3835</v>
      </c>
      <c r="J38" s="60">
        <v>6</v>
      </c>
      <c r="K38" s="60">
        <v>2</v>
      </c>
      <c r="L38" s="60">
        <f>J38-K38</f>
        <v>4</v>
      </c>
      <c r="M38" s="60">
        <v>0</v>
      </c>
      <c r="N38" s="60">
        <v>370</v>
      </c>
      <c r="O38" s="60">
        <v>122</v>
      </c>
      <c r="P38" s="60">
        <f>357+1059</f>
        <v>1416</v>
      </c>
      <c r="Q38" s="60">
        <v>174</v>
      </c>
      <c r="R38" s="60" t="s">
        <v>115</v>
      </c>
      <c r="S38" s="60" t="s">
        <v>115</v>
      </c>
      <c r="T38" s="60">
        <v>41</v>
      </c>
      <c r="U38" s="60">
        <v>21</v>
      </c>
      <c r="V38" s="60">
        <f>T38-U38</f>
        <v>20</v>
      </c>
      <c r="W38" s="60">
        <v>42</v>
      </c>
      <c r="X38" s="60" t="s">
        <v>115</v>
      </c>
      <c r="Y38" s="60" t="s">
        <v>115</v>
      </c>
      <c r="Z38" s="60">
        <v>158</v>
      </c>
      <c r="AA38" s="60">
        <v>4</v>
      </c>
      <c r="AB38" s="60">
        <v>289</v>
      </c>
      <c r="AC38" s="60" t="s">
        <v>115</v>
      </c>
      <c r="AD38" s="60" t="s">
        <v>115</v>
      </c>
      <c r="AE38" s="60">
        <v>18</v>
      </c>
      <c r="AF38" s="60" t="s">
        <v>115</v>
      </c>
      <c r="AG38" s="60">
        <v>898</v>
      </c>
      <c r="AH38" s="61">
        <f>AG38/P38</f>
        <v>0.63418079096045199</v>
      </c>
      <c r="AI38" s="344" t="s">
        <v>115</v>
      </c>
      <c r="AJ38" s="60">
        <f>659+407</f>
        <v>1066</v>
      </c>
      <c r="AK38" s="60">
        <f>185+411</f>
        <v>596</v>
      </c>
      <c r="AL38" s="60">
        <v>441</v>
      </c>
      <c r="AM38" s="60">
        <v>43</v>
      </c>
      <c r="AN38" s="60">
        <v>188</v>
      </c>
      <c r="AO38" s="60">
        <v>191</v>
      </c>
      <c r="AP38" s="60">
        <v>426</v>
      </c>
      <c r="AQ38" s="60">
        <v>63</v>
      </c>
      <c r="AR38" s="65">
        <v>10</v>
      </c>
      <c r="AS38" s="60">
        <v>177</v>
      </c>
      <c r="AT38" s="60">
        <v>61</v>
      </c>
      <c r="AU38" s="60">
        <v>184</v>
      </c>
      <c r="AV38" s="60">
        <v>252</v>
      </c>
      <c r="AW38" s="60" t="s">
        <v>128</v>
      </c>
      <c r="AX38" s="64">
        <f>AV38</f>
        <v>252</v>
      </c>
      <c r="AY38" s="66">
        <f>AJ38/AX38</f>
        <v>4.2301587301587302</v>
      </c>
      <c r="AZ38" s="66">
        <f t="shared" si="0"/>
        <v>6.7619047619047619</v>
      </c>
      <c r="BA38" s="66">
        <f t="shared" si="2"/>
        <v>3.2391304347826089</v>
      </c>
      <c r="BB38" s="67">
        <f t="shared" si="3"/>
        <v>2.3967391304347827</v>
      </c>
      <c r="BC38" s="60">
        <v>179</v>
      </c>
      <c r="BD38" s="60">
        <v>29</v>
      </c>
      <c r="BE38" s="60">
        <v>26</v>
      </c>
      <c r="BF38" s="64">
        <v>22</v>
      </c>
      <c r="BG38" s="72">
        <v>5</v>
      </c>
      <c r="BH38" s="72" t="s">
        <v>115</v>
      </c>
      <c r="BI38" s="72">
        <v>66</v>
      </c>
      <c r="BJ38" s="72" t="s">
        <v>326</v>
      </c>
      <c r="BK38" s="216">
        <v>6</v>
      </c>
      <c r="BL38" s="294" t="s">
        <v>115</v>
      </c>
      <c r="BM38" s="72" t="s">
        <v>115</v>
      </c>
      <c r="BN38" s="216" t="s">
        <v>115</v>
      </c>
      <c r="BO38" s="72">
        <v>19</v>
      </c>
      <c r="BP38" s="72">
        <v>5</v>
      </c>
      <c r="BQ38" s="216">
        <v>7</v>
      </c>
      <c r="BR38" s="72">
        <v>18</v>
      </c>
      <c r="BS38" s="72">
        <v>5</v>
      </c>
      <c r="BT38" s="216">
        <v>9</v>
      </c>
      <c r="BU38" s="72">
        <v>19</v>
      </c>
      <c r="BV38" s="72">
        <v>5</v>
      </c>
      <c r="BW38" s="216">
        <v>8</v>
      </c>
      <c r="BX38" s="72">
        <v>16</v>
      </c>
      <c r="BY38" s="72">
        <v>3</v>
      </c>
      <c r="BZ38" s="216">
        <v>8</v>
      </c>
      <c r="CA38" s="72">
        <v>3</v>
      </c>
      <c r="CB38" s="72">
        <v>12</v>
      </c>
      <c r="CC38" s="216">
        <v>4</v>
      </c>
      <c r="CD38" s="294" t="s">
        <v>115</v>
      </c>
      <c r="CE38" s="72" t="s">
        <v>115</v>
      </c>
      <c r="CF38" s="216" t="s">
        <v>115</v>
      </c>
      <c r="CG38" s="294" t="s">
        <v>115</v>
      </c>
      <c r="CH38" s="72" t="s">
        <v>115</v>
      </c>
      <c r="CI38" s="216" t="s">
        <v>115</v>
      </c>
      <c r="CJ38" s="294" t="s">
        <v>115</v>
      </c>
      <c r="CK38" s="72" t="s">
        <v>115</v>
      </c>
      <c r="CL38" s="216" t="s">
        <v>115</v>
      </c>
    </row>
    <row r="39" spans="1:90" x14ac:dyDescent="0.2">
      <c r="A39" s="54"/>
      <c r="B39" s="55"/>
      <c r="C39" s="56"/>
      <c r="D39" s="55"/>
      <c r="E39" s="57"/>
      <c r="F39" s="58"/>
      <c r="G39" s="57"/>
      <c r="H39" s="59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>
        <v>61</v>
      </c>
      <c r="X39" s="60" t="s">
        <v>115</v>
      </c>
      <c r="Y39" s="60"/>
      <c r="Z39" s="60"/>
      <c r="AA39" s="60"/>
      <c r="AB39" s="60"/>
      <c r="AC39" s="60"/>
      <c r="AD39" s="60"/>
      <c r="AE39" s="60">
        <v>20</v>
      </c>
      <c r="AF39" s="60" t="s">
        <v>115</v>
      </c>
      <c r="AG39" s="60"/>
      <c r="AH39" s="60"/>
      <c r="AI39" s="64"/>
      <c r="AJ39" s="60"/>
      <c r="AK39" s="60"/>
      <c r="AL39" s="60"/>
      <c r="AM39" s="60"/>
      <c r="AN39" s="60"/>
      <c r="AO39" s="60"/>
      <c r="AP39" s="60">
        <v>416</v>
      </c>
      <c r="AQ39" s="60">
        <v>51</v>
      </c>
      <c r="AR39" s="65">
        <v>11</v>
      </c>
      <c r="AS39" s="60">
        <v>167</v>
      </c>
      <c r="AT39" s="60">
        <v>81</v>
      </c>
      <c r="AU39" s="60"/>
      <c r="AV39" s="60"/>
      <c r="AW39" s="60"/>
      <c r="AX39" s="64"/>
      <c r="AY39" s="66"/>
      <c r="AZ39" s="66">
        <f t="shared" si="0"/>
        <v>8.1568627450980387</v>
      </c>
      <c r="BA39" s="66"/>
      <c r="BB39" s="67"/>
      <c r="BC39" s="60"/>
      <c r="BD39" s="60"/>
      <c r="BE39" s="60"/>
      <c r="BF39" s="64"/>
      <c r="BG39" s="72"/>
      <c r="BH39" s="72"/>
      <c r="BI39" s="72"/>
      <c r="BJ39" s="72"/>
      <c r="BK39" s="216"/>
      <c r="BL39" s="72"/>
      <c r="BM39" s="72"/>
      <c r="BN39" s="216"/>
      <c r="BO39" s="72"/>
      <c r="BP39" s="72"/>
      <c r="BQ39" s="216"/>
      <c r="BR39" s="72"/>
      <c r="BS39" s="72"/>
      <c r="BT39" s="216"/>
      <c r="BU39" s="72"/>
      <c r="BV39" s="72"/>
      <c r="BW39" s="216"/>
      <c r="BX39" s="72"/>
      <c r="BY39" s="72"/>
      <c r="BZ39" s="216"/>
      <c r="CA39" s="72"/>
      <c r="CB39" s="72"/>
      <c r="CC39" s="216"/>
      <c r="CD39" s="72"/>
      <c r="CE39" s="72"/>
      <c r="CF39" s="216"/>
      <c r="CG39" s="72"/>
      <c r="CH39" s="72"/>
      <c r="CI39" s="216"/>
      <c r="CJ39" s="72"/>
      <c r="CK39" s="72"/>
      <c r="CL39" s="216"/>
    </row>
    <row r="40" spans="1:90" s="89" customFormat="1" x14ac:dyDescent="0.2">
      <c r="A40" s="348"/>
      <c r="B40" s="349"/>
      <c r="C40" s="350"/>
      <c r="D40" s="349"/>
      <c r="E40" s="351"/>
      <c r="F40" s="352"/>
      <c r="G40" s="351"/>
      <c r="H40" s="353"/>
      <c r="I40" s="354"/>
      <c r="J40" s="354"/>
      <c r="K40" s="354"/>
      <c r="L40" s="354"/>
      <c r="M40" s="354"/>
      <c r="N40" s="354"/>
      <c r="O40" s="354"/>
      <c r="P40" s="354"/>
      <c r="Q40" s="354"/>
      <c r="R40" s="354"/>
      <c r="S40" s="354"/>
      <c r="T40" s="354"/>
      <c r="U40" s="354"/>
      <c r="V40" s="354"/>
      <c r="W40" s="354">
        <v>69</v>
      </c>
      <c r="X40" s="354" t="s">
        <v>115</v>
      </c>
      <c r="Y40" s="354"/>
      <c r="Z40" s="354"/>
      <c r="AA40" s="354"/>
      <c r="AB40" s="354"/>
      <c r="AC40" s="354"/>
      <c r="AD40" s="354"/>
      <c r="AE40" s="354">
        <v>21</v>
      </c>
      <c r="AF40" s="354" t="s">
        <v>115</v>
      </c>
      <c r="AG40" s="354"/>
      <c r="AH40" s="354"/>
      <c r="AI40" s="355"/>
      <c r="AJ40" s="354"/>
      <c r="AK40" s="354"/>
      <c r="AL40" s="354"/>
      <c r="AM40" s="354"/>
      <c r="AN40" s="354"/>
      <c r="AO40" s="354"/>
      <c r="AP40" s="354">
        <v>422</v>
      </c>
      <c r="AQ40" s="354"/>
      <c r="AR40" s="356">
        <v>10</v>
      </c>
      <c r="AS40" s="354"/>
      <c r="AT40" s="354"/>
      <c r="AU40" s="354"/>
      <c r="AV40" s="354"/>
      <c r="AW40" s="354"/>
      <c r="AX40" s="355"/>
      <c r="AY40" s="357"/>
      <c r="AZ40" s="358"/>
      <c r="BA40" s="358"/>
      <c r="BB40" s="359"/>
      <c r="BC40" s="354"/>
      <c r="BD40" s="354"/>
      <c r="BE40" s="354"/>
      <c r="BF40" s="355"/>
      <c r="BG40" s="360"/>
      <c r="BH40" s="360"/>
      <c r="BI40" s="360"/>
      <c r="BJ40" s="360"/>
      <c r="BK40" s="361"/>
      <c r="BL40" s="360"/>
      <c r="BM40" s="360"/>
      <c r="BN40" s="361"/>
      <c r="BO40" s="360"/>
      <c r="BP40" s="360"/>
      <c r="BQ40" s="361"/>
      <c r="BR40" s="360"/>
      <c r="BS40" s="360"/>
      <c r="BT40" s="361"/>
      <c r="BU40" s="360"/>
      <c r="BV40" s="360"/>
      <c r="BW40" s="361"/>
      <c r="BX40" s="360"/>
      <c r="BY40" s="360"/>
      <c r="BZ40" s="361"/>
      <c r="CA40" s="360"/>
      <c r="CB40" s="360"/>
      <c r="CC40" s="361"/>
      <c r="CD40" s="360"/>
      <c r="CE40" s="360"/>
      <c r="CF40" s="361"/>
      <c r="CG40" s="360"/>
      <c r="CH40" s="360"/>
      <c r="CI40" s="361"/>
      <c r="CJ40" s="360"/>
      <c r="CK40" s="360"/>
      <c r="CL40" s="361"/>
    </row>
    <row r="41" spans="1:90" ht="16" customHeight="1" x14ac:dyDescent="0.2">
      <c r="A41" s="362" t="s">
        <v>350</v>
      </c>
      <c r="B41" s="363" t="s">
        <v>109</v>
      </c>
      <c r="C41" s="364" t="s">
        <v>351</v>
      </c>
      <c r="D41" s="365"/>
      <c r="E41" s="366"/>
      <c r="F41" s="366"/>
      <c r="G41" s="366"/>
      <c r="H41" s="367" t="s">
        <v>352</v>
      </c>
      <c r="I41" s="45">
        <f>1450+1574+1237+926+1607</f>
        <v>6794</v>
      </c>
      <c r="J41" s="45">
        <v>10</v>
      </c>
      <c r="K41" s="45">
        <v>2</v>
      </c>
      <c r="L41" s="45">
        <v>8</v>
      </c>
      <c r="M41" s="45">
        <v>0</v>
      </c>
      <c r="N41" s="45">
        <v>777</v>
      </c>
      <c r="O41" s="45">
        <v>209</v>
      </c>
      <c r="P41" s="45">
        <v>1452</v>
      </c>
      <c r="Q41" s="45">
        <v>365</v>
      </c>
      <c r="R41" s="45" t="s">
        <v>115</v>
      </c>
      <c r="S41" s="45" t="s">
        <v>115</v>
      </c>
      <c r="T41" s="45">
        <v>39</v>
      </c>
      <c r="U41" s="45">
        <v>15</v>
      </c>
      <c r="V41" s="45">
        <v>24</v>
      </c>
      <c r="W41" s="45">
        <v>77</v>
      </c>
      <c r="X41" s="45" t="s">
        <v>353</v>
      </c>
      <c r="Y41" s="45">
        <v>182</v>
      </c>
      <c r="Z41" s="45">
        <v>145</v>
      </c>
      <c r="AA41" s="45" t="s">
        <v>115</v>
      </c>
      <c r="AB41" s="45" t="s">
        <v>115</v>
      </c>
      <c r="AC41" s="45" t="s">
        <v>115</v>
      </c>
      <c r="AD41" s="45" t="s">
        <v>115</v>
      </c>
      <c r="AE41" s="45" t="s">
        <v>115</v>
      </c>
      <c r="AF41" s="45" t="s">
        <v>115</v>
      </c>
      <c r="AG41" s="45">
        <v>697</v>
      </c>
      <c r="AH41" s="368">
        <f>AG41/P41</f>
        <v>0.48002754820936638</v>
      </c>
      <c r="AI41" s="49" t="s">
        <v>115</v>
      </c>
      <c r="AJ41" s="45">
        <v>1619</v>
      </c>
      <c r="AK41" s="45">
        <v>1022</v>
      </c>
      <c r="AL41" s="45">
        <v>582</v>
      </c>
      <c r="AM41" s="45">
        <v>33</v>
      </c>
      <c r="AN41" s="45">
        <v>208</v>
      </c>
      <c r="AO41" s="45">
        <v>298</v>
      </c>
      <c r="AP41" s="45" t="s">
        <v>354</v>
      </c>
      <c r="AQ41" s="130" t="s">
        <v>355</v>
      </c>
      <c r="AR41" s="249" t="s">
        <v>356</v>
      </c>
      <c r="AS41" s="45" t="s">
        <v>357</v>
      </c>
      <c r="AT41" s="45" t="s">
        <v>115</v>
      </c>
      <c r="AU41" s="45">
        <v>229</v>
      </c>
      <c r="AV41" s="45">
        <v>285</v>
      </c>
      <c r="AW41" s="45" t="s">
        <v>131</v>
      </c>
      <c r="AX41" s="49">
        <f>AO41</f>
        <v>298</v>
      </c>
      <c r="AY41" s="51">
        <f t="shared" ref="AY41" si="4">AJ41/AX41</f>
        <v>5.4328859060402683</v>
      </c>
      <c r="AZ41" s="51" t="s">
        <v>115</v>
      </c>
      <c r="BA41" s="51">
        <f t="shared" si="2"/>
        <v>4.462882096069869</v>
      </c>
      <c r="BB41" s="52">
        <f t="shared" si="3"/>
        <v>2.5414847161572052</v>
      </c>
      <c r="BC41" s="45">
        <v>527</v>
      </c>
      <c r="BD41" s="45" t="s">
        <v>115</v>
      </c>
      <c r="BE41" s="45" t="s">
        <v>115</v>
      </c>
      <c r="BF41" s="49" t="s">
        <v>358</v>
      </c>
      <c r="BG41" s="45">
        <v>5</v>
      </c>
      <c r="BH41" s="369" t="s">
        <v>115</v>
      </c>
      <c r="BI41" s="45" t="s">
        <v>115</v>
      </c>
      <c r="BJ41" s="45">
        <v>8</v>
      </c>
      <c r="BK41" s="49">
        <v>6</v>
      </c>
      <c r="BL41" s="45" t="s">
        <v>115</v>
      </c>
      <c r="BM41" s="45" t="s">
        <v>115</v>
      </c>
      <c r="BN41" s="49" t="s">
        <v>115</v>
      </c>
      <c r="BO41" s="45" t="s">
        <v>115</v>
      </c>
      <c r="BP41" s="45" t="s">
        <v>115</v>
      </c>
      <c r="BQ41" s="49" t="s">
        <v>115</v>
      </c>
      <c r="BR41" s="45" t="s">
        <v>115</v>
      </c>
      <c r="BS41" s="45" t="s">
        <v>115</v>
      </c>
      <c r="BT41" s="49" t="s">
        <v>115</v>
      </c>
      <c r="BU41" s="45" t="s">
        <v>115</v>
      </c>
      <c r="BV41" s="45" t="s">
        <v>115</v>
      </c>
      <c r="BW41" s="49" t="s">
        <v>115</v>
      </c>
      <c r="BX41" s="45" t="s">
        <v>115</v>
      </c>
      <c r="BY41" s="45" t="s">
        <v>115</v>
      </c>
      <c r="BZ41" s="49" t="s">
        <v>115</v>
      </c>
      <c r="CA41" s="45" t="s">
        <v>115</v>
      </c>
      <c r="CB41" s="45" t="s">
        <v>115</v>
      </c>
      <c r="CC41" s="49" t="s">
        <v>115</v>
      </c>
      <c r="CD41" s="79" t="s">
        <v>115</v>
      </c>
      <c r="CE41" s="45" t="s">
        <v>115</v>
      </c>
      <c r="CF41" s="49" t="s">
        <v>115</v>
      </c>
      <c r="CG41" s="45" t="s">
        <v>115</v>
      </c>
      <c r="CH41" s="45" t="s">
        <v>115</v>
      </c>
      <c r="CI41" s="370" t="s">
        <v>115</v>
      </c>
      <c r="CJ41" s="79">
        <v>7</v>
      </c>
      <c r="CK41" s="45">
        <v>3</v>
      </c>
      <c r="CL41" s="49" t="s">
        <v>115</v>
      </c>
    </row>
    <row r="42" spans="1:90" ht="16" customHeight="1" x14ac:dyDescent="0.2">
      <c r="A42" s="40"/>
      <c r="B42" s="235"/>
      <c r="C42" s="371"/>
      <c r="D42" s="41"/>
      <c r="E42" s="76"/>
      <c r="F42" s="76"/>
      <c r="G42" s="76"/>
      <c r="H42" s="69"/>
      <c r="W42" s="45">
        <v>71</v>
      </c>
      <c r="X42" s="45">
        <v>82</v>
      </c>
      <c r="AP42" s="45">
        <v>560</v>
      </c>
      <c r="AQ42" s="45">
        <v>96</v>
      </c>
      <c r="AR42" s="50">
        <v>17</v>
      </c>
      <c r="AS42" s="45">
        <v>197</v>
      </c>
      <c r="AT42" s="45" t="s">
        <v>115</v>
      </c>
      <c r="AY42" s="51"/>
      <c r="AZ42" s="51">
        <f t="shared" si="0"/>
        <v>5.833333333333333</v>
      </c>
      <c r="BA42" s="51"/>
      <c r="BB42" s="52"/>
      <c r="BF42" s="49">
        <v>27</v>
      </c>
      <c r="BG42" s="45">
        <v>6</v>
      </c>
      <c r="BK42" s="49">
        <v>6</v>
      </c>
      <c r="BN42" s="49"/>
      <c r="BQ42" s="49"/>
      <c r="BT42" s="49"/>
      <c r="BW42" s="49"/>
      <c r="BZ42" s="49"/>
      <c r="CC42" s="49"/>
      <c r="CD42" s="79"/>
      <c r="CF42" s="49"/>
      <c r="CI42" s="49"/>
      <c r="CJ42" s="79"/>
      <c r="CL42" s="49"/>
    </row>
    <row r="43" spans="1:90" ht="16" customHeight="1" x14ac:dyDescent="0.2">
      <c r="A43" s="40"/>
      <c r="B43" s="235"/>
      <c r="C43" s="371"/>
      <c r="D43" s="41"/>
      <c r="E43" s="76"/>
      <c r="F43" s="76"/>
      <c r="G43" s="76"/>
      <c r="H43" s="69"/>
      <c r="W43" s="45">
        <v>66</v>
      </c>
      <c r="X43" s="45">
        <v>72</v>
      </c>
      <c r="AP43" s="45">
        <v>573</v>
      </c>
      <c r="AQ43" s="45">
        <v>98</v>
      </c>
      <c r="AR43" s="50">
        <v>32</v>
      </c>
      <c r="AY43" s="51"/>
      <c r="AZ43" s="51">
        <f t="shared" si="0"/>
        <v>5.8469387755102042</v>
      </c>
      <c r="BA43" s="51"/>
      <c r="BB43" s="52"/>
      <c r="BF43" s="49">
        <v>25</v>
      </c>
      <c r="BK43" s="49">
        <v>7</v>
      </c>
      <c r="BN43" s="49"/>
      <c r="BQ43" s="49"/>
      <c r="BT43" s="49"/>
      <c r="BW43" s="49"/>
      <c r="BZ43" s="49"/>
      <c r="CC43" s="49"/>
      <c r="CF43" s="49"/>
      <c r="CI43" s="49"/>
      <c r="CJ43" s="79"/>
      <c r="CL43" s="49"/>
    </row>
    <row r="44" spans="1:90" ht="16" customHeight="1" x14ac:dyDescent="0.2">
      <c r="A44" s="54" t="s">
        <v>359</v>
      </c>
      <c r="B44" s="238" t="s">
        <v>109</v>
      </c>
      <c r="C44" s="372" t="s">
        <v>351</v>
      </c>
      <c r="D44" s="55"/>
      <c r="E44" s="70"/>
      <c r="F44" s="70"/>
      <c r="G44" s="70"/>
      <c r="H44" s="59" t="s">
        <v>360</v>
      </c>
      <c r="I44" s="60">
        <f>1232+827+966+1337</f>
        <v>4362</v>
      </c>
      <c r="J44" s="60" t="s">
        <v>115</v>
      </c>
      <c r="K44" s="60" t="s">
        <v>115</v>
      </c>
      <c r="L44" s="60" t="s">
        <v>115</v>
      </c>
      <c r="M44" s="60" t="s">
        <v>115</v>
      </c>
      <c r="N44" s="60" t="s">
        <v>115</v>
      </c>
      <c r="O44" s="60" t="s">
        <v>115</v>
      </c>
      <c r="P44" s="60">
        <f>1012+333</f>
        <v>1345</v>
      </c>
      <c r="Q44" s="60">
        <v>320</v>
      </c>
      <c r="R44" s="60" t="s">
        <v>115</v>
      </c>
      <c r="S44" s="60" t="s">
        <v>115</v>
      </c>
      <c r="T44" s="60">
        <v>44</v>
      </c>
      <c r="U44" s="60">
        <v>24</v>
      </c>
      <c r="V44" s="60">
        <v>20</v>
      </c>
      <c r="W44" s="305">
        <v>64</v>
      </c>
      <c r="X44" s="60">
        <v>110</v>
      </c>
      <c r="Y44" s="60">
        <v>128</v>
      </c>
      <c r="Z44" s="60">
        <v>113</v>
      </c>
      <c r="AA44" s="60" t="s">
        <v>115</v>
      </c>
      <c r="AB44" s="60" t="s">
        <v>115</v>
      </c>
      <c r="AC44" s="60" t="s">
        <v>115</v>
      </c>
      <c r="AD44" s="60" t="s">
        <v>115</v>
      </c>
      <c r="AE44" s="60">
        <v>54</v>
      </c>
      <c r="AF44" s="60">
        <v>25</v>
      </c>
      <c r="AG44" s="60">
        <v>649</v>
      </c>
      <c r="AH44" s="61">
        <f>AG44/P44</f>
        <v>0.48252788104089217</v>
      </c>
      <c r="AI44" s="64" t="s">
        <v>115</v>
      </c>
      <c r="AJ44" s="60" t="s">
        <v>115</v>
      </c>
      <c r="AK44" s="60" t="s">
        <v>115</v>
      </c>
      <c r="AL44" s="60" t="s">
        <v>115</v>
      </c>
      <c r="AM44" s="60" t="s">
        <v>115</v>
      </c>
      <c r="AN44" s="60" t="s">
        <v>115</v>
      </c>
      <c r="AO44" s="60" t="s">
        <v>115</v>
      </c>
      <c r="AP44" s="60" t="s">
        <v>115</v>
      </c>
      <c r="AQ44" s="60" t="s">
        <v>115</v>
      </c>
      <c r="AR44" s="60" t="s">
        <v>115</v>
      </c>
      <c r="AS44" s="60" t="s">
        <v>115</v>
      </c>
      <c r="AT44" s="60" t="s">
        <v>115</v>
      </c>
      <c r="AU44" s="60">
        <v>254</v>
      </c>
      <c r="AV44" s="60">
        <v>229</v>
      </c>
      <c r="AW44" s="60" t="s">
        <v>115</v>
      </c>
      <c r="AX44" s="64" t="s">
        <v>115</v>
      </c>
      <c r="AY44" s="66" t="s">
        <v>115</v>
      </c>
      <c r="AZ44" s="66" t="s">
        <v>115</v>
      </c>
      <c r="BA44" s="66" t="s">
        <v>115</v>
      </c>
      <c r="BB44" s="67" t="s">
        <v>115</v>
      </c>
      <c r="BC44" s="60" t="s">
        <v>115</v>
      </c>
      <c r="BD44" s="60" t="s">
        <v>115</v>
      </c>
      <c r="BE44" s="60" t="s">
        <v>115</v>
      </c>
      <c r="BF44" s="64" t="s">
        <v>115</v>
      </c>
      <c r="BG44" s="60" t="s">
        <v>115</v>
      </c>
      <c r="BH44" s="60" t="s">
        <v>115</v>
      </c>
      <c r="BI44" s="60" t="s">
        <v>115</v>
      </c>
      <c r="BJ44" s="60" t="s">
        <v>115</v>
      </c>
      <c r="BK44" s="64" t="s">
        <v>115</v>
      </c>
      <c r="BL44" s="60" t="s">
        <v>115</v>
      </c>
      <c r="BM44" s="60" t="s">
        <v>115</v>
      </c>
      <c r="BN44" s="64" t="s">
        <v>115</v>
      </c>
      <c r="BO44" s="60" t="s">
        <v>115</v>
      </c>
      <c r="BP44" s="60" t="s">
        <v>115</v>
      </c>
      <c r="BQ44" s="64" t="s">
        <v>115</v>
      </c>
      <c r="BR44" s="60" t="s">
        <v>115</v>
      </c>
      <c r="BS44" s="60" t="s">
        <v>115</v>
      </c>
      <c r="BT44" s="64" t="s">
        <v>115</v>
      </c>
      <c r="BU44" s="60" t="s">
        <v>115</v>
      </c>
      <c r="BV44" s="60" t="s">
        <v>115</v>
      </c>
      <c r="BW44" s="64" t="s">
        <v>115</v>
      </c>
      <c r="BX44" s="60" t="s">
        <v>115</v>
      </c>
      <c r="BY44" s="60" t="s">
        <v>115</v>
      </c>
      <c r="BZ44" s="64" t="s">
        <v>115</v>
      </c>
      <c r="CA44" s="60" t="s">
        <v>115</v>
      </c>
      <c r="CB44" s="60" t="s">
        <v>115</v>
      </c>
      <c r="CC44" s="64" t="s">
        <v>115</v>
      </c>
      <c r="CD44" s="60" t="s">
        <v>115</v>
      </c>
      <c r="CE44" s="60" t="s">
        <v>115</v>
      </c>
      <c r="CF44" s="64" t="s">
        <v>115</v>
      </c>
      <c r="CG44" s="60" t="s">
        <v>115</v>
      </c>
      <c r="CH44" s="60" t="s">
        <v>115</v>
      </c>
      <c r="CI44" s="64" t="s">
        <v>115</v>
      </c>
      <c r="CJ44" s="75">
        <v>11</v>
      </c>
      <c r="CK44" s="60">
        <v>4</v>
      </c>
      <c r="CL44" s="64">
        <v>4</v>
      </c>
    </row>
    <row r="45" spans="1:90" ht="16" customHeight="1" x14ac:dyDescent="0.2">
      <c r="A45" s="54"/>
      <c r="B45" s="238"/>
      <c r="C45" s="372"/>
      <c r="D45" s="55"/>
      <c r="E45" s="70"/>
      <c r="F45" s="70"/>
      <c r="G45" s="70"/>
      <c r="H45" s="59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>
        <v>68</v>
      </c>
      <c r="X45" s="60">
        <v>65</v>
      </c>
      <c r="Y45" s="60"/>
      <c r="Z45" s="60"/>
      <c r="AA45" s="60"/>
      <c r="AB45" s="60"/>
      <c r="AC45" s="60"/>
      <c r="AD45" s="60"/>
      <c r="AE45" s="60">
        <v>25</v>
      </c>
      <c r="AF45" s="60">
        <v>31</v>
      </c>
      <c r="AG45" s="60"/>
      <c r="AH45" s="60"/>
      <c r="AI45" s="64"/>
      <c r="AJ45" s="60"/>
      <c r="AK45" s="60"/>
      <c r="AL45" s="60"/>
      <c r="AM45" s="60"/>
      <c r="AN45" s="60"/>
      <c r="AO45" s="60"/>
      <c r="AP45" s="60"/>
      <c r="AQ45" s="60"/>
      <c r="AR45" s="65"/>
      <c r="AS45" s="65"/>
      <c r="AT45" s="65"/>
      <c r="AU45" s="60"/>
      <c r="AV45" s="60"/>
      <c r="AW45" s="60"/>
      <c r="AX45" s="64"/>
      <c r="AY45" s="66"/>
      <c r="AZ45" s="66"/>
      <c r="BA45" s="66"/>
      <c r="BB45" s="67"/>
      <c r="BC45" s="60"/>
      <c r="BD45" s="60"/>
      <c r="BE45" s="60"/>
      <c r="BF45" s="64"/>
      <c r="BG45" s="60"/>
      <c r="BH45" s="60"/>
      <c r="BI45" s="60"/>
      <c r="BJ45" s="60"/>
      <c r="BK45" s="64"/>
      <c r="BL45" s="60"/>
      <c r="BM45" s="60"/>
      <c r="BN45" s="64"/>
      <c r="BO45" s="60"/>
      <c r="BP45" s="60"/>
      <c r="BQ45" s="64"/>
      <c r="BR45" s="60"/>
      <c r="BS45" s="60"/>
      <c r="BT45" s="64"/>
      <c r="BU45" s="60"/>
      <c r="BV45" s="60"/>
      <c r="BW45" s="64"/>
      <c r="BX45" s="60"/>
      <c r="BY45" s="60"/>
      <c r="BZ45" s="64"/>
      <c r="CA45" s="60"/>
      <c r="CB45" s="60"/>
      <c r="CC45" s="64"/>
      <c r="CD45" s="60"/>
      <c r="CE45" s="60"/>
      <c r="CF45" s="64"/>
      <c r="CG45" s="60"/>
      <c r="CH45" s="60"/>
      <c r="CI45" s="64"/>
      <c r="CJ45" s="75"/>
      <c r="CK45" s="60"/>
      <c r="CL45" s="64"/>
    </row>
    <row r="46" spans="1:90" s="89" customFormat="1" ht="16" customHeight="1" x14ac:dyDescent="0.2">
      <c r="A46" s="348"/>
      <c r="B46" s="373"/>
      <c r="C46" s="374"/>
      <c r="D46" s="349"/>
      <c r="E46" s="375"/>
      <c r="F46" s="375"/>
      <c r="G46" s="375"/>
      <c r="H46" s="353"/>
      <c r="I46" s="354"/>
      <c r="J46" s="354"/>
      <c r="K46" s="354"/>
      <c r="L46" s="354"/>
      <c r="M46" s="354"/>
      <c r="N46" s="354"/>
      <c r="O46" s="354"/>
      <c r="P46" s="354"/>
      <c r="Q46" s="354"/>
      <c r="R46" s="354"/>
      <c r="S46" s="354"/>
      <c r="T46" s="354"/>
      <c r="U46" s="354"/>
      <c r="V46" s="354"/>
      <c r="W46" s="354">
        <v>51</v>
      </c>
      <c r="X46" s="354">
        <v>122</v>
      </c>
      <c r="Y46" s="354"/>
      <c r="Z46" s="354"/>
      <c r="AA46" s="354"/>
      <c r="AB46" s="354"/>
      <c r="AC46" s="354"/>
      <c r="AD46" s="354"/>
      <c r="AE46" s="354">
        <v>28</v>
      </c>
      <c r="AF46" s="354">
        <v>25</v>
      </c>
      <c r="AG46" s="354"/>
      <c r="AH46" s="354"/>
      <c r="AI46" s="355"/>
      <c r="AJ46" s="354"/>
      <c r="AK46" s="354"/>
      <c r="AL46" s="354"/>
      <c r="AM46" s="354"/>
      <c r="AN46" s="354"/>
      <c r="AO46" s="354"/>
      <c r="AP46" s="354"/>
      <c r="AQ46" s="354"/>
      <c r="AR46" s="356"/>
      <c r="AS46" s="356"/>
      <c r="AT46" s="356"/>
      <c r="AU46" s="354"/>
      <c r="AV46" s="354"/>
      <c r="AW46" s="354"/>
      <c r="AX46" s="355"/>
      <c r="AY46" s="358"/>
      <c r="AZ46" s="358"/>
      <c r="BA46" s="358"/>
      <c r="BB46" s="359"/>
      <c r="BC46" s="354"/>
      <c r="BD46" s="354"/>
      <c r="BE46" s="354"/>
      <c r="BF46" s="355"/>
      <c r="BG46" s="354"/>
      <c r="BH46" s="354"/>
      <c r="BI46" s="354"/>
      <c r="BJ46" s="354"/>
      <c r="BK46" s="355"/>
      <c r="BL46" s="354"/>
      <c r="BM46" s="354"/>
      <c r="BN46" s="355"/>
      <c r="BO46" s="354"/>
      <c r="BP46" s="354"/>
      <c r="BQ46" s="355"/>
      <c r="BR46" s="354"/>
      <c r="BS46" s="354"/>
      <c r="BT46" s="355"/>
      <c r="BU46" s="354"/>
      <c r="BV46" s="354"/>
      <c r="BW46" s="355"/>
      <c r="BX46" s="354"/>
      <c r="BY46" s="354"/>
      <c r="BZ46" s="355"/>
      <c r="CA46" s="354"/>
      <c r="CB46" s="354"/>
      <c r="CC46" s="355"/>
      <c r="CD46" s="354"/>
      <c r="CE46" s="354"/>
      <c r="CF46" s="355"/>
      <c r="CG46" s="354"/>
      <c r="CH46" s="354"/>
      <c r="CI46" s="355"/>
      <c r="CJ46" s="376"/>
      <c r="CK46" s="354"/>
      <c r="CL46" s="355"/>
    </row>
    <row r="47" spans="1:90" ht="17" x14ac:dyDescent="0.2">
      <c r="A47" s="333"/>
      <c r="B47" s="335"/>
      <c r="C47" s="377"/>
      <c r="D47" s="335"/>
      <c r="E47" s="336"/>
      <c r="G47" s="336"/>
      <c r="H47" s="133" t="s">
        <v>166</v>
      </c>
      <c r="I47" s="50">
        <f>MIN(I5:I46)</f>
        <v>2629</v>
      </c>
      <c r="J47" s="50">
        <f t="shared" ref="J47:X47" si="5">MIN(J5:J46)</f>
        <v>6</v>
      </c>
      <c r="K47" s="50">
        <f t="shared" si="5"/>
        <v>1</v>
      </c>
      <c r="L47" s="50">
        <f t="shared" si="5"/>
        <v>4</v>
      </c>
      <c r="M47" s="50">
        <f t="shared" si="5"/>
        <v>0</v>
      </c>
      <c r="N47" s="50">
        <f t="shared" si="5"/>
        <v>354</v>
      </c>
      <c r="O47" s="50">
        <f t="shared" si="5"/>
        <v>122</v>
      </c>
      <c r="P47" s="50">
        <f t="shared" si="5"/>
        <v>896</v>
      </c>
      <c r="Q47" s="50">
        <f t="shared" si="5"/>
        <v>174</v>
      </c>
      <c r="R47" s="139">
        <f t="shared" si="5"/>
        <v>1605</v>
      </c>
      <c r="S47" s="139">
        <f t="shared" si="5"/>
        <v>369</v>
      </c>
      <c r="T47" s="50">
        <f t="shared" si="5"/>
        <v>36</v>
      </c>
      <c r="U47" s="50">
        <f t="shared" si="5"/>
        <v>13</v>
      </c>
      <c r="V47" s="50">
        <f t="shared" si="5"/>
        <v>20</v>
      </c>
      <c r="W47" s="50">
        <f t="shared" si="5"/>
        <v>33</v>
      </c>
      <c r="X47" s="50">
        <f t="shared" si="5"/>
        <v>64</v>
      </c>
      <c r="Y47" s="50">
        <f>MIN(Y25:Y46,Y5:Y23)</f>
        <v>128</v>
      </c>
      <c r="Z47" s="50">
        <f>MIN(Z25:Z46,Z5:Z23)</f>
        <v>84</v>
      </c>
      <c r="AA47" s="50">
        <f>MIN(AA5:AA46)</f>
        <v>4</v>
      </c>
      <c r="AB47" s="50">
        <f t="shared" ref="AB47:AF47" si="6">MIN(AB5:AB46)</f>
        <v>125</v>
      </c>
      <c r="AC47" s="50">
        <f t="shared" si="6"/>
        <v>127</v>
      </c>
      <c r="AD47" s="50">
        <f t="shared" si="6"/>
        <v>63</v>
      </c>
      <c r="AE47" s="50">
        <f t="shared" si="6"/>
        <v>17</v>
      </c>
      <c r="AF47" s="50">
        <f t="shared" si="6"/>
        <v>24</v>
      </c>
      <c r="AG47" s="50">
        <f>MIN(AG25:AG46,AG5:AG23)</f>
        <v>493</v>
      </c>
      <c r="AH47" s="46">
        <f>MIN(AH25:AH46,AH5:AH23)</f>
        <v>0.48002754820936638</v>
      </c>
      <c r="AI47" s="77">
        <f t="shared" ref="AI47" si="7">MIN(AI5:AI46)</f>
        <v>13</v>
      </c>
      <c r="AJ47" s="50">
        <f>MIN(AJ5:AJ46)</f>
        <v>938</v>
      </c>
      <c r="AK47" s="50">
        <f t="shared" ref="AK47:AO47" si="8">MIN(AK5:AK46)</f>
        <v>536</v>
      </c>
      <c r="AL47" s="50">
        <f t="shared" si="8"/>
        <v>384</v>
      </c>
      <c r="AM47" s="50">
        <v>1</v>
      </c>
      <c r="AN47" s="50">
        <f t="shared" si="8"/>
        <v>116</v>
      </c>
      <c r="AO47" s="50">
        <f t="shared" si="8"/>
        <v>168</v>
      </c>
      <c r="AP47" s="50">
        <f>MIN(AP5:AP46)</f>
        <v>360</v>
      </c>
      <c r="AQ47" s="50">
        <f t="shared" ref="AQ47:AS47" si="9">MIN(AQ5:AQ46)</f>
        <v>51</v>
      </c>
      <c r="AR47" s="50">
        <f t="shared" si="9"/>
        <v>8</v>
      </c>
      <c r="AS47" s="50">
        <f t="shared" si="9"/>
        <v>135</v>
      </c>
      <c r="AT47" s="50" t="s">
        <v>361</v>
      </c>
      <c r="AU47" s="50">
        <f t="shared" ref="AU47:AV47" si="10">MIN(AU5:AU46)</f>
        <v>171</v>
      </c>
      <c r="AV47" s="50">
        <f t="shared" si="10"/>
        <v>204</v>
      </c>
      <c r="AW47" s="50"/>
      <c r="AX47" s="378"/>
      <c r="AY47" s="379">
        <f>MIN(AY5:AY46)</f>
        <v>2.8943089430894311</v>
      </c>
      <c r="AZ47" s="380">
        <f t="shared" ref="AZ47:BF47" si="11">MIN(AZ5:AZ46)</f>
        <v>5.1643835616438354</v>
      </c>
      <c r="BA47" s="380">
        <f t="shared" si="11"/>
        <v>2.3577981651376145</v>
      </c>
      <c r="BB47" s="381">
        <f t="shared" si="11"/>
        <v>1.180428134556575</v>
      </c>
      <c r="BC47" s="382">
        <f t="shared" si="11"/>
        <v>147</v>
      </c>
      <c r="BD47" s="383">
        <f t="shared" si="11"/>
        <v>21</v>
      </c>
      <c r="BE47" s="383">
        <f t="shared" si="11"/>
        <v>23</v>
      </c>
      <c r="BF47" s="378">
        <f t="shared" si="11"/>
        <v>21</v>
      </c>
      <c r="BG47" s="50" t="s">
        <v>324</v>
      </c>
      <c r="BH47" s="50" t="s">
        <v>115</v>
      </c>
      <c r="BI47" s="383">
        <f t="shared" ref="BI47" si="12">MIN(BI5:BI46)</f>
        <v>49</v>
      </c>
      <c r="BJ47" s="383"/>
      <c r="BK47" s="378">
        <f t="shared" ref="BK47:CL47" si="13">MIN(BK5:BK46)</f>
        <v>5</v>
      </c>
      <c r="BL47" s="382">
        <f t="shared" si="13"/>
        <v>7</v>
      </c>
      <c r="BM47" s="383">
        <f t="shared" si="13"/>
        <v>4</v>
      </c>
      <c r="BN47" s="378">
        <f t="shared" si="13"/>
        <v>4</v>
      </c>
      <c r="BO47" s="383">
        <f t="shared" si="13"/>
        <v>11</v>
      </c>
      <c r="BP47" s="383">
        <f t="shared" si="13"/>
        <v>5</v>
      </c>
      <c r="BQ47" s="378">
        <f t="shared" si="13"/>
        <v>5</v>
      </c>
      <c r="BR47" s="383">
        <f t="shared" si="13"/>
        <v>15</v>
      </c>
      <c r="BS47" s="383">
        <f t="shared" si="13"/>
        <v>4</v>
      </c>
      <c r="BT47" s="378">
        <f t="shared" si="13"/>
        <v>5</v>
      </c>
      <c r="BU47" s="383">
        <f t="shared" si="13"/>
        <v>13</v>
      </c>
      <c r="BV47" s="383">
        <f t="shared" si="13"/>
        <v>2</v>
      </c>
      <c r="BW47" s="378">
        <f t="shared" si="13"/>
        <v>4</v>
      </c>
      <c r="BX47" s="383">
        <f t="shared" si="13"/>
        <v>11</v>
      </c>
      <c r="BY47" s="383">
        <f t="shared" si="13"/>
        <v>2</v>
      </c>
      <c r="BZ47" s="378">
        <f t="shared" si="13"/>
        <v>5</v>
      </c>
      <c r="CA47" s="383">
        <f t="shared" si="13"/>
        <v>3</v>
      </c>
      <c r="CB47" s="383">
        <f t="shared" si="13"/>
        <v>3</v>
      </c>
      <c r="CC47" s="378">
        <f t="shared" si="13"/>
        <v>4</v>
      </c>
      <c r="CD47" s="383">
        <f t="shared" si="13"/>
        <v>9</v>
      </c>
      <c r="CE47" s="383">
        <f t="shared" si="13"/>
        <v>3</v>
      </c>
      <c r="CF47" s="378">
        <f t="shared" si="13"/>
        <v>6</v>
      </c>
      <c r="CG47" s="383">
        <f t="shared" si="13"/>
        <v>13</v>
      </c>
      <c r="CH47" s="383">
        <f t="shared" si="13"/>
        <v>4</v>
      </c>
      <c r="CI47" s="378">
        <f t="shared" si="13"/>
        <v>5</v>
      </c>
      <c r="CJ47" s="382">
        <f t="shared" si="13"/>
        <v>7</v>
      </c>
      <c r="CK47" s="383">
        <f t="shared" si="13"/>
        <v>3</v>
      </c>
      <c r="CL47" s="378">
        <f t="shared" si="13"/>
        <v>2</v>
      </c>
    </row>
    <row r="48" spans="1:90" ht="17" x14ac:dyDescent="0.2">
      <c r="A48" s="333"/>
      <c r="B48" s="335"/>
      <c r="C48" s="377"/>
      <c r="D48" s="335"/>
      <c r="E48" s="336"/>
      <c r="G48" s="336"/>
      <c r="H48" s="133" t="s">
        <v>168</v>
      </c>
      <c r="I48" s="50">
        <f>MAX(I5:I46)</f>
        <v>6794</v>
      </c>
      <c r="J48" s="50">
        <f t="shared" ref="J48:X48" si="14">MAX(J5:J46)</f>
        <v>10</v>
      </c>
      <c r="K48" s="50">
        <f t="shared" si="14"/>
        <v>2</v>
      </c>
      <c r="L48" s="50">
        <f t="shared" si="14"/>
        <v>8</v>
      </c>
      <c r="M48" s="50">
        <f t="shared" si="14"/>
        <v>1</v>
      </c>
      <c r="N48" s="50">
        <f t="shared" si="14"/>
        <v>777</v>
      </c>
      <c r="O48" s="50">
        <f t="shared" si="14"/>
        <v>301</v>
      </c>
      <c r="P48" s="50">
        <f t="shared" si="14"/>
        <v>1658</v>
      </c>
      <c r="Q48" s="50">
        <f t="shared" si="14"/>
        <v>365</v>
      </c>
      <c r="R48" s="50"/>
      <c r="S48" s="50"/>
      <c r="T48" s="50">
        <f t="shared" si="14"/>
        <v>49</v>
      </c>
      <c r="U48" s="50">
        <f t="shared" si="14"/>
        <v>25</v>
      </c>
      <c r="V48" s="50">
        <f t="shared" si="14"/>
        <v>24</v>
      </c>
      <c r="W48" s="50">
        <f t="shared" si="14"/>
        <v>88</v>
      </c>
      <c r="X48" s="50">
        <f t="shared" si="14"/>
        <v>122</v>
      </c>
      <c r="Y48" s="50">
        <f>MAX(Y25:Y46,Y5:Y23)</f>
        <v>190</v>
      </c>
      <c r="Z48" s="50">
        <f>MAX(Z25:Z46,Z5:Z23)</f>
        <v>170</v>
      </c>
      <c r="AA48" s="50">
        <f>MAX(AA5:AA46)</f>
        <v>4</v>
      </c>
      <c r="AB48" s="50">
        <f t="shared" ref="AB48:AF48" si="15">MAX(AB5:AB46)</f>
        <v>374</v>
      </c>
      <c r="AC48" s="50">
        <f t="shared" si="15"/>
        <v>162</v>
      </c>
      <c r="AD48" s="50">
        <f t="shared" si="15"/>
        <v>109</v>
      </c>
      <c r="AE48" s="50">
        <f t="shared" si="15"/>
        <v>54</v>
      </c>
      <c r="AF48" s="50">
        <f t="shared" si="15"/>
        <v>46</v>
      </c>
      <c r="AG48" s="50">
        <f>MAX(AG25:AG46,AG5:AG23)</f>
        <v>1083</v>
      </c>
      <c r="AH48" s="46">
        <f>MAX(AH25:AH46,AH5:AH23)</f>
        <v>0.65480895915678528</v>
      </c>
      <c r="AI48" s="77">
        <f t="shared" ref="AI48" si="16">MAX(AI5:AI46)</f>
        <v>16</v>
      </c>
      <c r="AJ48" s="50">
        <f>MAX(AJ5:AJ46)</f>
        <v>1619</v>
      </c>
      <c r="AK48" s="50">
        <f t="shared" ref="AK48:AO48" si="17">MAX(AK5:AK46)</f>
        <v>1022</v>
      </c>
      <c r="AL48" s="50">
        <f t="shared" si="17"/>
        <v>582</v>
      </c>
      <c r="AM48" s="50">
        <f t="shared" si="17"/>
        <v>92</v>
      </c>
      <c r="AN48" s="50">
        <f t="shared" si="17"/>
        <v>208</v>
      </c>
      <c r="AO48" s="50">
        <f t="shared" si="17"/>
        <v>298</v>
      </c>
      <c r="AP48" s="50">
        <f>MAX(AP5:AP46)</f>
        <v>573</v>
      </c>
      <c r="AQ48" s="50">
        <f t="shared" ref="AQ48:AS48" si="18">MAX(AQ5:AQ46)</f>
        <v>98</v>
      </c>
      <c r="AR48" s="50">
        <f t="shared" si="18"/>
        <v>36</v>
      </c>
      <c r="AS48" s="50">
        <f t="shared" si="18"/>
        <v>246</v>
      </c>
      <c r="AT48" s="50">
        <f>MAX(AT5:AT46)</f>
        <v>100</v>
      </c>
      <c r="AU48" s="50">
        <f t="shared" ref="AU48:AV48" si="19">MAX(AU5:AU46)</f>
        <v>327</v>
      </c>
      <c r="AV48" s="50">
        <f t="shared" si="19"/>
        <v>302</v>
      </c>
      <c r="AW48" s="50"/>
      <c r="AX48" s="77"/>
      <c r="AY48" s="384">
        <f>MAX(AY5:AY46)</f>
        <v>6.7155963302752291</v>
      </c>
      <c r="AZ48" s="51">
        <f t="shared" ref="AZ48:BF48" si="20">MAX(AZ5:AZ46)</f>
        <v>8.184615384615384</v>
      </c>
      <c r="BA48" s="51">
        <f t="shared" si="20"/>
        <v>4.6255924170616112</v>
      </c>
      <c r="BB48" s="52">
        <f t="shared" si="20"/>
        <v>2.801169590643275</v>
      </c>
      <c r="BC48" s="385">
        <f t="shared" si="20"/>
        <v>535</v>
      </c>
      <c r="BD48" s="50">
        <f t="shared" si="20"/>
        <v>34</v>
      </c>
      <c r="BE48" s="50">
        <f t="shared" si="20"/>
        <v>39</v>
      </c>
      <c r="BF48" s="77">
        <f t="shared" si="20"/>
        <v>29</v>
      </c>
      <c r="BG48" s="50"/>
      <c r="BH48" s="50"/>
      <c r="BI48" s="50">
        <f t="shared" ref="BI48:CL48" si="21">MAX(BI5:BI46)</f>
        <v>78</v>
      </c>
      <c r="BJ48" s="50"/>
      <c r="BK48" s="77">
        <f t="shared" si="21"/>
        <v>9</v>
      </c>
      <c r="BL48" s="385">
        <f t="shared" si="21"/>
        <v>13</v>
      </c>
      <c r="BM48" s="50">
        <f t="shared" si="21"/>
        <v>10</v>
      </c>
      <c r="BN48" s="77">
        <f t="shared" si="21"/>
        <v>8</v>
      </c>
      <c r="BO48" s="50">
        <f t="shared" si="21"/>
        <v>19</v>
      </c>
      <c r="BP48" s="50">
        <f t="shared" si="21"/>
        <v>9</v>
      </c>
      <c r="BQ48" s="77">
        <f t="shared" si="21"/>
        <v>12</v>
      </c>
      <c r="BR48" s="50">
        <f t="shared" si="21"/>
        <v>25</v>
      </c>
      <c r="BS48" s="50">
        <f t="shared" si="21"/>
        <v>7</v>
      </c>
      <c r="BT48" s="77">
        <f t="shared" si="21"/>
        <v>14</v>
      </c>
      <c r="BU48" s="50">
        <f t="shared" si="21"/>
        <v>19</v>
      </c>
      <c r="BV48" s="50">
        <f t="shared" si="21"/>
        <v>6</v>
      </c>
      <c r="BW48" s="77">
        <f t="shared" si="21"/>
        <v>12</v>
      </c>
      <c r="BX48" s="50">
        <f t="shared" si="21"/>
        <v>16</v>
      </c>
      <c r="BY48" s="50">
        <f t="shared" si="21"/>
        <v>5</v>
      </c>
      <c r="BZ48" s="77">
        <f t="shared" si="21"/>
        <v>11</v>
      </c>
      <c r="CA48" s="50">
        <f t="shared" si="21"/>
        <v>13</v>
      </c>
      <c r="CB48" s="50">
        <f t="shared" si="21"/>
        <v>12</v>
      </c>
      <c r="CC48" s="77">
        <f t="shared" si="21"/>
        <v>10</v>
      </c>
      <c r="CD48" s="50">
        <f t="shared" si="21"/>
        <v>13</v>
      </c>
      <c r="CE48" s="50">
        <f t="shared" si="21"/>
        <v>5</v>
      </c>
      <c r="CF48" s="77">
        <f t="shared" si="21"/>
        <v>10</v>
      </c>
      <c r="CG48" s="50">
        <f t="shared" si="21"/>
        <v>18</v>
      </c>
      <c r="CH48" s="50">
        <f t="shared" si="21"/>
        <v>4</v>
      </c>
      <c r="CI48" s="77">
        <f t="shared" si="21"/>
        <v>9</v>
      </c>
      <c r="CJ48" s="385">
        <f t="shared" si="21"/>
        <v>11</v>
      </c>
      <c r="CK48" s="50">
        <f t="shared" si="21"/>
        <v>4</v>
      </c>
      <c r="CL48" s="77">
        <f t="shared" si="21"/>
        <v>4</v>
      </c>
    </row>
    <row r="49" spans="1:90" ht="17" x14ac:dyDescent="0.2">
      <c r="A49" s="333"/>
      <c r="B49" s="335"/>
      <c r="C49" s="377"/>
      <c r="D49" s="335"/>
      <c r="E49" s="336"/>
      <c r="G49" s="336"/>
      <c r="H49" s="133" t="s">
        <v>169</v>
      </c>
      <c r="I49" s="50">
        <f>AVERAGE(I5:I46)</f>
        <v>4166.875</v>
      </c>
      <c r="J49" s="50">
        <f t="shared" ref="J49:X49" si="22">AVERAGE(J5:J46)</f>
        <v>6.8571428571428568</v>
      </c>
      <c r="K49" s="50">
        <f t="shared" si="22"/>
        <v>1.7142857142857142</v>
      </c>
      <c r="L49" s="50">
        <f t="shared" si="22"/>
        <v>5.1428571428571432</v>
      </c>
      <c r="M49" s="50">
        <f t="shared" si="22"/>
        <v>0.14285714285714285</v>
      </c>
      <c r="N49" s="50">
        <f t="shared" si="22"/>
        <v>510.42857142857144</v>
      </c>
      <c r="O49" s="50">
        <f t="shared" si="22"/>
        <v>194.14285714285714</v>
      </c>
      <c r="P49" s="50">
        <f t="shared" si="22"/>
        <v>1393.625</v>
      </c>
      <c r="Q49" s="50">
        <f t="shared" si="22"/>
        <v>261.625</v>
      </c>
      <c r="R49" s="50"/>
      <c r="S49" s="50"/>
      <c r="T49" s="50">
        <f t="shared" si="22"/>
        <v>42.875</v>
      </c>
      <c r="U49" s="50">
        <f t="shared" si="22"/>
        <v>20</v>
      </c>
      <c r="V49" s="50">
        <f t="shared" si="22"/>
        <v>22.875</v>
      </c>
      <c r="W49" s="50">
        <f t="shared" si="22"/>
        <v>59.782608695652172</v>
      </c>
      <c r="X49" s="50">
        <f t="shared" si="22"/>
        <v>82.6875</v>
      </c>
      <c r="Y49" s="50">
        <f>AVERAGE(Y25:Y46,Y5:Y23)</f>
        <v>164.33333333333334</v>
      </c>
      <c r="Z49" s="50">
        <f>AVERAGE(Z25:Z46,Z5:Z23)</f>
        <v>132.875</v>
      </c>
      <c r="AA49" s="50">
        <f>AVERAGE(AA5:AA46)</f>
        <v>4</v>
      </c>
      <c r="AB49" s="50">
        <f t="shared" ref="AB49:AF49" si="23">AVERAGE(AB5:AB46)</f>
        <v>279.5</v>
      </c>
      <c r="AC49" s="50">
        <f t="shared" si="23"/>
        <v>144.66666666666666</v>
      </c>
      <c r="AD49" s="50">
        <f t="shared" si="23"/>
        <v>86</v>
      </c>
      <c r="AE49" s="50">
        <f t="shared" si="23"/>
        <v>25.428571428571427</v>
      </c>
      <c r="AF49" s="50">
        <f t="shared" si="23"/>
        <v>31.466666666666665</v>
      </c>
      <c r="AG49" s="50">
        <f>AVERAGE(AG25:AG46,AG5:AG23)</f>
        <v>804.75</v>
      </c>
      <c r="AH49" s="46">
        <f>AVERAGE(AH25:AH46,AH5:AH23)</f>
        <v>0.57378353296584916</v>
      </c>
      <c r="AI49" s="77">
        <f t="shared" ref="AI49" si="24">AVERAGE(AI5:AI46)</f>
        <v>14.333333333333334</v>
      </c>
      <c r="AJ49" s="50">
        <f>AVERAGE(AJ5:AJ46)</f>
        <v>1215.5384615384614</v>
      </c>
      <c r="AK49" s="50">
        <f t="shared" ref="AK49:AO49" si="25">AVERAGE(AK5:AK46)</f>
        <v>728.46153846153845</v>
      </c>
      <c r="AL49" s="50">
        <f t="shared" si="25"/>
        <v>475.38461538461536</v>
      </c>
      <c r="AM49" s="50">
        <f t="shared" si="25"/>
        <v>31.153846153846153</v>
      </c>
      <c r="AN49" s="50">
        <f t="shared" si="25"/>
        <v>174</v>
      </c>
      <c r="AO49" s="50">
        <f t="shared" si="25"/>
        <v>203.15384615384616</v>
      </c>
      <c r="AP49" s="50">
        <f>AVERAGE(AP5:AP46)</f>
        <v>448.81578947368422</v>
      </c>
      <c r="AQ49" s="50">
        <f t="shared" ref="AQ49:AS49" si="26">AVERAGE(AQ5:AQ46)</f>
        <v>67</v>
      </c>
      <c r="AR49" s="50">
        <f t="shared" si="26"/>
        <v>15.081081081081081</v>
      </c>
      <c r="AS49" s="50">
        <f t="shared" si="26"/>
        <v>188.05714285714285</v>
      </c>
      <c r="AT49" s="50">
        <f>AVERAGE(AT5:AT46)</f>
        <v>86.666666666666671</v>
      </c>
      <c r="AU49" s="50">
        <f t="shared" ref="AU49:AV49" si="27">AVERAGE(AU5:AU46)</f>
        <v>227</v>
      </c>
      <c r="AV49" s="50">
        <f t="shared" si="27"/>
        <v>234.84615384615384</v>
      </c>
      <c r="AW49" s="50"/>
      <c r="AX49" s="77"/>
      <c r="AY49" s="384">
        <f>AVERAGE(AY5:AY46)</f>
        <v>4.8555448874142586</v>
      </c>
      <c r="AZ49" s="51">
        <f t="shared" ref="AZ49:BF49" si="28">AVERAGE(AZ5:AZ46)</f>
        <v>6.8009741656686566</v>
      </c>
      <c r="BA49" s="51">
        <f t="shared" si="28"/>
        <v>3.3357148095988634</v>
      </c>
      <c r="BB49" s="52">
        <f t="shared" si="28"/>
        <v>2.164778651757624</v>
      </c>
      <c r="BC49" s="385">
        <f t="shared" si="28"/>
        <v>320.54545454545456</v>
      </c>
      <c r="BD49" s="50">
        <f t="shared" si="28"/>
        <v>27.38095238095238</v>
      </c>
      <c r="BE49" s="50">
        <f t="shared" si="28"/>
        <v>28.875</v>
      </c>
      <c r="BF49" s="77">
        <f t="shared" si="28"/>
        <v>24.4</v>
      </c>
      <c r="BG49" s="50"/>
      <c r="BH49" s="50"/>
      <c r="BI49" s="50">
        <f t="shared" ref="BI49:CL49" si="29">AVERAGE(BI5:BI46)</f>
        <v>63.736842105263158</v>
      </c>
      <c r="BJ49" s="50"/>
      <c r="BK49" s="77">
        <f t="shared" si="29"/>
        <v>6.083333333333333</v>
      </c>
      <c r="BL49" s="385">
        <f t="shared" si="29"/>
        <v>10.666666666666666</v>
      </c>
      <c r="BM49" s="50">
        <f t="shared" si="29"/>
        <v>6.916666666666667</v>
      </c>
      <c r="BN49" s="77">
        <f t="shared" si="29"/>
        <v>5.916666666666667</v>
      </c>
      <c r="BO49" s="50">
        <f t="shared" si="29"/>
        <v>15.692307692307692</v>
      </c>
      <c r="BP49" s="50">
        <f t="shared" si="29"/>
        <v>6.3076923076923075</v>
      </c>
      <c r="BQ49" s="77">
        <f t="shared" si="29"/>
        <v>7.8461538461538458</v>
      </c>
      <c r="BR49" s="50">
        <f t="shared" si="29"/>
        <v>17.727272727272727</v>
      </c>
      <c r="BS49" s="50">
        <f t="shared" si="29"/>
        <v>5.2727272727272725</v>
      </c>
      <c r="BT49" s="77">
        <f t="shared" si="29"/>
        <v>9.1818181818181817</v>
      </c>
      <c r="BU49" s="50">
        <f t="shared" si="29"/>
        <v>16.2</v>
      </c>
      <c r="BV49" s="50">
        <f t="shared" si="29"/>
        <v>4.5</v>
      </c>
      <c r="BW49" s="77">
        <f t="shared" si="29"/>
        <v>8.4</v>
      </c>
      <c r="BX49" s="50">
        <f t="shared" si="29"/>
        <v>13.727272727272727</v>
      </c>
      <c r="BY49" s="50">
        <f t="shared" si="29"/>
        <v>3.7272727272727271</v>
      </c>
      <c r="BZ49" s="77">
        <f t="shared" si="29"/>
        <v>7.7272727272727275</v>
      </c>
      <c r="CA49" s="50">
        <f t="shared" si="29"/>
        <v>10.454545454545455</v>
      </c>
      <c r="CB49" s="50">
        <f t="shared" si="29"/>
        <v>4.4545454545454541</v>
      </c>
      <c r="CC49" s="77">
        <f t="shared" si="29"/>
        <v>6</v>
      </c>
      <c r="CD49" s="50">
        <f t="shared" si="29"/>
        <v>10.833333333333334</v>
      </c>
      <c r="CE49" s="50">
        <f t="shared" si="29"/>
        <v>4</v>
      </c>
      <c r="CF49" s="77">
        <f t="shared" si="29"/>
        <v>6.666666666666667</v>
      </c>
      <c r="CG49" s="50">
        <f t="shared" si="29"/>
        <v>15</v>
      </c>
      <c r="CH49" s="50">
        <f t="shared" si="29"/>
        <v>4</v>
      </c>
      <c r="CI49" s="77">
        <f t="shared" si="29"/>
        <v>7</v>
      </c>
      <c r="CJ49" s="385">
        <f t="shared" si="29"/>
        <v>8.875</v>
      </c>
      <c r="CK49" s="50">
        <f t="shared" si="29"/>
        <v>3.375</v>
      </c>
      <c r="CL49" s="77">
        <f t="shared" si="29"/>
        <v>3</v>
      </c>
    </row>
    <row r="50" spans="1:90" ht="17" x14ac:dyDescent="0.2">
      <c r="A50" s="333"/>
      <c r="B50" s="335"/>
      <c r="C50" s="377"/>
      <c r="D50" s="335"/>
      <c r="E50" s="336"/>
      <c r="G50" s="336"/>
      <c r="H50" s="133" t="s">
        <v>170</v>
      </c>
      <c r="I50" s="51">
        <f>STDEV(I5:I46)</f>
        <v>1218.9145566562784</v>
      </c>
      <c r="J50" s="51">
        <f t="shared" ref="J50:X50" si="30">STDEV(J5:J46)</f>
        <v>1.4638501094227985</v>
      </c>
      <c r="K50" s="51">
        <f t="shared" si="30"/>
        <v>0.48795003647426632</v>
      </c>
      <c r="L50" s="51">
        <f t="shared" si="30"/>
        <v>1.3451854182690988</v>
      </c>
      <c r="M50" s="51">
        <f t="shared" si="30"/>
        <v>0.37796447300922725</v>
      </c>
      <c r="N50" s="51">
        <f t="shared" si="30"/>
        <v>152.6617799176305</v>
      </c>
      <c r="O50" s="51">
        <f t="shared" si="30"/>
        <v>60.960174352956535</v>
      </c>
      <c r="P50" s="51">
        <f t="shared" si="30"/>
        <v>228.38247211953149</v>
      </c>
      <c r="Q50" s="51">
        <f t="shared" si="30"/>
        <v>59.608095087831821</v>
      </c>
      <c r="R50" s="51"/>
      <c r="S50" s="51"/>
      <c r="T50" s="51">
        <f t="shared" si="30"/>
        <v>4.1209395599963434</v>
      </c>
      <c r="U50" s="51">
        <f t="shared" si="30"/>
        <v>4.1747540560578447</v>
      </c>
      <c r="V50" s="51">
        <f t="shared" si="30"/>
        <v>1.807721533549109</v>
      </c>
      <c r="W50" s="51">
        <f t="shared" si="30"/>
        <v>15.779608595615731</v>
      </c>
      <c r="X50" s="51">
        <f t="shared" si="30"/>
        <v>15.204029071269234</v>
      </c>
      <c r="Y50" s="51">
        <f>STDEV(Y25:Y46,Y5:Y23)</f>
        <v>22.606783642673907</v>
      </c>
      <c r="Z50" s="51">
        <f>STDEV(Z25:Z46,Z5:Z23)</f>
        <v>27.168455973794316</v>
      </c>
      <c r="AA50" s="51">
        <f>STDEV(AA5:AA46)</f>
        <v>0</v>
      </c>
      <c r="AB50" s="51">
        <f t="shared" ref="AB50:AF50" si="31">STDEV(AB5:AB46)</f>
        <v>88.038059951364218</v>
      </c>
      <c r="AC50" s="51">
        <f t="shared" si="31"/>
        <v>17.502380790433438</v>
      </c>
      <c r="AD50" s="51">
        <f t="shared" si="31"/>
        <v>32.526911934581186</v>
      </c>
      <c r="AE50" s="51">
        <f t="shared" si="31"/>
        <v>8.9082626172078498</v>
      </c>
      <c r="AF50" s="51">
        <f t="shared" si="31"/>
        <v>7.424541031189035</v>
      </c>
      <c r="AG50" s="51">
        <f>STDEV(AG25:AG46,AG5:AG23)</f>
        <v>192.68682955955833</v>
      </c>
      <c r="AH50" s="257">
        <f>STDEV(AH25:AH46,AH5:AH23)</f>
        <v>7.0103852525407878E-2</v>
      </c>
      <c r="AI50" s="52">
        <f t="shared" ref="AI50" si="32">STDEV(AI5:AI46)</f>
        <v>1.5275252316519468</v>
      </c>
      <c r="AJ50" s="51">
        <f>STDEV(AJ5:AJ46)</f>
        <v>189.32934945248888</v>
      </c>
      <c r="AK50" s="51">
        <f t="shared" ref="AK50:AO50" si="33">STDEV(AK5:AK46)</f>
        <v>165.42350467039415</v>
      </c>
      <c r="AL50" s="51">
        <f t="shared" si="33"/>
        <v>60.906401499265655</v>
      </c>
      <c r="AM50" s="51">
        <f t="shared" si="33"/>
        <v>21.137826101746896</v>
      </c>
      <c r="AN50" s="51">
        <f t="shared" si="33"/>
        <v>24.755470775837274</v>
      </c>
      <c r="AO50" s="51">
        <f t="shared" si="33"/>
        <v>35.746436078407704</v>
      </c>
      <c r="AP50" s="51">
        <f>STDEV(AP5:AP46)</f>
        <v>54.761821018404511</v>
      </c>
      <c r="AQ50" s="51">
        <f t="shared" ref="AQ50:AS50" si="34">STDEV(AQ5:AQ46)</f>
        <v>11.030261405182864</v>
      </c>
      <c r="AR50" s="51">
        <f t="shared" si="34"/>
        <v>6.5801822770192926</v>
      </c>
      <c r="AS50" s="51">
        <f t="shared" si="34"/>
        <v>34.275649783297013</v>
      </c>
      <c r="AT50" s="51">
        <f>STDEV(AT5:AT46)</f>
        <v>10.362478100384678</v>
      </c>
      <c r="AU50" s="51">
        <f t="shared" ref="AU50:AV50" si="35">STDEV(AU5:AU46)</f>
        <v>45.031470477137802</v>
      </c>
      <c r="AV50" s="51">
        <f t="shared" si="35"/>
        <v>28.864182400356004</v>
      </c>
      <c r="AW50" s="51"/>
      <c r="AX50" s="52"/>
      <c r="AY50" s="384">
        <f>STDEV(AY5:AY46)</f>
        <v>1.0743716519742035</v>
      </c>
      <c r="AZ50" s="51">
        <f t="shared" ref="AZ50:BF50" si="36">STDEV(AZ5:AZ46)</f>
        <v>0.90065981402904927</v>
      </c>
      <c r="BA50" s="51">
        <f t="shared" si="36"/>
        <v>0.66370782165092113</v>
      </c>
      <c r="BB50" s="52">
        <f t="shared" si="36"/>
        <v>0.40765650826247563</v>
      </c>
      <c r="BC50" s="384">
        <f t="shared" si="36"/>
        <v>158.37320710042064</v>
      </c>
      <c r="BD50" s="51">
        <f t="shared" si="36"/>
        <v>3.6121488130500774</v>
      </c>
      <c r="BE50" s="51">
        <f t="shared" si="36"/>
        <v>4.5147905082443565</v>
      </c>
      <c r="BF50" s="52">
        <f t="shared" si="36"/>
        <v>2.7202941017470934</v>
      </c>
      <c r="BG50" s="51"/>
      <c r="BH50" s="51"/>
      <c r="BI50" s="51">
        <f t="shared" ref="BI50:CL50" si="37">STDEV(BI5:BI46)</f>
        <v>7.6727664521500989</v>
      </c>
      <c r="BJ50" s="51"/>
      <c r="BK50" s="52">
        <f t="shared" si="37"/>
        <v>1.1645001528813157</v>
      </c>
      <c r="BL50" s="384">
        <f t="shared" si="37"/>
        <v>2.0150945537631895</v>
      </c>
      <c r="BM50" s="51">
        <f t="shared" si="37"/>
        <v>2.1933093855190737</v>
      </c>
      <c r="BN50" s="52">
        <f t="shared" si="37"/>
        <v>1.0836246694508325</v>
      </c>
      <c r="BO50" s="51">
        <f t="shared" si="37"/>
        <v>2.5293153020997425</v>
      </c>
      <c r="BP50" s="51">
        <f t="shared" si="37"/>
        <v>1.3774744634423874</v>
      </c>
      <c r="BQ50" s="52">
        <f t="shared" si="37"/>
        <v>2.3038429433649141</v>
      </c>
      <c r="BR50" s="51">
        <f t="shared" si="37"/>
        <v>3.3790800254184279</v>
      </c>
      <c r="BS50" s="51">
        <f t="shared" si="37"/>
        <v>1.0090499582190262</v>
      </c>
      <c r="BT50" s="52">
        <f t="shared" si="37"/>
        <v>2.4420557658735729</v>
      </c>
      <c r="BU50" s="51">
        <f t="shared" si="37"/>
        <v>1.8737959096740233</v>
      </c>
      <c r="BV50" s="51">
        <f t="shared" si="37"/>
        <v>1.1785113019775793</v>
      </c>
      <c r="BW50" s="52">
        <f t="shared" si="37"/>
        <v>2.3664319132398459</v>
      </c>
      <c r="BX50" s="51">
        <f t="shared" si="37"/>
        <v>1.9021518914591973</v>
      </c>
      <c r="BY50" s="51">
        <f t="shared" si="37"/>
        <v>1.0090499582190262</v>
      </c>
      <c r="BZ50" s="52">
        <f t="shared" si="37"/>
        <v>1.9540168418367876</v>
      </c>
      <c r="CA50" s="51">
        <f t="shared" si="37"/>
        <v>3.0120968232656922</v>
      </c>
      <c r="CB50" s="51">
        <f t="shared" si="37"/>
        <v>2.6215886925159086</v>
      </c>
      <c r="CC50" s="52">
        <f t="shared" si="37"/>
        <v>2.2803508501982761</v>
      </c>
      <c r="CD50" s="51">
        <f t="shared" si="37"/>
        <v>1.4719601443879771</v>
      </c>
      <c r="CE50" s="51">
        <f t="shared" si="37"/>
        <v>0.63245553203367588</v>
      </c>
      <c r="CF50" s="52">
        <f t="shared" si="37"/>
        <v>1.632993161855451</v>
      </c>
      <c r="CG50" s="51">
        <f t="shared" si="37"/>
        <v>2.6457513110645907</v>
      </c>
      <c r="CH50" s="51">
        <f t="shared" si="37"/>
        <v>0</v>
      </c>
      <c r="CI50" s="52">
        <f t="shared" si="37"/>
        <v>2</v>
      </c>
      <c r="CJ50" s="384">
        <f t="shared" si="37"/>
        <v>1.2464234547582249</v>
      </c>
      <c r="CK50" s="51">
        <f t="shared" si="37"/>
        <v>0.51754916950676566</v>
      </c>
      <c r="CL50" s="52">
        <f t="shared" si="37"/>
        <v>0.70710678118654757</v>
      </c>
    </row>
    <row r="51" spans="1:90" ht="17" x14ac:dyDescent="0.2">
      <c r="A51" s="333"/>
      <c r="B51" s="335"/>
      <c r="C51" s="377"/>
      <c r="D51" s="335"/>
      <c r="E51" s="336"/>
      <c r="G51" s="336"/>
      <c r="H51" s="133" t="s">
        <v>171</v>
      </c>
      <c r="I51" s="45">
        <f>COUNT(I5:I46)</f>
        <v>8</v>
      </c>
      <c r="J51" s="45">
        <f t="shared" ref="J51:X51" si="38">COUNT(J5:J46)</f>
        <v>7</v>
      </c>
      <c r="K51" s="45">
        <f t="shared" si="38"/>
        <v>7</v>
      </c>
      <c r="L51" s="45">
        <f t="shared" si="38"/>
        <v>7</v>
      </c>
      <c r="M51" s="45">
        <f t="shared" si="38"/>
        <v>7</v>
      </c>
      <c r="N51" s="45">
        <f t="shared" si="38"/>
        <v>7</v>
      </c>
      <c r="O51" s="45">
        <f t="shared" si="38"/>
        <v>7</v>
      </c>
      <c r="P51" s="45">
        <f t="shared" si="38"/>
        <v>8</v>
      </c>
      <c r="Q51" s="45">
        <f t="shared" si="38"/>
        <v>8</v>
      </c>
      <c r="T51" s="45">
        <f t="shared" si="38"/>
        <v>8</v>
      </c>
      <c r="U51" s="45">
        <f t="shared" si="38"/>
        <v>8</v>
      </c>
      <c r="V51" s="45">
        <f t="shared" si="38"/>
        <v>8</v>
      </c>
      <c r="W51" s="45">
        <f t="shared" si="38"/>
        <v>23</v>
      </c>
      <c r="X51" s="45">
        <f t="shared" si="38"/>
        <v>16</v>
      </c>
      <c r="Y51" s="45">
        <f>COUNT(Y25:Y46,Y5:Y23)</f>
        <v>6</v>
      </c>
      <c r="Z51" s="45">
        <f>COUNT(Z25:Z46,Z5:Z23)</f>
        <v>8</v>
      </c>
      <c r="AA51" s="45">
        <f>COUNT(AA5:AA46)</f>
        <v>6</v>
      </c>
      <c r="AB51" s="45">
        <f t="shared" ref="AB51:AF51" si="39">COUNT(AB5:AB46)</f>
        <v>6</v>
      </c>
      <c r="AC51" s="45">
        <f t="shared" si="39"/>
        <v>3</v>
      </c>
      <c r="AD51" s="45">
        <f t="shared" si="39"/>
        <v>2</v>
      </c>
      <c r="AE51" s="45">
        <f t="shared" si="39"/>
        <v>21</v>
      </c>
      <c r="AF51" s="45">
        <f t="shared" si="39"/>
        <v>15</v>
      </c>
      <c r="AG51" s="45">
        <f>COUNT(AG25:AG46,AG5:AG23)</f>
        <v>8</v>
      </c>
      <c r="AH51" s="45">
        <f>COUNT(AH25:AH46,AH5:AH23)</f>
        <v>8</v>
      </c>
      <c r="AI51" s="49">
        <f t="shared" ref="AI51" si="40">COUNT(AI5:AI46)</f>
        <v>3</v>
      </c>
      <c r="AJ51" s="45">
        <f>COUNT(AJ5:AJ46)</f>
        <v>13</v>
      </c>
      <c r="AK51" s="45">
        <f t="shared" ref="AK51:AO51" si="41">COUNT(AK5:AK46)</f>
        <v>13</v>
      </c>
      <c r="AL51" s="45">
        <f t="shared" si="41"/>
        <v>13</v>
      </c>
      <c r="AM51" s="45">
        <f t="shared" si="41"/>
        <v>13</v>
      </c>
      <c r="AN51" s="45">
        <f t="shared" si="41"/>
        <v>13</v>
      </c>
      <c r="AO51" s="45">
        <f t="shared" si="41"/>
        <v>13</v>
      </c>
      <c r="AP51" s="45">
        <f>COUNT(AP5:AP46)</f>
        <v>38</v>
      </c>
      <c r="AQ51" s="45">
        <f t="shared" ref="AQ51:AS51" si="42">COUNT(AQ5:AQ46)</f>
        <v>37</v>
      </c>
      <c r="AR51" s="45">
        <f t="shared" si="42"/>
        <v>37</v>
      </c>
      <c r="AS51" s="45">
        <f t="shared" si="42"/>
        <v>35</v>
      </c>
      <c r="AT51" s="45">
        <f>COUNT(AT5:AT46)</f>
        <v>15</v>
      </c>
      <c r="AU51" s="45">
        <f t="shared" ref="AU51:AV51" si="43">COUNT(AU5:AU46)</f>
        <v>13</v>
      </c>
      <c r="AV51" s="45">
        <f t="shared" si="43"/>
        <v>13</v>
      </c>
      <c r="AY51" s="79">
        <f>COUNT(AY5:AY46)</f>
        <v>13</v>
      </c>
      <c r="AZ51" s="45">
        <f t="shared" ref="AZ51:BF51" si="44">COUNT(AZ5:AZ46)</f>
        <v>37</v>
      </c>
      <c r="BA51" s="45">
        <f t="shared" si="44"/>
        <v>12</v>
      </c>
      <c r="BB51" s="49">
        <f t="shared" si="44"/>
        <v>12</v>
      </c>
      <c r="BC51" s="79">
        <f t="shared" si="44"/>
        <v>11</v>
      </c>
      <c r="BD51" s="45">
        <f t="shared" si="44"/>
        <v>21</v>
      </c>
      <c r="BE51" s="45">
        <f t="shared" si="44"/>
        <v>16</v>
      </c>
      <c r="BF51" s="49">
        <f t="shared" si="44"/>
        <v>15</v>
      </c>
      <c r="BI51" s="45">
        <f t="shared" ref="BI51:CL51" si="45">COUNT(BI5:BI46)</f>
        <v>19</v>
      </c>
      <c r="BK51" s="49">
        <f t="shared" si="45"/>
        <v>12</v>
      </c>
      <c r="BL51" s="79">
        <f t="shared" si="45"/>
        <v>12</v>
      </c>
      <c r="BM51" s="45">
        <f t="shared" si="45"/>
        <v>12</v>
      </c>
      <c r="BN51" s="49">
        <f t="shared" si="45"/>
        <v>12</v>
      </c>
      <c r="BO51" s="45">
        <f t="shared" si="45"/>
        <v>13</v>
      </c>
      <c r="BP51" s="45">
        <f t="shared" si="45"/>
        <v>13</v>
      </c>
      <c r="BQ51" s="49">
        <f t="shared" si="45"/>
        <v>13</v>
      </c>
      <c r="BR51" s="45">
        <f t="shared" si="45"/>
        <v>11</v>
      </c>
      <c r="BS51" s="45">
        <f t="shared" si="45"/>
        <v>11</v>
      </c>
      <c r="BT51" s="49">
        <f t="shared" si="45"/>
        <v>11</v>
      </c>
      <c r="BU51" s="45">
        <f t="shared" si="45"/>
        <v>10</v>
      </c>
      <c r="BV51" s="45">
        <f t="shared" si="45"/>
        <v>10</v>
      </c>
      <c r="BW51" s="49">
        <f t="shared" si="45"/>
        <v>10</v>
      </c>
      <c r="BX51" s="45">
        <f t="shared" si="45"/>
        <v>11</v>
      </c>
      <c r="BY51" s="45">
        <f t="shared" si="45"/>
        <v>11</v>
      </c>
      <c r="BZ51" s="49">
        <f t="shared" si="45"/>
        <v>11</v>
      </c>
      <c r="CA51" s="45">
        <f t="shared" si="45"/>
        <v>11</v>
      </c>
      <c r="CB51" s="45">
        <f t="shared" si="45"/>
        <v>11</v>
      </c>
      <c r="CC51" s="49">
        <f t="shared" si="45"/>
        <v>11</v>
      </c>
      <c r="CD51" s="45">
        <f t="shared" si="45"/>
        <v>6</v>
      </c>
      <c r="CE51" s="45">
        <f t="shared" si="45"/>
        <v>6</v>
      </c>
      <c r="CF51" s="49">
        <f t="shared" si="45"/>
        <v>6</v>
      </c>
      <c r="CG51" s="45">
        <f t="shared" si="45"/>
        <v>3</v>
      </c>
      <c r="CH51" s="45">
        <f t="shared" si="45"/>
        <v>3</v>
      </c>
      <c r="CI51" s="49">
        <f t="shared" si="45"/>
        <v>3</v>
      </c>
      <c r="CJ51" s="79">
        <f t="shared" si="45"/>
        <v>8</v>
      </c>
      <c r="CK51" s="45">
        <f t="shared" si="45"/>
        <v>8</v>
      </c>
      <c r="CL51" s="49">
        <f t="shared" si="45"/>
        <v>5</v>
      </c>
    </row>
    <row r="52" spans="1:90" ht="18" thickBot="1" x14ac:dyDescent="0.25">
      <c r="A52" s="386"/>
      <c r="B52" s="387"/>
      <c r="C52" s="388"/>
      <c r="D52" s="387"/>
      <c r="E52" s="389"/>
      <c r="F52" s="390"/>
      <c r="G52" s="389"/>
      <c r="H52" s="391" t="s">
        <v>172</v>
      </c>
      <c r="I52" s="246">
        <f>I51</f>
        <v>8</v>
      </c>
      <c r="J52" s="246">
        <f t="shared" ref="J52:V52" si="46">J51</f>
        <v>7</v>
      </c>
      <c r="K52" s="246">
        <f t="shared" si="46"/>
        <v>7</v>
      </c>
      <c r="L52" s="246">
        <f t="shared" si="46"/>
        <v>7</v>
      </c>
      <c r="M52" s="246">
        <f t="shared" si="46"/>
        <v>7</v>
      </c>
      <c r="N52" s="246">
        <f t="shared" si="46"/>
        <v>7</v>
      </c>
      <c r="O52" s="246">
        <f t="shared" si="46"/>
        <v>7</v>
      </c>
      <c r="P52" s="246">
        <f t="shared" si="46"/>
        <v>8</v>
      </c>
      <c r="Q52" s="246">
        <f t="shared" si="46"/>
        <v>8</v>
      </c>
      <c r="R52" s="246"/>
      <c r="S52" s="246"/>
      <c r="T52" s="246">
        <f t="shared" si="46"/>
        <v>8</v>
      </c>
      <c r="U52" s="246">
        <f t="shared" si="46"/>
        <v>8</v>
      </c>
      <c r="V52" s="246">
        <f t="shared" si="46"/>
        <v>8</v>
      </c>
      <c r="W52" s="246">
        <v>8</v>
      </c>
      <c r="X52" s="246">
        <v>6</v>
      </c>
      <c r="Y52" s="246">
        <f>Y51</f>
        <v>6</v>
      </c>
      <c r="Z52" s="246">
        <f>Z51</f>
        <v>8</v>
      </c>
      <c r="AA52" s="246">
        <f>AA51</f>
        <v>6</v>
      </c>
      <c r="AB52" s="246">
        <f t="shared" ref="AB52:AD52" si="47">AB51</f>
        <v>6</v>
      </c>
      <c r="AC52" s="246">
        <f t="shared" si="47"/>
        <v>3</v>
      </c>
      <c r="AD52" s="246">
        <f t="shared" si="47"/>
        <v>2</v>
      </c>
      <c r="AE52" s="246">
        <v>7</v>
      </c>
      <c r="AF52" s="246">
        <v>5</v>
      </c>
      <c r="AG52" s="246">
        <f>AG51</f>
        <v>8</v>
      </c>
      <c r="AH52" s="246">
        <f>AH51</f>
        <v>8</v>
      </c>
      <c r="AI52" s="316">
        <v>1</v>
      </c>
      <c r="AJ52" s="246">
        <f>AJ51</f>
        <v>13</v>
      </c>
      <c r="AK52" s="246">
        <f t="shared" ref="AK52:AO52" si="48">AK51</f>
        <v>13</v>
      </c>
      <c r="AL52" s="246">
        <f t="shared" si="48"/>
        <v>13</v>
      </c>
      <c r="AM52" s="246">
        <f t="shared" si="48"/>
        <v>13</v>
      </c>
      <c r="AN52" s="246">
        <f t="shared" si="48"/>
        <v>13</v>
      </c>
      <c r="AO52" s="246">
        <f t="shared" si="48"/>
        <v>13</v>
      </c>
      <c r="AP52" s="246">
        <v>13</v>
      </c>
      <c r="AQ52" s="246">
        <v>13</v>
      </c>
      <c r="AR52" s="246">
        <v>13</v>
      </c>
      <c r="AS52" s="246">
        <v>13</v>
      </c>
      <c r="AT52" s="246">
        <v>8</v>
      </c>
      <c r="AU52" s="246">
        <f t="shared" ref="AU52:AV52" si="49">AU51</f>
        <v>13</v>
      </c>
      <c r="AV52" s="246">
        <f t="shared" si="49"/>
        <v>13</v>
      </c>
      <c r="AW52" s="246"/>
      <c r="AX52" s="316"/>
      <c r="AY52" s="392">
        <f t="shared" ref="AY52" si="50">AY51</f>
        <v>13</v>
      </c>
      <c r="AZ52" s="246">
        <v>13</v>
      </c>
      <c r="BA52" s="246">
        <f t="shared" ref="BA52:BC52" si="51">BA51</f>
        <v>12</v>
      </c>
      <c r="BB52" s="316">
        <f t="shared" si="51"/>
        <v>12</v>
      </c>
      <c r="BC52" s="392">
        <f t="shared" si="51"/>
        <v>11</v>
      </c>
      <c r="BD52" s="246">
        <v>10</v>
      </c>
      <c r="BE52" s="246">
        <v>10</v>
      </c>
      <c r="BF52" s="316">
        <v>10</v>
      </c>
      <c r="BG52" s="246"/>
      <c r="BH52" s="246"/>
      <c r="BI52" s="246">
        <v>10</v>
      </c>
      <c r="BJ52" s="246"/>
      <c r="BK52" s="316">
        <v>8</v>
      </c>
      <c r="BL52" s="246">
        <v>7</v>
      </c>
      <c r="BM52" s="246">
        <v>7</v>
      </c>
      <c r="BN52" s="316">
        <v>7</v>
      </c>
      <c r="BO52" s="246">
        <v>8</v>
      </c>
      <c r="BP52" s="246">
        <v>8</v>
      </c>
      <c r="BQ52" s="316">
        <v>8</v>
      </c>
      <c r="BR52" s="246">
        <v>8</v>
      </c>
      <c r="BS52" s="246">
        <v>8</v>
      </c>
      <c r="BT52" s="316">
        <v>8</v>
      </c>
      <c r="BU52" s="246">
        <v>7</v>
      </c>
      <c r="BV52" s="246">
        <v>7</v>
      </c>
      <c r="BW52" s="316">
        <v>7</v>
      </c>
      <c r="BX52" s="246">
        <v>8</v>
      </c>
      <c r="BY52" s="246">
        <v>8</v>
      </c>
      <c r="BZ52" s="316">
        <v>8</v>
      </c>
      <c r="CA52" s="246">
        <v>8</v>
      </c>
      <c r="CB52" s="246">
        <v>8</v>
      </c>
      <c r="CC52" s="316">
        <v>8</v>
      </c>
      <c r="CD52" s="246">
        <v>5</v>
      </c>
      <c r="CE52" s="246">
        <v>5</v>
      </c>
      <c r="CF52" s="316">
        <v>5</v>
      </c>
      <c r="CG52" s="246">
        <v>2</v>
      </c>
      <c r="CH52" s="246">
        <v>2</v>
      </c>
      <c r="CI52" s="316">
        <v>2</v>
      </c>
      <c r="CJ52" s="392">
        <v>6</v>
      </c>
      <c r="CK52" s="246">
        <v>6</v>
      </c>
      <c r="CL52" s="316">
        <v>4</v>
      </c>
    </row>
    <row r="53" spans="1:90" ht="17" thickTop="1" x14ac:dyDescent="0.2">
      <c r="Y53" s="53">
        <f>Y24</f>
        <v>161</v>
      </c>
      <c r="Z53" s="53">
        <f>Z24</f>
        <v>131</v>
      </c>
      <c r="AG53" s="53">
        <f>AG24</f>
        <v>1061</v>
      </c>
      <c r="AH53" s="74">
        <f>AH24</f>
        <v>0.66105919003115265</v>
      </c>
    </row>
  </sheetData>
  <mergeCells count="284">
    <mergeCell ref="G41:G43"/>
    <mergeCell ref="H41:H43"/>
    <mergeCell ref="A44:A46"/>
    <mergeCell ref="B44:B46"/>
    <mergeCell ref="C44:C46"/>
    <mergeCell ref="D44:D46"/>
    <mergeCell ref="E44:E46"/>
    <mergeCell ref="F44:F46"/>
    <mergeCell ref="G44:G46"/>
    <mergeCell ref="H44:H46"/>
    <mergeCell ref="A41:A43"/>
    <mergeCell ref="B41:B43"/>
    <mergeCell ref="C41:C43"/>
    <mergeCell ref="D41:D43"/>
    <mergeCell ref="E41:E43"/>
    <mergeCell ref="F41:F43"/>
    <mergeCell ref="G35:G37"/>
    <mergeCell ref="H35:H37"/>
    <mergeCell ref="A38:A40"/>
    <mergeCell ref="B38:B40"/>
    <mergeCell ref="C38:C40"/>
    <mergeCell ref="D38:D40"/>
    <mergeCell ref="E38:E40"/>
    <mergeCell ref="F38:F40"/>
    <mergeCell ref="G38:G40"/>
    <mergeCell ref="H38:H40"/>
    <mergeCell ref="A35:A37"/>
    <mergeCell ref="B35:B37"/>
    <mergeCell ref="C35:C37"/>
    <mergeCell ref="D35:D37"/>
    <mergeCell ref="E35:E37"/>
    <mergeCell ref="F35:F37"/>
    <mergeCell ref="G29:G31"/>
    <mergeCell ref="H29:H31"/>
    <mergeCell ref="A32:A34"/>
    <mergeCell ref="B32:B34"/>
    <mergeCell ref="C32:C34"/>
    <mergeCell ref="D32:D34"/>
    <mergeCell ref="E32:E34"/>
    <mergeCell ref="F32:F34"/>
    <mergeCell ref="G32:G34"/>
    <mergeCell ref="H32:H34"/>
    <mergeCell ref="A29:A31"/>
    <mergeCell ref="B29:B31"/>
    <mergeCell ref="C29:C31"/>
    <mergeCell ref="D29:D31"/>
    <mergeCell ref="E29:E31"/>
    <mergeCell ref="F29:F31"/>
    <mergeCell ref="G23:G25"/>
    <mergeCell ref="H23:H25"/>
    <mergeCell ref="A26:A28"/>
    <mergeCell ref="B26:B28"/>
    <mergeCell ref="C26:C28"/>
    <mergeCell ref="D26:D28"/>
    <mergeCell ref="E26:E28"/>
    <mergeCell ref="F26:F28"/>
    <mergeCell ref="G26:G28"/>
    <mergeCell ref="H26:H28"/>
    <mergeCell ref="A23:A25"/>
    <mergeCell ref="B23:B25"/>
    <mergeCell ref="C23:C25"/>
    <mergeCell ref="D23:D25"/>
    <mergeCell ref="E23:E25"/>
    <mergeCell ref="F23:F25"/>
    <mergeCell ref="G17:G19"/>
    <mergeCell ref="H17:H19"/>
    <mergeCell ref="A20:A22"/>
    <mergeCell ref="B20:B22"/>
    <mergeCell ref="C20:C22"/>
    <mergeCell ref="D20:D22"/>
    <mergeCell ref="E20:E22"/>
    <mergeCell ref="F20:F22"/>
    <mergeCell ref="G20:G22"/>
    <mergeCell ref="H20:H22"/>
    <mergeCell ref="A17:A19"/>
    <mergeCell ref="B17:B19"/>
    <mergeCell ref="C17:C19"/>
    <mergeCell ref="D17:D19"/>
    <mergeCell ref="E17:E19"/>
    <mergeCell ref="F17:F19"/>
    <mergeCell ref="G11:G13"/>
    <mergeCell ref="H11:H13"/>
    <mergeCell ref="A14:A16"/>
    <mergeCell ref="B14:B16"/>
    <mergeCell ref="C14:C16"/>
    <mergeCell ref="D14:D16"/>
    <mergeCell ref="E14:E16"/>
    <mergeCell ref="F14:F16"/>
    <mergeCell ref="G14:G16"/>
    <mergeCell ref="H14:H16"/>
    <mergeCell ref="A11:A13"/>
    <mergeCell ref="B11:B13"/>
    <mergeCell ref="C11:C13"/>
    <mergeCell ref="D11:D13"/>
    <mergeCell ref="E11:E13"/>
    <mergeCell ref="F11:F13"/>
    <mergeCell ref="G5:G7"/>
    <mergeCell ref="H5:H7"/>
    <mergeCell ref="A8:A10"/>
    <mergeCell ref="B8:B10"/>
    <mergeCell ref="C8:C10"/>
    <mergeCell ref="D8:D10"/>
    <mergeCell ref="E8:E10"/>
    <mergeCell ref="F8:F10"/>
    <mergeCell ref="G8:G10"/>
    <mergeCell ref="H8:H10"/>
    <mergeCell ref="A5:A7"/>
    <mergeCell ref="B5:B7"/>
    <mergeCell ref="C5:C7"/>
    <mergeCell ref="D5:D7"/>
    <mergeCell ref="E5:E7"/>
    <mergeCell ref="F5:F7"/>
    <mergeCell ref="CG3:CG4"/>
    <mergeCell ref="CH3:CH4"/>
    <mergeCell ref="CI3:CI4"/>
    <mergeCell ref="CJ3:CJ4"/>
    <mergeCell ref="CK3:CK4"/>
    <mergeCell ref="CL3:CL4"/>
    <mergeCell ref="CA3:CA4"/>
    <mergeCell ref="CB3:CB4"/>
    <mergeCell ref="CC3:CC4"/>
    <mergeCell ref="CD3:CD4"/>
    <mergeCell ref="CE3:CE4"/>
    <mergeCell ref="CF3:CF4"/>
    <mergeCell ref="BU3:BU4"/>
    <mergeCell ref="BV3:BV4"/>
    <mergeCell ref="BW3:BW4"/>
    <mergeCell ref="BX3:BX4"/>
    <mergeCell ref="BY3:BY4"/>
    <mergeCell ref="BZ3:BZ4"/>
    <mergeCell ref="BO3:BO4"/>
    <mergeCell ref="BP3:BP4"/>
    <mergeCell ref="BQ3:BQ4"/>
    <mergeCell ref="BR3:BR4"/>
    <mergeCell ref="BS3:BS4"/>
    <mergeCell ref="BT3:BT4"/>
    <mergeCell ref="BI3:BI4"/>
    <mergeCell ref="BJ3:BJ4"/>
    <mergeCell ref="BK3:BK4"/>
    <mergeCell ref="BL3:BL4"/>
    <mergeCell ref="BM3:BM4"/>
    <mergeCell ref="BN3:BN4"/>
    <mergeCell ref="BC3:BC4"/>
    <mergeCell ref="BD3:BD4"/>
    <mergeCell ref="BE3:BE4"/>
    <mergeCell ref="BF3:BF4"/>
    <mergeCell ref="BG3:BG4"/>
    <mergeCell ref="BH3:BH4"/>
    <mergeCell ref="AW3:AW4"/>
    <mergeCell ref="AX3:AX4"/>
    <mergeCell ref="AY3:AY4"/>
    <mergeCell ref="AZ3:AZ4"/>
    <mergeCell ref="BA3:BA4"/>
    <mergeCell ref="BB3:BB4"/>
    <mergeCell ref="AQ3:AQ4"/>
    <mergeCell ref="AR3:AR4"/>
    <mergeCell ref="AS3:AS4"/>
    <mergeCell ref="AT3:AT4"/>
    <mergeCell ref="AU3:AU4"/>
    <mergeCell ref="AV3:AV4"/>
    <mergeCell ref="AK3:AK4"/>
    <mergeCell ref="AL3:AL4"/>
    <mergeCell ref="AM3:AM4"/>
    <mergeCell ref="AN3:AN4"/>
    <mergeCell ref="AO3:AO4"/>
    <mergeCell ref="AP3:AP4"/>
    <mergeCell ref="AE3:AE4"/>
    <mergeCell ref="AF3:AF4"/>
    <mergeCell ref="AG3:AG4"/>
    <mergeCell ref="AH3:AH4"/>
    <mergeCell ref="AI3:AI4"/>
    <mergeCell ref="AJ3:AJ4"/>
    <mergeCell ref="Y3:Y4"/>
    <mergeCell ref="Z3:Z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X3:X4"/>
    <mergeCell ref="M3:M4"/>
    <mergeCell ref="N3:N4"/>
    <mergeCell ref="O3:O4"/>
    <mergeCell ref="P3:P4"/>
    <mergeCell ref="Q3:Q4"/>
    <mergeCell ref="R3:R4"/>
    <mergeCell ref="CG1:CG2"/>
    <mergeCell ref="CH1:CH2"/>
    <mergeCell ref="CI1:CI2"/>
    <mergeCell ref="CJ1:CJ2"/>
    <mergeCell ref="CK1:CK2"/>
    <mergeCell ref="CL1:CL2"/>
    <mergeCell ref="CA1:CA2"/>
    <mergeCell ref="CB1:CB2"/>
    <mergeCell ref="CC1:CC2"/>
    <mergeCell ref="CD1:CD2"/>
    <mergeCell ref="CE1:CE2"/>
    <mergeCell ref="CF1:CF2"/>
    <mergeCell ref="BU1:BU2"/>
    <mergeCell ref="BV1:BV2"/>
    <mergeCell ref="BW1:BW2"/>
    <mergeCell ref="BX1:BX2"/>
    <mergeCell ref="BY1:BY2"/>
    <mergeCell ref="BZ1:BZ2"/>
    <mergeCell ref="BO1:BO2"/>
    <mergeCell ref="BP1:BP2"/>
    <mergeCell ref="BQ1:BQ2"/>
    <mergeCell ref="BR1:BR2"/>
    <mergeCell ref="BS1:BS2"/>
    <mergeCell ref="BT1:BT2"/>
    <mergeCell ref="BI1:BI2"/>
    <mergeCell ref="BJ1:BJ2"/>
    <mergeCell ref="BK1:BK2"/>
    <mergeCell ref="BL1:BL2"/>
    <mergeCell ref="BM1:BM2"/>
    <mergeCell ref="BN1:BN2"/>
    <mergeCell ref="BC1:BC2"/>
    <mergeCell ref="BD1:BD2"/>
    <mergeCell ref="BE1:BE2"/>
    <mergeCell ref="BF1:BF2"/>
    <mergeCell ref="BG1:BG2"/>
    <mergeCell ref="BH1:BH2"/>
    <mergeCell ref="AW1:AW2"/>
    <mergeCell ref="AX1:AX2"/>
    <mergeCell ref="AY1:AY2"/>
    <mergeCell ref="AZ1:AZ2"/>
    <mergeCell ref="BA1:BA2"/>
    <mergeCell ref="BB1:BB2"/>
    <mergeCell ref="AQ1:AQ2"/>
    <mergeCell ref="AR1:AR2"/>
    <mergeCell ref="AS1:AS2"/>
    <mergeCell ref="AT1:AT2"/>
    <mergeCell ref="AU1:AU2"/>
    <mergeCell ref="AV1:AV2"/>
    <mergeCell ref="AK1:AK2"/>
    <mergeCell ref="AL1:AL2"/>
    <mergeCell ref="AM1:AM2"/>
    <mergeCell ref="AN1:AN2"/>
    <mergeCell ref="AO1:AO2"/>
    <mergeCell ref="AP1:AP2"/>
    <mergeCell ref="AE1:AE2"/>
    <mergeCell ref="AF1:AF2"/>
    <mergeCell ref="AG1:AG2"/>
    <mergeCell ref="AH1:AH2"/>
    <mergeCell ref="AI1:AI2"/>
    <mergeCell ref="AJ1:AJ2"/>
    <mergeCell ref="Y1:Y2"/>
    <mergeCell ref="Z1:Z2"/>
    <mergeCell ref="AA1:AA2"/>
    <mergeCell ref="AB1:AB2"/>
    <mergeCell ref="AC1:AC2"/>
    <mergeCell ref="AD1:AD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4"/>
    <mergeCell ref="H1:H4"/>
    <mergeCell ref="I1:I2"/>
    <mergeCell ref="J1:J2"/>
    <mergeCell ref="K1:K2"/>
    <mergeCell ref="L1:L2"/>
    <mergeCell ref="I3:I4"/>
    <mergeCell ref="J3:J4"/>
    <mergeCell ref="K3:K4"/>
    <mergeCell ref="L3:L4"/>
    <mergeCell ref="A1:A4"/>
    <mergeCell ref="B1:B4"/>
    <mergeCell ref="C1:C4"/>
    <mergeCell ref="D1:D4"/>
    <mergeCell ref="E1:E4"/>
    <mergeCell ref="F1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D2A5F-389D-084E-9DCB-83F5F476FE13}">
  <dimension ref="A1:DB118"/>
  <sheetViews>
    <sheetView zoomScale="79" zoomScaleNormal="79" workbookViewId="0">
      <selection activeCell="U51" sqref="U51"/>
    </sheetView>
  </sheetViews>
  <sheetFormatPr baseColWidth="10" defaultColWidth="10.83203125" defaultRowHeight="16" x14ac:dyDescent="0.2"/>
  <cols>
    <col min="1" max="1" width="13" style="49" customWidth="1"/>
    <col min="2" max="2" width="10.33203125" style="338" customWidth="1"/>
    <col min="3" max="3" width="10.33203125" style="130" customWidth="1"/>
    <col min="4" max="4" width="14.83203125" style="130" customWidth="1"/>
    <col min="5" max="5" width="12.33203125" style="45" customWidth="1"/>
    <col min="6" max="6" width="10.33203125" style="132" customWidth="1"/>
    <col min="7" max="7" width="12.1640625" style="45" customWidth="1"/>
    <col min="8" max="8" width="32.83203125" style="160" customWidth="1"/>
    <col min="9" max="16" width="10.83203125" style="45"/>
    <col min="17" max="17" width="10.83203125" style="79"/>
    <col min="18" max="32" width="10.83203125" style="45"/>
    <col min="33" max="33" width="10.83203125" style="49"/>
    <col min="34" max="52" width="10.83203125" style="53"/>
    <col min="53" max="53" width="10.83203125" style="49"/>
    <col min="54" max="67" width="10.83203125" style="45"/>
    <col min="68" max="68" width="10.83203125" style="49"/>
    <col min="69" max="71" width="10.83203125" style="45"/>
    <col min="72" max="72" width="10.83203125" style="49"/>
    <col min="73" max="75" width="10.83203125" style="45"/>
    <col min="76" max="76" width="10.83203125" style="49"/>
    <col min="77" max="16384" width="10.83203125" style="45"/>
  </cols>
  <sheetData>
    <row r="1" spans="1:101" s="15" customFormat="1" ht="16" customHeight="1" x14ac:dyDescent="0.2">
      <c r="A1" s="1" t="s">
        <v>0</v>
      </c>
      <c r="B1" s="279" t="s">
        <v>2</v>
      </c>
      <c r="C1" s="2" t="s">
        <v>1</v>
      </c>
      <c r="D1" s="2" t="s">
        <v>3</v>
      </c>
      <c r="E1" s="3" t="s">
        <v>4</v>
      </c>
      <c r="F1" s="3" t="s">
        <v>229</v>
      </c>
      <c r="G1" s="3" t="s">
        <v>6</v>
      </c>
      <c r="H1" s="4" t="s">
        <v>7</v>
      </c>
      <c r="I1" s="280" t="s">
        <v>8</v>
      </c>
      <c r="J1" s="280" t="s">
        <v>9</v>
      </c>
      <c r="K1" s="5"/>
      <c r="L1" s="5"/>
      <c r="M1" s="280"/>
      <c r="N1" s="5"/>
      <c r="O1" s="280"/>
      <c r="P1" s="280"/>
      <c r="Q1" s="410" t="s">
        <v>307</v>
      </c>
      <c r="R1" s="5"/>
      <c r="S1" s="280" t="s">
        <v>308</v>
      </c>
      <c r="T1" s="280"/>
      <c r="U1" s="280"/>
      <c r="V1" s="280"/>
      <c r="W1" s="280"/>
      <c r="X1" s="5" t="s">
        <v>309</v>
      </c>
      <c r="Y1" s="5"/>
      <c r="Z1" s="280" t="s">
        <v>310</v>
      </c>
      <c r="AA1" s="20"/>
      <c r="AB1" s="280"/>
      <c r="AC1" s="280" t="s">
        <v>311</v>
      </c>
      <c r="AD1" s="280" t="s">
        <v>312</v>
      </c>
      <c r="AE1" s="280"/>
      <c r="AF1" s="5" t="s">
        <v>313</v>
      </c>
      <c r="AG1" s="339"/>
      <c r="AH1" s="6" t="s">
        <v>17</v>
      </c>
      <c r="AI1" s="6"/>
      <c r="AJ1" s="282" t="s">
        <v>18</v>
      </c>
      <c r="AK1" s="282"/>
      <c r="AL1" s="282"/>
      <c r="AM1" s="282"/>
      <c r="AN1" s="282"/>
      <c r="AO1" s="282"/>
      <c r="AP1" s="282"/>
      <c r="AQ1" s="6" t="s">
        <v>19</v>
      </c>
      <c r="AR1" s="6"/>
      <c r="AS1" s="282" t="s">
        <v>20</v>
      </c>
      <c r="AT1" s="18"/>
      <c r="AU1" s="282"/>
      <c r="AV1" s="282" t="s">
        <v>21</v>
      </c>
      <c r="AW1" s="282" t="s">
        <v>22</v>
      </c>
      <c r="AX1" s="282"/>
      <c r="AY1" s="6" t="s">
        <v>23</v>
      </c>
      <c r="AZ1" s="8"/>
      <c r="BA1" s="339" t="s">
        <v>24</v>
      </c>
      <c r="BB1" s="5" t="s">
        <v>25</v>
      </c>
      <c r="BC1" s="5"/>
      <c r="BD1" s="5"/>
      <c r="BE1" s="5"/>
      <c r="BF1" s="5"/>
      <c r="BG1" s="5"/>
      <c r="BH1" s="5"/>
      <c r="BI1" s="5"/>
      <c r="BJ1" s="280"/>
      <c r="BK1" s="5"/>
      <c r="BL1" s="5"/>
      <c r="BM1" s="5"/>
      <c r="BN1" s="5"/>
      <c r="BO1" s="5"/>
      <c r="BP1" s="13"/>
      <c r="BQ1" s="280" t="s">
        <v>26</v>
      </c>
      <c r="BR1" s="280"/>
      <c r="BS1" s="280"/>
      <c r="BT1" s="285"/>
      <c r="BU1" s="280" t="s">
        <v>27</v>
      </c>
      <c r="BV1" s="280"/>
      <c r="BW1" s="280"/>
      <c r="BX1" s="285"/>
      <c r="BY1" s="280" t="s">
        <v>28</v>
      </c>
      <c r="BZ1" s="280"/>
      <c r="CA1" s="280"/>
      <c r="CB1" s="280"/>
      <c r="CC1" s="284"/>
      <c r="CD1" s="280"/>
      <c r="CE1" s="285"/>
      <c r="CF1" s="284"/>
      <c r="CG1" s="280"/>
      <c r="CH1" s="285"/>
      <c r="CI1" s="284"/>
      <c r="CJ1" s="280"/>
      <c r="CK1" s="285"/>
      <c r="CL1" s="284"/>
      <c r="CM1" s="280"/>
      <c r="CN1" s="285"/>
      <c r="CO1" s="284"/>
      <c r="CP1" s="280"/>
      <c r="CQ1" s="285"/>
      <c r="CR1" s="284"/>
      <c r="CS1" s="280"/>
      <c r="CT1" s="285"/>
      <c r="CU1" s="284"/>
      <c r="CV1" s="280"/>
      <c r="CW1" s="285"/>
    </row>
    <row r="2" spans="1:101" s="15" customFormat="1" ht="63" customHeight="1" x14ac:dyDescent="0.2">
      <c r="A2" s="1"/>
      <c r="B2" s="279"/>
      <c r="C2" s="2"/>
      <c r="D2" s="2"/>
      <c r="E2" s="3"/>
      <c r="F2" s="3"/>
      <c r="G2" s="3"/>
      <c r="H2" s="4"/>
      <c r="I2" s="280"/>
      <c r="J2" s="280"/>
      <c r="K2" s="5"/>
      <c r="L2" s="5"/>
      <c r="M2" s="280"/>
      <c r="N2" s="5"/>
      <c r="O2" s="280"/>
      <c r="P2" s="280"/>
      <c r="Q2" s="410"/>
      <c r="R2" s="5"/>
      <c r="S2" s="280"/>
      <c r="T2" s="280"/>
      <c r="U2" s="280"/>
      <c r="V2" s="280"/>
      <c r="W2" s="280"/>
      <c r="X2" s="5"/>
      <c r="Y2" s="5"/>
      <c r="Z2" s="280"/>
      <c r="AA2" s="20"/>
      <c r="AB2" s="280"/>
      <c r="AC2" s="280"/>
      <c r="AD2" s="280"/>
      <c r="AE2" s="280"/>
      <c r="AF2" s="5"/>
      <c r="AG2" s="339"/>
      <c r="AH2" s="6"/>
      <c r="AI2" s="6"/>
      <c r="AJ2" s="282"/>
      <c r="AK2" s="282"/>
      <c r="AL2" s="282"/>
      <c r="AM2" s="282"/>
      <c r="AN2" s="282"/>
      <c r="AO2" s="282"/>
      <c r="AP2" s="282"/>
      <c r="AQ2" s="6"/>
      <c r="AR2" s="6"/>
      <c r="AS2" s="282"/>
      <c r="AT2" s="18"/>
      <c r="AU2" s="282"/>
      <c r="AV2" s="282"/>
      <c r="AW2" s="282"/>
      <c r="AX2" s="282"/>
      <c r="AY2" s="6"/>
      <c r="AZ2" s="8"/>
      <c r="BA2" s="339"/>
      <c r="BB2" s="5"/>
      <c r="BC2" s="5"/>
      <c r="BD2" s="5"/>
      <c r="BE2" s="5"/>
      <c r="BF2" s="5"/>
      <c r="BG2" s="5"/>
      <c r="BH2" s="5"/>
      <c r="BI2" s="5"/>
      <c r="BJ2" s="280"/>
      <c r="BK2" s="5"/>
      <c r="BL2" s="5"/>
      <c r="BM2" s="5"/>
      <c r="BN2" s="5"/>
      <c r="BO2" s="5"/>
      <c r="BP2" s="13"/>
      <c r="BQ2" s="280"/>
      <c r="BR2" s="280"/>
      <c r="BS2" s="280"/>
      <c r="BT2" s="285"/>
      <c r="BU2" s="280"/>
      <c r="BV2" s="280"/>
      <c r="BW2" s="280"/>
      <c r="BX2" s="285"/>
      <c r="BY2" s="280"/>
      <c r="BZ2" s="280"/>
      <c r="CA2" s="280"/>
      <c r="CB2" s="280"/>
      <c r="CC2" s="284"/>
      <c r="CD2" s="280"/>
      <c r="CE2" s="285"/>
      <c r="CF2" s="284"/>
      <c r="CG2" s="280"/>
      <c r="CH2" s="285"/>
      <c r="CI2" s="284"/>
      <c r="CJ2" s="280"/>
      <c r="CK2" s="285"/>
      <c r="CL2" s="284"/>
      <c r="CM2" s="280"/>
      <c r="CN2" s="285"/>
      <c r="CO2" s="284"/>
      <c r="CP2" s="280"/>
      <c r="CQ2" s="285"/>
      <c r="CR2" s="284"/>
      <c r="CS2" s="280"/>
      <c r="CT2" s="285"/>
      <c r="CU2" s="284"/>
      <c r="CV2" s="280"/>
      <c r="CW2" s="285"/>
    </row>
    <row r="3" spans="1:101" s="15" customFormat="1" ht="26" customHeight="1" x14ac:dyDescent="0.2">
      <c r="A3" s="1"/>
      <c r="B3" s="279"/>
      <c r="C3" s="2"/>
      <c r="D3" s="2"/>
      <c r="E3" s="3"/>
      <c r="F3" s="3"/>
      <c r="G3" s="3"/>
      <c r="H3" s="4"/>
      <c r="I3" s="17" t="s">
        <v>8</v>
      </c>
      <c r="J3" s="17" t="s">
        <v>31</v>
      </c>
      <c r="K3" s="17" t="s">
        <v>32</v>
      </c>
      <c r="L3" s="17" t="s">
        <v>33</v>
      </c>
      <c r="M3" s="17" t="s">
        <v>34</v>
      </c>
      <c r="N3" s="17" t="s">
        <v>36</v>
      </c>
      <c r="O3" s="17" t="s">
        <v>37</v>
      </c>
      <c r="P3" s="17" t="s">
        <v>38</v>
      </c>
      <c r="Q3" s="411" t="s">
        <v>44</v>
      </c>
      <c r="R3" s="20" t="s">
        <v>56</v>
      </c>
      <c r="S3" s="17" t="s">
        <v>41</v>
      </c>
      <c r="T3" s="17" t="s">
        <v>42</v>
      </c>
      <c r="U3" s="17" t="s">
        <v>43</v>
      </c>
      <c r="V3" s="17" t="s">
        <v>241</v>
      </c>
      <c r="W3" s="17" t="s">
        <v>242</v>
      </c>
      <c r="X3" s="17" t="s">
        <v>241</v>
      </c>
      <c r="Y3" s="17" t="s">
        <v>242</v>
      </c>
      <c r="Z3" s="17" t="s">
        <v>46</v>
      </c>
      <c r="AA3" s="17" t="s">
        <v>47</v>
      </c>
      <c r="AB3" s="17" t="s">
        <v>56</v>
      </c>
      <c r="AC3" s="17" t="s">
        <v>49</v>
      </c>
      <c r="AD3" s="17" t="s">
        <v>50</v>
      </c>
      <c r="AE3" s="17" t="s">
        <v>51</v>
      </c>
      <c r="AF3" s="17" t="s">
        <v>362</v>
      </c>
      <c r="AG3" s="287" t="s">
        <v>363</v>
      </c>
      <c r="AH3" s="18" t="s">
        <v>44</v>
      </c>
      <c r="AI3" s="18" t="s">
        <v>56</v>
      </c>
      <c r="AJ3" s="7" t="s">
        <v>364</v>
      </c>
      <c r="AK3" s="7" t="s">
        <v>365</v>
      </c>
      <c r="AL3" s="7" t="s">
        <v>366</v>
      </c>
      <c r="AM3" s="7" t="s">
        <v>252</v>
      </c>
      <c r="AN3" s="7" t="s">
        <v>253</v>
      </c>
      <c r="AO3" s="7" t="s">
        <v>252</v>
      </c>
      <c r="AP3" s="7" t="s">
        <v>253</v>
      </c>
      <c r="AQ3" s="7" t="s">
        <v>252</v>
      </c>
      <c r="AR3" s="7" t="s">
        <v>253</v>
      </c>
      <c r="AS3" s="7" t="s">
        <v>367</v>
      </c>
      <c r="AT3" s="7" t="s">
        <v>257</v>
      </c>
      <c r="AU3" s="7" t="s">
        <v>258</v>
      </c>
      <c r="AV3" s="7" t="s">
        <v>368</v>
      </c>
      <c r="AW3" s="7" t="s">
        <v>259</v>
      </c>
      <c r="AX3" s="7" t="s">
        <v>260</v>
      </c>
      <c r="AY3" s="7" t="s">
        <v>261</v>
      </c>
      <c r="AZ3" s="19" t="s">
        <v>262</v>
      </c>
      <c r="BA3" s="287" t="s">
        <v>57</v>
      </c>
      <c r="BB3" s="17" t="s">
        <v>8</v>
      </c>
      <c r="BC3" s="17" t="s">
        <v>58</v>
      </c>
      <c r="BD3" s="17" t="s">
        <v>59</v>
      </c>
      <c r="BE3" s="17" t="s">
        <v>60</v>
      </c>
      <c r="BF3" s="17" t="s">
        <v>61</v>
      </c>
      <c r="BG3" s="17" t="s">
        <v>62</v>
      </c>
      <c r="BH3" s="17" t="s">
        <v>63</v>
      </c>
      <c r="BI3" s="17" t="s">
        <v>64</v>
      </c>
      <c r="BJ3" s="17" t="s">
        <v>65</v>
      </c>
      <c r="BK3" s="17" t="s">
        <v>66</v>
      </c>
      <c r="BL3" s="17" t="s">
        <v>67</v>
      </c>
      <c r="BM3" s="17" t="s">
        <v>68</v>
      </c>
      <c r="BN3" s="17" t="s">
        <v>69</v>
      </c>
      <c r="BO3" s="17" t="s">
        <v>70</v>
      </c>
      <c r="BP3" s="24" t="s">
        <v>56</v>
      </c>
      <c r="BQ3" s="17" t="s">
        <v>71</v>
      </c>
      <c r="BR3" s="17" t="s">
        <v>72</v>
      </c>
      <c r="BS3" s="17" t="s">
        <v>73</v>
      </c>
      <c r="BT3" s="24" t="s">
        <v>74</v>
      </c>
      <c r="BU3" s="17" t="s">
        <v>75</v>
      </c>
      <c r="BV3" s="17" t="s">
        <v>76</v>
      </c>
      <c r="BW3" s="17" t="s">
        <v>77</v>
      </c>
      <c r="BX3" s="24" t="s">
        <v>78</v>
      </c>
      <c r="BY3" s="17" t="s">
        <v>79</v>
      </c>
      <c r="BZ3" s="17" t="s">
        <v>263</v>
      </c>
      <c r="CA3" s="17" t="s">
        <v>82</v>
      </c>
      <c r="CB3" s="17" t="s">
        <v>83</v>
      </c>
      <c r="CC3" s="23" t="s">
        <v>87</v>
      </c>
      <c r="CD3" s="17" t="s">
        <v>88</v>
      </c>
      <c r="CE3" s="24" t="s">
        <v>89</v>
      </c>
      <c r="CF3" s="23" t="s">
        <v>90</v>
      </c>
      <c r="CG3" s="17" t="s">
        <v>91</v>
      </c>
      <c r="CH3" s="24" t="s">
        <v>92</v>
      </c>
      <c r="CI3" s="23" t="s">
        <v>93</v>
      </c>
      <c r="CJ3" s="17" t="s">
        <v>94</v>
      </c>
      <c r="CK3" s="24" t="s">
        <v>95</v>
      </c>
      <c r="CL3" s="23" t="s">
        <v>96</v>
      </c>
      <c r="CM3" s="17" t="s">
        <v>97</v>
      </c>
      <c r="CN3" s="24" t="s">
        <v>98</v>
      </c>
      <c r="CO3" s="23" t="s">
        <v>99</v>
      </c>
      <c r="CP3" s="17" t="s">
        <v>100</v>
      </c>
      <c r="CQ3" s="24" t="s">
        <v>101</v>
      </c>
      <c r="CR3" s="23" t="s">
        <v>102</v>
      </c>
      <c r="CS3" s="17" t="s">
        <v>264</v>
      </c>
      <c r="CT3" s="24" t="s">
        <v>104</v>
      </c>
      <c r="CU3" s="23" t="s">
        <v>105</v>
      </c>
      <c r="CV3" s="17" t="s">
        <v>265</v>
      </c>
      <c r="CW3" s="24" t="s">
        <v>107</v>
      </c>
    </row>
    <row r="4" spans="1:101" s="15" customFormat="1" ht="72" customHeight="1" x14ac:dyDescent="0.2">
      <c r="A4" s="25"/>
      <c r="B4" s="288"/>
      <c r="C4" s="26"/>
      <c r="D4" s="26"/>
      <c r="E4" s="27"/>
      <c r="F4" s="27"/>
      <c r="G4" s="27"/>
      <c r="H4" s="28"/>
      <c r="I4" s="30"/>
      <c r="J4" s="30"/>
      <c r="K4" s="30"/>
      <c r="L4" s="30"/>
      <c r="M4" s="30"/>
      <c r="N4" s="30"/>
      <c r="O4" s="30"/>
      <c r="P4" s="30"/>
      <c r="Q4" s="412"/>
      <c r="R4" s="34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93"/>
      <c r="AH4" s="31"/>
      <c r="AI4" s="31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3"/>
      <c r="BA4" s="29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9"/>
      <c r="BQ4" s="30"/>
      <c r="BR4" s="30"/>
      <c r="BS4" s="30"/>
      <c r="BT4" s="39"/>
      <c r="BU4" s="30"/>
      <c r="BV4" s="30"/>
      <c r="BW4" s="30"/>
      <c r="BX4" s="39"/>
      <c r="BY4" s="30"/>
      <c r="BZ4" s="30"/>
      <c r="CA4" s="30"/>
      <c r="CB4" s="30"/>
      <c r="CC4" s="38"/>
      <c r="CD4" s="30"/>
      <c r="CE4" s="39"/>
      <c r="CF4" s="38"/>
      <c r="CG4" s="30"/>
      <c r="CH4" s="39"/>
      <c r="CI4" s="38"/>
      <c r="CJ4" s="30"/>
      <c r="CK4" s="39"/>
      <c r="CL4" s="38"/>
      <c r="CM4" s="30"/>
      <c r="CN4" s="39"/>
      <c r="CO4" s="38"/>
      <c r="CP4" s="30"/>
      <c r="CQ4" s="39"/>
      <c r="CR4" s="38"/>
      <c r="CS4" s="30"/>
      <c r="CT4" s="39"/>
      <c r="CU4" s="38"/>
      <c r="CV4" s="30"/>
      <c r="CW4" s="39"/>
    </row>
    <row r="5" spans="1:101" x14ac:dyDescent="0.2">
      <c r="A5" s="394" t="s">
        <v>369</v>
      </c>
      <c r="B5" s="42" t="s">
        <v>370</v>
      </c>
      <c r="C5" s="395" t="s">
        <v>109</v>
      </c>
      <c r="D5" s="395" t="s">
        <v>157</v>
      </c>
      <c r="E5" s="396" t="s">
        <v>124</v>
      </c>
      <c r="F5" s="397">
        <v>2</v>
      </c>
      <c r="G5" s="396" t="s">
        <v>133</v>
      </c>
      <c r="H5" s="398"/>
      <c r="I5" s="45">
        <f>1408+1836+1554</f>
        <v>4798</v>
      </c>
      <c r="J5" s="45">
        <v>8</v>
      </c>
      <c r="K5" s="45">
        <f>J5-M5</f>
        <v>2</v>
      </c>
      <c r="L5" s="45">
        <f>K5-N5</f>
        <v>2</v>
      </c>
      <c r="M5" s="45">
        <v>6</v>
      </c>
      <c r="N5" s="45">
        <v>0</v>
      </c>
      <c r="O5" s="45">
        <v>473</v>
      </c>
      <c r="P5" s="45">
        <v>257</v>
      </c>
      <c r="Q5" s="79">
        <v>1562</v>
      </c>
      <c r="R5" s="45">
        <v>347</v>
      </c>
      <c r="S5" s="45">
        <v>26</v>
      </c>
      <c r="T5" s="45">
        <v>13</v>
      </c>
      <c r="U5" s="45">
        <f>S5-T5</f>
        <v>13</v>
      </c>
      <c r="V5" s="45">
        <v>112</v>
      </c>
      <c r="W5" s="45">
        <v>86</v>
      </c>
      <c r="X5" s="45">
        <v>195</v>
      </c>
      <c r="Y5" s="45">
        <v>152</v>
      </c>
      <c r="Z5" s="45">
        <v>4</v>
      </c>
      <c r="AA5" s="45">
        <v>427</v>
      </c>
      <c r="AB5" s="45">
        <v>158</v>
      </c>
      <c r="AC5" s="45" t="s">
        <v>115</v>
      </c>
      <c r="AD5" s="45">
        <v>33</v>
      </c>
      <c r="AE5" s="45">
        <v>38</v>
      </c>
      <c r="AF5" s="45">
        <v>990</v>
      </c>
      <c r="AG5" s="347">
        <f>AF5/Q5</f>
        <v>0.63380281690140849</v>
      </c>
      <c r="AH5" s="53" t="s">
        <v>115</v>
      </c>
      <c r="AI5" s="53" t="s">
        <v>115</v>
      </c>
      <c r="AJ5" s="53" t="s">
        <v>115</v>
      </c>
      <c r="AK5" s="53" t="s">
        <v>115</v>
      </c>
      <c r="AL5" s="53" t="s">
        <v>115</v>
      </c>
      <c r="AM5" s="53" t="s">
        <v>115</v>
      </c>
      <c r="AN5" s="53" t="s">
        <v>115</v>
      </c>
      <c r="AO5" s="53" t="s">
        <v>115</v>
      </c>
      <c r="AP5" s="53" t="s">
        <v>115</v>
      </c>
      <c r="AQ5" s="53" t="s">
        <v>115</v>
      </c>
      <c r="AR5" s="53" t="s">
        <v>115</v>
      </c>
      <c r="AS5" s="53" t="s">
        <v>115</v>
      </c>
      <c r="AT5" s="53" t="s">
        <v>115</v>
      </c>
      <c r="AU5" s="53" t="s">
        <v>115</v>
      </c>
      <c r="AV5" s="53" t="s">
        <v>115</v>
      </c>
      <c r="AW5" s="53" t="s">
        <v>115</v>
      </c>
      <c r="AX5" s="53" t="s">
        <v>115</v>
      </c>
      <c r="AY5" s="53" t="s">
        <v>115</v>
      </c>
      <c r="AZ5" s="53" t="s">
        <v>115</v>
      </c>
      <c r="BA5" s="347" t="s">
        <v>115</v>
      </c>
      <c r="BB5" s="45">
        <v>1403</v>
      </c>
      <c r="BC5" s="45">
        <v>1003</v>
      </c>
      <c r="BD5" s="45">
        <v>409</v>
      </c>
      <c r="BE5" s="45">
        <v>0</v>
      </c>
      <c r="BF5" s="45">
        <v>141</v>
      </c>
      <c r="BG5" s="45">
        <v>193</v>
      </c>
      <c r="BH5" s="45">
        <v>410</v>
      </c>
      <c r="BI5" s="45">
        <v>79</v>
      </c>
      <c r="BJ5" s="50">
        <v>14</v>
      </c>
      <c r="BK5" s="45">
        <v>198</v>
      </c>
      <c r="BL5" s="45">
        <v>99</v>
      </c>
      <c r="BM5" s="45">
        <v>220</v>
      </c>
      <c r="BN5" s="45">
        <v>233</v>
      </c>
      <c r="BO5" s="45" t="s">
        <v>337</v>
      </c>
      <c r="BP5" s="49">
        <f>R5</f>
        <v>347</v>
      </c>
      <c r="BQ5" s="51">
        <f>BC5/BP5</f>
        <v>2.8904899135446684</v>
      </c>
      <c r="BR5" s="51">
        <f>BH5/BI5</f>
        <v>5.1898734177215191</v>
      </c>
      <c r="BS5" s="51">
        <f>BC5/BM5</f>
        <v>4.5590909090909095</v>
      </c>
      <c r="BT5" s="52">
        <f>BD5/BM5</f>
        <v>1.8590909090909091</v>
      </c>
      <c r="BU5" s="45">
        <v>696</v>
      </c>
      <c r="BV5" s="45">
        <v>30</v>
      </c>
      <c r="BW5" s="45">
        <v>34</v>
      </c>
      <c r="BX5" s="49">
        <v>24</v>
      </c>
      <c r="BY5" s="45">
        <v>7</v>
      </c>
      <c r="BZ5" s="45">
        <v>81</v>
      </c>
      <c r="CA5" s="45">
        <v>7</v>
      </c>
      <c r="CB5" s="45">
        <v>5</v>
      </c>
      <c r="CC5" s="79">
        <v>8</v>
      </c>
      <c r="CD5" s="45">
        <v>8</v>
      </c>
      <c r="CE5" s="49">
        <v>15</v>
      </c>
      <c r="CF5" s="79">
        <v>16</v>
      </c>
      <c r="CG5" s="45">
        <v>9</v>
      </c>
      <c r="CH5" s="49">
        <v>15</v>
      </c>
      <c r="CI5" s="79">
        <v>19</v>
      </c>
      <c r="CJ5" s="45">
        <v>6</v>
      </c>
      <c r="CK5" s="49">
        <v>14</v>
      </c>
      <c r="CL5" s="79">
        <v>21</v>
      </c>
      <c r="CM5" s="45">
        <v>6</v>
      </c>
      <c r="CN5" s="49">
        <v>13</v>
      </c>
      <c r="CO5" s="79">
        <v>19</v>
      </c>
      <c r="CP5" s="45">
        <v>6</v>
      </c>
      <c r="CQ5" s="49">
        <v>9</v>
      </c>
      <c r="CR5" s="79">
        <v>8</v>
      </c>
      <c r="CS5" s="45">
        <v>3</v>
      </c>
      <c r="CT5" s="49">
        <v>4</v>
      </c>
      <c r="CU5" s="79">
        <v>8</v>
      </c>
      <c r="CV5" s="45">
        <v>3</v>
      </c>
      <c r="CW5" s="49">
        <v>5</v>
      </c>
    </row>
    <row r="6" spans="1:101" x14ac:dyDescent="0.2">
      <c r="A6" s="40"/>
      <c r="B6" s="41"/>
      <c r="C6" s="41"/>
      <c r="D6" s="41"/>
      <c r="E6" s="43"/>
      <c r="F6" s="44"/>
      <c r="G6" s="43"/>
      <c r="H6" s="69"/>
      <c r="V6" s="45">
        <v>64</v>
      </c>
      <c r="W6" s="45">
        <v>95</v>
      </c>
      <c r="AD6" s="45">
        <v>48</v>
      </c>
      <c r="AE6" s="45">
        <v>34</v>
      </c>
      <c r="BH6" s="45">
        <v>397</v>
      </c>
      <c r="BI6" s="45">
        <v>62</v>
      </c>
      <c r="BJ6" s="50">
        <v>15</v>
      </c>
      <c r="BK6" s="45">
        <v>208</v>
      </c>
      <c r="BL6" s="45">
        <v>87</v>
      </c>
      <c r="BQ6" s="51"/>
      <c r="BR6" s="51">
        <f t="shared" ref="BR6:BR68" si="0">BH6/BI6</f>
        <v>6.403225806451613</v>
      </c>
      <c r="BS6" s="51"/>
      <c r="BT6" s="52"/>
      <c r="BV6" s="45">
        <v>32</v>
      </c>
      <c r="BW6" s="45">
        <v>28</v>
      </c>
      <c r="BX6" s="49">
        <v>22</v>
      </c>
      <c r="BZ6" s="45">
        <v>91</v>
      </c>
      <c r="CB6" s="45">
        <v>5</v>
      </c>
      <c r="CC6" s="79">
        <v>13</v>
      </c>
      <c r="CD6" s="45">
        <v>10</v>
      </c>
      <c r="CE6" s="49">
        <v>7</v>
      </c>
      <c r="CF6" s="79">
        <v>20</v>
      </c>
      <c r="CG6" s="45">
        <v>7</v>
      </c>
      <c r="CH6" s="49">
        <v>8</v>
      </c>
      <c r="CI6" s="79">
        <v>21</v>
      </c>
      <c r="CJ6" s="45">
        <v>7</v>
      </c>
      <c r="CK6" s="49">
        <v>15</v>
      </c>
      <c r="CL6" s="79"/>
      <c r="CN6" s="49"/>
      <c r="CO6" s="79">
        <v>18</v>
      </c>
      <c r="CP6" s="45">
        <v>6</v>
      </c>
      <c r="CQ6" s="49">
        <v>10</v>
      </c>
      <c r="CR6" s="79"/>
      <c r="CT6" s="49"/>
      <c r="CU6" s="79"/>
      <c r="CW6" s="49"/>
    </row>
    <row r="7" spans="1:101" x14ac:dyDescent="0.2">
      <c r="A7" s="40"/>
      <c r="B7" s="41"/>
      <c r="C7" s="41"/>
      <c r="D7" s="41"/>
      <c r="E7" s="43"/>
      <c r="F7" s="44"/>
      <c r="G7" s="43"/>
      <c r="H7" s="69"/>
      <c r="V7" s="45">
        <v>101</v>
      </c>
      <c r="W7" s="45">
        <v>73</v>
      </c>
      <c r="AD7" s="45">
        <v>36</v>
      </c>
      <c r="AE7" s="45">
        <v>37</v>
      </c>
      <c r="BH7" s="45">
        <v>400</v>
      </c>
      <c r="BI7" s="45">
        <v>62</v>
      </c>
      <c r="BJ7" s="50">
        <v>16</v>
      </c>
      <c r="BK7" s="45" t="s">
        <v>115</v>
      </c>
      <c r="BL7" s="45">
        <v>90</v>
      </c>
      <c r="BQ7" s="51"/>
      <c r="BR7" s="51">
        <f t="shared" si="0"/>
        <v>6.4516129032258061</v>
      </c>
      <c r="BS7" s="51"/>
      <c r="BT7" s="52"/>
      <c r="CC7" s="79">
        <v>13</v>
      </c>
      <c r="CD7" s="45">
        <v>10</v>
      </c>
      <c r="CE7" s="49">
        <v>7</v>
      </c>
      <c r="CF7" s="79"/>
      <c r="CH7" s="49"/>
      <c r="CI7" s="79"/>
      <c r="CK7" s="49"/>
      <c r="CL7" s="79"/>
      <c r="CN7" s="49"/>
      <c r="CO7" s="79"/>
      <c r="CQ7" s="49"/>
      <c r="CR7" s="79"/>
      <c r="CT7" s="49"/>
      <c r="CU7" s="79"/>
      <c r="CW7" s="49"/>
    </row>
    <row r="8" spans="1:101" x14ac:dyDescent="0.2">
      <c r="A8" s="54" t="s">
        <v>371</v>
      </c>
      <c r="B8" s="56" t="s">
        <v>370</v>
      </c>
      <c r="C8" s="55" t="s">
        <v>109</v>
      </c>
      <c r="D8" s="55" t="s">
        <v>157</v>
      </c>
      <c r="E8" s="57" t="s">
        <v>124</v>
      </c>
      <c r="F8" s="58">
        <v>1</v>
      </c>
      <c r="G8" s="57" t="s">
        <v>133</v>
      </c>
      <c r="H8" s="59"/>
      <c r="I8" s="60">
        <f>2292+1174</f>
        <v>3466</v>
      </c>
      <c r="J8" s="60">
        <v>9</v>
      </c>
      <c r="K8" s="60">
        <f>J8-M8</f>
        <v>1</v>
      </c>
      <c r="L8" s="60">
        <f t="shared" ref="L8:L68" si="1">K8-N8</f>
        <v>1</v>
      </c>
      <c r="M8" s="60">
        <v>8</v>
      </c>
      <c r="N8" s="60">
        <v>0</v>
      </c>
      <c r="O8" s="60">
        <v>483</v>
      </c>
      <c r="P8" s="60">
        <v>331</v>
      </c>
      <c r="Q8" s="75">
        <v>708</v>
      </c>
      <c r="R8" s="60">
        <v>365</v>
      </c>
      <c r="S8" s="60">
        <v>30</v>
      </c>
      <c r="T8" s="60">
        <v>16</v>
      </c>
      <c r="U8" s="60">
        <f>S8-T8</f>
        <v>14</v>
      </c>
      <c r="V8" s="60">
        <v>41</v>
      </c>
      <c r="W8" s="60">
        <v>101</v>
      </c>
      <c r="X8" s="60">
        <v>172</v>
      </c>
      <c r="Y8" s="60">
        <v>84</v>
      </c>
      <c r="Z8" s="60" t="s">
        <v>115</v>
      </c>
      <c r="AA8" s="60" t="s">
        <v>115</v>
      </c>
      <c r="AB8" s="60" t="s">
        <v>115</v>
      </c>
      <c r="AC8" s="60" t="s">
        <v>115</v>
      </c>
      <c r="AD8" s="60">
        <v>17</v>
      </c>
      <c r="AE8" s="60">
        <v>33</v>
      </c>
      <c r="AF8" s="60">
        <v>412</v>
      </c>
      <c r="AG8" s="344">
        <f>AF8/Q8</f>
        <v>0.58192090395480223</v>
      </c>
      <c r="AH8" s="68" t="s">
        <v>115</v>
      </c>
      <c r="AI8" s="68" t="s">
        <v>115</v>
      </c>
      <c r="AJ8" s="68" t="s">
        <v>115</v>
      </c>
      <c r="AK8" s="68" t="s">
        <v>115</v>
      </c>
      <c r="AL8" s="68" t="s">
        <v>115</v>
      </c>
      <c r="AM8" s="68" t="s">
        <v>115</v>
      </c>
      <c r="AN8" s="68" t="s">
        <v>115</v>
      </c>
      <c r="AO8" s="68" t="s">
        <v>115</v>
      </c>
      <c r="AP8" s="68" t="s">
        <v>115</v>
      </c>
      <c r="AQ8" s="68" t="s">
        <v>115</v>
      </c>
      <c r="AR8" s="68" t="s">
        <v>115</v>
      </c>
      <c r="AS8" s="68" t="s">
        <v>115</v>
      </c>
      <c r="AT8" s="68" t="s">
        <v>115</v>
      </c>
      <c r="AU8" s="68" t="s">
        <v>115</v>
      </c>
      <c r="AV8" s="68" t="s">
        <v>115</v>
      </c>
      <c r="AW8" s="68" t="s">
        <v>115</v>
      </c>
      <c r="AX8" s="68" t="s">
        <v>115</v>
      </c>
      <c r="AY8" s="68" t="s">
        <v>115</v>
      </c>
      <c r="AZ8" s="68" t="s">
        <v>115</v>
      </c>
      <c r="BA8" s="344" t="s">
        <v>115</v>
      </c>
      <c r="BB8" s="60">
        <v>1324</v>
      </c>
      <c r="BC8" s="60">
        <v>868</v>
      </c>
      <c r="BD8" s="60">
        <v>486</v>
      </c>
      <c r="BE8" s="60">
        <v>0</v>
      </c>
      <c r="BF8" s="60">
        <v>191</v>
      </c>
      <c r="BG8" s="60">
        <v>172</v>
      </c>
      <c r="BH8" s="60">
        <v>479</v>
      </c>
      <c r="BI8" s="60">
        <v>61</v>
      </c>
      <c r="BJ8" s="65">
        <v>16</v>
      </c>
      <c r="BK8" s="60">
        <v>189</v>
      </c>
      <c r="BL8" s="60">
        <v>92</v>
      </c>
      <c r="BM8" s="60">
        <v>237</v>
      </c>
      <c r="BN8" s="60">
        <v>243</v>
      </c>
      <c r="BO8" s="60" t="s">
        <v>337</v>
      </c>
      <c r="BP8" s="64">
        <f>R8</f>
        <v>365</v>
      </c>
      <c r="BQ8" s="66">
        <f t="shared" ref="BQ8:BQ68" si="2">BC8/BP8</f>
        <v>2.3780821917808219</v>
      </c>
      <c r="BR8" s="66">
        <f t="shared" si="0"/>
        <v>7.8524590163934427</v>
      </c>
      <c r="BS8" s="66">
        <f t="shared" ref="BS8:BS68" si="3">BC8/BM8</f>
        <v>3.6624472573839664</v>
      </c>
      <c r="BT8" s="67">
        <f t="shared" ref="BT8:BT68" si="4">BD8/BM8</f>
        <v>2.0506329113924049</v>
      </c>
      <c r="BU8" s="60">
        <v>316</v>
      </c>
      <c r="BV8" s="60">
        <v>27</v>
      </c>
      <c r="BW8" s="60">
        <v>32</v>
      </c>
      <c r="BX8" s="64">
        <v>24</v>
      </c>
      <c r="BY8" s="60">
        <v>7</v>
      </c>
      <c r="BZ8" s="60">
        <v>83</v>
      </c>
      <c r="CA8" s="60">
        <v>7</v>
      </c>
      <c r="CB8" s="60">
        <v>5</v>
      </c>
      <c r="CC8" s="75" t="s">
        <v>115</v>
      </c>
      <c r="CD8" s="60" t="s">
        <v>115</v>
      </c>
      <c r="CE8" s="64" t="s">
        <v>115</v>
      </c>
      <c r="CF8" s="75" t="s">
        <v>115</v>
      </c>
      <c r="CG8" s="60" t="s">
        <v>115</v>
      </c>
      <c r="CH8" s="64" t="s">
        <v>115</v>
      </c>
      <c r="CI8" s="75">
        <v>21</v>
      </c>
      <c r="CJ8" s="60">
        <v>6</v>
      </c>
      <c r="CK8" s="64">
        <v>15</v>
      </c>
      <c r="CL8" s="75">
        <v>15</v>
      </c>
      <c r="CM8" s="60">
        <v>5</v>
      </c>
      <c r="CN8" s="64">
        <v>9</v>
      </c>
      <c r="CO8" s="75" t="s">
        <v>115</v>
      </c>
      <c r="CP8" s="60" t="s">
        <v>115</v>
      </c>
      <c r="CQ8" s="64" t="s">
        <v>115</v>
      </c>
      <c r="CR8" s="75" t="s">
        <v>115</v>
      </c>
      <c r="CS8" s="60" t="s">
        <v>115</v>
      </c>
      <c r="CT8" s="64" t="s">
        <v>115</v>
      </c>
      <c r="CU8" s="75" t="s">
        <v>115</v>
      </c>
      <c r="CV8" s="60" t="s">
        <v>115</v>
      </c>
      <c r="CW8" s="64" t="s">
        <v>115</v>
      </c>
    </row>
    <row r="9" spans="1:101" x14ac:dyDescent="0.2">
      <c r="A9" s="54"/>
      <c r="B9" s="56"/>
      <c r="C9" s="55"/>
      <c r="D9" s="55"/>
      <c r="E9" s="57"/>
      <c r="F9" s="58"/>
      <c r="G9" s="57"/>
      <c r="H9" s="59"/>
      <c r="I9" s="60"/>
      <c r="J9" s="60"/>
      <c r="K9" s="60"/>
      <c r="L9" s="60"/>
      <c r="M9" s="60"/>
      <c r="N9" s="60"/>
      <c r="O9" s="60"/>
      <c r="P9" s="60"/>
      <c r="Q9" s="75"/>
      <c r="R9" s="60"/>
      <c r="S9" s="60"/>
      <c r="T9" s="60"/>
      <c r="U9" s="60"/>
      <c r="V9" s="60">
        <v>51</v>
      </c>
      <c r="W9" s="60">
        <v>118</v>
      </c>
      <c r="X9" s="60"/>
      <c r="Y9" s="60"/>
      <c r="Z9" s="60"/>
      <c r="AA9" s="60"/>
      <c r="AB9" s="60"/>
      <c r="AC9" s="60"/>
      <c r="AD9" s="60">
        <v>17</v>
      </c>
      <c r="AE9" s="60">
        <v>44</v>
      </c>
      <c r="AF9" s="60"/>
      <c r="AG9" s="64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4"/>
      <c r="BB9" s="60"/>
      <c r="BC9" s="60"/>
      <c r="BD9" s="60"/>
      <c r="BE9" s="60"/>
      <c r="BF9" s="60"/>
      <c r="BG9" s="60"/>
      <c r="BH9" s="60">
        <v>460</v>
      </c>
      <c r="BI9" s="60">
        <v>68</v>
      </c>
      <c r="BJ9" s="65">
        <v>12</v>
      </c>
      <c r="BK9" s="60">
        <v>148</v>
      </c>
      <c r="BL9" s="60">
        <v>136</v>
      </c>
      <c r="BM9" s="60"/>
      <c r="BN9" s="60"/>
      <c r="BO9" s="60"/>
      <c r="BP9" s="64"/>
      <c r="BQ9" s="66"/>
      <c r="BR9" s="66">
        <f t="shared" si="0"/>
        <v>6.7647058823529411</v>
      </c>
      <c r="BS9" s="66"/>
      <c r="BT9" s="67"/>
      <c r="BU9" s="60"/>
      <c r="BV9" s="60"/>
      <c r="BW9" s="60"/>
      <c r="BX9" s="64"/>
      <c r="BY9" s="60"/>
      <c r="BZ9" s="60"/>
      <c r="CA9" s="60"/>
      <c r="CB9" s="60">
        <v>5</v>
      </c>
      <c r="CC9" s="75"/>
      <c r="CD9" s="60"/>
      <c r="CE9" s="64"/>
      <c r="CF9" s="75"/>
      <c r="CG9" s="60"/>
      <c r="CH9" s="64"/>
      <c r="CI9" s="75">
        <v>21</v>
      </c>
      <c r="CJ9" s="60">
        <v>7</v>
      </c>
      <c r="CK9" s="64">
        <v>13</v>
      </c>
      <c r="CL9" s="75">
        <v>18</v>
      </c>
      <c r="CM9" s="60">
        <v>6</v>
      </c>
      <c r="CN9" s="64">
        <v>9</v>
      </c>
      <c r="CO9" s="75"/>
      <c r="CP9" s="60"/>
      <c r="CQ9" s="64"/>
      <c r="CR9" s="75"/>
      <c r="CS9" s="60"/>
      <c r="CT9" s="64"/>
      <c r="CU9" s="75"/>
      <c r="CV9" s="60"/>
      <c r="CW9" s="64"/>
    </row>
    <row r="10" spans="1:101" x14ac:dyDescent="0.2">
      <c r="A10" s="54"/>
      <c r="B10" s="56"/>
      <c r="C10" s="55"/>
      <c r="D10" s="55"/>
      <c r="E10" s="57"/>
      <c r="F10" s="58"/>
      <c r="G10" s="57"/>
      <c r="H10" s="59"/>
      <c r="I10" s="60"/>
      <c r="J10" s="60"/>
      <c r="K10" s="60"/>
      <c r="L10" s="60"/>
      <c r="M10" s="60"/>
      <c r="N10" s="60"/>
      <c r="O10" s="60"/>
      <c r="P10" s="60"/>
      <c r="Q10" s="75"/>
      <c r="R10" s="60"/>
      <c r="S10" s="60"/>
      <c r="T10" s="60"/>
      <c r="U10" s="60"/>
      <c r="V10" s="60">
        <v>38</v>
      </c>
      <c r="W10" s="60">
        <v>78</v>
      </c>
      <c r="X10" s="60"/>
      <c r="Y10" s="60"/>
      <c r="Z10" s="60"/>
      <c r="AA10" s="60"/>
      <c r="AB10" s="60"/>
      <c r="AC10" s="60"/>
      <c r="AD10" s="60">
        <v>19</v>
      </c>
      <c r="AE10" s="60">
        <v>36</v>
      </c>
      <c r="AF10" s="60"/>
      <c r="AG10" s="64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4"/>
      <c r="BB10" s="60"/>
      <c r="BC10" s="60"/>
      <c r="BD10" s="60"/>
      <c r="BE10" s="60"/>
      <c r="BF10" s="60"/>
      <c r="BG10" s="60"/>
      <c r="BH10" s="60">
        <v>464</v>
      </c>
      <c r="BI10" s="60">
        <v>56</v>
      </c>
      <c r="BJ10" s="65">
        <v>13</v>
      </c>
      <c r="BK10" s="60">
        <v>187</v>
      </c>
      <c r="BL10" s="60">
        <v>93</v>
      </c>
      <c r="BM10" s="60"/>
      <c r="BN10" s="60"/>
      <c r="BO10" s="60"/>
      <c r="BP10" s="64"/>
      <c r="BQ10" s="66"/>
      <c r="BR10" s="66">
        <f t="shared" si="0"/>
        <v>8.2857142857142865</v>
      </c>
      <c r="BS10" s="66"/>
      <c r="BT10" s="67"/>
      <c r="BU10" s="60"/>
      <c r="BV10" s="60"/>
      <c r="BW10" s="60"/>
      <c r="BX10" s="64"/>
      <c r="BY10" s="60"/>
      <c r="BZ10" s="60"/>
      <c r="CA10" s="60"/>
      <c r="CB10" s="60"/>
      <c r="CC10" s="75"/>
      <c r="CD10" s="60"/>
      <c r="CE10" s="64"/>
      <c r="CF10" s="75"/>
      <c r="CG10" s="60"/>
      <c r="CH10" s="64"/>
      <c r="CI10" s="75">
        <v>23</v>
      </c>
      <c r="CJ10" s="60">
        <v>6</v>
      </c>
      <c r="CK10" s="64">
        <v>18</v>
      </c>
      <c r="CL10" s="75">
        <v>16</v>
      </c>
      <c r="CM10" s="60">
        <v>5</v>
      </c>
      <c r="CN10" s="64">
        <v>10</v>
      </c>
      <c r="CO10" s="75"/>
      <c r="CP10" s="60"/>
      <c r="CQ10" s="64"/>
      <c r="CR10" s="75"/>
      <c r="CS10" s="60"/>
      <c r="CT10" s="64"/>
      <c r="CU10" s="75"/>
      <c r="CV10" s="60"/>
      <c r="CW10" s="64"/>
    </row>
    <row r="11" spans="1:101" s="80" customFormat="1" x14ac:dyDescent="0.2">
      <c r="A11" s="203" t="s">
        <v>372</v>
      </c>
      <c r="B11" s="42" t="s">
        <v>370</v>
      </c>
      <c r="C11" s="204" t="s">
        <v>373</v>
      </c>
      <c r="D11" s="204" t="s">
        <v>197</v>
      </c>
      <c r="E11" s="206" t="s">
        <v>124</v>
      </c>
      <c r="F11" s="207">
        <v>3</v>
      </c>
      <c r="G11" s="206" t="s">
        <v>115</v>
      </c>
      <c r="H11" s="161" t="s">
        <v>374</v>
      </c>
      <c r="I11" s="80" t="s">
        <v>115</v>
      </c>
      <c r="J11" s="80" t="s">
        <v>115</v>
      </c>
      <c r="K11" s="80" t="s">
        <v>115</v>
      </c>
      <c r="L11" s="45" t="s">
        <v>115</v>
      </c>
      <c r="M11" s="80" t="s">
        <v>115</v>
      </c>
      <c r="N11" s="80" t="s">
        <v>115</v>
      </c>
      <c r="O11" s="80" t="s">
        <v>115</v>
      </c>
      <c r="P11" s="80" t="s">
        <v>115</v>
      </c>
      <c r="Q11" s="292" t="s">
        <v>115</v>
      </c>
      <c r="R11" s="80" t="s">
        <v>115</v>
      </c>
      <c r="S11" s="80" t="s">
        <v>115</v>
      </c>
      <c r="T11" s="80" t="s">
        <v>115</v>
      </c>
      <c r="U11" s="80" t="s">
        <v>115</v>
      </c>
      <c r="V11" s="80" t="s">
        <v>115</v>
      </c>
      <c r="W11" s="80" t="s">
        <v>115</v>
      </c>
      <c r="X11" s="80" t="s">
        <v>115</v>
      </c>
      <c r="Y11" s="80" t="s">
        <v>115</v>
      </c>
      <c r="Z11" s="80" t="s">
        <v>115</v>
      </c>
      <c r="AA11" s="80" t="s">
        <v>115</v>
      </c>
      <c r="AB11" s="80" t="s">
        <v>115</v>
      </c>
      <c r="AC11" s="80" t="s">
        <v>115</v>
      </c>
      <c r="AD11" s="80" t="s">
        <v>115</v>
      </c>
      <c r="AE11" s="80" t="s">
        <v>115</v>
      </c>
      <c r="AF11" s="80" t="s">
        <v>115</v>
      </c>
      <c r="AG11" s="81" t="s">
        <v>115</v>
      </c>
      <c r="AH11" s="53" t="s">
        <v>115</v>
      </c>
      <c r="AI11" s="53" t="s">
        <v>115</v>
      </c>
      <c r="AJ11" s="53" t="s">
        <v>115</v>
      </c>
      <c r="AK11" s="53" t="s">
        <v>115</v>
      </c>
      <c r="AL11" s="53" t="s">
        <v>115</v>
      </c>
      <c r="AM11" s="53" t="s">
        <v>115</v>
      </c>
      <c r="AN11" s="53" t="s">
        <v>115</v>
      </c>
      <c r="AO11" s="53" t="s">
        <v>115</v>
      </c>
      <c r="AP11" s="53" t="s">
        <v>115</v>
      </c>
      <c r="AQ11" s="53" t="s">
        <v>115</v>
      </c>
      <c r="AR11" s="53" t="s">
        <v>115</v>
      </c>
      <c r="AS11" s="53" t="s">
        <v>115</v>
      </c>
      <c r="AT11" s="53" t="s">
        <v>115</v>
      </c>
      <c r="AU11" s="53" t="s">
        <v>115</v>
      </c>
      <c r="AV11" s="53" t="s">
        <v>115</v>
      </c>
      <c r="AW11" s="53" t="s">
        <v>115</v>
      </c>
      <c r="AX11" s="53" t="s">
        <v>115</v>
      </c>
      <c r="AY11" s="53" t="s">
        <v>115</v>
      </c>
      <c r="AZ11" s="53" t="s">
        <v>115</v>
      </c>
      <c r="BA11" s="347" t="s">
        <v>115</v>
      </c>
      <c r="BB11" s="80">
        <v>1402</v>
      </c>
      <c r="BC11" s="80">
        <v>970</v>
      </c>
      <c r="BD11" s="80">
        <v>441</v>
      </c>
      <c r="BE11" s="80">
        <v>0</v>
      </c>
      <c r="BF11" s="80">
        <v>160</v>
      </c>
      <c r="BG11" s="80">
        <v>186</v>
      </c>
      <c r="BH11" s="80">
        <v>448</v>
      </c>
      <c r="BI11" s="80">
        <v>67</v>
      </c>
      <c r="BJ11" s="140">
        <v>17</v>
      </c>
      <c r="BK11" s="80">
        <v>198</v>
      </c>
      <c r="BL11" s="80" t="s">
        <v>115</v>
      </c>
      <c r="BM11" s="80">
        <v>209</v>
      </c>
      <c r="BN11" s="80">
        <v>326</v>
      </c>
      <c r="BO11" s="80" t="s">
        <v>115</v>
      </c>
      <c r="BP11" s="81" t="s">
        <v>115</v>
      </c>
      <c r="BQ11" s="51" t="e">
        <f t="shared" si="2"/>
        <v>#VALUE!</v>
      </c>
      <c r="BR11" s="51">
        <f t="shared" si="0"/>
        <v>6.6865671641791042</v>
      </c>
      <c r="BS11" s="51">
        <f t="shared" si="3"/>
        <v>4.6411483253588512</v>
      </c>
      <c r="BT11" s="52">
        <f t="shared" si="4"/>
        <v>2.1100478468899522</v>
      </c>
      <c r="BU11" s="80">
        <v>1007</v>
      </c>
      <c r="BV11" s="80">
        <v>19</v>
      </c>
      <c r="BW11" s="80">
        <v>28</v>
      </c>
      <c r="BX11" s="81">
        <v>17</v>
      </c>
      <c r="BY11" s="80">
        <v>7</v>
      </c>
      <c r="BZ11" s="80">
        <v>96</v>
      </c>
      <c r="CA11" s="80">
        <v>7</v>
      </c>
      <c r="CB11" s="80">
        <v>4</v>
      </c>
      <c r="CC11" s="292">
        <v>15</v>
      </c>
      <c r="CD11" s="80">
        <v>9</v>
      </c>
      <c r="CE11" s="81">
        <v>10</v>
      </c>
      <c r="CF11" s="292">
        <v>20</v>
      </c>
      <c r="CG11" s="80">
        <v>8</v>
      </c>
      <c r="CH11" s="81">
        <v>15</v>
      </c>
      <c r="CI11" s="292">
        <v>21</v>
      </c>
      <c r="CJ11" s="80">
        <v>7</v>
      </c>
      <c r="CK11" s="81">
        <v>11</v>
      </c>
      <c r="CL11" s="292">
        <v>18</v>
      </c>
      <c r="CM11" s="80">
        <v>6</v>
      </c>
      <c r="CN11" s="81">
        <v>11</v>
      </c>
      <c r="CO11" s="292">
        <v>18</v>
      </c>
      <c r="CP11" s="80">
        <v>5</v>
      </c>
      <c r="CQ11" s="81">
        <v>12</v>
      </c>
      <c r="CR11" s="292">
        <v>8</v>
      </c>
      <c r="CS11" s="80">
        <v>4</v>
      </c>
      <c r="CT11" s="81">
        <v>4</v>
      </c>
      <c r="CU11" s="292" t="s">
        <v>115</v>
      </c>
      <c r="CV11" s="80" t="s">
        <v>115</v>
      </c>
      <c r="CW11" s="81" t="s">
        <v>115</v>
      </c>
    </row>
    <row r="12" spans="1:101" s="80" customFormat="1" x14ac:dyDescent="0.2">
      <c r="A12" s="203"/>
      <c r="B12" s="41"/>
      <c r="C12" s="204"/>
      <c r="D12" s="204"/>
      <c r="E12" s="206"/>
      <c r="F12" s="207"/>
      <c r="G12" s="206"/>
      <c r="H12" s="161"/>
      <c r="L12" s="45"/>
      <c r="Q12" s="292"/>
      <c r="AG12" s="291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49"/>
      <c r="BH12" s="80">
        <v>444</v>
      </c>
      <c r="BI12" s="80">
        <v>54</v>
      </c>
      <c r="BJ12" s="140">
        <v>14</v>
      </c>
      <c r="BK12" s="80">
        <v>224</v>
      </c>
      <c r="BL12" s="80" t="s">
        <v>115</v>
      </c>
      <c r="BP12" s="81"/>
      <c r="BQ12" s="51"/>
      <c r="BR12" s="51">
        <f t="shared" si="0"/>
        <v>8.2222222222222214</v>
      </c>
      <c r="BS12" s="51"/>
      <c r="BT12" s="52"/>
      <c r="BV12" s="80">
        <v>23</v>
      </c>
      <c r="BW12" s="80">
        <v>28</v>
      </c>
      <c r="BX12" s="81">
        <v>20</v>
      </c>
      <c r="BZ12" s="80">
        <v>95</v>
      </c>
      <c r="CA12" s="80">
        <v>6</v>
      </c>
      <c r="CC12" s="292">
        <v>14</v>
      </c>
      <c r="CD12" s="80">
        <v>11</v>
      </c>
      <c r="CE12" s="81">
        <v>10</v>
      </c>
      <c r="CF12" s="292">
        <v>19</v>
      </c>
      <c r="CG12" s="80">
        <v>7</v>
      </c>
      <c r="CH12" s="81">
        <v>9</v>
      </c>
      <c r="CI12" s="292"/>
      <c r="CK12" s="81"/>
      <c r="CL12" s="292"/>
      <c r="CN12" s="81"/>
      <c r="CO12" s="292"/>
      <c r="CQ12" s="81"/>
      <c r="CR12" s="292">
        <v>7</v>
      </c>
      <c r="CS12" s="80">
        <v>3</v>
      </c>
      <c r="CT12" s="81">
        <v>5</v>
      </c>
      <c r="CU12" s="292"/>
      <c r="CW12" s="81"/>
    </row>
    <row r="13" spans="1:101" s="80" customFormat="1" x14ac:dyDescent="0.2">
      <c r="A13" s="203"/>
      <c r="B13" s="41"/>
      <c r="C13" s="204"/>
      <c r="D13" s="204"/>
      <c r="E13" s="206"/>
      <c r="F13" s="207"/>
      <c r="G13" s="206"/>
      <c r="H13" s="161"/>
      <c r="L13" s="45"/>
      <c r="Q13" s="292"/>
      <c r="AG13" s="81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49"/>
      <c r="BH13" s="80">
        <v>458</v>
      </c>
      <c r="BI13" s="80">
        <v>61</v>
      </c>
      <c r="BJ13" s="140">
        <v>11</v>
      </c>
      <c r="BK13" s="80">
        <v>186</v>
      </c>
      <c r="BL13" s="80" t="s">
        <v>115</v>
      </c>
      <c r="BP13" s="81"/>
      <c r="BQ13" s="51"/>
      <c r="BR13" s="51">
        <f t="shared" si="0"/>
        <v>7.5081967213114753</v>
      </c>
      <c r="BS13" s="51"/>
      <c r="BT13" s="52"/>
      <c r="BX13" s="81">
        <v>24</v>
      </c>
      <c r="BZ13" s="80">
        <v>92</v>
      </c>
      <c r="CC13" s="292"/>
      <c r="CE13" s="81"/>
      <c r="CF13" s="292">
        <v>19</v>
      </c>
      <c r="CG13" s="80">
        <v>9</v>
      </c>
      <c r="CH13" s="81">
        <v>13</v>
      </c>
      <c r="CI13" s="292"/>
      <c r="CK13" s="81"/>
      <c r="CL13" s="292"/>
      <c r="CN13" s="81"/>
      <c r="CO13" s="292"/>
      <c r="CQ13" s="81"/>
      <c r="CR13" s="292"/>
      <c r="CT13" s="81"/>
      <c r="CU13" s="292"/>
      <c r="CW13" s="81"/>
    </row>
    <row r="14" spans="1:101" s="80" customFormat="1" x14ac:dyDescent="0.2">
      <c r="A14" s="209" t="s">
        <v>375</v>
      </c>
      <c r="B14" s="56" t="s">
        <v>370</v>
      </c>
      <c r="C14" s="210" t="s">
        <v>376</v>
      </c>
      <c r="D14" s="210" t="s">
        <v>157</v>
      </c>
      <c r="E14" s="212" t="s">
        <v>124</v>
      </c>
      <c r="F14" s="213">
        <v>3</v>
      </c>
      <c r="G14" s="212" t="s">
        <v>377</v>
      </c>
      <c r="H14" s="162" t="s">
        <v>185</v>
      </c>
      <c r="I14" s="72">
        <f>2116+1200</f>
        <v>3316</v>
      </c>
      <c r="J14" s="72">
        <v>6</v>
      </c>
      <c r="K14" s="72">
        <v>1</v>
      </c>
      <c r="L14" s="60">
        <f t="shared" si="1"/>
        <v>1</v>
      </c>
      <c r="M14" s="72">
        <f>J14-K14</f>
        <v>5</v>
      </c>
      <c r="N14" s="72">
        <v>0</v>
      </c>
      <c r="O14" s="72">
        <v>574</v>
      </c>
      <c r="P14" s="72">
        <v>211</v>
      </c>
      <c r="Q14" s="294">
        <v>1186</v>
      </c>
      <c r="R14" s="72">
        <v>238</v>
      </c>
      <c r="S14" s="72">
        <v>28</v>
      </c>
      <c r="T14" s="72">
        <v>13</v>
      </c>
      <c r="U14" s="72">
        <f>S14-T14</f>
        <v>15</v>
      </c>
      <c r="V14" s="72">
        <v>79</v>
      </c>
      <c r="W14" s="72" t="s">
        <v>115</v>
      </c>
      <c r="X14" s="72" t="s">
        <v>115</v>
      </c>
      <c r="Y14" s="72">
        <v>178</v>
      </c>
      <c r="Z14" s="72">
        <v>4</v>
      </c>
      <c r="AA14" s="72">
        <v>269</v>
      </c>
      <c r="AB14" s="72" t="s">
        <v>115</v>
      </c>
      <c r="AC14" s="72" t="s">
        <v>115</v>
      </c>
      <c r="AD14" s="72">
        <v>44</v>
      </c>
      <c r="AE14" s="72" t="s">
        <v>115</v>
      </c>
      <c r="AF14" s="72">
        <v>761</v>
      </c>
      <c r="AG14" s="344">
        <f>AF14/Q14</f>
        <v>0.64165261382799321</v>
      </c>
      <c r="AH14" s="68" t="s">
        <v>115</v>
      </c>
      <c r="AI14" s="68" t="s">
        <v>115</v>
      </c>
      <c r="AJ14" s="68" t="s">
        <v>115</v>
      </c>
      <c r="AK14" s="68" t="s">
        <v>115</v>
      </c>
      <c r="AL14" s="68" t="s">
        <v>115</v>
      </c>
      <c r="AM14" s="68" t="s">
        <v>115</v>
      </c>
      <c r="AN14" s="68" t="s">
        <v>115</v>
      </c>
      <c r="AO14" s="68" t="s">
        <v>115</v>
      </c>
      <c r="AP14" s="68" t="s">
        <v>115</v>
      </c>
      <c r="AQ14" s="68" t="s">
        <v>115</v>
      </c>
      <c r="AR14" s="68" t="s">
        <v>115</v>
      </c>
      <c r="AS14" s="68" t="s">
        <v>115</v>
      </c>
      <c r="AT14" s="68" t="s">
        <v>115</v>
      </c>
      <c r="AU14" s="68" t="s">
        <v>115</v>
      </c>
      <c r="AV14" s="68" t="s">
        <v>115</v>
      </c>
      <c r="AW14" s="68" t="s">
        <v>115</v>
      </c>
      <c r="AX14" s="68" t="s">
        <v>115</v>
      </c>
      <c r="AY14" s="68" t="s">
        <v>115</v>
      </c>
      <c r="AZ14" s="68" t="s">
        <v>115</v>
      </c>
      <c r="BA14" s="344" t="s">
        <v>115</v>
      </c>
      <c r="BB14" s="72">
        <v>1169</v>
      </c>
      <c r="BC14" s="72">
        <v>813</v>
      </c>
      <c r="BD14" s="72">
        <v>379</v>
      </c>
      <c r="BE14" s="72">
        <v>0</v>
      </c>
      <c r="BF14" s="72">
        <v>170</v>
      </c>
      <c r="BG14" s="72">
        <v>183</v>
      </c>
      <c r="BH14" s="72">
        <v>398</v>
      </c>
      <c r="BI14" s="72">
        <v>78</v>
      </c>
      <c r="BJ14" s="215">
        <v>16</v>
      </c>
      <c r="BK14" s="72">
        <v>170</v>
      </c>
      <c r="BL14" s="72" t="s">
        <v>115</v>
      </c>
      <c r="BM14" s="72">
        <v>253</v>
      </c>
      <c r="BN14" s="72">
        <v>303</v>
      </c>
      <c r="BO14" s="72" t="s">
        <v>128</v>
      </c>
      <c r="BP14" s="216">
        <f>BN14</f>
        <v>303</v>
      </c>
      <c r="BQ14" s="66">
        <f t="shared" si="2"/>
        <v>2.6831683168316833</v>
      </c>
      <c r="BR14" s="66">
        <f t="shared" si="0"/>
        <v>5.1025641025641022</v>
      </c>
      <c r="BS14" s="66">
        <f t="shared" si="3"/>
        <v>3.2134387351778657</v>
      </c>
      <c r="BT14" s="67">
        <f t="shared" si="4"/>
        <v>1.4980237154150198</v>
      </c>
      <c r="BU14" s="72">
        <v>391</v>
      </c>
      <c r="BV14" s="72">
        <v>32</v>
      </c>
      <c r="BW14" s="72">
        <v>31</v>
      </c>
      <c r="BX14" s="216">
        <v>20</v>
      </c>
      <c r="BY14" s="72" t="s">
        <v>115</v>
      </c>
      <c r="BZ14" s="72" t="s">
        <v>115</v>
      </c>
      <c r="CA14" s="72">
        <v>7</v>
      </c>
      <c r="CB14" s="72" t="s">
        <v>115</v>
      </c>
      <c r="CC14" s="294">
        <v>14</v>
      </c>
      <c r="CD14" s="72">
        <v>9</v>
      </c>
      <c r="CE14" s="216">
        <v>8</v>
      </c>
      <c r="CF14" s="294">
        <v>17</v>
      </c>
      <c r="CG14" s="72">
        <v>9</v>
      </c>
      <c r="CH14" s="216">
        <v>13</v>
      </c>
      <c r="CI14" s="294">
        <v>20</v>
      </c>
      <c r="CJ14" s="72">
        <v>6</v>
      </c>
      <c r="CK14" s="216">
        <v>14</v>
      </c>
      <c r="CL14" s="294">
        <v>16</v>
      </c>
      <c r="CM14" s="72">
        <v>6</v>
      </c>
      <c r="CN14" s="216">
        <v>9</v>
      </c>
      <c r="CO14" s="294">
        <v>15</v>
      </c>
      <c r="CP14" s="72">
        <v>6</v>
      </c>
      <c r="CQ14" s="216">
        <v>11</v>
      </c>
      <c r="CR14" s="294">
        <v>7</v>
      </c>
      <c r="CS14" s="72">
        <v>4</v>
      </c>
      <c r="CT14" s="216">
        <v>4</v>
      </c>
      <c r="CU14" s="294">
        <v>6</v>
      </c>
      <c r="CV14" s="72">
        <v>4</v>
      </c>
      <c r="CW14" s="216">
        <v>4</v>
      </c>
    </row>
    <row r="15" spans="1:101" s="80" customFormat="1" x14ac:dyDescent="0.2">
      <c r="A15" s="209"/>
      <c r="B15" s="56"/>
      <c r="C15" s="210"/>
      <c r="D15" s="210"/>
      <c r="E15" s="212"/>
      <c r="F15" s="213"/>
      <c r="G15" s="212"/>
      <c r="H15" s="162"/>
      <c r="I15" s="72"/>
      <c r="J15" s="72"/>
      <c r="K15" s="72"/>
      <c r="L15" s="60"/>
      <c r="M15" s="72"/>
      <c r="N15" s="72"/>
      <c r="O15" s="72"/>
      <c r="P15" s="72"/>
      <c r="Q15" s="294"/>
      <c r="R15" s="72"/>
      <c r="S15" s="72"/>
      <c r="T15" s="72"/>
      <c r="U15" s="72"/>
      <c r="V15" s="72">
        <v>69</v>
      </c>
      <c r="W15" s="72" t="s">
        <v>115</v>
      </c>
      <c r="X15" s="72"/>
      <c r="Y15" s="72"/>
      <c r="Z15" s="72"/>
      <c r="AA15" s="72"/>
      <c r="AB15" s="72"/>
      <c r="AC15" s="72"/>
      <c r="AD15" s="72">
        <v>29</v>
      </c>
      <c r="AE15" s="72" t="s">
        <v>115</v>
      </c>
      <c r="AF15" s="72"/>
      <c r="AG15" s="293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4"/>
      <c r="BB15" s="72"/>
      <c r="BC15" s="72"/>
      <c r="BD15" s="72"/>
      <c r="BE15" s="72"/>
      <c r="BF15" s="72"/>
      <c r="BG15" s="72"/>
      <c r="BH15" s="72">
        <v>370</v>
      </c>
      <c r="BI15" s="72">
        <v>58</v>
      </c>
      <c r="BJ15" s="215">
        <v>17</v>
      </c>
      <c r="BK15" s="72">
        <v>152</v>
      </c>
      <c r="BL15" s="72" t="s">
        <v>115</v>
      </c>
      <c r="BM15" s="72"/>
      <c r="BN15" s="72"/>
      <c r="BO15" s="72"/>
      <c r="BP15" s="216"/>
      <c r="BQ15" s="66"/>
      <c r="BR15" s="66">
        <f t="shared" si="0"/>
        <v>6.3793103448275863</v>
      </c>
      <c r="BS15" s="66"/>
      <c r="BT15" s="67"/>
      <c r="BU15" s="72"/>
      <c r="BV15" s="72"/>
      <c r="BW15" s="72"/>
      <c r="BX15" s="216"/>
      <c r="BY15" s="72"/>
      <c r="BZ15" s="72"/>
      <c r="CA15" s="72"/>
      <c r="CB15" s="72"/>
      <c r="CC15" s="294">
        <v>12</v>
      </c>
      <c r="CD15" s="72">
        <v>11</v>
      </c>
      <c r="CE15" s="216">
        <v>7</v>
      </c>
      <c r="CF15" s="294">
        <v>20</v>
      </c>
      <c r="CG15" s="72">
        <v>7</v>
      </c>
      <c r="CH15" s="216">
        <v>10</v>
      </c>
      <c r="CI15" s="294"/>
      <c r="CJ15" s="72"/>
      <c r="CK15" s="216"/>
      <c r="CL15" s="294"/>
      <c r="CM15" s="72"/>
      <c r="CN15" s="216"/>
      <c r="CO15" s="294">
        <v>17</v>
      </c>
      <c r="CP15" s="72">
        <v>6</v>
      </c>
      <c r="CQ15" s="216">
        <v>8</v>
      </c>
      <c r="CR15" s="294">
        <v>6</v>
      </c>
      <c r="CS15" s="72">
        <v>3</v>
      </c>
      <c r="CT15" s="216">
        <v>4</v>
      </c>
      <c r="CU15" s="294">
        <v>7</v>
      </c>
      <c r="CV15" s="72">
        <v>4</v>
      </c>
      <c r="CW15" s="216">
        <v>3</v>
      </c>
    </row>
    <row r="16" spans="1:101" s="80" customFormat="1" x14ac:dyDescent="0.2">
      <c r="A16" s="209"/>
      <c r="B16" s="56"/>
      <c r="C16" s="210"/>
      <c r="D16" s="210"/>
      <c r="E16" s="212"/>
      <c r="F16" s="213"/>
      <c r="G16" s="212"/>
      <c r="H16" s="162"/>
      <c r="I16" s="72"/>
      <c r="J16" s="72"/>
      <c r="K16" s="72"/>
      <c r="L16" s="60"/>
      <c r="M16" s="72"/>
      <c r="N16" s="72"/>
      <c r="O16" s="72"/>
      <c r="P16" s="72"/>
      <c r="Q16" s="294"/>
      <c r="R16" s="72"/>
      <c r="S16" s="72"/>
      <c r="T16" s="72"/>
      <c r="U16" s="72"/>
      <c r="V16" s="72">
        <v>76</v>
      </c>
      <c r="W16" s="72" t="s">
        <v>115</v>
      </c>
      <c r="X16" s="72"/>
      <c r="Y16" s="72"/>
      <c r="Z16" s="72"/>
      <c r="AA16" s="72"/>
      <c r="AB16" s="72"/>
      <c r="AC16" s="72"/>
      <c r="AD16" s="72">
        <v>38</v>
      </c>
      <c r="AE16" s="72" t="s">
        <v>115</v>
      </c>
      <c r="AF16" s="72"/>
      <c r="AG16" s="216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4"/>
      <c r="BB16" s="72"/>
      <c r="BC16" s="72"/>
      <c r="BD16" s="72"/>
      <c r="BE16" s="72"/>
      <c r="BF16" s="72"/>
      <c r="BG16" s="72"/>
      <c r="BH16" s="72">
        <v>382</v>
      </c>
      <c r="BI16" s="72">
        <v>52</v>
      </c>
      <c r="BJ16" s="215">
        <v>13</v>
      </c>
      <c r="BK16" s="72"/>
      <c r="BL16" s="72"/>
      <c r="BM16" s="72"/>
      <c r="BN16" s="72"/>
      <c r="BO16" s="72"/>
      <c r="BP16" s="216"/>
      <c r="BQ16" s="66"/>
      <c r="BR16" s="66">
        <f t="shared" si="0"/>
        <v>7.3461538461538458</v>
      </c>
      <c r="BS16" s="66"/>
      <c r="BT16" s="67"/>
      <c r="BU16" s="72"/>
      <c r="BV16" s="72"/>
      <c r="BW16" s="72"/>
      <c r="BX16" s="216"/>
      <c r="BY16" s="72"/>
      <c r="BZ16" s="72"/>
      <c r="CA16" s="72"/>
      <c r="CB16" s="72"/>
      <c r="CC16" s="294"/>
      <c r="CD16" s="72"/>
      <c r="CE16" s="216"/>
      <c r="CF16" s="294"/>
      <c r="CG16" s="72"/>
      <c r="CH16" s="216"/>
      <c r="CI16" s="294"/>
      <c r="CJ16" s="72"/>
      <c r="CK16" s="216"/>
      <c r="CL16" s="294"/>
      <c r="CM16" s="72"/>
      <c r="CN16" s="216"/>
      <c r="CO16" s="294"/>
      <c r="CP16" s="72"/>
      <c r="CQ16" s="216"/>
      <c r="CR16" s="294"/>
      <c r="CS16" s="72"/>
      <c r="CT16" s="216"/>
      <c r="CU16" s="294"/>
      <c r="CV16" s="72"/>
      <c r="CW16" s="216"/>
    </row>
    <row r="17" spans="1:101" s="80" customFormat="1" x14ac:dyDescent="0.2">
      <c r="A17" s="203" t="s">
        <v>378</v>
      </c>
      <c r="B17" s="42" t="s">
        <v>370</v>
      </c>
      <c r="C17" s="204" t="s">
        <v>109</v>
      </c>
      <c r="D17" s="204" t="s">
        <v>157</v>
      </c>
      <c r="E17" s="295" t="s">
        <v>124</v>
      </c>
      <c r="F17" s="207">
        <v>4</v>
      </c>
      <c r="G17" s="206" t="s">
        <v>133</v>
      </c>
      <c r="H17" s="161"/>
      <c r="I17" s="80">
        <f>2606+881</f>
        <v>3487</v>
      </c>
      <c r="J17" s="80">
        <v>9</v>
      </c>
      <c r="K17" s="80">
        <v>1</v>
      </c>
      <c r="L17" s="45">
        <f t="shared" si="1"/>
        <v>1</v>
      </c>
      <c r="M17" s="80">
        <v>8</v>
      </c>
      <c r="N17" s="80">
        <v>0</v>
      </c>
      <c r="O17" s="80">
        <v>528</v>
      </c>
      <c r="P17" s="80">
        <v>250</v>
      </c>
      <c r="Q17" s="292">
        <v>877</v>
      </c>
      <c r="R17" s="80">
        <v>301</v>
      </c>
      <c r="S17" s="80">
        <v>30</v>
      </c>
      <c r="T17" s="80">
        <v>15</v>
      </c>
      <c r="U17" s="80">
        <v>15</v>
      </c>
      <c r="V17" s="80">
        <v>49</v>
      </c>
      <c r="W17" s="80">
        <v>85</v>
      </c>
      <c r="X17" s="80">
        <v>164</v>
      </c>
      <c r="Y17" s="80">
        <v>118</v>
      </c>
      <c r="Z17" s="80">
        <v>4</v>
      </c>
      <c r="AA17" s="80">
        <v>235</v>
      </c>
      <c r="AB17" s="80" t="s">
        <v>115</v>
      </c>
      <c r="AC17" s="80" t="s">
        <v>115</v>
      </c>
      <c r="AD17" s="80">
        <v>23</v>
      </c>
      <c r="AE17" s="80">
        <v>24</v>
      </c>
      <c r="AF17" s="80">
        <v>576</v>
      </c>
      <c r="AG17" s="291">
        <f>AF17/Q17</f>
        <v>0.65678449258836946</v>
      </c>
      <c r="AH17" s="53" t="s">
        <v>115</v>
      </c>
      <c r="AI17" s="53" t="s">
        <v>115</v>
      </c>
      <c r="AJ17" s="53" t="s">
        <v>115</v>
      </c>
      <c r="AK17" s="53" t="s">
        <v>115</v>
      </c>
      <c r="AL17" s="53" t="s">
        <v>115</v>
      </c>
      <c r="AM17" s="53" t="s">
        <v>115</v>
      </c>
      <c r="AN17" s="53" t="s">
        <v>115</v>
      </c>
      <c r="AO17" s="53" t="s">
        <v>115</v>
      </c>
      <c r="AP17" s="53" t="s">
        <v>115</v>
      </c>
      <c r="AQ17" s="53" t="s">
        <v>115</v>
      </c>
      <c r="AR17" s="53" t="s">
        <v>115</v>
      </c>
      <c r="AS17" s="53" t="s">
        <v>115</v>
      </c>
      <c r="AT17" s="53" t="s">
        <v>115</v>
      </c>
      <c r="AU17" s="53" t="s">
        <v>115</v>
      </c>
      <c r="AV17" s="53" t="s">
        <v>115</v>
      </c>
      <c r="AW17" s="53" t="s">
        <v>115</v>
      </c>
      <c r="AX17" s="53" t="s">
        <v>115</v>
      </c>
      <c r="AY17" s="53" t="s">
        <v>115</v>
      </c>
      <c r="AZ17" s="53" t="s">
        <v>115</v>
      </c>
      <c r="BA17" s="141" t="s">
        <v>115</v>
      </c>
      <c r="BB17" s="80">
        <v>1336</v>
      </c>
      <c r="BC17" s="80">
        <v>924</v>
      </c>
      <c r="BD17" s="80">
        <v>421</v>
      </c>
      <c r="BE17" s="80">
        <v>0</v>
      </c>
      <c r="BF17" s="80">
        <v>142</v>
      </c>
      <c r="BG17" s="80">
        <v>184</v>
      </c>
      <c r="BH17" s="80">
        <v>409</v>
      </c>
      <c r="BI17" s="80">
        <v>66</v>
      </c>
      <c r="BJ17" s="140">
        <v>11</v>
      </c>
      <c r="BK17" s="80">
        <v>176</v>
      </c>
      <c r="BL17" s="80" t="s">
        <v>115</v>
      </c>
      <c r="BM17" s="80">
        <v>218</v>
      </c>
      <c r="BN17" s="80">
        <v>253</v>
      </c>
      <c r="BO17" s="80" t="s">
        <v>337</v>
      </c>
      <c r="BP17" s="81">
        <f>R17</f>
        <v>301</v>
      </c>
      <c r="BQ17" s="51">
        <f t="shared" si="2"/>
        <v>3.0697674418604652</v>
      </c>
      <c r="BR17" s="51">
        <f t="shared" si="0"/>
        <v>6.1969696969696972</v>
      </c>
      <c r="BS17" s="51">
        <f t="shared" si="3"/>
        <v>4.238532110091743</v>
      </c>
      <c r="BT17" s="52">
        <f t="shared" si="4"/>
        <v>1.9311926605504588</v>
      </c>
      <c r="BU17" s="80">
        <v>538</v>
      </c>
      <c r="BV17" s="80">
        <v>26</v>
      </c>
      <c r="BW17" s="80">
        <v>26</v>
      </c>
      <c r="BX17" s="81">
        <v>18</v>
      </c>
      <c r="BY17" s="80">
        <v>6</v>
      </c>
      <c r="BZ17" s="80">
        <f>65+33</f>
        <v>98</v>
      </c>
      <c r="CA17" s="80">
        <v>7</v>
      </c>
      <c r="CB17" s="80">
        <v>5</v>
      </c>
      <c r="CC17" s="292">
        <v>12</v>
      </c>
      <c r="CD17" s="80">
        <v>9</v>
      </c>
      <c r="CE17" s="81">
        <v>6</v>
      </c>
      <c r="CF17" s="292">
        <v>18</v>
      </c>
      <c r="CG17" s="80">
        <v>9</v>
      </c>
      <c r="CH17" s="81">
        <v>14</v>
      </c>
      <c r="CI17" s="292">
        <v>21</v>
      </c>
      <c r="CJ17" s="80">
        <v>7</v>
      </c>
      <c r="CK17" s="81">
        <v>14</v>
      </c>
      <c r="CL17" s="292">
        <v>19</v>
      </c>
      <c r="CM17" s="80">
        <v>6</v>
      </c>
      <c r="CN17" s="81">
        <v>12</v>
      </c>
      <c r="CO17" s="292">
        <v>18</v>
      </c>
      <c r="CP17" s="80">
        <v>7</v>
      </c>
      <c r="CQ17" s="81">
        <v>7</v>
      </c>
      <c r="CR17" s="292">
        <v>7</v>
      </c>
      <c r="CS17" s="80">
        <v>3</v>
      </c>
      <c r="CT17" s="81">
        <v>3</v>
      </c>
      <c r="CU17" s="292">
        <v>6</v>
      </c>
      <c r="CV17" s="80">
        <v>3</v>
      </c>
      <c r="CW17" s="81">
        <v>2</v>
      </c>
    </row>
    <row r="18" spans="1:101" s="80" customFormat="1" x14ac:dyDescent="0.2">
      <c r="A18" s="203"/>
      <c r="B18" s="41"/>
      <c r="C18" s="204"/>
      <c r="D18" s="204"/>
      <c r="E18" s="295"/>
      <c r="F18" s="207"/>
      <c r="G18" s="206"/>
      <c r="H18" s="161"/>
      <c r="L18" s="45"/>
      <c r="Q18" s="292"/>
      <c r="V18" s="80">
        <v>47</v>
      </c>
      <c r="W18" s="80">
        <v>93</v>
      </c>
      <c r="AB18" s="80" t="s">
        <v>379</v>
      </c>
      <c r="AD18" s="80">
        <v>30</v>
      </c>
      <c r="AE18" s="80">
        <v>27</v>
      </c>
      <c r="AG18" s="291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81"/>
      <c r="BH18" s="80">
        <v>427</v>
      </c>
      <c r="BI18" s="80">
        <v>67</v>
      </c>
      <c r="BJ18" s="140">
        <v>12</v>
      </c>
      <c r="BK18" s="80">
        <v>177</v>
      </c>
      <c r="BL18" s="80" t="s">
        <v>115</v>
      </c>
      <c r="BP18" s="81"/>
      <c r="BQ18" s="51"/>
      <c r="BR18" s="51">
        <f t="shared" si="0"/>
        <v>6.3731343283582094</v>
      </c>
      <c r="BS18" s="51"/>
      <c r="BT18" s="52"/>
      <c r="BV18" s="80">
        <v>30</v>
      </c>
      <c r="BW18" s="80">
        <v>28</v>
      </c>
      <c r="BX18" s="81">
        <v>19</v>
      </c>
      <c r="BZ18" s="80">
        <v>83</v>
      </c>
      <c r="CB18" s="80">
        <v>6</v>
      </c>
      <c r="CC18" s="292">
        <v>13</v>
      </c>
      <c r="CD18" s="80">
        <v>8</v>
      </c>
      <c r="CE18" s="81">
        <v>7</v>
      </c>
      <c r="CF18" s="292">
        <v>14</v>
      </c>
      <c r="CG18" s="80">
        <v>8</v>
      </c>
      <c r="CH18" s="81">
        <v>9</v>
      </c>
      <c r="CI18" s="292"/>
      <c r="CK18" s="81"/>
      <c r="CL18" s="292"/>
      <c r="CN18" s="81"/>
      <c r="CO18" s="292"/>
      <c r="CQ18" s="81"/>
      <c r="CR18" s="292"/>
      <c r="CT18" s="81"/>
      <c r="CU18" s="292"/>
      <c r="CW18" s="81"/>
    </row>
    <row r="19" spans="1:101" s="80" customFormat="1" x14ac:dyDescent="0.2">
      <c r="A19" s="203"/>
      <c r="B19" s="41"/>
      <c r="C19" s="204"/>
      <c r="D19" s="204"/>
      <c r="E19" s="295"/>
      <c r="F19" s="207"/>
      <c r="G19" s="206"/>
      <c r="H19" s="161"/>
      <c r="L19" s="45"/>
      <c r="Q19" s="292"/>
      <c r="V19" s="80">
        <v>51</v>
      </c>
      <c r="W19" s="80">
        <v>103</v>
      </c>
      <c r="AE19" s="80">
        <v>29</v>
      </c>
      <c r="AG19" s="81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81"/>
      <c r="BH19" s="80">
        <v>417</v>
      </c>
      <c r="BI19" s="80">
        <v>52</v>
      </c>
      <c r="BJ19" s="140">
        <v>13</v>
      </c>
      <c r="BK19" s="80">
        <v>162</v>
      </c>
      <c r="BL19" s="80" t="s">
        <v>115</v>
      </c>
      <c r="BP19" s="81"/>
      <c r="BQ19" s="51"/>
      <c r="BR19" s="51">
        <f t="shared" si="0"/>
        <v>8.0192307692307701</v>
      </c>
      <c r="BS19" s="51"/>
      <c r="BT19" s="52"/>
      <c r="BW19" s="80">
        <v>28</v>
      </c>
      <c r="BX19" s="81">
        <v>19</v>
      </c>
      <c r="CB19" s="80">
        <v>5</v>
      </c>
      <c r="CC19" s="292"/>
      <c r="CE19" s="81"/>
      <c r="CF19" s="292">
        <v>19</v>
      </c>
      <c r="CG19" s="80">
        <v>9</v>
      </c>
      <c r="CH19" s="81">
        <v>14</v>
      </c>
      <c r="CI19" s="292"/>
      <c r="CK19" s="81"/>
      <c r="CL19" s="292"/>
      <c r="CN19" s="81"/>
      <c r="CO19" s="292"/>
      <c r="CQ19" s="81"/>
      <c r="CR19" s="292"/>
      <c r="CT19" s="81"/>
      <c r="CU19" s="292"/>
      <c r="CW19" s="81"/>
    </row>
    <row r="20" spans="1:101" s="80" customFormat="1" ht="15.75" customHeight="1" x14ac:dyDescent="0.2">
      <c r="A20" s="209" t="s">
        <v>380</v>
      </c>
      <c r="B20" s="56" t="s">
        <v>370</v>
      </c>
      <c r="C20" s="210" t="s">
        <v>109</v>
      </c>
      <c r="D20" s="210" t="s">
        <v>157</v>
      </c>
      <c r="E20" s="220" t="s">
        <v>124</v>
      </c>
      <c r="F20" s="221">
        <v>4</v>
      </c>
      <c r="G20" s="212" t="s">
        <v>133</v>
      </c>
      <c r="H20" s="162" t="s">
        <v>282</v>
      </c>
      <c r="I20" s="72">
        <v>2936</v>
      </c>
      <c r="J20" s="72">
        <v>7</v>
      </c>
      <c r="K20" s="72">
        <v>1</v>
      </c>
      <c r="L20" s="60">
        <f t="shared" si="1"/>
        <v>1</v>
      </c>
      <c r="M20" s="72">
        <v>6</v>
      </c>
      <c r="N20" s="72">
        <v>0</v>
      </c>
      <c r="O20" s="72">
        <v>450</v>
      </c>
      <c r="P20" s="72">
        <v>254</v>
      </c>
      <c r="Q20" s="294">
        <v>865</v>
      </c>
      <c r="R20" s="72">
        <v>311</v>
      </c>
      <c r="S20" s="72">
        <v>29</v>
      </c>
      <c r="T20" s="72">
        <v>15</v>
      </c>
      <c r="U20" s="72">
        <v>14</v>
      </c>
      <c r="V20" s="72">
        <v>54</v>
      </c>
      <c r="W20" s="72">
        <v>75</v>
      </c>
      <c r="X20" s="72">
        <v>179</v>
      </c>
      <c r="Y20" s="72">
        <v>109</v>
      </c>
      <c r="Z20" s="72">
        <v>4</v>
      </c>
      <c r="AA20" s="72">
        <v>211</v>
      </c>
      <c r="AB20" s="72">
        <v>225</v>
      </c>
      <c r="AC20" s="72">
        <v>91</v>
      </c>
      <c r="AD20" s="72">
        <v>26</v>
      </c>
      <c r="AE20" s="72">
        <v>31</v>
      </c>
      <c r="AF20" s="72">
        <v>554</v>
      </c>
      <c r="AG20" s="293">
        <f>AF20/Q20</f>
        <v>0.64046242774566475</v>
      </c>
      <c r="AH20" s="68" t="s">
        <v>115</v>
      </c>
      <c r="AI20" s="68" t="s">
        <v>115</v>
      </c>
      <c r="AJ20" s="68" t="s">
        <v>115</v>
      </c>
      <c r="AK20" s="68" t="s">
        <v>115</v>
      </c>
      <c r="AL20" s="68" t="s">
        <v>115</v>
      </c>
      <c r="AM20" s="68" t="s">
        <v>115</v>
      </c>
      <c r="AN20" s="68" t="s">
        <v>115</v>
      </c>
      <c r="AO20" s="68" t="s">
        <v>115</v>
      </c>
      <c r="AP20" s="68" t="s">
        <v>115</v>
      </c>
      <c r="AQ20" s="68" t="s">
        <v>115</v>
      </c>
      <c r="AR20" s="68" t="s">
        <v>115</v>
      </c>
      <c r="AS20" s="68" t="s">
        <v>115</v>
      </c>
      <c r="AT20" s="68" t="s">
        <v>115</v>
      </c>
      <c r="AU20" s="68" t="s">
        <v>115</v>
      </c>
      <c r="AV20" s="68" t="s">
        <v>115</v>
      </c>
      <c r="AW20" s="68" t="s">
        <v>115</v>
      </c>
      <c r="AX20" s="68" t="s">
        <v>115</v>
      </c>
      <c r="AY20" s="68" t="s">
        <v>115</v>
      </c>
      <c r="AZ20" s="68" t="s">
        <v>115</v>
      </c>
      <c r="BA20" s="344" t="s">
        <v>115</v>
      </c>
      <c r="BB20" s="72">
        <v>1122</v>
      </c>
      <c r="BC20" s="72">
        <v>724</v>
      </c>
      <c r="BD20" s="72">
        <v>396</v>
      </c>
      <c r="BE20" s="72">
        <v>0</v>
      </c>
      <c r="BF20" s="72">
        <v>182</v>
      </c>
      <c r="BG20" s="72">
        <v>181</v>
      </c>
      <c r="BH20" s="72">
        <v>407</v>
      </c>
      <c r="BI20" s="72">
        <v>55</v>
      </c>
      <c r="BJ20" s="215">
        <v>15</v>
      </c>
      <c r="BK20" s="215" t="s">
        <v>115</v>
      </c>
      <c r="BL20" s="72">
        <v>120</v>
      </c>
      <c r="BM20" s="72" t="s">
        <v>115</v>
      </c>
      <c r="BN20" s="72">
        <v>221</v>
      </c>
      <c r="BO20" s="72" t="s">
        <v>337</v>
      </c>
      <c r="BP20" s="216">
        <f>R20</f>
        <v>311</v>
      </c>
      <c r="BQ20" s="66">
        <f t="shared" si="2"/>
        <v>2.327974276527331</v>
      </c>
      <c r="BR20" s="66">
        <f t="shared" si="0"/>
        <v>7.4</v>
      </c>
      <c r="BS20" s="66" t="s">
        <v>115</v>
      </c>
      <c r="BT20" s="67" t="s">
        <v>115</v>
      </c>
      <c r="BU20" s="72">
        <v>941</v>
      </c>
      <c r="BV20" s="72">
        <v>24</v>
      </c>
      <c r="BW20" s="72">
        <v>27</v>
      </c>
      <c r="BX20" s="216">
        <v>16</v>
      </c>
      <c r="BY20" s="72">
        <v>6</v>
      </c>
      <c r="BZ20" s="72">
        <v>96</v>
      </c>
      <c r="CA20" s="72">
        <v>7</v>
      </c>
      <c r="CB20" s="72">
        <v>5</v>
      </c>
      <c r="CC20" s="294">
        <v>13</v>
      </c>
      <c r="CD20" s="72">
        <v>10</v>
      </c>
      <c r="CE20" s="216">
        <v>7</v>
      </c>
      <c r="CF20" s="294">
        <v>20</v>
      </c>
      <c r="CG20" s="72">
        <v>7</v>
      </c>
      <c r="CH20" s="216">
        <v>13</v>
      </c>
      <c r="CI20" s="294">
        <v>20</v>
      </c>
      <c r="CJ20" s="72">
        <v>7</v>
      </c>
      <c r="CK20" s="216">
        <v>15</v>
      </c>
      <c r="CL20" s="294">
        <v>21</v>
      </c>
      <c r="CM20" s="72">
        <v>5</v>
      </c>
      <c r="CN20" s="216">
        <v>16</v>
      </c>
      <c r="CO20" s="294">
        <v>18</v>
      </c>
      <c r="CP20" s="72">
        <v>6</v>
      </c>
      <c r="CQ20" s="216">
        <v>10</v>
      </c>
      <c r="CR20" s="294" t="s">
        <v>115</v>
      </c>
      <c r="CS20" s="72" t="s">
        <v>115</v>
      </c>
      <c r="CT20" s="216" t="s">
        <v>115</v>
      </c>
      <c r="CU20" s="294" t="s">
        <v>115</v>
      </c>
      <c r="CV20" s="72" t="s">
        <v>115</v>
      </c>
      <c r="CW20" s="216" t="s">
        <v>115</v>
      </c>
    </row>
    <row r="21" spans="1:101" s="80" customFormat="1" x14ac:dyDescent="0.2">
      <c r="A21" s="209"/>
      <c r="B21" s="56"/>
      <c r="C21" s="210"/>
      <c r="D21" s="210"/>
      <c r="E21" s="220"/>
      <c r="F21" s="221"/>
      <c r="G21" s="212"/>
      <c r="H21" s="162"/>
      <c r="I21" s="72"/>
      <c r="J21" s="72"/>
      <c r="K21" s="72"/>
      <c r="L21" s="60"/>
      <c r="M21" s="72"/>
      <c r="N21" s="72"/>
      <c r="O21" s="72"/>
      <c r="P21" s="72"/>
      <c r="Q21" s="294"/>
      <c r="R21" s="72"/>
      <c r="S21" s="72"/>
      <c r="T21" s="72"/>
      <c r="U21" s="72"/>
      <c r="V21" s="72">
        <v>50</v>
      </c>
      <c r="W21" s="72">
        <v>103</v>
      </c>
      <c r="X21" s="72"/>
      <c r="Y21" s="72"/>
      <c r="Z21" s="72"/>
      <c r="AA21" s="72"/>
      <c r="AB21" s="72"/>
      <c r="AC21" s="72"/>
      <c r="AD21" s="72">
        <v>24</v>
      </c>
      <c r="AE21" s="72">
        <v>37</v>
      </c>
      <c r="AF21" s="72"/>
      <c r="AG21" s="293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4"/>
      <c r="BB21" s="72"/>
      <c r="BC21" s="72"/>
      <c r="BD21" s="72"/>
      <c r="BE21" s="72"/>
      <c r="BF21" s="72"/>
      <c r="BG21" s="72"/>
      <c r="BH21" s="72">
        <v>392</v>
      </c>
      <c r="BI21" s="72">
        <v>63</v>
      </c>
      <c r="BJ21" s="215">
        <v>12</v>
      </c>
      <c r="BK21" s="72" t="s">
        <v>115</v>
      </c>
      <c r="BL21" s="72">
        <v>96</v>
      </c>
      <c r="BM21" s="72"/>
      <c r="BN21" s="72"/>
      <c r="BO21" s="72"/>
      <c r="BP21" s="216"/>
      <c r="BQ21" s="66"/>
      <c r="BR21" s="66">
        <f t="shared" si="0"/>
        <v>6.2222222222222223</v>
      </c>
      <c r="BS21" s="66"/>
      <c r="BT21" s="67"/>
      <c r="BU21" s="72"/>
      <c r="BV21" s="72">
        <v>28</v>
      </c>
      <c r="BW21" s="72">
        <v>27</v>
      </c>
      <c r="BX21" s="216">
        <v>21</v>
      </c>
      <c r="BY21" s="72"/>
      <c r="BZ21" s="72"/>
      <c r="CA21" s="72">
        <v>6</v>
      </c>
      <c r="CB21" s="72">
        <v>4</v>
      </c>
      <c r="CC21" s="294">
        <v>14</v>
      </c>
      <c r="CD21" s="72">
        <v>9</v>
      </c>
      <c r="CE21" s="216">
        <v>9</v>
      </c>
      <c r="CF21" s="294"/>
      <c r="CG21" s="72"/>
      <c r="CH21" s="216"/>
      <c r="CI21" s="294">
        <v>22</v>
      </c>
      <c r="CJ21" s="72">
        <v>7</v>
      </c>
      <c r="CK21" s="216">
        <v>14</v>
      </c>
      <c r="CL21" s="294">
        <v>16</v>
      </c>
      <c r="CM21" s="72">
        <v>6</v>
      </c>
      <c r="CN21" s="216">
        <v>12</v>
      </c>
      <c r="CO21" s="294"/>
      <c r="CP21" s="72"/>
      <c r="CQ21" s="216"/>
      <c r="CR21" s="294"/>
      <c r="CS21" s="72"/>
      <c r="CT21" s="216"/>
      <c r="CU21" s="294"/>
      <c r="CV21" s="72"/>
      <c r="CW21" s="216"/>
    </row>
    <row r="22" spans="1:101" s="80" customFormat="1" x14ac:dyDescent="0.2">
      <c r="A22" s="209"/>
      <c r="B22" s="56"/>
      <c r="C22" s="210"/>
      <c r="D22" s="210"/>
      <c r="E22" s="220"/>
      <c r="F22" s="221"/>
      <c r="G22" s="212"/>
      <c r="H22" s="162"/>
      <c r="I22" s="72"/>
      <c r="J22" s="72"/>
      <c r="K22" s="72"/>
      <c r="L22" s="60"/>
      <c r="M22" s="72"/>
      <c r="N22" s="72"/>
      <c r="O22" s="72"/>
      <c r="P22" s="72"/>
      <c r="Q22" s="294"/>
      <c r="R22" s="72"/>
      <c r="S22" s="72"/>
      <c r="T22" s="72"/>
      <c r="U22" s="72"/>
      <c r="V22" s="72">
        <v>44</v>
      </c>
      <c r="W22" s="72">
        <v>111</v>
      </c>
      <c r="X22" s="72"/>
      <c r="Y22" s="72"/>
      <c r="Z22" s="72"/>
      <c r="AA22" s="72"/>
      <c r="AB22" s="72"/>
      <c r="AC22" s="72"/>
      <c r="AD22" s="72">
        <v>23</v>
      </c>
      <c r="AE22" s="72">
        <v>30</v>
      </c>
      <c r="AF22" s="72"/>
      <c r="AG22" s="216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4"/>
      <c r="BB22" s="72"/>
      <c r="BC22" s="72"/>
      <c r="BD22" s="72"/>
      <c r="BE22" s="72"/>
      <c r="BF22" s="72"/>
      <c r="BG22" s="72"/>
      <c r="BH22" s="72">
        <v>419</v>
      </c>
      <c r="BI22" s="72">
        <v>60</v>
      </c>
      <c r="BJ22" s="215">
        <v>12</v>
      </c>
      <c r="BK22" s="72" t="s">
        <v>115</v>
      </c>
      <c r="BL22" s="72">
        <v>106</v>
      </c>
      <c r="BM22" s="72"/>
      <c r="BN22" s="72"/>
      <c r="BO22" s="72"/>
      <c r="BP22" s="216"/>
      <c r="BQ22" s="66"/>
      <c r="BR22" s="66">
        <f t="shared" si="0"/>
        <v>6.9833333333333334</v>
      </c>
      <c r="BS22" s="66"/>
      <c r="BT22" s="67"/>
      <c r="BU22" s="72"/>
      <c r="BV22" s="72"/>
      <c r="BW22" s="72"/>
      <c r="BX22" s="216">
        <v>17</v>
      </c>
      <c r="BY22" s="72"/>
      <c r="BZ22" s="72"/>
      <c r="CA22" s="72"/>
      <c r="CB22" s="72">
        <v>9</v>
      </c>
      <c r="CC22" s="294"/>
      <c r="CD22" s="72"/>
      <c r="CE22" s="216"/>
      <c r="CF22" s="294"/>
      <c r="CG22" s="72"/>
      <c r="CH22" s="216"/>
      <c r="CI22" s="294">
        <v>20</v>
      </c>
      <c r="CJ22" s="72">
        <v>6</v>
      </c>
      <c r="CK22" s="216">
        <v>12</v>
      </c>
      <c r="CL22" s="294"/>
      <c r="CM22" s="72"/>
      <c r="CN22" s="216"/>
      <c r="CO22" s="294"/>
      <c r="CP22" s="72"/>
      <c r="CQ22" s="216"/>
      <c r="CR22" s="294"/>
      <c r="CS22" s="72"/>
      <c r="CT22" s="216"/>
      <c r="CU22" s="294"/>
      <c r="CV22" s="72"/>
      <c r="CW22" s="216"/>
    </row>
    <row r="23" spans="1:101" x14ac:dyDescent="0.2">
      <c r="A23" s="40" t="s">
        <v>381</v>
      </c>
      <c r="B23" s="42" t="s">
        <v>370</v>
      </c>
      <c r="C23" s="41" t="s">
        <v>382</v>
      </c>
      <c r="D23" s="41" t="s">
        <v>111</v>
      </c>
      <c r="E23" s="43" t="s">
        <v>124</v>
      </c>
      <c r="F23" s="44">
        <v>4</v>
      </c>
      <c r="G23" s="43" t="s">
        <v>113</v>
      </c>
      <c r="H23" s="69" t="s">
        <v>383</v>
      </c>
      <c r="I23" s="45">
        <f>2289+1507</f>
        <v>3796</v>
      </c>
      <c r="J23" s="45">
        <v>6</v>
      </c>
      <c r="K23" s="45">
        <v>1</v>
      </c>
      <c r="L23" s="45">
        <f t="shared" si="1"/>
        <v>1</v>
      </c>
      <c r="M23" s="45">
        <f>J23-K23</f>
        <v>5</v>
      </c>
      <c r="N23" s="45">
        <v>0</v>
      </c>
      <c r="O23" s="45">
        <v>559</v>
      </c>
      <c r="P23" s="45">
        <v>227</v>
      </c>
      <c r="Q23" s="79">
        <v>962</v>
      </c>
      <c r="R23" s="45">
        <v>297</v>
      </c>
      <c r="S23" s="45" t="s">
        <v>115</v>
      </c>
      <c r="T23" s="45" t="s">
        <v>115</v>
      </c>
      <c r="U23" s="45" t="s">
        <v>115</v>
      </c>
      <c r="V23" s="45" t="s">
        <v>115</v>
      </c>
      <c r="W23" s="45" t="s">
        <v>115</v>
      </c>
      <c r="X23" s="45" t="s">
        <v>115</v>
      </c>
      <c r="Y23" s="45">
        <v>168</v>
      </c>
      <c r="Z23" s="45">
        <v>4</v>
      </c>
      <c r="AA23" s="45">
        <v>187</v>
      </c>
      <c r="AB23" s="45" t="s">
        <v>115</v>
      </c>
      <c r="AC23" s="45" t="s">
        <v>115</v>
      </c>
      <c r="AD23" s="45">
        <v>44</v>
      </c>
      <c r="AE23" s="45" t="s">
        <v>115</v>
      </c>
      <c r="AF23" s="45">
        <v>539</v>
      </c>
      <c r="AG23" s="347">
        <f>AF23/Q23</f>
        <v>0.56029106029106024</v>
      </c>
      <c r="AH23" s="53" t="s">
        <v>115</v>
      </c>
      <c r="AI23" s="53" t="s">
        <v>115</v>
      </c>
      <c r="AJ23" s="53" t="s">
        <v>115</v>
      </c>
      <c r="AK23" s="53" t="s">
        <v>115</v>
      </c>
      <c r="AL23" s="53" t="s">
        <v>115</v>
      </c>
      <c r="AM23" s="53" t="s">
        <v>115</v>
      </c>
      <c r="AN23" s="53" t="s">
        <v>115</v>
      </c>
      <c r="AO23" s="53" t="s">
        <v>115</v>
      </c>
      <c r="AP23" s="53" t="s">
        <v>115</v>
      </c>
      <c r="AQ23" s="53" t="s">
        <v>115</v>
      </c>
      <c r="AR23" s="53" t="s">
        <v>115</v>
      </c>
      <c r="AS23" s="53" t="s">
        <v>115</v>
      </c>
      <c r="AT23" s="53" t="s">
        <v>115</v>
      </c>
      <c r="AU23" s="53" t="s">
        <v>115</v>
      </c>
      <c r="AV23" s="53" t="s">
        <v>115</v>
      </c>
      <c r="AW23" s="53" t="s">
        <v>115</v>
      </c>
      <c r="AX23" s="53" t="s">
        <v>115</v>
      </c>
      <c r="AY23" s="53" t="s">
        <v>115</v>
      </c>
      <c r="AZ23" s="53" t="s">
        <v>115</v>
      </c>
      <c r="BA23" s="347" t="s">
        <v>115</v>
      </c>
      <c r="BB23" s="45">
        <v>1862</v>
      </c>
      <c r="BC23" s="45">
        <v>1371</v>
      </c>
      <c r="BD23" s="45">
        <v>498</v>
      </c>
      <c r="BE23" s="45">
        <v>0</v>
      </c>
      <c r="BF23" s="45">
        <v>120</v>
      </c>
      <c r="BG23" s="45">
        <v>172</v>
      </c>
      <c r="BH23" s="45">
        <v>515</v>
      </c>
      <c r="BI23" s="45">
        <v>64</v>
      </c>
      <c r="BJ23" s="50">
        <v>18</v>
      </c>
      <c r="BK23" s="45">
        <v>273</v>
      </c>
      <c r="BL23" s="45">
        <v>91</v>
      </c>
      <c r="BM23" s="45">
        <v>347</v>
      </c>
      <c r="BN23" s="45">
        <v>243</v>
      </c>
      <c r="BO23" s="45" t="s">
        <v>337</v>
      </c>
      <c r="BP23" s="49">
        <f>R23</f>
        <v>297</v>
      </c>
      <c r="BQ23" s="51">
        <f t="shared" si="2"/>
        <v>4.6161616161616159</v>
      </c>
      <c r="BR23" s="51">
        <f t="shared" si="0"/>
        <v>8.046875</v>
      </c>
      <c r="BS23" s="51">
        <f t="shared" si="3"/>
        <v>3.951008645533141</v>
      </c>
      <c r="BT23" s="52">
        <f t="shared" si="4"/>
        <v>1.4351585014409223</v>
      </c>
      <c r="BU23" s="45">
        <v>710</v>
      </c>
      <c r="BV23" s="45">
        <v>33</v>
      </c>
      <c r="BW23" s="45">
        <v>30</v>
      </c>
      <c r="BX23" s="49">
        <v>24</v>
      </c>
      <c r="BY23" s="45">
        <v>6</v>
      </c>
      <c r="BZ23" s="45">
        <f>43+90</f>
        <v>133</v>
      </c>
      <c r="CA23" s="45">
        <v>7</v>
      </c>
      <c r="CB23" s="45">
        <v>5</v>
      </c>
      <c r="CC23" s="79">
        <v>9</v>
      </c>
      <c r="CD23" s="45">
        <v>6</v>
      </c>
      <c r="CE23" s="49">
        <v>7</v>
      </c>
      <c r="CF23" s="79">
        <v>15</v>
      </c>
      <c r="CG23" s="45">
        <v>9</v>
      </c>
      <c r="CH23" s="49">
        <v>10</v>
      </c>
      <c r="CI23" s="79">
        <v>21</v>
      </c>
      <c r="CJ23" s="45">
        <v>7</v>
      </c>
      <c r="CK23" s="49">
        <v>14</v>
      </c>
      <c r="CL23" s="79">
        <v>15</v>
      </c>
      <c r="CM23" s="45">
        <v>5</v>
      </c>
      <c r="CN23" s="49">
        <v>7</v>
      </c>
      <c r="CO23" s="79">
        <v>16</v>
      </c>
      <c r="CP23" s="45">
        <v>6</v>
      </c>
      <c r="CQ23" s="49">
        <v>8</v>
      </c>
      <c r="CR23" s="79">
        <v>6</v>
      </c>
      <c r="CS23" s="45">
        <v>3</v>
      </c>
      <c r="CT23" s="49">
        <v>3</v>
      </c>
      <c r="CU23" s="79">
        <v>6</v>
      </c>
      <c r="CV23" s="45">
        <v>3</v>
      </c>
      <c r="CW23" s="49">
        <v>3</v>
      </c>
    </row>
    <row r="24" spans="1:101" x14ac:dyDescent="0.2">
      <c r="A24" s="40"/>
      <c r="B24" s="41"/>
      <c r="C24" s="41"/>
      <c r="D24" s="41"/>
      <c r="E24" s="43"/>
      <c r="F24" s="44"/>
      <c r="G24" s="43"/>
      <c r="H24" s="69"/>
      <c r="V24" s="45" t="s">
        <v>115</v>
      </c>
      <c r="W24" s="45" t="s">
        <v>115</v>
      </c>
      <c r="AD24" s="45">
        <v>36</v>
      </c>
      <c r="AE24" s="45" t="s">
        <v>115</v>
      </c>
      <c r="BH24" s="45">
        <v>506</v>
      </c>
      <c r="BI24" s="45">
        <v>58</v>
      </c>
      <c r="BJ24" s="50">
        <v>11</v>
      </c>
      <c r="BK24" s="45">
        <v>270</v>
      </c>
      <c r="BL24" s="45">
        <v>71</v>
      </c>
      <c r="BQ24" s="51"/>
      <c r="BR24" s="51">
        <f t="shared" si="0"/>
        <v>8.7241379310344822</v>
      </c>
      <c r="BS24" s="51"/>
      <c r="BT24" s="52"/>
      <c r="BV24" s="45">
        <v>32</v>
      </c>
      <c r="BX24" s="49">
        <v>23</v>
      </c>
      <c r="BY24" s="45">
        <v>7</v>
      </c>
      <c r="BZ24" s="45">
        <f>92+21</f>
        <v>113</v>
      </c>
      <c r="CC24" s="79">
        <v>12</v>
      </c>
      <c r="CD24" s="45">
        <v>8</v>
      </c>
      <c r="CE24" s="49">
        <v>7</v>
      </c>
      <c r="CF24" s="79">
        <v>18</v>
      </c>
      <c r="CG24" s="45">
        <v>7</v>
      </c>
      <c r="CH24" s="49">
        <v>11</v>
      </c>
      <c r="CI24" s="79">
        <v>19</v>
      </c>
      <c r="CJ24" s="45">
        <v>5</v>
      </c>
      <c r="CK24" s="49">
        <v>12</v>
      </c>
      <c r="CL24" s="79">
        <v>17</v>
      </c>
      <c r="CM24" s="45">
        <v>4</v>
      </c>
      <c r="CN24" s="49">
        <v>4</v>
      </c>
      <c r="CO24" s="79"/>
      <c r="CQ24" s="49"/>
      <c r="CR24" s="79"/>
      <c r="CT24" s="49"/>
      <c r="CU24" s="79"/>
      <c r="CW24" s="49"/>
    </row>
    <row r="25" spans="1:101" x14ac:dyDescent="0.2">
      <c r="A25" s="40"/>
      <c r="B25" s="41"/>
      <c r="C25" s="41"/>
      <c r="D25" s="41"/>
      <c r="E25" s="43"/>
      <c r="F25" s="44"/>
      <c r="G25" s="43"/>
      <c r="H25" s="69"/>
      <c r="V25" s="45" t="s">
        <v>115</v>
      </c>
      <c r="W25" s="45" t="s">
        <v>115</v>
      </c>
      <c r="AD25" s="45">
        <v>19</v>
      </c>
      <c r="AE25" s="45" t="s">
        <v>115</v>
      </c>
      <c r="BH25" s="45">
        <v>524</v>
      </c>
      <c r="BI25" s="45">
        <v>70</v>
      </c>
      <c r="BJ25" s="50">
        <v>14</v>
      </c>
      <c r="BK25" s="45">
        <v>256</v>
      </c>
      <c r="BL25" s="45">
        <v>67</v>
      </c>
      <c r="BQ25" s="51"/>
      <c r="BR25" s="51">
        <f t="shared" si="0"/>
        <v>7.4857142857142858</v>
      </c>
      <c r="BS25" s="51"/>
      <c r="BT25" s="52"/>
      <c r="BV25" s="45">
        <v>36</v>
      </c>
      <c r="CC25" s="79"/>
      <c r="CE25" s="49"/>
      <c r="CF25" s="79"/>
      <c r="CH25" s="49"/>
      <c r="CI25" s="79"/>
      <c r="CK25" s="49"/>
      <c r="CL25" s="79"/>
      <c r="CN25" s="49"/>
      <c r="CO25" s="79"/>
      <c r="CQ25" s="49"/>
      <c r="CR25" s="79"/>
      <c r="CT25" s="49"/>
      <c r="CU25" s="79"/>
      <c r="CW25" s="49"/>
    </row>
    <row r="26" spans="1:101" x14ac:dyDescent="0.2">
      <c r="A26" s="54" t="s">
        <v>384</v>
      </c>
      <c r="B26" s="56" t="s">
        <v>370</v>
      </c>
      <c r="C26" s="55" t="s">
        <v>109</v>
      </c>
      <c r="D26" s="210" t="s">
        <v>157</v>
      </c>
      <c r="E26" s="212" t="s">
        <v>124</v>
      </c>
      <c r="F26" s="58">
        <v>3</v>
      </c>
      <c r="G26" s="57" t="s">
        <v>133</v>
      </c>
      <c r="H26" s="59"/>
      <c r="I26" s="60">
        <v>2617</v>
      </c>
      <c r="J26" s="60">
        <v>6</v>
      </c>
      <c r="K26" s="60">
        <v>1</v>
      </c>
      <c r="L26" s="60">
        <f t="shared" si="1"/>
        <v>1</v>
      </c>
      <c r="M26" s="60">
        <v>5</v>
      </c>
      <c r="N26" s="60">
        <v>0</v>
      </c>
      <c r="O26" s="60">
        <v>352</v>
      </c>
      <c r="P26" s="60">
        <v>220</v>
      </c>
      <c r="Q26" s="75">
        <v>809</v>
      </c>
      <c r="R26" s="60">
        <v>260</v>
      </c>
      <c r="S26" s="60">
        <v>28</v>
      </c>
      <c r="T26" s="60">
        <v>14</v>
      </c>
      <c r="U26" s="60">
        <f>S26-T26</f>
        <v>14</v>
      </c>
      <c r="V26" s="60" t="s">
        <v>115</v>
      </c>
      <c r="W26" s="60" t="s">
        <v>115</v>
      </c>
      <c r="X26" s="60" t="s">
        <v>115</v>
      </c>
      <c r="Y26" s="60" t="s">
        <v>115</v>
      </c>
      <c r="Z26" s="60" t="s">
        <v>115</v>
      </c>
      <c r="AA26" s="60" t="s">
        <v>115</v>
      </c>
      <c r="AB26" s="60" t="s">
        <v>115</v>
      </c>
      <c r="AC26" s="60" t="s">
        <v>115</v>
      </c>
      <c r="AD26" s="60">
        <v>20</v>
      </c>
      <c r="AE26" s="60">
        <v>35</v>
      </c>
      <c r="AF26" s="60">
        <v>553</v>
      </c>
      <c r="AG26" s="344">
        <f>AF26/Q26</f>
        <v>0.6835599505562423</v>
      </c>
      <c r="AH26" s="68" t="s">
        <v>115</v>
      </c>
      <c r="AI26" s="68" t="s">
        <v>115</v>
      </c>
      <c r="AJ26" s="68" t="s">
        <v>115</v>
      </c>
      <c r="AK26" s="68" t="s">
        <v>115</v>
      </c>
      <c r="AL26" s="68" t="s">
        <v>115</v>
      </c>
      <c r="AM26" s="68" t="s">
        <v>115</v>
      </c>
      <c r="AN26" s="68" t="s">
        <v>115</v>
      </c>
      <c r="AO26" s="68" t="s">
        <v>115</v>
      </c>
      <c r="AP26" s="68" t="s">
        <v>115</v>
      </c>
      <c r="AQ26" s="68" t="s">
        <v>115</v>
      </c>
      <c r="AR26" s="68" t="s">
        <v>115</v>
      </c>
      <c r="AS26" s="68" t="s">
        <v>115</v>
      </c>
      <c r="AT26" s="68" t="s">
        <v>115</v>
      </c>
      <c r="AU26" s="68" t="s">
        <v>115</v>
      </c>
      <c r="AV26" s="68" t="s">
        <v>115</v>
      </c>
      <c r="AW26" s="68" t="s">
        <v>115</v>
      </c>
      <c r="AX26" s="68" t="s">
        <v>115</v>
      </c>
      <c r="AY26" s="68" t="s">
        <v>115</v>
      </c>
      <c r="AZ26" s="68" t="s">
        <v>115</v>
      </c>
      <c r="BA26" s="344" t="s">
        <v>115</v>
      </c>
      <c r="BB26" s="60">
        <v>1237</v>
      </c>
      <c r="BC26" s="60">
        <v>784</v>
      </c>
      <c r="BD26" s="60">
        <v>454</v>
      </c>
      <c r="BE26" s="60">
        <v>0</v>
      </c>
      <c r="BF26" s="60">
        <v>148</v>
      </c>
      <c r="BG26" s="60">
        <v>194</v>
      </c>
      <c r="BH26" s="60">
        <v>422</v>
      </c>
      <c r="BI26" s="60">
        <v>60</v>
      </c>
      <c r="BJ26" s="65">
        <v>16</v>
      </c>
      <c r="BK26" s="60">
        <v>159</v>
      </c>
      <c r="BL26" s="60">
        <v>124</v>
      </c>
      <c r="BM26" s="60">
        <v>192</v>
      </c>
      <c r="BN26" s="60">
        <v>321</v>
      </c>
      <c r="BO26" s="60" t="s">
        <v>128</v>
      </c>
      <c r="BP26" s="64">
        <f>BN26</f>
        <v>321</v>
      </c>
      <c r="BQ26" s="66">
        <f t="shared" si="2"/>
        <v>2.4423676012461057</v>
      </c>
      <c r="BR26" s="66">
        <f t="shared" si="0"/>
        <v>7.0333333333333332</v>
      </c>
      <c r="BS26" s="66">
        <f t="shared" si="3"/>
        <v>4.083333333333333</v>
      </c>
      <c r="BT26" s="67">
        <f t="shared" si="4"/>
        <v>2.3645833333333335</v>
      </c>
      <c r="BU26" s="60">
        <v>502</v>
      </c>
      <c r="BV26" s="60">
        <v>25</v>
      </c>
      <c r="BW26" s="60">
        <v>32</v>
      </c>
      <c r="BX26" s="216">
        <v>23</v>
      </c>
      <c r="BY26" s="72">
        <v>6</v>
      </c>
      <c r="BZ26" s="72">
        <v>84</v>
      </c>
      <c r="CA26" s="72">
        <v>7</v>
      </c>
      <c r="CB26" s="72">
        <v>4</v>
      </c>
      <c r="CC26" s="294">
        <v>14</v>
      </c>
      <c r="CD26" s="72">
        <v>9</v>
      </c>
      <c r="CE26" s="216">
        <v>8</v>
      </c>
      <c r="CF26" s="294">
        <v>20</v>
      </c>
      <c r="CG26" s="72">
        <v>11</v>
      </c>
      <c r="CH26" s="216">
        <v>11</v>
      </c>
      <c r="CI26" s="294">
        <v>18</v>
      </c>
      <c r="CJ26" s="72">
        <v>6</v>
      </c>
      <c r="CK26" s="216">
        <v>12</v>
      </c>
      <c r="CL26" s="294">
        <v>16</v>
      </c>
      <c r="CM26" s="72">
        <v>5</v>
      </c>
      <c r="CN26" s="216">
        <v>7</v>
      </c>
      <c r="CO26" s="294">
        <v>13</v>
      </c>
      <c r="CP26" s="72">
        <v>5</v>
      </c>
      <c r="CQ26" s="216">
        <v>5</v>
      </c>
      <c r="CR26" s="294">
        <v>7</v>
      </c>
      <c r="CS26" s="72">
        <v>3</v>
      </c>
      <c r="CT26" s="216">
        <v>4</v>
      </c>
      <c r="CU26" s="294">
        <v>7</v>
      </c>
      <c r="CV26" s="72">
        <v>4</v>
      </c>
      <c r="CW26" s="216">
        <v>4</v>
      </c>
    </row>
    <row r="27" spans="1:101" x14ac:dyDescent="0.2">
      <c r="A27" s="54"/>
      <c r="B27" s="56"/>
      <c r="C27" s="55"/>
      <c r="D27" s="210"/>
      <c r="E27" s="212"/>
      <c r="F27" s="58"/>
      <c r="G27" s="57"/>
      <c r="H27" s="59"/>
      <c r="I27" s="60"/>
      <c r="J27" s="60"/>
      <c r="K27" s="60"/>
      <c r="L27" s="60"/>
      <c r="M27" s="60"/>
      <c r="N27" s="60"/>
      <c r="O27" s="60"/>
      <c r="P27" s="60"/>
      <c r="Q27" s="75"/>
      <c r="R27" s="60"/>
      <c r="S27" s="60"/>
      <c r="T27" s="60"/>
      <c r="U27" s="60"/>
      <c r="V27" s="60" t="s">
        <v>115</v>
      </c>
      <c r="W27" s="60" t="s">
        <v>115</v>
      </c>
      <c r="X27" s="60"/>
      <c r="Y27" s="60"/>
      <c r="Z27" s="60"/>
      <c r="AA27" s="60"/>
      <c r="AB27" s="60"/>
      <c r="AC27" s="60"/>
      <c r="AD27" s="60">
        <v>26</v>
      </c>
      <c r="AE27" s="60">
        <v>34</v>
      </c>
      <c r="AF27" s="60"/>
      <c r="AG27" s="64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4"/>
      <c r="BB27" s="60"/>
      <c r="BC27" s="60"/>
      <c r="BD27" s="60"/>
      <c r="BE27" s="60"/>
      <c r="BF27" s="60"/>
      <c r="BG27" s="60"/>
      <c r="BH27" s="60">
        <v>418</v>
      </c>
      <c r="BI27" s="60">
        <v>66</v>
      </c>
      <c r="BJ27" s="65">
        <v>13</v>
      </c>
      <c r="BK27" s="60">
        <v>168</v>
      </c>
      <c r="BL27" s="60"/>
      <c r="BM27" s="60"/>
      <c r="BN27" s="60"/>
      <c r="BO27" s="60"/>
      <c r="BP27" s="64"/>
      <c r="BQ27" s="66"/>
      <c r="BR27" s="66">
        <f t="shared" si="0"/>
        <v>6.333333333333333</v>
      </c>
      <c r="BS27" s="66"/>
      <c r="BT27" s="67"/>
      <c r="BU27" s="60"/>
      <c r="BV27" s="60">
        <v>26</v>
      </c>
      <c r="BW27" s="60">
        <v>29</v>
      </c>
      <c r="BX27" s="216">
        <v>25</v>
      </c>
      <c r="BY27" s="72">
        <v>7</v>
      </c>
      <c r="BZ27" s="72">
        <v>82</v>
      </c>
      <c r="CA27" s="72"/>
      <c r="CB27" s="72"/>
      <c r="CC27" s="294">
        <v>13</v>
      </c>
      <c r="CD27" s="72">
        <v>10</v>
      </c>
      <c r="CE27" s="216">
        <v>7</v>
      </c>
      <c r="CF27" s="294">
        <v>20</v>
      </c>
      <c r="CG27" s="72">
        <v>8</v>
      </c>
      <c r="CH27" s="216">
        <v>12</v>
      </c>
      <c r="CI27" s="294"/>
      <c r="CJ27" s="72"/>
      <c r="CK27" s="216"/>
      <c r="CL27" s="294"/>
      <c r="CM27" s="72"/>
      <c r="CN27" s="216"/>
      <c r="CO27" s="294"/>
      <c r="CP27" s="72"/>
      <c r="CQ27" s="216"/>
      <c r="CR27" s="294">
        <v>8</v>
      </c>
      <c r="CS27" s="72">
        <v>3</v>
      </c>
      <c r="CT27" s="216">
        <v>3</v>
      </c>
      <c r="CU27" s="294">
        <v>7</v>
      </c>
      <c r="CV27" s="72">
        <v>3</v>
      </c>
      <c r="CW27" s="216">
        <v>4</v>
      </c>
    </row>
    <row r="28" spans="1:101" x14ac:dyDescent="0.2">
      <c r="A28" s="54"/>
      <c r="B28" s="56"/>
      <c r="C28" s="55"/>
      <c r="D28" s="210"/>
      <c r="E28" s="212"/>
      <c r="F28" s="58"/>
      <c r="G28" s="57"/>
      <c r="H28" s="59"/>
      <c r="I28" s="60"/>
      <c r="J28" s="60"/>
      <c r="K28" s="60"/>
      <c r="L28" s="60"/>
      <c r="M28" s="60"/>
      <c r="N28" s="60"/>
      <c r="O28" s="60"/>
      <c r="P28" s="60"/>
      <c r="Q28" s="75"/>
      <c r="R28" s="60"/>
      <c r="S28" s="60"/>
      <c r="T28" s="60"/>
      <c r="U28" s="60"/>
      <c r="V28" s="60" t="s">
        <v>115</v>
      </c>
      <c r="W28" s="60" t="s">
        <v>115</v>
      </c>
      <c r="X28" s="60"/>
      <c r="Y28" s="60"/>
      <c r="Z28" s="60"/>
      <c r="AA28" s="60"/>
      <c r="AB28" s="60"/>
      <c r="AC28" s="60"/>
      <c r="AD28" s="60">
        <v>29</v>
      </c>
      <c r="AE28" s="60">
        <v>29</v>
      </c>
      <c r="AF28" s="60"/>
      <c r="AG28" s="64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4"/>
      <c r="BB28" s="60"/>
      <c r="BC28" s="60"/>
      <c r="BD28" s="60"/>
      <c r="BE28" s="60"/>
      <c r="BF28" s="60"/>
      <c r="BG28" s="60"/>
      <c r="BH28" s="60">
        <v>405</v>
      </c>
      <c r="BI28" s="60">
        <v>72</v>
      </c>
      <c r="BJ28" s="65">
        <v>15</v>
      </c>
      <c r="BK28" s="60">
        <v>153</v>
      </c>
      <c r="BL28" s="60"/>
      <c r="BM28" s="60"/>
      <c r="BN28" s="60"/>
      <c r="BO28" s="60"/>
      <c r="BP28" s="64"/>
      <c r="BQ28" s="66"/>
      <c r="BR28" s="66">
        <f t="shared" si="0"/>
        <v>5.625</v>
      </c>
      <c r="BS28" s="66"/>
      <c r="BT28" s="67"/>
      <c r="BU28" s="60"/>
      <c r="BV28" s="60"/>
      <c r="BW28" s="60">
        <v>29</v>
      </c>
      <c r="BX28" s="216">
        <v>25</v>
      </c>
      <c r="BY28" s="72"/>
      <c r="BZ28" s="72"/>
      <c r="CA28" s="72"/>
      <c r="CB28" s="72"/>
      <c r="CC28" s="294"/>
      <c r="CD28" s="72"/>
      <c r="CE28" s="216"/>
      <c r="CF28" s="294"/>
      <c r="CG28" s="72"/>
      <c r="CH28" s="216"/>
      <c r="CI28" s="294"/>
      <c r="CJ28" s="72"/>
      <c r="CK28" s="216"/>
      <c r="CL28" s="294"/>
      <c r="CM28" s="72"/>
      <c r="CN28" s="216"/>
      <c r="CO28" s="294"/>
      <c r="CP28" s="72"/>
      <c r="CQ28" s="216"/>
      <c r="CR28" s="294"/>
      <c r="CS28" s="72"/>
      <c r="CT28" s="216"/>
      <c r="CU28" s="294"/>
      <c r="CV28" s="72"/>
      <c r="CW28" s="216"/>
    </row>
    <row r="29" spans="1:101" ht="15.75" customHeight="1" x14ac:dyDescent="0.2">
      <c r="A29" s="40" t="s">
        <v>385</v>
      </c>
      <c r="B29" s="42" t="s">
        <v>370</v>
      </c>
      <c r="C29" s="41" t="s">
        <v>109</v>
      </c>
      <c r="D29" s="41" t="s">
        <v>268</v>
      </c>
      <c r="E29" s="43" t="s">
        <v>124</v>
      </c>
      <c r="F29" s="44">
        <v>3</v>
      </c>
      <c r="G29" s="43" t="s">
        <v>133</v>
      </c>
      <c r="H29" s="69"/>
      <c r="I29" s="45">
        <f>2946+1289</f>
        <v>4235</v>
      </c>
      <c r="J29" s="45">
        <v>7</v>
      </c>
      <c r="K29" s="45">
        <v>1</v>
      </c>
      <c r="L29" s="45">
        <f t="shared" si="1"/>
        <v>1</v>
      </c>
      <c r="M29" s="45">
        <v>6</v>
      </c>
      <c r="N29" s="45">
        <v>0</v>
      </c>
      <c r="O29" s="45">
        <v>753</v>
      </c>
      <c r="P29" s="45">
        <v>256</v>
      </c>
      <c r="Q29" s="79">
        <v>1275</v>
      </c>
      <c r="R29" s="45">
        <v>356</v>
      </c>
      <c r="S29" s="45">
        <v>26</v>
      </c>
      <c r="T29" s="45">
        <v>12</v>
      </c>
      <c r="U29" s="45">
        <f>S29-T29</f>
        <v>14</v>
      </c>
      <c r="V29" s="45">
        <v>78</v>
      </c>
      <c r="W29" s="45">
        <v>94</v>
      </c>
      <c r="X29" s="45">
        <v>183</v>
      </c>
      <c r="Y29" s="45">
        <v>146</v>
      </c>
      <c r="Z29" s="45">
        <v>4</v>
      </c>
      <c r="AA29" s="45">
        <v>283</v>
      </c>
      <c r="AB29" s="45">
        <v>238</v>
      </c>
      <c r="AC29" s="45">
        <v>79</v>
      </c>
      <c r="AD29" s="45">
        <v>30</v>
      </c>
      <c r="AE29" s="45">
        <v>46</v>
      </c>
      <c r="AF29" s="45">
        <v>816</v>
      </c>
      <c r="AG29" s="347">
        <f>AF29/Q29</f>
        <v>0.64</v>
      </c>
      <c r="AH29" s="53" t="s">
        <v>115</v>
      </c>
      <c r="AI29" s="53" t="s">
        <v>115</v>
      </c>
      <c r="AJ29" s="53" t="s">
        <v>115</v>
      </c>
      <c r="AK29" s="53" t="s">
        <v>115</v>
      </c>
      <c r="AL29" s="53" t="s">
        <v>115</v>
      </c>
      <c r="AM29" s="53" t="s">
        <v>115</v>
      </c>
      <c r="AN29" s="53" t="s">
        <v>115</v>
      </c>
      <c r="AO29" s="53" t="s">
        <v>115</v>
      </c>
      <c r="AP29" s="53" t="s">
        <v>115</v>
      </c>
      <c r="AQ29" s="53" t="s">
        <v>115</v>
      </c>
      <c r="AR29" s="53" t="s">
        <v>115</v>
      </c>
      <c r="AS29" s="53" t="s">
        <v>115</v>
      </c>
      <c r="AT29" s="53" t="s">
        <v>115</v>
      </c>
      <c r="AU29" s="53" t="s">
        <v>115</v>
      </c>
      <c r="AV29" s="53" t="s">
        <v>115</v>
      </c>
      <c r="AW29" s="53" t="s">
        <v>115</v>
      </c>
      <c r="AX29" s="53" t="s">
        <v>115</v>
      </c>
      <c r="AY29" s="53" t="s">
        <v>115</v>
      </c>
      <c r="AZ29" s="53" t="s">
        <v>115</v>
      </c>
      <c r="BA29" s="347" t="s">
        <v>115</v>
      </c>
      <c r="BB29" s="45">
        <v>1473</v>
      </c>
      <c r="BC29" s="45">
        <v>935</v>
      </c>
      <c r="BD29" s="45">
        <v>530</v>
      </c>
      <c r="BE29" s="45">
        <v>0</v>
      </c>
      <c r="BF29" s="45">
        <v>153</v>
      </c>
      <c r="BG29" s="45">
        <v>180</v>
      </c>
      <c r="BH29" s="45">
        <v>528</v>
      </c>
      <c r="BI29" s="45">
        <v>60</v>
      </c>
      <c r="BJ29" s="50">
        <v>16</v>
      </c>
      <c r="BK29" s="45">
        <v>190</v>
      </c>
      <c r="BL29" s="45">
        <v>115</v>
      </c>
      <c r="BM29" s="45">
        <v>239</v>
      </c>
      <c r="BN29" s="45">
        <v>269</v>
      </c>
      <c r="BO29" s="45" t="s">
        <v>337</v>
      </c>
      <c r="BP29" s="49">
        <f>R29</f>
        <v>356</v>
      </c>
      <c r="BQ29" s="51">
        <f t="shared" si="2"/>
        <v>2.6264044943820224</v>
      </c>
      <c r="BR29" s="51">
        <f t="shared" si="0"/>
        <v>8.8000000000000007</v>
      </c>
      <c r="BS29" s="51">
        <f t="shared" si="3"/>
        <v>3.9121338912133892</v>
      </c>
      <c r="BT29" s="52">
        <f t="shared" si="4"/>
        <v>2.2175732217573221</v>
      </c>
      <c r="BU29" s="45">
        <v>767</v>
      </c>
      <c r="BV29" s="45">
        <v>21</v>
      </c>
      <c r="BW29" s="45">
        <v>24</v>
      </c>
      <c r="BX29" s="49">
        <v>18</v>
      </c>
      <c r="BY29" s="80">
        <v>6</v>
      </c>
      <c r="BZ29" s="80">
        <v>96</v>
      </c>
      <c r="CA29" s="80">
        <v>7</v>
      </c>
      <c r="CB29" s="80" t="s">
        <v>115</v>
      </c>
      <c r="CC29" s="292">
        <v>14</v>
      </c>
      <c r="CD29" s="80">
        <v>10</v>
      </c>
      <c r="CE29" s="81">
        <v>8</v>
      </c>
      <c r="CF29" s="292">
        <v>19</v>
      </c>
      <c r="CG29" s="80">
        <v>9</v>
      </c>
      <c r="CH29" s="81">
        <v>12</v>
      </c>
      <c r="CI29" s="292">
        <v>24</v>
      </c>
      <c r="CJ29" s="80">
        <v>9</v>
      </c>
      <c r="CK29" s="81">
        <v>11</v>
      </c>
      <c r="CL29" s="292">
        <v>14</v>
      </c>
      <c r="CM29" s="80">
        <v>5</v>
      </c>
      <c r="CN29" s="81">
        <v>9</v>
      </c>
      <c r="CO29" s="292">
        <v>19</v>
      </c>
      <c r="CP29" s="80">
        <v>6</v>
      </c>
      <c r="CQ29" s="81">
        <v>15</v>
      </c>
      <c r="CR29" s="292">
        <v>8</v>
      </c>
      <c r="CS29" s="80">
        <v>5</v>
      </c>
      <c r="CT29" s="81">
        <v>5</v>
      </c>
      <c r="CU29" s="292">
        <v>8</v>
      </c>
      <c r="CV29" s="80">
        <v>4</v>
      </c>
      <c r="CW29" s="81">
        <v>4</v>
      </c>
    </row>
    <row r="30" spans="1:101" x14ac:dyDescent="0.2">
      <c r="A30" s="40"/>
      <c r="B30" s="41"/>
      <c r="C30" s="41"/>
      <c r="D30" s="41"/>
      <c r="E30" s="43"/>
      <c r="F30" s="44"/>
      <c r="G30" s="43"/>
      <c r="H30" s="69"/>
      <c r="V30" s="45">
        <v>74</v>
      </c>
      <c r="W30" s="45">
        <v>74</v>
      </c>
      <c r="AD30" s="45">
        <v>45</v>
      </c>
      <c r="AE30" s="45">
        <v>64</v>
      </c>
      <c r="BH30" s="45">
        <v>543</v>
      </c>
      <c r="BI30" s="45">
        <v>63</v>
      </c>
      <c r="BJ30" s="50">
        <v>13</v>
      </c>
      <c r="BK30" s="45">
        <v>183</v>
      </c>
      <c r="BL30" s="45">
        <v>126</v>
      </c>
      <c r="BQ30" s="51"/>
      <c r="BR30" s="51">
        <f t="shared" si="0"/>
        <v>8.6190476190476186</v>
      </c>
      <c r="BS30" s="51"/>
      <c r="BT30" s="52"/>
      <c r="BV30" s="45">
        <v>26</v>
      </c>
      <c r="BW30" s="45">
        <v>34</v>
      </c>
      <c r="BX30" s="49">
        <v>19</v>
      </c>
      <c r="BY30" s="80">
        <v>7</v>
      </c>
      <c r="BZ30" s="80"/>
      <c r="CA30" s="80"/>
      <c r="CB30" s="80"/>
      <c r="CC30" s="292">
        <v>15</v>
      </c>
      <c r="CD30" s="80">
        <v>8</v>
      </c>
      <c r="CE30" s="81">
        <v>10</v>
      </c>
      <c r="CF30" s="292">
        <v>20</v>
      </c>
      <c r="CG30" s="80">
        <v>7</v>
      </c>
      <c r="CH30" s="81">
        <v>15</v>
      </c>
      <c r="CI30" s="292"/>
      <c r="CJ30" s="80"/>
      <c r="CK30" s="81"/>
      <c r="CL30" s="292"/>
      <c r="CM30" s="80"/>
      <c r="CN30" s="81"/>
      <c r="CO30" s="292"/>
      <c r="CP30" s="80"/>
      <c r="CQ30" s="81"/>
      <c r="CR30" s="292"/>
      <c r="CS30" s="80"/>
      <c r="CT30" s="81"/>
      <c r="CU30" s="292"/>
      <c r="CV30" s="80"/>
      <c r="CW30" s="81"/>
    </row>
    <row r="31" spans="1:101" x14ac:dyDescent="0.2">
      <c r="A31" s="40"/>
      <c r="B31" s="41"/>
      <c r="C31" s="41"/>
      <c r="D31" s="41"/>
      <c r="E31" s="43"/>
      <c r="F31" s="44"/>
      <c r="G31" s="43"/>
      <c r="H31" s="69"/>
      <c r="V31" s="45">
        <v>73</v>
      </c>
      <c r="W31" s="45">
        <v>82</v>
      </c>
      <c r="AD31" s="45">
        <v>38</v>
      </c>
      <c r="AE31" s="45">
        <v>46</v>
      </c>
      <c r="BH31" s="45">
        <v>552</v>
      </c>
      <c r="BI31" s="45">
        <v>62</v>
      </c>
      <c r="BJ31" s="50">
        <v>19</v>
      </c>
      <c r="BK31" s="45">
        <v>172</v>
      </c>
      <c r="BL31" s="45">
        <v>120</v>
      </c>
      <c r="BQ31" s="51"/>
      <c r="BR31" s="51">
        <f t="shared" si="0"/>
        <v>8.9032258064516121</v>
      </c>
      <c r="BS31" s="51"/>
      <c r="BT31" s="52"/>
      <c r="BV31" s="45">
        <v>20</v>
      </c>
      <c r="BY31" s="80"/>
      <c r="BZ31" s="80"/>
      <c r="CA31" s="80"/>
      <c r="CB31" s="80"/>
      <c r="CC31" s="292"/>
      <c r="CD31" s="80"/>
      <c r="CE31" s="81"/>
      <c r="CF31" s="292"/>
      <c r="CG31" s="80"/>
      <c r="CH31" s="81"/>
      <c r="CI31" s="292"/>
      <c r="CJ31" s="80"/>
      <c r="CK31" s="81"/>
      <c r="CL31" s="292"/>
      <c r="CM31" s="80"/>
      <c r="CN31" s="81"/>
      <c r="CO31" s="292"/>
      <c r="CP31" s="80"/>
      <c r="CQ31" s="81"/>
      <c r="CR31" s="292"/>
      <c r="CS31" s="80"/>
      <c r="CT31" s="81"/>
      <c r="CU31" s="292"/>
      <c r="CV31" s="80"/>
      <c r="CW31" s="81"/>
    </row>
    <row r="32" spans="1:101" x14ac:dyDescent="0.2">
      <c r="A32" s="54" t="s">
        <v>386</v>
      </c>
      <c r="B32" s="56" t="s">
        <v>370</v>
      </c>
      <c r="C32" s="55" t="s">
        <v>109</v>
      </c>
      <c r="D32" s="55" t="s">
        <v>157</v>
      </c>
      <c r="E32" s="57" t="s">
        <v>124</v>
      </c>
      <c r="F32" s="58">
        <v>2</v>
      </c>
      <c r="G32" s="57" t="s">
        <v>113</v>
      </c>
      <c r="H32" s="59" t="s">
        <v>383</v>
      </c>
      <c r="I32" s="60">
        <f>1440+1345</f>
        <v>2785</v>
      </c>
      <c r="J32" s="60">
        <v>5</v>
      </c>
      <c r="K32" s="60">
        <v>1</v>
      </c>
      <c r="L32" s="60">
        <f t="shared" si="1"/>
        <v>1</v>
      </c>
      <c r="M32" s="60">
        <f>J32-K32</f>
        <v>4</v>
      </c>
      <c r="N32" s="60">
        <v>0</v>
      </c>
      <c r="O32" s="60">
        <v>381</v>
      </c>
      <c r="P32" s="60">
        <v>175</v>
      </c>
      <c r="Q32" s="75">
        <v>977</v>
      </c>
      <c r="R32" s="60">
        <v>232</v>
      </c>
      <c r="S32" s="60">
        <v>29</v>
      </c>
      <c r="T32" s="60">
        <v>14</v>
      </c>
      <c r="U32" s="60">
        <f>S32-T32</f>
        <v>15</v>
      </c>
      <c r="V32" s="60">
        <v>39</v>
      </c>
      <c r="W32" s="60" t="s">
        <v>115</v>
      </c>
      <c r="X32" s="60" t="s">
        <v>115</v>
      </c>
      <c r="Y32" s="60">
        <v>105</v>
      </c>
      <c r="Z32" s="60">
        <v>4</v>
      </c>
      <c r="AA32" s="60">
        <v>219</v>
      </c>
      <c r="AB32" s="60" t="s">
        <v>115</v>
      </c>
      <c r="AC32" s="60" t="s">
        <v>115</v>
      </c>
      <c r="AD32" s="60">
        <v>22</v>
      </c>
      <c r="AE32" s="60" t="s">
        <v>115</v>
      </c>
      <c r="AF32" s="60">
        <v>634</v>
      </c>
      <c r="AG32" s="344">
        <f>AF32/Q32</f>
        <v>0.64892528147389972</v>
      </c>
      <c r="AH32" s="68" t="s">
        <v>115</v>
      </c>
      <c r="AI32" s="68" t="s">
        <v>115</v>
      </c>
      <c r="AJ32" s="68" t="s">
        <v>115</v>
      </c>
      <c r="AK32" s="68" t="s">
        <v>115</v>
      </c>
      <c r="AL32" s="68" t="s">
        <v>115</v>
      </c>
      <c r="AM32" s="68" t="s">
        <v>115</v>
      </c>
      <c r="AN32" s="68" t="s">
        <v>115</v>
      </c>
      <c r="AO32" s="68" t="s">
        <v>115</v>
      </c>
      <c r="AP32" s="68" t="s">
        <v>115</v>
      </c>
      <c r="AQ32" s="68" t="s">
        <v>115</v>
      </c>
      <c r="AR32" s="68" t="s">
        <v>115</v>
      </c>
      <c r="AS32" s="68" t="s">
        <v>115</v>
      </c>
      <c r="AT32" s="68" t="s">
        <v>115</v>
      </c>
      <c r="AU32" s="68" t="s">
        <v>115</v>
      </c>
      <c r="AV32" s="68" t="s">
        <v>115</v>
      </c>
      <c r="AW32" s="68" t="s">
        <v>115</v>
      </c>
      <c r="AX32" s="68" t="s">
        <v>115</v>
      </c>
      <c r="AY32" s="68" t="s">
        <v>115</v>
      </c>
      <c r="AZ32" s="68" t="s">
        <v>115</v>
      </c>
      <c r="BA32" s="344" t="s">
        <v>115</v>
      </c>
      <c r="BB32" s="60">
        <v>1252</v>
      </c>
      <c r="BC32" s="60">
        <v>806</v>
      </c>
      <c r="BD32" s="60">
        <v>447</v>
      </c>
      <c r="BE32" s="60">
        <v>0</v>
      </c>
      <c r="BF32" s="60">
        <v>152</v>
      </c>
      <c r="BG32" s="60">
        <v>182</v>
      </c>
      <c r="BH32" s="60">
        <v>428</v>
      </c>
      <c r="BI32" s="60">
        <v>72</v>
      </c>
      <c r="BJ32" s="65">
        <v>12</v>
      </c>
      <c r="BK32" s="60">
        <v>167</v>
      </c>
      <c r="BL32" s="60" t="s">
        <v>115</v>
      </c>
      <c r="BM32" s="60">
        <v>201</v>
      </c>
      <c r="BN32" s="60">
        <v>318</v>
      </c>
      <c r="BO32" s="60" t="s">
        <v>128</v>
      </c>
      <c r="BP32" s="64">
        <f>BN32</f>
        <v>318</v>
      </c>
      <c r="BQ32" s="66">
        <f t="shared" si="2"/>
        <v>2.5345911949685536</v>
      </c>
      <c r="BR32" s="66">
        <f t="shared" si="0"/>
        <v>5.9444444444444446</v>
      </c>
      <c r="BS32" s="66">
        <f t="shared" si="3"/>
        <v>4.0099502487562191</v>
      </c>
      <c r="BT32" s="67">
        <f t="shared" si="4"/>
        <v>2.2238805970149254</v>
      </c>
      <c r="BU32" s="60">
        <v>247</v>
      </c>
      <c r="BV32" s="60">
        <v>23</v>
      </c>
      <c r="BW32" s="60">
        <v>35</v>
      </c>
      <c r="BX32" s="64">
        <v>21</v>
      </c>
      <c r="BY32" s="72">
        <v>6</v>
      </c>
      <c r="BZ32" s="72">
        <v>78</v>
      </c>
      <c r="CA32" s="72">
        <v>7</v>
      </c>
      <c r="CB32" s="72" t="s">
        <v>115</v>
      </c>
      <c r="CC32" s="294" t="s">
        <v>115</v>
      </c>
      <c r="CD32" s="72" t="s">
        <v>115</v>
      </c>
      <c r="CE32" s="216" t="s">
        <v>115</v>
      </c>
      <c r="CF32" s="294" t="s">
        <v>115</v>
      </c>
      <c r="CG32" s="72" t="s">
        <v>115</v>
      </c>
      <c r="CH32" s="216" t="s">
        <v>115</v>
      </c>
      <c r="CI32" s="294">
        <v>16</v>
      </c>
      <c r="CJ32" s="72">
        <v>5</v>
      </c>
      <c r="CK32" s="216">
        <v>10</v>
      </c>
      <c r="CL32" s="294">
        <v>15</v>
      </c>
      <c r="CM32" s="72">
        <v>5</v>
      </c>
      <c r="CN32" s="216">
        <v>9</v>
      </c>
      <c r="CO32" s="294" t="s">
        <v>115</v>
      </c>
      <c r="CP32" s="72" t="s">
        <v>115</v>
      </c>
      <c r="CQ32" s="216" t="s">
        <v>115</v>
      </c>
      <c r="CR32" s="294" t="s">
        <v>115</v>
      </c>
      <c r="CS32" s="72" t="s">
        <v>115</v>
      </c>
      <c r="CT32" s="216" t="s">
        <v>115</v>
      </c>
      <c r="CU32" s="294" t="s">
        <v>115</v>
      </c>
      <c r="CV32" s="72" t="s">
        <v>115</v>
      </c>
      <c r="CW32" s="216" t="s">
        <v>115</v>
      </c>
    </row>
    <row r="33" spans="1:101" x14ac:dyDescent="0.2">
      <c r="A33" s="54"/>
      <c r="B33" s="56"/>
      <c r="C33" s="55"/>
      <c r="D33" s="55"/>
      <c r="E33" s="57"/>
      <c r="F33" s="58"/>
      <c r="G33" s="57"/>
      <c r="H33" s="59"/>
      <c r="I33" s="60"/>
      <c r="J33" s="60"/>
      <c r="K33" s="60"/>
      <c r="L33" s="60"/>
      <c r="M33" s="60"/>
      <c r="N33" s="60"/>
      <c r="O33" s="60"/>
      <c r="P33" s="60"/>
      <c r="Q33" s="75"/>
      <c r="R33" s="60"/>
      <c r="S33" s="60"/>
      <c r="T33" s="60"/>
      <c r="U33" s="60"/>
      <c r="V33" s="60">
        <v>48</v>
      </c>
      <c r="W33" s="60" t="s">
        <v>115</v>
      </c>
      <c r="X33" s="60"/>
      <c r="Y33" s="60"/>
      <c r="Z33" s="60"/>
      <c r="AA33" s="60"/>
      <c r="AB33" s="60"/>
      <c r="AC33" s="60"/>
      <c r="AD33" s="60">
        <v>27</v>
      </c>
      <c r="AE33" s="60" t="s">
        <v>115</v>
      </c>
      <c r="AF33" s="60"/>
      <c r="AG33" s="64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4"/>
      <c r="BB33" s="60"/>
      <c r="BC33" s="60"/>
      <c r="BD33" s="60"/>
      <c r="BE33" s="60"/>
      <c r="BF33" s="60"/>
      <c r="BG33" s="60"/>
      <c r="BH33" s="60">
        <v>422</v>
      </c>
      <c r="BI33" s="60">
        <v>62</v>
      </c>
      <c r="BJ33" s="65">
        <v>13</v>
      </c>
      <c r="BK33" s="60">
        <v>183</v>
      </c>
      <c r="BL33" s="60">
        <v>144</v>
      </c>
      <c r="BM33" s="60"/>
      <c r="BN33" s="60"/>
      <c r="BO33" s="60"/>
      <c r="BP33" s="64"/>
      <c r="BQ33" s="66"/>
      <c r="BR33" s="66">
        <f t="shared" si="0"/>
        <v>6.806451612903226</v>
      </c>
      <c r="BS33" s="66"/>
      <c r="BT33" s="67"/>
      <c r="BU33" s="60"/>
      <c r="BV33" s="60">
        <v>29</v>
      </c>
      <c r="BW33" s="60"/>
      <c r="BX33" s="64"/>
      <c r="BY33" s="72"/>
      <c r="BZ33" s="72"/>
      <c r="CA33" s="72"/>
      <c r="CB33" s="72"/>
      <c r="CC33" s="294"/>
      <c r="CD33" s="72"/>
      <c r="CE33" s="216"/>
      <c r="CF33" s="294"/>
      <c r="CG33" s="72"/>
      <c r="CH33" s="216"/>
      <c r="CI33" s="294">
        <v>15</v>
      </c>
      <c r="CJ33" s="72">
        <v>5</v>
      </c>
      <c r="CK33" s="216">
        <v>9</v>
      </c>
      <c r="CL33" s="294"/>
      <c r="CM33" s="72"/>
      <c r="CN33" s="216"/>
      <c r="CO33" s="294"/>
      <c r="CP33" s="72"/>
      <c r="CQ33" s="216"/>
      <c r="CR33" s="294"/>
      <c r="CS33" s="72"/>
      <c r="CT33" s="216"/>
      <c r="CU33" s="294"/>
      <c r="CV33" s="72"/>
      <c r="CW33" s="216"/>
    </row>
    <row r="34" spans="1:101" x14ac:dyDescent="0.2">
      <c r="A34" s="54"/>
      <c r="B34" s="56"/>
      <c r="C34" s="55"/>
      <c r="D34" s="55"/>
      <c r="E34" s="57"/>
      <c r="F34" s="58"/>
      <c r="G34" s="57"/>
      <c r="H34" s="59"/>
      <c r="I34" s="60"/>
      <c r="J34" s="60"/>
      <c r="K34" s="60"/>
      <c r="L34" s="60"/>
      <c r="M34" s="60"/>
      <c r="N34" s="60"/>
      <c r="O34" s="60"/>
      <c r="P34" s="60"/>
      <c r="Q34" s="75"/>
      <c r="R34" s="60"/>
      <c r="S34" s="60"/>
      <c r="T34" s="60"/>
      <c r="U34" s="60"/>
      <c r="V34" s="60">
        <v>61</v>
      </c>
      <c r="W34" s="60" t="s">
        <v>115</v>
      </c>
      <c r="X34" s="60"/>
      <c r="Y34" s="60"/>
      <c r="Z34" s="60"/>
      <c r="AA34" s="60"/>
      <c r="AB34" s="60"/>
      <c r="AC34" s="60"/>
      <c r="AD34" s="60">
        <v>16</v>
      </c>
      <c r="AE34" s="60" t="s">
        <v>115</v>
      </c>
      <c r="AF34" s="60"/>
      <c r="AG34" s="64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4"/>
      <c r="BB34" s="60"/>
      <c r="BC34" s="60"/>
      <c r="BD34" s="60"/>
      <c r="BE34" s="60"/>
      <c r="BF34" s="60"/>
      <c r="BG34" s="60"/>
      <c r="BH34" s="60">
        <v>434</v>
      </c>
      <c r="BI34" s="60">
        <v>75</v>
      </c>
      <c r="BJ34" s="65">
        <v>13</v>
      </c>
      <c r="BK34" s="60">
        <v>178</v>
      </c>
      <c r="BL34" s="60">
        <v>148</v>
      </c>
      <c r="BM34" s="60"/>
      <c r="BN34" s="60"/>
      <c r="BO34" s="60"/>
      <c r="BP34" s="64"/>
      <c r="BQ34" s="66"/>
      <c r="BR34" s="66">
        <f t="shared" si="0"/>
        <v>5.7866666666666671</v>
      </c>
      <c r="BS34" s="66"/>
      <c r="BT34" s="67"/>
      <c r="BU34" s="60"/>
      <c r="BV34" s="60"/>
      <c r="BW34" s="60"/>
      <c r="BX34" s="64"/>
      <c r="BY34" s="72"/>
      <c r="BZ34" s="72"/>
      <c r="CA34" s="72"/>
      <c r="CB34" s="72"/>
      <c r="CC34" s="294"/>
      <c r="CD34" s="72"/>
      <c r="CE34" s="216"/>
      <c r="CF34" s="294"/>
      <c r="CG34" s="72"/>
      <c r="CH34" s="216"/>
      <c r="CI34" s="294"/>
      <c r="CJ34" s="72"/>
      <c r="CK34" s="216"/>
      <c r="CL34" s="294"/>
      <c r="CM34" s="72"/>
      <c r="CN34" s="216"/>
      <c r="CO34" s="294"/>
      <c r="CP34" s="72"/>
      <c r="CQ34" s="216"/>
      <c r="CR34" s="294"/>
      <c r="CS34" s="72"/>
      <c r="CT34" s="216"/>
      <c r="CU34" s="294"/>
      <c r="CV34" s="72"/>
      <c r="CW34" s="216"/>
    </row>
    <row r="35" spans="1:101" x14ac:dyDescent="0.2">
      <c r="A35" s="40" t="s">
        <v>387</v>
      </c>
      <c r="B35" s="42" t="s">
        <v>370</v>
      </c>
      <c r="C35" s="41" t="s">
        <v>109</v>
      </c>
      <c r="D35" s="41" t="s">
        <v>157</v>
      </c>
      <c r="E35" s="43" t="s">
        <v>124</v>
      </c>
      <c r="F35" s="44">
        <v>0</v>
      </c>
      <c r="G35" s="43" t="s">
        <v>133</v>
      </c>
      <c r="H35" s="69" t="s">
        <v>388</v>
      </c>
      <c r="I35" s="45">
        <f>1692+1942</f>
        <v>3634</v>
      </c>
      <c r="J35" s="45">
        <v>7</v>
      </c>
      <c r="K35" s="45">
        <v>1</v>
      </c>
      <c r="L35" s="45">
        <f t="shared" si="1"/>
        <v>1</v>
      </c>
      <c r="M35" s="45">
        <v>6</v>
      </c>
      <c r="N35" s="45">
        <v>0</v>
      </c>
      <c r="O35" s="45">
        <v>603</v>
      </c>
      <c r="P35" s="45">
        <v>263</v>
      </c>
      <c r="Q35" s="79">
        <v>1108</v>
      </c>
      <c r="R35" s="45">
        <v>276</v>
      </c>
      <c r="S35" s="45">
        <v>30</v>
      </c>
      <c r="T35" s="45">
        <v>15</v>
      </c>
      <c r="U35" s="45">
        <f>S35-T35</f>
        <v>15</v>
      </c>
      <c r="V35" s="45">
        <v>41</v>
      </c>
      <c r="W35" s="45">
        <v>79</v>
      </c>
      <c r="X35" s="45">
        <v>184</v>
      </c>
      <c r="Y35" s="45">
        <v>146</v>
      </c>
      <c r="Z35" s="45">
        <v>4</v>
      </c>
      <c r="AA35" s="45">
        <v>230</v>
      </c>
      <c r="AB35" s="45">
        <v>156</v>
      </c>
      <c r="AC35" s="45">
        <v>51</v>
      </c>
      <c r="AD35" s="45">
        <v>36</v>
      </c>
      <c r="AE35" s="45">
        <v>30</v>
      </c>
      <c r="AF35" s="45">
        <v>720</v>
      </c>
      <c r="AG35" s="347">
        <f>AF35/Q35</f>
        <v>0.64981949458483756</v>
      </c>
      <c r="AH35" s="53" t="s">
        <v>115</v>
      </c>
      <c r="AI35" s="53" t="s">
        <v>115</v>
      </c>
      <c r="AJ35" s="53" t="s">
        <v>115</v>
      </c>
      <c r="AK35" s="53" t="s">
        <v>115</v>
      </c>
      <c r="AL35" s="53" t="s">
        <v>115</v>
      </c>
      <c r="AM35" s="53" t="s">
        <v>115</v>
      </c>
      <c r="AN35" s="53" t="s">
        <v>115</v>
      </c>
      <c r="AO35" s="53" t="s">
        <v>115</v>
      </c>
      <c r="AP35" s="53" t="s">
        <v>115</v>
      </c>
      <c r="AQ35" s="53" t="s">
        <v>115</v>
      </c>
      <c r="AR35" s="53" t="s">
        <v>115</v>
      </c>
      <c r="AS35" s="53" t="s">
        <v>115</v>
      </c>
      <c r="AT35" s="53" t="s">
        <v>115</v>
      </c>
      <c r="AU35" s="53" t="s">
        <v>115</v>
      </c>
      <c r="AV35" s="53" t="s">
        <v>115</v>
      </c>
      <c r="AW35" s="53" t="s">
        <v>115</v>
      </c>
      <c r="AX35" s="53" t="s">
        <v>115</v>
      </c>
      <c r="AY35" s="53" t="s">
        <v>115</v>
      </c>
      <c r="AZ35" s="53" t="s">
        <v>115</v>
      </c>
      <c r="BA35" s="347" t="s">
        <v>115</v>
      </c>
      <c r="BB35" s="45">
        <v>1484</v>
      </c>
      <c r="BC35" s="45">
        <v>963</v>
      </c>
      <c r="BD35" s="45">
        <v>548</v>
      </c>
      <c r="BE35" s="45">
        <v>18</v>
      </c>
      <c r="BF35" s="45">
        <v>151</v>
      </c>
      <c r="BG35" s="45">
        <v>186</v>
      </c>
      <c r="BH35" s="45">
        <v>500</v>
      </c>
      <c r="BI35" s="45">
        <v>61</v>
      </c>
      <c r="BJ35" s="50">
        <v>17</v>
      </c>
      <c r="BK35" s="45">
        <v>180</v>
      </c>
      <c r="BL35" s="45" t="s">
        <v>115</v>
      </c>
      <c r="BM35" s="45" t="s">
        <v>115</v>
      </c>
      <c r="BN35" s="45">
        <v>357</v>
      </c>
      <c r="BO35" s="45" t="s">
        <v>128</v>
      </c>
      <c r="BP35" s="49">
        <f>BN35</f>
        <v>357</v>
      </c>
      <c r="BQ35" s="51">
        <f t="shared" si="2"/>
        <v>2.6974789915966388</v>
      </c>
      <c r="BR35" s="51">
        <f t="shared" si="0"/>
        <v>8.1967213114754092</v>
      </c>
      <c r="BS35" s="51" t="s">
        <v>115</v>
      </c>
      <c r="BT35" s="52" t="s">
        <v>115</v>
      </c>
      <c r="BU35" s="45" t="s">
        <v>115</v>
      </c>
      <c r="BV35" s="45" t="s">
        <v>115</v>
      </c>
      <c r="BW35" s="45" t="s">
        <v>115</v>
      </c>
      <c r="BX35" s="49" t="s">
        <v>115</v>
      </c>
      <c r="BY35" s="45" t="s">
        <v>115</v>
      </c>
      <c r="BZ35" s="45" t="s">
        <v>115</v>
      </c>
      <c r="CA35" s="45" t="s">
        <v>115</v>
      </c>
      <c r="CB35" s="45" t="s">
        <v>115</v>
      </c>
      <c r="CC35" s="79" t="s">
        <v>115</v>
      </c>
      <c r="CD35" s="45" t="s">
        <v>115</v>
      </c>
      <c r="CE35" s="49" t="s">
        <v>115</v>
      </c>
      <c r="CF35" s="79" t="s">
        <v>115</v>
      </c>
      <c r="CG35" s="45" t="s">
        <v>115</v>
      </c>
      <c r="CH35" s="49" t="s">
        <v>115</v>
      </c>
      <c r="CI35" s="79" t="s">
        <v>115</v>
      </c>
      <c r="CJ35" s="45" t="s">
        <v>115</v>
      </c>
      <c r="CK35" s="49" t="s">
        <v>115</v>
      </c>
      <c r="CL35" s="79" t="s">
        <v>115</v>
      </c>
      <c r="CM35" s="45" t="s">
        <v>115</v>
      </c>
      <c r="CN35" s="49" t="s">
        <v>115</v>
      </c>
      <c r="CO35" s="79" t="s">
        <v>115</v>
      </c>
      <c r="CP35" s="45" t="s">
        <v>115</v>
      </c>
      <c r="CQ35" s="49" t="s">
        <v>115</v>
      </c>
      <c r="CR35" s="79" t="s">
        <v>115</v>
      </c>
      <c r="CS35" s="45" t="s">
        <v>115</v>
      </c>
      <c r="CT35" s="49" t="s">
        <v>115</v>
      </c>
      <c r="CU35" s="79" t="s">
        <v>115</v>
      </c>
      <c r="CV35" s="45" t="s">
        <v>115</v>
      </c>
      <c r="CW35" s="49" t="s">
        <v>115</v>
      </c>
    </row>
    <row r="36" spans="1:101" x14ac:dyDescent="0.2">
      <c r="A36" s="40"/>
      <c r="B36" s="41"/>
      <c r="C36" s="41"/>
      <c r="D36" s="41"/>
      <c r="E36" s="43"/>
      <c r="F36" s="44"/>
      <c r="G36" s="43"/>
      <c r="H36" s="69"/>
      <c r="V36" s="45">
        <v>62</v>
      </c>
      <c r="W36" s="45">
        <v>74</v>
      </c>
      <c r="AD36" s="45">
        <v>45</v>
      </c>
      <c r="AE36" s="45">
        <v>38</v>
      </c>
      <c r="BH36" s="45">
        <v>549</v>
      </c>
      <c r="BI36" s="45">
        <v>50</v>
      </c>
      <c r="BJ36" s="50">
        <v>13</v>
      </c>
      <c r="BK36" s="45">
        <v>133</v>
      </c>
      <c r="BL36" s="45" t="s">
        <v>115</v>
      </c>
      <c r="BQ36" s="51"/>
      <c r="BR36" s="51">
        <f t="shared" si="0"/>
        <v>10.98</v>
      </c>
      <c r="BS36" s="51"/>
      <c r="BT36" s="52"/>
      <c r="CC36" s="79"/>
      <c r="CE36" s="49"/>
      <c r="CF36" s="79"/>
      <c r="CH36" s="49"/>
      <c r="CI36" s="79"/>
      <c r="CK36" s="49"/>
      <c r="CL36" s="79"/>
      <c r="CN36" s="49"/>
      <c r="CO36" s="79"/>
      <c r="CQ36" s="49"/>
      <c r="CR36" s="79"/>
      <c r="CT36" s="49"/>
      <c r="CU36" s="79"/>
      <c r="CW36" s="49"/>
    </row>
    <row r="37" spans="1:101" x14ac:dyDescent="0.2">
      <c r="A37" s="40"/>
      <c r="B37" s="41"/>
      <c r="C37" s="41"/>
      <c r="D37" s="41"/>
      <c r="E37" s="43"/>
      <c r="F37" s="44"/>
      <c r="G37" s="43"/>
      <c r="H37" s="69"/>
      <c r="V37" s="45">
        <v>54</v>
      </c>
      <c r="W37" s="45">
        <v>90</v>
      </c>
      <c r="AD37" s="45">
        <v>35</v>
      </c>
      <c r="AE37" s="45">
        <v>38</v>
      </c>
      <c r="BH37" s="45">
        <v>509</v>
      </c>
      <c r="BI37" s="45">
        <v>57</v>
      </c>
      <c r="BJ37" s="50">
        <v>13</v>
      </c>
      <c r="BQ37" s="51"/>
      <c r="BR37" s="51">
        <f t="shared" si="0"/>
        <v>8.9298245614035086</v>
      </c>
      <c r="BS37" s="51"/>
      <c r="BT37" s="52"/>
      <c r="CC37" s="79"/>
      <c r="CE37" s="49"/>
      <c r="CF37" s="79"/>
      <c r="CH37" s="49"/>
      <c r="CI37" s="79"/>
      <c r="CK37" s="49"/>
      <c r="CL37" s="79"/>
      <c r="CN37" s="49"/>
      <c r="CO37" s="79"/>
      <c r="CQ37" s="49"/>
      <c r="CR37" s="79"/>
      <c r="CT37" s="49"/>
      <c r="CU37" s="79"/>
      <c r="CW37" s="49"/>
    </row>
    <row r="38" spans="1:101" s="80" customFormat="1" ht="15.75" customHeight="1" x14ac:dyDescent="0.2">
      <c r="A38" s="209" t="s">
        <v>389</v>
      </c>
      <c r="B38" s="56" t="s">
        <v>370</v>
      </c>
      <c r="C38" s="210" t="s">
        <v>390</v>
      </c>
      <c r="D38" s="210" t="s">
        <v>192</v>
      </c>
      <c r="E38" s="212" t="s">
        <v>112</v>
      </c>
      <c r="F38" s="213">
        <v>4</v>
      </c>
      <c r="G38" s="212" t="s">
        <v>133</v>
      </c>
      <c r="H38" s="162" t="s">
        <v>391</v>
      </c>
      <c r="I38" s="72">
        <f>1065+563</f>
        <v>1628</v>
      </c>
      <c r="J38" s="72">
        <v>9</v>
      </c>
      <c r="K38" s="72">
        <v>2</v>
      </c>
      <c r="L38" s="60">
        <f t="shared" si="1"/>
        <v>1</v>
      </c>
      <c r="M38" s="72">
        <f>J38-K38</f>
        <v>7</v>
      </c>
      <c r="N38" s="72">
        <v>1</v>
      </c>
      <c r="O38" s="72">
        <v>527</v>
      </c>
      <c r="P38" s="72">
        <v>254</v>
      </c>
      <c r="Q38" s="294" t="s">
        <v>115</v>
      </c>
      <c r="R38" s="72" t="s">
        <v>115</v>
      </c>
      <c r="S38" s="72">
        <v>23</v>
      </c>
      <c r="T38" s="72">
        <v>12</v>
      </c>
      <c r="U38" s="72">
        <f>S38-T38</f>
        <v>11</v>
      </c>
      <c r="V38" s="72">
        <v>85</v>
      </c>
      <c r="W38" s="72">
        <v>92</v>
      </c>
      <c r="X38" s="72">
        <v>179</v>
      </c>
      <c r="Y38" s="72">
        <v>120</v>
      </c>
      <c r="Z38" s="72">
        <v>4</v>
      </c>
      <c r="AA38" s="72">
        <v>278</v>
      </c>
      <c r="AB38" s="72">
        <v>161</v>
      </c>
      <c r="AC38" s="72" t="s">
        <v>115</v>
      </c>
      <c r="AD38" s="72">
        <v>29</v>
      </c>
      <c r="AE38" s="72">
        <v>33</v>
      </c>
      <c r="AF38" s="72" t="s">
        <v>115</v>
      </c>
      <c r="AG38" s="293" t="s">
        <v>115</v>
      </c>
      <c r="AH38" s="68">
        <v>1815</v>
      </c>
      <c r="AI38" s="68">
        <v>676</v>
      </c>
      <c r="AJ38" s="68" t="s">
        <v>115</v>
      </c>
      <c r="AK38" s="68" t="s">
        <v>115</v>
      </c>
      <c r="AL38" s="68" t="s">
        <v>115</v>
      </c>
      <c r="AM38" s="68" t="s">
        <v>115</v>
      </c>
      <c r="AN38" s="68" t="s">
        <v>115</v>
      </c>
      <c r="AO38" s="68" t="s">
        <v>115</v>
      </c>
      <c r="AP38" s="68" t="s">
        <v>115</v>
      </c>
      <c r="AQ38" s="68">
        <v>220</v>
      </c>
      <c r="AR38" s="68">
        <v>125</v>
      </c>
      <c r="AS38" s="68" t="s">
        <v>115</v>
      </c>
      <c r="AT38" s="68" t="s">
        <v>115</v>
      </c>
      <c r="AU38" s="68" t="s">
        <v>115</v>
      </c>
      <c r="AV38" s="68" t="s">
        <v>115</v>
      </c>
      <c r="AW38" s="68" t="s">
        <v>115</v>
      </c>
      <c r="AX38" s="68" t="s">
        <v>115</v>
      </c>
      <c r="AY38" s="68">
        <v>1176</v>
      </c>
      <c r="AZ38" s="73">
        <f>AY38/AH38</f>
        <v>0.64793388429752063</v>
      </c>
      <c r="BA38" s="293" t="s">
        <v>115</v>
      </c>
      <c r="BB38" s="72">
        <v>1158</v>
      </c>
      <c r="BC38" s="72">
        <v>766</v>
      </c>
      <c r="BD38" s="72">
        <v>393</v>
      </c>
      <c r="BE38" s="72">
        <v>0</v>
      </c>
      <c r="BF38" s="72">
        <v>163</v>
      </c>
      <c r="BG38" s="72">
        <v>179</v>
      </c>
      <c r="BH38" s="72">
        <v>418</v>
      </c>
      <c r="BI38" s="72">
        <v>78</v>
      </c>
      <c r="BJ38" s="215">
        <v>13</v>
      </c>
      <c r="BK38" s="72">
        <v>175</v>
      </c>
      <c r="BL38" s="72">
        <v>112</v>
      </c>
      <c r="BM38" s="72">
        <v>225</v>
      </c>
      <c r="BN38" s="72">
        <v>228</v>
      </c>
      <c r="BO38" s="72" t="s">
        <v>116</v>
      </c>
      <c r="BP38" s="216">
        <f>AI38</f>
        <v>676</v>
      </c>
      <c r="BQ38" s="66">
        <f t="shared" si="2"/>
        <v>1.1331360946745561</v>
      </c>
      <c r="BR38" s="66">
        <f t="shared" si="0"/>
        <v>5.3589743589743586</v>
      </c>
      <c r="BS38" s="66">
        <f t="shared" si="3"/>
        <v>3.4044444444444446</v>
      </c>
      <c r="BT38" s="67">
        <f t="shared" si="4"/>
        <v>1.7466666666666666</v>
      </c>
      <c r="BU38" s="72">
        <v>314</v>
      </c>
      <c r="BV38" s="72">
        <v>35</v>
      </c>
      <c r="BW38" s="72">
        <v>32</v>
      </c>
      <c r="BX38" s="216">
        <v>19</v>
      </c>
      <c r="BY38" s="72">
        <v>7</v>
      </c>
      <c r="BZ38" s="72">
        <v>83</v>
      </c>
      <c r="CA38" s="72">
        <v>7</v>
      </c>
      <c r="CB38" s="72">
        <v>7</v>
      </c>
      <c r="CC38" s="294" t="s">
        <v>115</v>
      </c>
      <c r="CD38" s="72" t="s">
        <v>115</v>
      </c>
      <c r="CE38" s="216" t="s">
        <v>115</v>
      </c>
      <c r="CF38" s="294">
        <v>16</v>
      </c>
      <c r="CG38" s="72">
        <v>7</v>
      </c>
      <c r="CH38" s="216">
        <v>12</v>
      </c>
      <c r="CI38" s="294" t="s">
        <v>115</v>
      </c>
      <c r="CJ38" s="72" t="s">
        <v>115</v>
      </c>
      <c r="CK38" s="216" t="s">
        <v>115</v>
      </c>
      <c r="CL38" s="294" t="s">
        <v>115</v>
      </c>
      <c r="CM38" s="72" t="s">
        <v>115</v>
      </c>
      <c r="CN38" s="216" t="s">
        <v>115</v>
      </c>
      <c r="CO38" s="294" t="s">
        <v>115</v>
      </c>
      <c r="CP38" s="72" t="s">
        <v>115</v>
      </c>
      <c r="CQ38" s="216" t="s">
        <v>115</v>
      </c>
      <c r="CR38" s="294" t="s">
        <v>115</v>
      </c>
      <c r="CS38" s="72" t="s">
        <v>115</v>
      </c>
      <c r="CT38" s="216" t="s">
        <v>115</v>
      </c>
      <c r="CU38" s="294" t="s">
        <v>115</v>
      </c>
      <c r="CV38" s="72" t="s">
        <v>115</v>
      </c>
      <c r="CW38" s="216" t="s">
        <v>115</v>
      </c>
    </row>
    <row r="39" spans="1:101" s="80" customFormat="1" x14ac:dyDescent="0.2">
      <c r="A39" s="209"/>
      <c r="B39" s="56"/>
      <c r="C39" s="210"/>
      <c r="D39" s="210"/>
      <c r="E39" s="212"/>
      <c r="F39" s="213"/>
      <c r="G39" s="212"/>
      <c r="H39" s="162"/>
      <c r="I39" s="72"/>
      <c r="J39" s="72"/>
      <c r="K39" s="72"/>
      <c r="L39" s="60"/>
      <c r="M39" s="72"/>
      <c r="N39" s="72"/>
      <c r="O39" s="72"/>
      <c r="P39" s="72"/>
      <c r="Q39" s="294"/>
      <c r="R39" s="72"/>
      <c r="S39" s="72"/>
      <c r="T39" s="72"/>
      <c r="U39" s="72"/>
      <c r="V39" s="72">
        <v>74</v>
      </c>
      <c r="W39" s="72">
        <v>96</v>
      </c>
      <c r="X39" s="72"/>
      <c r="Y39" s="72"/>
      <c r="Z39" s="72"/>
      <c r="AA39" s="72"/>
      <c r="AB39" s="72"/>
      <c r="AC39" s="72"/>
      <c r="AD39" s="72">
        <v>23</v>
      </c>
      <c r="AE39" s="72">
        <v>26</v>
      </c>
      <c r="AF39" s="72"/>
      <c r="AG39" s="293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216"/>
      <c r="BB39" s="72"/>
      <c r="BC39" s="72"/>
      <c r="BD39" s="72"/>
      <c r="BE39" s="72"/>
      <c r="BF39" s="72"/>
      <c r="BG39" s="72"/>
      <c r="BH39" s="72">
        <v>396</v>
      </c>
      <c r="BI39" s="72">
        <v>66</v>
      </c>
      <c r="BJ39" s="215">
        <v>13</v>
      </c>
      <c r="BK39" s="72">
        <v>194</v>
      </c>
      <c r="BL39" s="72">
        <v>122</v>
      </c>
      <c r="BM39" s="72"/>
      <c r="BN39" s="72"/>
      <c r="BO39" s="72"/>
      <c r="BP39" s="216"/>
      <c r="BQ39" s="66"/>
      <c r="BR39" s="66">
        <f t="shared" si="0"/>
        <v>6</v>
      </c>
      <c r="BS39" s="66"/>
      <c r="BT39" s="67"/>
      <c r="BU39" s="72"/>
      <c r="BV39" s="72">
        <v>36</v>
      </c>
      <c r="BW39" s="72">
        <v>35</v>
      </c>
      <c r="BX39" s="216"/>
      <c r="BY39" s="72"/>
      <c r="BZ39" s="72"/>
      <c r="CA39" s="72"/>
      <c r="CB39" s="72"/>
      <c r="CC39" s="294"/>
      <c r="CD39" s="72"/>
      <c r="CE39" s="216"/>
      <c r="CF39" s="294"/>
      <c r="CG39" s="72"/>
      <c r="CH39" s="216"/>
      <c r="CI39" s="294"/>
      <c r="CJ39" s="72"/>
      <c r="CK39" s="216"/>
      <c r="CL39" s="294"/>
      <c r="CM39" s="72"/>
      <c r="CN39" s="216"/>
      <c r="CO39" s="294"/>
      <c r="CP39" s="72"/>
      <c r="CQ39" s="216"/>
      <c r="CR39" s="294"/>
      <c r="CS39" s="72"/>
      <c r="CT39" s="216"/>
      <c r="CU39" s="294"/>
      <c r="CV39" s="72"/>
      <c r="CW39" s="216"/>
    </row>
    <row r="40" spans="1:101" s="80" customFormat="1" x14ac:dyDescent="0.2">
      <c r="A40" s="209"/>
      <c r="B40" s="56"/>
      <c r="C40" s="210"/>
      <c r="D40" s="210"/>
      <c r="E40" s="212"/>
      <c r="F40" s="213"/>
      <c r="G40" s="212"/>
      <c r="H40" s="162"/>
      <c r="I40" s="72"/>
      <c r="J40" s="72"/>
      <c r="K40" s="72"/>
      <c r="L40" s="60"/>
      <c r="M40" s="72"/>
      <c r="N40" s="72"/>
      <c r="O40" s="72"/>
      <c r="P40" s="72"/>
      <c r="Q40" s="294"/>
      <c r="R40" s="72"/>
      <c r="S40" s="72"/>
      <c r="T40" s="72"/>
      <c r="U40" s="72"/>
      <c r="V40" s="72">
        <v>114</v>
      </c>
      <c r="W40" s="72">
        <v>86</v>
      </c>
      <c r="X40" s="72"/>
      <c r="Y40" s="72"/>
      <c r="Z40" s="72"/>
      <c r="AA40" s="72"/>
      <c r="AB40" s="72"/>
      <c r="AC40" s="72"/>
      <c r="AD40" s="72">
        <v>30</v>
      </c>
      <c r="AE40" s="72">
        <v>28</v>
      </c>
      <c r="AF40" s="72"/>
      <c r="AG40" s="216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216"/>
      <c r="BB40" s="72"/>
      <c r="BC40" s="72"/>
      <c r="BD40" s="72"/>
      <c r="BE40" s="72"/>
      <c r="BF40" s="72"/>
      <c r="BG40" s="72"/>
      <c r="BH40" s="72">
        <v>343</v>
      </c>
      <c r="BI40" s="72">
        <v>58</v>
      </c>
      <c r="BJ40" s="215">
        <v>18</v>
      </c>
      <c r="BK40" s="72">
        <v>216</v>
      </c>
      <c r="BL40" s="72">
        <v>94</v>
      </c>
      <c r="BM40" s="72"/>
      <c r="BN40" s="72"/>
      <c r="BO40" s="72"/>
      <c r="BP40" s="216"/>
      <c r="BQ40" s="66"/>
      <c r="BR40" s="66">
        <f t="shared" si="0"/>
        <v>5.9137931034482758</v>
      </c>
      <c r="BS40" s="66"/>
      <c r="BT40" s="67"/>
      <c r="BU40" s="72"/>
      <c r="BV40" s="72">
        <v>30</v>
      </c>
      <c r="BW40" s="72"/>
      <c r="BX40" s="216"/>
      <c r="BY40" s="72"/>
      <c r="BZ40" s="72"/>
      <c r="CA40" s="72"/>
      <c r="CB40" s="72"/>
      <c r="CC40" s="294"/>
      <c r="CD40" s="72"/>
      <c r="CE40" s="216"/>
      <c r="CF40" s="294"/>
      <c r="CG40" s="72"/>
      <c r="CH40" s="216"/>
      <c r="CI40" s="294"/>
      <c r="CJ40" s="72"/>
      <c r="CK40" s="216"/>
      <c r="CL40" s="294"/>
      <c r="CM40" s="72"/>
      <c r="CN40" s="216"/>
      <c r="CO40" s="294"/>
      <c r="CP40" s="72"/>
      <c r="CQ40" s="216"/>
      <c r="CR40" s="294"/>
      <c r="CS40" s="72"/>
      <c r="CT40" s="216"/>
      <c r="CU40" s="294"/>
      <c r="CV40" s="72"/>
      <c r="CW40" s="216"/>
    </row>
    <row r="41" spans="1:101" x14ac:dyDescent="0.2">
      <c r="A41" s="40" t="s">
        <v>392</v>
      </c>
      <c r="B41" s="42" t="s">
        <v>370</v>
      </c>
      <c r="C41" s="41" t="s">
        <v>109</v>
      </c>
      <c r="D41" s="41" t="s">
        <v>192</v>
      </c>
      <c r="E41" s="43" t="s">
        <v>112</v>
      </c>
      <c r="F41" s="44">
        <v>1</v>
      </c>
      <c r="G41" s="43" t="s">
        <v>113</v>
      </c>
      <c r="H41" s="69"/>
      <c r="I41" s="45">
        <f>1958+2086+1868</f>
        <v>5912</v>
      </c>
      <c r="J41" s="45">
        <v>10</v>
      </c>
      <c r="K41" s="45">
        <f>J41-M41</f>
        <v>2</v>
      </c>
      <c r="L41" s="45">
        <f t="shared" si="1"/>
        <v>1</v>
      </c>
      <c r="M41" s="45">
        <v>8</v>
      </c>
      <c r="N41" s="45">
        <v>1</v>
      </c>
      <c r="O41" s="45">
        <v>606</v>
      </c>
      <c r="P41" s="45">
        <v>304</v>
      </c>
      <c r="Q41" s="292" t="s">
        <v>115</v>
      </c>
      <c r="R41" s="80" t="s">
        <v>115</v>
      </c>
      <c r="S41" s="80" t="s">
        <v>115</v>
      </c>
      <c r="T41" s="80" t="s">
        <v>115</v>
      </c>
      <c r="U41" s="80" t="s">
        <v>115</v>
      </c>
      <c r="V41" s="80" t="s">
        <v>115</v>
      </c>
      <c r="W41" s="80" t="s">
        <v>115</v>
      </c>
      <c r="X41" s="80" t="s">
        <v>115</v>
      </c>
      <c r="Y41" s="80" t="s">
        <v>115</v>
      </c>
      <c r="Z41" s="80" t="s">
        <v>115</v>
      </c>
      <c r="AA41" s="80" t="s">
        <v>115</v>
      </c>
      <c r="AB41" s="80" t="s">
        <v>115</v>
      </c>
      <c r="AC41" s="80" t="s">
        <v>115</v>
      </c>
      <c r="AD41" s="80" t="s">
        <v>115</v>
      </c>
      <c r="AE41" s="80" t="s">
        <v>115</v>
      </c>
      <c r="AF41" s="80" t="s">
        <v>115</v>
      </c>
      <c r="AG41" s="81" t="s">
        <v>115</v>
      </c>
      <c r="AH41" s="53">
        <v>1968</v>
      </c>
      <c r="AI41" s="53">
        <v>690</v>
      </c>
      <c r="AJ41" s="53">
        <v>30</v>
      </c>
      <c r="AK41" s="53">
        <v>15</v>
      </c>
      <c r="AL41" s="53">
        <f>AJ41-AK41</f>
        <v>15</v>
      </c>
      <c r="AM41" s="53">
        <v>72</v>
      </c>
      <c r="AN41" s="53">
        <v>116</v>
      </c>
      <c r="AO41" s="53" t="s">
        <v>115</v>
      </c>
      <c r="AP41" s="53" t="s">
        <v>115</v>
      </c>
      <c r="AQ41" s="53" t="s">
        <v>115</v>
      </c>
      <c r="AR41" s="53" t="s">
        <v>115</v>
      </c>
      <c r="AS41" s="53" t="s">
        <v>115</v>
      </c>
      <c r="AT41" s="53" t="s">
        <v>115</v>
      </c>
      <c r="AU41" s="53" t="s">
        <v>115</v>
      </c>
      <c r="AV41" s="53" t="s">
        <v>115</v>
      </c>
      <c r="AW41" s="53" t="s">
        <v>115</v>
      </c>
      <c r="AX41" s="53" t="s">
        <v>115</v>
      </c>
      <c r="AY41" s="53" t="s">
        <v>115</v>
      </c>
      <c r="AZ41" s="53" t="s">
        <v>115</v>
      </c>
      <c r="BA41" s="347" t="s">
        <v>115</v>
      </c>
      <c r="BB41" s="45">
        <v>1676</v>
      </c>
      <c r="BC41" s="45">
        <v>1133</v>
      </c>
      <c r="BD41" s="45">
        <v>577</v>
      </c>
      <c r="BE41" s="45">
        <v>0</v>
      </c>
      <c r="BF41" s="45">
        <v>172</v>
      </c>
      <c r="BG41" s="45">
        <v>219</v>
      </c>
      <c r="BH41" s="45">
        <v>565</v>
      </c>
      <c r="BI41" s="45">
        <v>93</v>
      </c>
      <c r="BJ41" s="50">
        <v>13</v>
      </c>
      <c r="BK41" s="45">
        <v>193</v>
      </c>
      <c r="BL41" s="45">
        <v>114</v>
      </c>
      <c r="BM41" s="45">
        <v>266</v>
      </c>
      <c r="BN41" s="45">
        <v>325</v>
      </c>
      <c r="BO41" s="45" t="s">
        <v>116</v>
      </c>
      <c r="BP41" s="49">
        <f>AI41</f>
        <v>690</v>
      </c>
      <c r="BQ41" s="51">
        <f t="shared" si="2"/>
        <v>1.6420289855072463</v>
      </c>
      <c r="BR41" s="51">
        <f t="shared" si="0"/>
        <v>6.075268817204301</v>
      </c>
      <c r="BS41" s="51">
        <f t="shared" si="3"/>
        <v>4.2593984962406015</v>
      </c>
      <c r="BT41" s="52">
        <f t="shared" si="4"/>
        <v>2.1691729323308269</v>
      </c>
      <c r="BU41" s="45">
        <v>305</v>
      </c>
      <c r="BV41" s="45">
        <v>26</v>
      </c>
      <c r="BW41" s="45">
        <v>28</v>
      </c>
      <c r="BX41" s="49">
        <v>24</v>
      </c>
      <c r="BY41" s="80">
        <v>6</v>
      </c>
      <c r="BZ41" s="80">
        <v>89</v>
      </c>
      <c r="CA41" s="80">
        <v>7</v>
      </c>
      <c r="CB41" s="80" t="s">
        <v>115</v>
      </c>
      <c r="CC41" s="292">
        <v>12</v>
      </c>
      <c r="CD41" s="80">
        <v>9</v>
      </c>
      <c r="CE41" s="81">
        <v>7</v>
      </c>
      <c r="CF41" s="292">
        <v>19</v>
      </c>
      <c r="CG41" s="80">
        <v>7</v>
      </c>
      <c r="CH41" s="81">
        <v>9</v>
      </c>
      <c r="CI41" s="292">
        <v>16</v>
      </c>
      <c r="CJ41" s="80">
        <v>5</v>
      </c>
      <c r="CK41" s="81">
        <v>10</v>
      </c>
      <c r="CL41" s="292">
        <v>16</v>
      </c>
      <c r="CM41" s="80">
        <v>6</v>
      </c>
      <c r="CN41" s="81">
        <v>10</v>
      </c>
      <c r="CO41" s="292">
        <v>16</v>
      </c>
      <c r="CP41" s="80">
        <v>6</v>
      </c>
      <c r="CQ41" s="81">
        <v>9</v>
      </c>
      <c r="CR41" s="292">
        <v>6</v>
      </c>
      <c r="CS41" s="80">
        <v>4</v>
      </c>
      <c r="CT41" s="81">
        <v>3</v>
      </c>
      <c r="CU41" s="292">
        <v>7</v>
      </c>
      <c r="CV41" s="80">
        <v>5</v>
      </c>
      <c r="CW41" s="81">
        <v>4</v>
      </c>
    </row>
    <row r="42" spans="1:101" x14ac:dyDescent="0.2">
      <c r="A42" s="40"/>
      <c r="B42" s="41"/>
      <c r="C42" s="41"/>
      <c r="D42" s="41"/>
      <c r="E42" s="43"/>
      <c r="F42" s="44"/>
      <c r="G42" s="43"/>
      <c r="H42" s="69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346"/>
      <c r="AM42" s="53">
        <v>64</v>
      </c>
      <c r="AN42" s="53">
        <v>115</v>
      </c>
      <c r="BH42" s="45">
        <v>549</v>
      </c>
      <c r="BI42" s="45">
        <v>84</v>
      </c>
      <c r="BJ42" s="50">
        <v>14</v>
      </c>
      <c r="BK42" s="45">
        <v>171</v>
      </c>
      <c r="BL42" s="45">
        <v>153</v>
      </c>
      <c r="BQ42" s="51"/>
      <c r="BR42" s="51">
        <f t="shared" si="0"/>
        <v>6.5357142857142856</v>
      </c>
      <c r="BS42" s="51"/>
      <c r="BT42" s="52"/>
      <c r="BY42" s="80"/>
      <c r="BZ42" s="80"/>
      <c r="CA42" s="80"/>
      <c r="CB42" s="80"/>
      <c r="CC42" s="292"/>
      <c r="CD42" s="80"/>
      <c r="CE42" s="81"/>
      <c r="CF42" s="292"/>
      <c r="CG42" s="80"/>
      <c r="CH42" s="81"/>
      <c r="CI42" s="292"/>
      <c r="CJ42" s="80"/>
      <c r="CK42" s="81"/>
      <c r="CL42" s="292"/>
      <c r="CM42" s="80"/>
      <c r="CN42" s="81"/>
      <c r="CO42" s="292"/>
      <c r="CP42" s="80"/>
      <c r="CQ42" s="81"/>
      <c r="CR42" s="292"/>
      <c r="CS42" s="80"/>
      <c r="CT42" s="81"/>
      <c r="CU42" s="292"/>
      <c r="CV42" s="80"/>
      <c r="CW42" s="81"/>
    </row>
    <row r="43" spans="1:101" x14ac:dyDescent="0.2">
      <c r="A43" s="40"/>
      <c r="B43" s="41"/>
      <c r="C43" s="41"/>
      <c r="D43" s="41"/>
      <c r="E43" s="43"/>
      <c r="F43" s="44"/>
      <c r="G43" s="43"/>
      <c r="H43" s="69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346"/>
      <c r="AM43" s="53">
        <v>65</v>
      </c>
      <c r="AN43" s="53">
        <v>127</v>
      </c>
      <c r="BH43" s="45">
        <v>548</v>
      </c>
      <c r="BI43" s="45">
        <v>95</v>
      </c>
      <c r="BJ43" s="50">
        <v>21</v>
      </c>
      <c r="BK43" s="45">
        <v>212</v>
      </c>
      <c r="BL43" s="45">
        <v>164</v>
      </c>
      <c r="BQ43" s="51"/>
      <c r="BR43" s="51">
        <f t="shared" si="0"/>
        <v>5.7684210526315791</v>
      </c>
      <c r="BS43" s="51"/>
      <c r="BT43" s="52"/>
      <c r="BY43" s="80"/>
      <c r="BZ43" s="80"/>
      <c r="CA43" s="80"/>
      <c r="CB43" s="80"/>
      <c r="CC43" s="292"/>
      <c r="CD43" s="80"/>
      <c r="CE43" s="81"/>
      <c r="CF43" s="292"/>
      <c r="CG43" s="80"/>
      <c r="CH43" s="81"/>
      <c r="CI43" s="292"/>
      <c r="CJ43" s="80"/>
      <c r="CK43" s="81"/>
      <c r="CL43" s="292"/>
      <c r="CM43" s="80"/>
      <c r="CN43" s="81"/>
      <c r="CO43" s="292"/>
      <c r="CP43" s="80"/>
      <c r="CQ43" s="81"/>
      <c r="CR43" s="292"/>
      <c r="CS43" s="80"/>
      <c r="CT43" s="81"/>
      <c r="CU43" s="292"/>
      <c r="CV43" s="80"/>
      <c r="CW43" s="81"/>
    </row>
    <row r="44" spans="1:101" x14ac:dyDescent="0.2">
      <c r="A44" s="54" t="s">
        <v>393</v>
      </c>
      <c r="B44" s="56" t="s">
        <v>370</v>
      </c>
      <c r="C44" s="55" t="s">
        <v>109</v>
      </c>
      <c r="D44" s="210" t="s">
        <v>157</v>
      </c>
      <c r="E44" s="212" t="s">
        <v>124</v>
      </c>
      <c r="F44" s="58">
        <v>4</v>
      </c>
      <c r="G44" s="57" t="s">
        <v>133</v>
      </c>
      <c r="H44" s="59" t="s">
        <v>394</v>
      </c>
      <c r="I44" s="60">
        <f>1729+1004+1188</f>
        <v>3921</v>
      </c>
      <c r="J44" s="60">
        <v>6</v>
      </c>
      <c r="K44" s="60">
        <f>J44-M44</f>
        <v>1</v>
      </c>
      <c r="L44" s="60">
        <f t="shared" si="1"/>
        <v>1</v>
      </c>
      <c r="M44" s="60">
        <v>5</v>
      </c>
      <c r="N44" s="60">
        <v>0</v>
      </c>
      <c r="O44" s="60">
        <v>527</v>
      </c>
      <c r="P44" s="60">
        <v>215</v>
      </c>
      <c r="Q44" s="75">
        <v>1168</v>
      </c>
      <c r="R44" s="60">
        <v>238</v>
      </c>
      <c r="S44" s="60" t="s">
        <v>115</v>
      </c>
      <c r="T44" s="60" t="s">
        <v>115</v>
      </c>
      <c r="U44" s="60" t="s">
        <v>115</v>
      </c>
      <c r="V44" s="60">
        <v>69</v>
      </c>
      <c r="W44" s="60" t="s">
        <v>115</v>
      </c>
      <c r="X44" s="60" t="s">
        <v>115</v>
      </c>
      <c r="Y44" s="60">
        <v>130</v>
      </c>
      <c r="Z44" s="60">
        <v>4</v>
      </c>
      <c r="AA44" s="60">
        <v>262</v>
      </c>
      <c r="AB44" s="60">
        <v>180</v>
      </c>
      <c r="AC44" s="60" t="s">
        <v>115</v>
      </c>
      <c r="AD44" s="60">
        <v>33</v>
      </c>
      <c r="AE44" s="60">
        <v>18</v>
      </c>
      <c r="AF44" s="60">
        <v>703</v>
      </c>
      <c r="AG44" s="344">
        <f>AF44/Q44</f>
        <v>0.60188356164383561</v>
      </c>
      <c r="AH44" s="68" t="s">
        <v>115</v>
      </c>
      <c r="AI44" s="68" t="s">
        <v>115</v>
      </c>
      <c r="AJ44" s="68" t="s">
        <v>115</v>
      </c>
      <c r="AK44" s="68" t="s">
        <v>115</v>
      </c>
      <c r="AL44" s="68" t="s">
        <v>115</v>
      </c>
      <c r="AM44" s="68" t="s">
        <v>115</v>
      </c>
      <c r="AN44" s="68" t="s">
        <v>115</v>
      </c>
      <c r="AO44" s="68" t="s">
        <v>115</v>
      </c>
      <c r="AP44" s="68" t="s">
        <v>115</v>
      </c>
      <c r="AQ44" s="68" t="s">
        <v>115</v>
      </c>
      <c r="AR44" s="68" t="s">
        <v>115</v>
      </c>
      <c r="AS44" s="68" t="s">
        <v>115</v>
      </c>
      <c r="AT44" s="68" t="s">
        <v>115</v>
      </c>
      <c r="AU44" s="68" t="s">
        <v>115</v>
      </c>
      <c r="AV44" s="68" t="s">
        <v>115</v>
      </c>
      <c r="AW44" s="68" t="s">
        <v>115</v>
      </c>
      <c r="AX44" s="68" t="s">
        <v>115</v>
      </c>
      <c r="AY44" s="68" t="s">
        <v>115</v>
      </c>
      <c r="AZ44" s="68" t="s">
        <v>115</v>
      </c>
      <c r="BA44" s="344" t="s">
        <v>115</v>
      </c>
      <c r="BB44" s="60">
        <v>1741</v>
      </c>
      <c r="BC44" s="60">
        <v>1283</v>
      </c>
      <c r="BD44" s="60">
        <v>462</v>
      </c>
      <c r="BE44" s="60">
        <v>0</v>
      </c>
      <c r="BF44" s="60">
        <v>122</v>
      </c>
      <c r="BG44" s="60">
        <v>193</v>
      </c>
      <c r="BH44" s="60">
        <v>467</v>
      </c>
      <c r="BI44" s="60">
        <v>73</v>
      </c>
      <c r="BJ44" s="65">
        <v>15</v>
      </c>
      <c r="BK44" s="60">
        <v>269</v>
      </c>
      <c r="BL44" s="60" t="s">
        <v>115</v>
      </c>
      <c r="BM44" s="60">
        <v>380</v>
      </c>
      <c r="BN44" s="60" t="s">
        <v>115</v>
      </c>
      <c r="BO44" s="60" t="s">
        <v>115</v>
      </c>
      <c r="BP44" s="64" t="s">
        <v>115</v>
      </c>
      <c r="BQ44" s="66" t="s">
        <v>115</v>
      </c>
      <c r="BR44" s="66">
        <f t="shared" si="0"/>
        <v>6.397260273972603</v>
      </c>
      <c r="BS44" s="66">
        <f t="shared" si="3"/>
        <v>3.3763157894736842</v>
      </c>
      <c r="BT44" s="67">
        <f t="shared" si="4"/>
        <v>1.2157894736842105</v>
      </c>
      <c r="BU44" s="60">
        <v>753</v>
      </c>
      <c r="BV44" s="60">
        <v>29</v>
      </c>
      <c r="BW44" s="60">
        <v>38</v>
      </c>
      <c r="BX44" s="64">
        <v>21</v>
      </c>
      <c r="BY44" s="72">
        <v>7</v>
      </c>
      <c r="BZ44" s="72">
        <v>96</v>
      </c>
      <c r="CA44" s="72">
        <v>7</v>
      </c>
      <c r="CB44" s="72">
        <v>5</v>
      </c>
      <c r="CC44" s="294">
        <v>14</v>
      </c>
      <c r="CD44" s="72">
        <v>9</v>
      </c>
      <c r="CE44" s="216">
        <v>9</v>
      </c>
      <c r="CF44" s="294">
        <v>17</v>
      </c>
      <c r="CG44" s="72">
        <v>9</v>
      </c>
      <c r="CH44" s="216">
        <v>13</v>
      </c>
      <c r="CI44" s="294">
        <v>20</v>
      </c>
      <c r="CJ44" s="72">
        <v>6</v>
      </c>
      <c r="CK44" s="216">
        <v>15</v>
      </c>
      <c r="CL44" s="294">
        <v>20</v>
      </c>
      <c r="CM44" s="72">
        <v>5</v>
      </c>
      <c r="CN44" s="216">
        <v>11</v>
      </c>
      <c r="CO44" s="294">
        <v>19</v>
      </c>
      <c r="CP44" s="72">
        <v>5</v>
      </c>
      <c r="CQ44" s="216">
        <v>10</v>
      </c>
      <c r="CR44" s="294" t="s">
        <v>115</v>
      </c>
      <c r="CS44" s="72" t="s">
        <v>115</v>
      </c>
      <c r="CT44" s="216" t="s">
        <v>115</v>
      </c>
      <c r="CU44" s="294" t="s">
        <v>115</v>
      </c>
      <c r="CV44" s="72" t="s">
        <v>115</v>
      </c>
      <c r="CW44" s="216" t="s">
        <v>115</v>
      </c>
    </row>
    <row r="45" spans="1:101" x14ac:dyDescent="0.2">
      <c r="A45" s="54"/>
      <c r="B45" s="56"/>
      <c r="C45" s="55"/>
      <c r="D45" s="210"/>
      <c r="E45" s="212"/>
      <c r="F45" s="58"/>
      <c r="G45" s="57"/>
      <c r="H45" s="59"/>
      <c r="I45" s="60"/>
      <c r="J45" s="60"/>
      <c r="K45" s="60"/>
      <c r="L45" s="60"/>
      <c r="M45" s="60"/>
      <c r="N45" s="60"/>
      <c r="O45" s="60"/>
      <c r="P45" s="60"/>
      <c r="Q45" s="75"/>
      <c r="R45" s="60"/>
      <c r="S45" s="60"/>
      <c r="T45" s="60"/>
      <c r="U45" s="60"/>
      <c r="V45" s="60">
        <v>69</v>
      </c>
      <c r="W45" s="60" t="s">
        <v>115</v>
      </c>
      <c r="X45" s="60"/>
      <c r="Y45" s="60"/>
      <c r="Z45" s="60"/>
      <c r="AA45" s="60"/>
      <c r="AB45" s="60"/>
      <c r="AC45" s="60"/>
      <c r="AD45" s="60">
        <v>32</v>
      </c>
      <c r="AE45" s="60">
        <v>26</v>
      </c>
      <c r="AF45" s="60"/>
      <c r="AG45" s="64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4"/>
      <c r="BB45" s="60"/>
      <c r="BC45" s="60"/>
      <c r="BD45" s="60"/>
      <c r="BE45" s="60"/>
      <c r="BF45" s="60"/>
      <c r="BG45" s="60"/>
      <c r="BH45" s="60">
        <v>446</v>
      </c>
      <c r="BI45" s="60">
        <v>71</v>
      </c>
      <c r="BJ45" s="65">
        <v>18</v>
      </c>
      <c r="BK45" s="60">
        <v>245</v>
      </c>
      <c r="BL45" s="60" t="s">
        <v>115</v>
      </c>
      <c r="BM45" s="60"/>
      <c r="BN45" s="60"/>
      <c r="BO45" s="60"/>
      <c r="BP45" s="64"/>
      <c r="BQ45" s="66"/>
      <c r="BR45" s="66">
        <f t="shared" si="0"/>
        <v>6.28169014084507</v>
      </c>
      <c r="BS45" s="66"/>
      <c r="BT45" s="67"/>
      <c r="BU45" s="60"/>
      <c r="BV45" s="60">
        <v>32</v>
      </c>
      <c r="BW45" s="60">
        <v>36</v>
      </c>
      <c r="BX45" s="64">
        <v>23</v>
      </c>
      <c r="BY45" s="72">
        <v>6</v>
      </c>
      <c r="BZ45" s="72">
        <v>91</v>
      </c>
      <c r="CA45" s="72"/>
      <c r="CB45" s="72"/>
      <c r="CC45" s="294">
        <v>14</v>
      </c>
      <c r="CD45" s="72">
        <v>9</v>
      </c>
      <c r="CE45" s="216">
        <v>7</v>
      </c>
      <c r="CF45" s="294"/>
      <c r="CG45" s="72"/>
      <c r="CH45" s="216"/>
      <c r="CI45" s="294">
        <v>21</v>
      </c>
      <c r="CJ45" s="72">
        <v>7</v>
      </c>
      <c r="CK45" s="216">
        <v>11</v>
      </c>
      <c r="CL45" s="294">
        <v>19</v>
      </c>
      <c r="CM45" s="72">
        <v>6</v>
      </c>
      <c r="CN45" s="216">
        <v>14</v>
      </c>
      <c r="CO45" s="294"/>
      <c r="CP45" s="72"/>
      <c r="CQ45" s="216"/>
      <c r="CR45" s="294"/>
      <c r="CS45" s="72"/>
      <c r="CT45" s="216"/>
      <c r="CU45" s="294"/>
      <c r="CV45" s="72"/>
      <c r="CW45" s="216"/>
    </row>
    <row r="46" spans="1:101" x14ac:dyDescent="0.2">
      <c r="A46" s="54"/>
      <c r="B46" s="56"/>
      <c r="C46" s="55"/>
      <c r="D46" s="210"/>
      <c r="E46" s="212"/>
      <c r="F46" s="58"/>
      <c r="G46" s="57"/>
      <c r="H46" s="59"/>
      <c r="I46" s="60"/>
      <c r="J46" s="60"/>
      <c r="K46" s="60"/>
      <c r="L46" s="60"/>
      <c r="M46" s="60"/>
      <c r="N46" s="60"/>
      <c r="O46" s="60"/>
      <c r="P46" s="60"/>
      <c r="Q46" s="75"/>
      <c r="R46" s="60"/>
      <c r="S46" s="60"/>
      <c r="T46" s="60"/>
      <c r="U46" s="60"/>
      <c r="V46" s="60">
        <v>88</v>
      </c>
      <c r="W46" s="60" t="s">
        <v>115</v>
      </c>
      <c r="X46" s="60"/>
      <c r="Y46" s="60"/>
      <c r="Z46" s="60"/>
      <c r="AA46" s="60"/>
      <c r="AB46" s="60"/>
      <c r="AC46" s="60"/>
      <c r="AD46" s="60">
        <v>33</v>
      </c>
      <c r="AE46" s="60">
        <v>25</v>
      </c>
      <c r="AF46" s="60"/>
      <c r="AG46" s="64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4"/>
      <c r="BB46" s="60"/>
      <c r="BC46" s="60"/>
      <c r="BD46" s="60"/>
      <c r="BE46" s="60"/>
      <c r="BF46" s="60"/>
      <c r="BG46" s="60"/>
      <c r="BH46" s="60">
        <v>445</v>
      </c>
      <c r="BI46" s="60">
        <v>69</v>
      </c>
      <c r="BJ46" s="65">
        <v>14</v>
      </c>
      <c r="BK46" s="60">
        <v>265</v>
      </c>
      <c r="BL46" s="60" t="s">
        <v>115</v>
      </c>
      <c r="BM46" s="60"/>
      <c r="BN46" s="60"/>
      <c r="BO46" s="60"/>
      <c r="BP46" s="64"/>
      <c r="BQ46" s="66"/>
      <c r="BR46" s="66">
        <f t="shared" si="0"/>
        <v>6.4492753623188408</v>
      </c>
      <c r="BS46" s="66"/>
      <c r="BT46" s="67"/>
      <c r="BU46" s="60"/>
      <c r="BV46" s="60">
        <v>36</v>
      </c>
      <c r="BW46" s="60">
        <v>37</v>
      </c>
      <c r="BX46" s="64">
        <v>29</v>
      </c>
      <c r="BY46" s="72"/>
      <c r="BZ46" s="72"/>
      <c r="CA46" s="72"/>
      <c r="CB46" s="72"/>
      <c r="CC46" s="294"/>
      <c r="CD46" s="72"/>
      <c r="CE46" s="216"/>
      <c r="CF46" s="294"/>
      <c r="CG46" s="72"/>
      <c r="CH46" s="216"/>
      <c r="CI46" s="294">
        <v>22</v>
      </c>
      <c r="CJ46" s="72">
        <v>7</v>
      </c>
      <c r="CK46" s="216">
        <v>16</v>
      </c>
      <c r="CL46" s="294"/>
      <c r="CM46" s="72"/>
      <c r="CN46" s="216"/>
      <c r="CO46" s="294"/>
      <c r="CP46" s="72"/>
      <c r="CQ46" s="216"/>
      <c r="CR46" s="294"/>
      <c r="CS46" s="72"/>
      <c r="CT46" s="216"/>
      <c r="CU46" s="294"/>
      <c r="CV46" s="72"/>
      <c r="CW46" s="216"/>
    </row>
    <row r="47" spans="1:101" x14ac:dyDescent="0.2">
      <c r="A47" s="40" t="s">
        <v>395</v>
      </c>
      <c r="B47" s="42" t="s">
        <v>370</v>
      </c>
      <c r="C47" s="41" t="s">
        <v>109</v>
      </c>
      <c r="D47" s="41" t="s">
        <v>111</v>
      </c>
      <c r="E47" s="43" t="s">
        <v>124</v>
      </c>
      <c r="F47" s="44">
        <v>1</v>
      </c>
      <c r="G47" s="43" t="s">
        <v>113</v>
      </c>
      <c r="H47" s="69"/>
      <c r="I47" s="45">
        <f>1196+1800+1456</f>
        <v>4452</v>
      </c>
      <c r="J47" s="45">
        <v>7</v>
      </c>
      <c r="K47" s="45">
        <f>J47-M47</f>
        <v>2</v>
      </c>
      <c r="L47" s="45">
        <f t="shared" si="1"/>
        <v>2</v>
      </c>
      <c r="M47" s="45">
        <v>5</v>
      </c>
      <c r="N47" s="45">
        <v>0</v>
      </c>
      <c r="O47" s="45">
        <v>347</v>
      </c>
      <c r="P47" s="45">
        <v>221</v>
      </c>
      <c r="Q47" s="79">
        <v>1457</v>
      </c>
      <c r="R47" s="45">
        <v>270</v>
      </c>
      <c r="S47" s="45">
        <v>31</v>
      </c>
      <c r="T47" s="45">
        <v>14</v>
      </c>
      <c r="U47" s="45">
        <f>S47-T47</f>
        <v>17</v>
      </c>
      <c r="V47" s="45">
        <v>54</v>
      </c>
      <c r="W47" s="45">
        <v>61</v>
      </c>
      <c r="X47" s="45">
        <v>177</v>
      </c>
      <c r="Y47" s="45">
        <v>142</v>
      </c>
      <c r="Z47" s="45">
        <v>4</v>
      </c>
      <c r="AA47" s="45">
        <v>373</v>
      </c>
      <c r="AB47" s="45">
        <v>163</v>
      </c>
      <c r="AC47" s="45" t="s">
        <v>115</v>
      </c>
      <c r="AD47" s="45">
        <v>32</v>
      </c>
      <c r="AE47" s="45">
        <v>37</v>
      </c>
      <c r="AF47" s="45">
        <v>948</v>
      </c>
      <c r="AG47" s="347">
        <f>AF47/Q47</f>
        <v>0.65065202470830474</v>
      </c>
      <c r="AH47" s="53" t="s">
        <v>115</v>
      </c>
      <c r="AI47" s="53" t="s">
        <v>115</v>
      </c>
      <c r="AJ47" s="53" t="s">
        <v>115</v>
      </c>
      <c r="AK47" s="53" t="s">
        <v>115</v>
      </c>
      <c r="AL47" s="53" t="s">
        <v>115</v>
      </c>
      <c r="AM47" s="53" t="s">
        <v>115</v>
      </c>
      <c r="AN47" s="53" t="s">
        <v>115</v>
      </c>
      <c r="AO47" s="53" t="s">
        <v>115</v>
      </c>
      <c r="AP47" s="53" t="s">
        <v>115</v>
      </c>
      <c r="AQ47" s="53" t="s">
        <v>115</v>
      </c>
      <c r="AR47" s="53" t="s">
        <v>115</v>
      </c>
      <c r="AS47" s="53" t="s">
        <v>115</v>
      </c>
      <c r="AT47" s="53" t="s">
        <v>115</v>
      </c>
      <c r="AU47" s="53" t="s">
        <v>115</v>
      </c>
      <c r="AV47" s="53" t="s">
        <v>115</v>
      </c>
      <c r="AW47" s="53" t="s">
        <v>115</v>
      </c>
      <c r="AX47" s="53" t="s">
        <v>115</v>
      </c>
      <c r="AY47" s="53" t="s">
        <v>115</v>
      </c>
      <c r="AZ47" s="53" t="s">
        <v>115</v>
      </c>
      <c r="BA47" s="347" t="s">
        <v>115</v>
      </c>
      <c r="BB47" s="45">
        <v>1612</v>
      </c>
      <c r="BC47" s="45">
        <v>1136</v>
      </c>
      <c r="BD47" s="45">
        <v>454</v>
      </c>
      <c r="BE47" s="45">
        <v>10</v>
      </c>
      <c r="BF47" s="45">
        <v>127</v>
      </c>
      <c r="BG47" s="45">
        <v>160</v>
      </c>
      <c r="BH47" s="45">
        <v>444</v>
      </c>
      <c r="BI47" s="45">
        <v>77</v>
      </c>
      <c r="BJ47" s="50">
        <v>15</v>
      </c>
      <c r="BK47" s="45">
        <v>194</v>
      </c>
      <c r="BL47" s="45">
        <v>55</v>
      </c>
      <c r="BM47" s="45">
        <v>320</v>
      </c>
      <c r="BN47" s="45">
        <v>215</v>
      </c>
      <c r="BO47" s="45" t="s">
        <v>337</v>
      </c>
      <c r="BP47" s="49">
        <f>R47</f>
        <v>270</v>
      </c>
      <c r="BQ47" s="51">
        <f t="shared" si="2"/>
        <v>4.2074074074074073</v>
      </c>
      <c r="BR47" s="51">
        <f t="shared" si="0"/>
        <v>5.7662337662337659</v>
      </c>
      <c r="BS47" s="51">
        <f t="shared" si="3"/>
        <v>3.55</v>
      </c>
      <c r="BT47" s="52">
        <f t="shared" si="4"/>
        <v>1.41875</v>
      </c>
      <c r="BU47" s="45">
        <v>356</v>
      </c>
      <c r="BV47" s="45">
        <v>24</v>
      </c>
      <c r="BW47" s="45">
        <v>21</v>
      </c>
      <c r="BX47" s="49">
        <v>25</v>
      </c>
      <c r="BY47" s="80">
        <v>6</v>
      </c>
      <c r="BZ47" s="80">
        <v>81</v>
      </c>
      <c r="CA47" s="80">
        <v>7</v>
      </c>
      <c r="CB47" s="80">
        <v>5</v>
      </c>
      <c r="CC47" s="292">
        <v>11</v>
      </c>
      <c r="CD47" s="80">
        <v>7</v>
      </c>
      <c r="CE47" s="81">
        <v>7</v>
      </c>
      <c r="CF47" s="292">
        <v>17</v>
      </c>
      <c r="CG47" s="80">
        <v>6</v>
      </c>
      <c r="CH47" s="81">
        <v>10</v>
      </c>
      <c r="CI47" s="292">
        <v>20</v>
      </c>
      <c r="CJ47" s="80">
        <v>5</v>
      </c>
      <c r="CK47" s="81">
        <v>10</v>
      </c>
      <c r="CL47" s="292">
        <v>16</v>
      </c>
      <c r="CM47" s="80">
        <v>5</v>
      </c>
      <c r="CN47" s="81">
        <v>10</v>
      </c>
      <c r="CO47" s="292">
        <v>16</v>
      </c>
      <c r="CP47" s="80">
        <v>6</v>
      </c>
      <c r="CQ47" s="81">
        <v>10</v>
      </c>
      <c r="CR47" s="292">
        <v>7</v>
      </c>
      <c r="CS47" s="80">
        <v>3</v>
      </c>
      <c r="CT47" s="81">
        <v>4</v>
      </c>
      <c r="CU47" s="292">
        <v>7</v>
      </c>
      <c r="CV47" s="80">
        <v>4</v>
      </c>
      <c r="CW47" s="81">
        <v>3</v>
      </c>
    </row>
    <row r="48" spans="1:101" x14ac:dyDescent="0.2">
      <c r="A48" s="40"/>
      <c r="B48" s="41"/>
      <c r="C48" s="41"/>
      <c r="D48" s="41"/>
      <c r="E48" s="43"/>
      <c r="F48" s="44"/>
      <c r="G48" s="43"/>
      <c r="H48" s="69"/>
      <c r="V48" s="45">
        <v>63</v>
      </c>
      <c r="W48" s="45">
        <v>46</v>
      </c>
      <c r="AD48" s="45">
        <v>38</v>
      </c>
      <c r="AE48" s="45">
        <v>32</v>
      </c>
      <c r="BH48" s="45">
        <v>427</v>
      </c>
      <c r="BI48" s="45">
        <v>60</v>
      </c>
      <c r="BJ48" s="50">
        <v>13</v>
      </c>
      <c r="BK48" s="45">
        <v>202</v>
      </c>
      <c r="BL48" s="45">
        <v>84</v>
      </c>
      <c r="BQ48" s="51"/>
      <c r="BR48" s="51">
        <f t="shared" si="0"/>
        <v>7.1166666666666663</v>
      </c>
      <c r="BS48" s="51"/>
      <c r="BT48" s="52"/>
      <c r="BY48" s="80">
        <v>7</v>
      </c>
      <c r="BZ48" s="80"/>
      <c r="CA48" s="80"/>
      <c r="CB48" s="80"/>
      <c r="CC48" s="292">
        <v>10</v>
      </c>
      <c r="CD48" s="80">
        <v>9</v>
      </c>
      <c r="CE48" s="81">
        <v>6</v>
      </c>
      <c r="CF48" s="292">
        <v>17</v>
      </c>
      <c r="CG48" s="80">
        <v>8</v>
      </c>
      <c r="CH48" s="81">
        <v>12</v>
      </c>
      <c r="CI48" s="292">
        <v>14</v>
      </c>
      <c r="CJ48" s="80">
        <v>6</v>
      </c>
      <c r="CK48" s="81">
        <v>11</v>
      </c>
      <c r="CL48" s="292"/>
      <c r="CM48" s="80"/>
      <c r="CN48" s="81"/>
      <c r="CO48" s="292"/>
      <c r="CP48" s="80"/>
      <c r="CQ48" s="81"/>
      <c r="CR48" s="292"/>
      <c r="CS48" s="80"/>
      <c r="CT48" s="81"/>
      <c r="CU48" s="292"/>
      <c r="CV48" s="80"/>
      <c r="CW48" s="81"/>
    </row>
    <row r="49" spans="1:106" x14ac:dyDescent="0.2">
      <c r="A49" s="40"/>
      <c r="B49" s="41"/>
      <c r="C49" s="41"/>
      <c r="D49" s="41"/>
      <c r="E49" s="43"/>
      <c r="F49" s="44"/>
      <c r="G49" s="43"/>
      <c r="H49" s="69"/>
      <c r="V49" s="45">
        <v>72</v>
      </c>
      <c r="W49" s="45">
        <v>76</v>
      </c>
      <c r="AD49" s="45">
        <v>34</v>
      </c>
      <c r="AE49" s="45">
        <v>40</v>
      </c>
      <c r="BH49" s="45">
        <v>452</v>
      </c>
      <c r="BI49" s="45">
        <v>67</v>
      </c>
      <c r="BJ49" s="50">
        <v>13</v>
      </c>
      <c r="BK49" s="45" t="s">
        <v>115</v>
      </c>
      <c r="BL49" s="45" t="s">
        <v>115</v>
      </c>
      <c r="BQ49" s="51"/>
      <c r="BR49" s="51">
        <f t="shared" si="0"/>
        <v>6.7462686567164178</v>
      </c>
      <c r="BS49" s="51"/>
      <c r="BT49" s="52"/>
      <c r="BY49" s="80"/>
      <c r="BZ49" s="80"/>
      <c r="CA49" s="80"/>
      <c r="CB49" s="80"/>
      <c r="CC49" s="292">
        <v>11</v>
      </c>
      <c r="CD49" s="80">
        <v>9</v>
      </c>
      <c r="CE49" s="81">
        <v>6</v>
      </c>
      <c r="CF49" s="292">
        <v>19</v>
      </c>
      <c r="CG49" s="80">
        <v>6</v>
      </c>
      <c r="CH49" s="81">
        <v>11</v>
      </c>
      <c r="CI49" s="292"/>
      <c r="CJ49" s="80"/>
      <c r="CK49" s="81"/>
      <c r="CL49" s="292"/>
      <c r="CM49" s="80"/>
      <c r="CN49" s="81"/>
      <c r="CO49" s="292"/>
      <c r="CP49" s="80"/>
      <c r="CQ49" s="81"/>
      <c r="CR49" s="292"/>
      <c r="CS49" s="80"/>
      <c r="CT49" s="81"/>
      <c r="CU49" s="292"/>
      <c r="CV49" s="80"/>
      <c r="CW49" s="81"/>
    </row>
    <row r="50" spans="1:106" x14ac:dyDescent="0.2">
      <c r="A50" s="54" t="s">
        <v>396</v>
      </c>
      <c r="B50" s="56" t="s">
        <v>370</v>
      </c>
      <c r="C50" s="55" t="s">
        <v>109</v>
      </c>
      <c r="D50" s="55" t="s">
        <v>111</v>
      </c>
      <c r="E50" s="57" t="s">
        <v>124</v>
      </c>
      <c r="F50" s="58">
        <v>4</v>
      </c>
      <c r="G50" s="57" t="s">
        <v>133</v>
      </c>
      <c r="H50" s="59"/>
      <c r="I50" s="60">
        <f>1668+932+1100</f>
        <v>3700</v>
      </c>
      <c r="J50" s="60">
        <v>10</v>
      </c>
      <c r="K50" s="60">
        <f>J50-M50</f>
        <v>1</v>
      </c>
      <c r="L50" s="60">
        <f t="shared" si="1"/>
        <v>1</v>
      </c>
      <c r="M50" s="60">
        <v>9</v>
      </c>
      <c r="N50" s="60">
        <v>0</v>
      </c>
      <c r="O50" s="60">
        <v>578</v>
      </c>
      <c r="P50" s="60">
        <v>338</v>
      </c>
      <c r="Q50" s="75">
        <v>1092</v>
      </c>
      <c r="R50" s="60">
        <v>350</v>
      </c>
      <c r="S50" s="60">
        <v>28</v>
      </c>
      <c r="T50" s="60">
        <v>15</v>
      </c>
      <c r="U50" s="60">
        <f>S50-T50</f>
        <v>13</v>
      </c>
      <c r="V50" s="60">
        <v>58</v>
      </c>
      <c r="W50" s="60">
        <v>103</v>
      </c>
      <c r="X50" s="60">
        <v>181</v>
      </c>
      <c r="Y50" s="60">
        <v>123</v>
      </c>
      <c r="Z50" s="60">
        <v>4</v>
      </c>
      <c r="AA50" s="60">
        <v>271</v>
      </c>
      <c r="AB50" s="60">
        <v>189</v>
      </c>
      <c r="AC50" s="60" t="s">
        <v>115</v>
      </c>
      <c r="AD50" s="60">
        <v>21</v>
      </c>
      <c r="AE50" s="60">
        <v>33</v>
      </c>
      <c r="AF50" s="60">
        <v>769</v>
      </c>
      <c r="AG50" s="344">
        <f>AF50/Q50</f>
        <v>0.70421245421245426</v>
      </c>
      <c r="AH50" s="68" t="s">
        <v>115</v>
      </c>
      <c r="AI50" s="68" t="s">
        <v>115</v>
      </c>
      <c r="AJ50" s="68" t="s">
        <v>115</v>
      </c>
      <c r="AK50" s="68" t="s">
        <v>115</v>
      </c>
      <c r="AL50" s="68" t="s">
        <v>115</v>
      </c>
      <c r="AM50" s="68" t="s">
        <v>115</v>
      </c>
      <c r="AN50" s="68" t="s">
        <v>115</v>
      </c>
      <c r="AO50" s="68" t="s">
        <v>115</v>
      </c>
      <c r="AP50" s="68" t="s">
        <v>115</v>
      </c>
      <c r="AQ50" s="68" t="s">
        <v>115</v>
      </c>
      <c r="AR50" s="68" t="s">
        <v>115</v>
      </c>
      <c r="AS50" s="68" t="s">
        <v>115</v>
      </c>
      <c r="AT50" s="68" t="s">
        <v>115</v>
      </c>
      <c r="AU50" s="68" t="s">
        <v>115</v>
      </c>
      <c r="AV50" s="68" t="s">
        <v>115</v>
      </c>
      <c r="AW50" s="68" t="s">
        <v>115</v>
      </c>
      <c r="AX50" s="68" t="s">
        <v>115</v>
      </c>
      <c r="AY50" s="68" t="s">
        <v>115</v>
      </c>
      <c r="AZ50" s="68" t="s">
        <v>115</v>
      </c>
      <c r="BA50" s="344" t="s">
        <v>115</v>
      </c>
      <c r="BB50" s="60">
        <v>1138</v>
      </c>
      <c r="BC50" s="60">
        <v>744</v>
      </c>
      <c r="BD50" s="60">
        <v>380</v>
      </c>
      <c r="BE50" s="60">
        <v>0</v>
      </c>
      <c r="BF50" s="60">
        <v>225</v>
      </c>
      <c r="BG50" s="60">
        <v>237</v>
      </c>
      <c r="BH50" s="60">
        <v>404</v>
      </c>
      <c r="BI50" s="60">
        <v>91</v>
      </c>
      <c r="BJ50" s="65">
        <v>19</v>
      </c>
      <c r="BK50" s="60">
        <v>231</v>
      </c>
      <c r="BL50" s="60">
        <v>127</v>
      </c>
      <c r="BM50" s="60" t="s">
        <v>115</v>
      </c>
      <c r="BN50" s="60" t="s">
        <v>115</v>
      </c>
      <c r="BO50" s="60" t="s">
        <v>115</v>
      </c>
      <c r="BP50" s="64" t="s">
        <v>115</v>
      </c>
      <c r="BQ50" s="66" t="s">
        <v>115</v>
      </c>
      <c r="BR50" s="66">
        <f t="shared" si="0"/>
        <v>4.4395604395604398</v>
      </c>
      <c r="BS50" s="66" t="s">
        <v>115</v>
      </c>
      <c r="BT50" s="67" t="s">
        <v>115</v>
      </c>
      <c r="BU50" s="60">
        <v>372</v>
      </c>
      <c r="BV50" s="60">
        <v>26</v>
      </c>
      <c r="BW50" s="60">
        <v>33</v>
      </c>
      <c r="BX50" s="64">
        <v>23</v>
      </c>
      <c r="BY50" s="72">
        <v>6</v>
      </c>
      <c r="BZ50" s="72">
        <v>85</v>
      </c>
      <c r="CA50" s="72">
        <v>7</v>
      </c>
      <c r="CB50" s="72">
        <v>4</v>
      </c>
      <c r="CC50" s="294">
        <v>14</v>
      </c>
      <c r="CD50" s="72">
        <v>8</v>
      </c>
      <c r="CE50" s="216">
        <v>10</v>
      </c>
      <c r="CF50" s="294">
        <v>21</v>
      </c>
      <c r="CG50" s="72">
        <v>7</v>
      </c>
      <c r="CH50" s="216">
        <v>15</v>
      </c>
      <c r="CI50" s="294">
        <v>22</v>
      </c>
      <c r="CJ50" s="72">
        <v>7</v>
      </c>
      <c r="CK50" s="216">
        <v>13</v>
      </c>
      <c r="CL50" s="294">
        <v>18</v>
      </c>
      <c r="CM50" s="72">
        <v>6</v>
      </c>
      <c r="CN50" s="216">
        <v>10</v>
      </c>
      <c r="CO50" s="294">
        <v>18</v>
      </c>
      <c r="CP50" s="72">
        <v>7</v>
      </c>
      <c r="CQ50" s="216">
        <v>13</v>
      </c>
      <c r="CR50" s="294">
        <v>8</v>
      </c>
      <c r="CS50" s="72">
        <v>4</v>
      </c>
      <c r="CT50" s="216">
        <v>5</v>
      </c>
      <c r="CU50" s="294">
        <v>8</v>
      </c>
      <c r="CV50" s="72">
        <v>5</v>
      </c>
      <c r="CW50" s="216">
        <v>4</v>
      </c>
    </row>
    <row r="51" spans="1:106" x14ac:dyDescent="0.2">
      <c r="A51" s="54"/>
      <c r="B51" s="56"/>
      <c r="C51" s="55"/>
      <c r="D51" s="55"/>
      <c r="E51" s="57"/>
      <c r="F51" s="58"/>
      <c r="G51" s="57"/>
      <c r="H51" s="59"/>
      <c r="I51" s="60"/>
      <c r="J51" s="60"/>
      <c r="K51" s="60"/>
      <c r="L51" s="60"/>
      <c r="M51" s="60"/>
      <c r="N51" s="60"/>
      <c r="O51" s="60"/>
      <c r="P51" s="60"/>
      <c r="Q51" s="75"/>
      <c r="R51" s="60"/>
      <c r="S51" s="60"/>
      <c r="T51" s="60"/>
      <c r="U51" s="60"/>
      <c r="V51" s="60">
        <v>73</v>
      </c>
      <c r="W51" s="60">
        <v>96</v>
      </c>
      <c r="X51" s="60"/>
      <c r="Y51" s="60"/>
      <c r="Z51" s="60"/>
      <c r="AA51" s="60"/>
      <c r="AB51" s="60"/>
      <c r="AC51" s="60"/>
      <c r="AD51" s="60">
        <v>28</v>
      </c>
      <c r="AE51" s="60">
        <v>36</v>
      </c>
      <c r="AF51" s="60"/>
      <c r="AG51" s="64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4"/>
      <c r="BB51" s="60"/>
      <c r="BC51" s="60"/>
      <c r="BD51" s="60"/>
      <c r="BE51" s="60"/>
      <c r="BF51" s="60"/>
      <c r="BG51" s="60"/>
      <c r="BH51" s="60">
        <v>389</v>
      </c>
      <c r="BI51" s="60">
        <v>78</v>
      </c>
      <c r="BJ51" s="65">
        <v>17</v>
      </c>
      <c r="BK51" s="60">
        <v>177</v>
      </c>
      <c r="BL51" s="60">
        <v>87</v>
      </c>
      <c r="BM51" s="60"/>
      <c r="BN51" s="60"/>
      <c r="BO51" s="60"/>
      <c r="BP51" s="64"/>
      <c r="BQ51" s="66"/>
      <c r="BR51" s="66">
        <f t="shared" si="0"/>
        <v>4.9871794871794872</v>
      </c>
      <c r="BS51" s="66"/>
      <c r="BT51" s="67"/>
      <c r="BU51" s="60"/>
      <c r="BV51" s="60">
        <v>26</v>
      </c>
      <c r="BW51" s="60">
        <v>31</v>
      </c>
      <c r="BX51" s="64">
        <v>23</v>
      </c>
      <c r="BY51" s="72"/>
      <c r="BZ51" s="72"/>
      <c r="CA51" s="72"/>
      <c r="CB51" s="72"/>
      <c r="CC51" s="294">
        <v>14</v>
      </c>
      <c r="CD51" s="72">
        <v>10</v>
      </c>
      <c r="CE51" s="216">
        <v>9</v>
      </c>
      <c r="CF51" s="294">
        <v>19</v>
      </c>
      <c r="CG51" s="72">
        <v>10</v>
      </c>
      <c r="CH51" s="216">
        <v>10</v>
      </c>
      <c r="CI51" s="294">
        <v>22</v>
      </c>
      <c r="CJ51" s="72">
        <v>6</v>
      </c>
      <c r="CK51" s="216">
        <v>17</v>
      </c>
      <c r="CL51" s="294"/>
      <c r="CM51" s="72"/>
      <c r="CN51" s="216"/>
      <c r="CO51" s="294"/>
      <c r="CP51" s="72"/>
      <c r="CQ51" s="216"/>
      <c r="CR51" s="294"/>
      <c r="CS51" s="72"/>
      <c r="CT51" s="216"/>
      <c r="CU51" s="294"/>
      <c r="CV51" s="72"/>
      <c r="CW51" s="216"/>
    </row>
    <row r="52" spans="1:106" x14ac:dyDescent="0.2">
      <c r="A52" s="54"/>
      <c r="B52" s="56"/>
      <c r="C52" s="55"/>
      <c r="D52" s="55"/>
      <c r="E52" s="57"/>
      <c r="F52" s="58"/>
      <c r="G52" s="57"/>
      <c r="H52" s="59"/>
      <c r="I52" s="60"/>
      <c r="J52" s="60"/>
      <c r="K52" s="60"/>
      <c r="L52" s="60"/>
      <c r="M52" s="60"/>
      <c r="N52" s="60"/>
      <c r="O52" s="60"/>
      <c r="P52" s="60"/>
      <c r="Q52" s="75"/>
      <c r="R52" s="60"/>
      <c r="S52" s="60"/>
      <c r="T52" s="60"/>
      <c r="U52" s="60"/>
      <c r="V52" s="60">
        <v>73</v>
      </c>
      <c r="W52" s="60">
        <v>73</v>
      </c>
      <c r="X52" s="60"/>
      <c r="Y52" s="60"/>
      <c r="Z52" s="60"/>
      <c r="AA52" s="60"/>
      <c r="AB52" s="60"/>
      <c r="AC52" s="60"/>
      <c r="AD52" s="60">
        <v>31</v>
      </c>
      <c r="AE52" s="60">
        <v>38</v>
      </c>
      <c r="AF52" s="60"/>
      <c r="AG52" s="64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4"/>
      <c r="BB52" s="60"/>
      <c r="BC52" s="60"/>
      <c r="BD52" s="60"/>
      <c r="BE52" s="60"/>
      <c r="BF52" s="60"/>
      <c r="BG52" s="60"/>
      <c r="BH52" s="60">
        <v>405</v>
      </c>
      <c r="BI52" s="60">
        <v>92</v>
      </c>
      <c r="BJ52" s="65">
        <v>23</v>
      </c>
      <c r="BK52" s="60" t="s">
        <v>115</v>
      </c>
      <c r="BL52" s="60" t="s">
        <v>115</v>
      </c>
      <c r="BM52" s="60"/>
      <c r="BN52" s="60"/>
      <c r="BO52" s="60"/>
      <c r="BP52" s="64"/>
      <c r="BQ52" s="66"/>
      <c r="BR52" s="66">
        <f t="shared" si="0"/>
        <v>4.4021739130434785</v>
      </c>
      <c r="BS52" s="66"/>
      <c r="BT52" s="67"/>
      <c r="BU52" s="60"/>
      <c r="BV52" s="60">
        <v>29</v>
      </c>
      <c r="BW52" s="60"/>
      <c r="BX52" s="64"/>
      <c r="BY52" s="72"/>
      <c r="BZ52" s="72"/>
      <c r="CA52" s="72"/>
      <c r="CB52" s="72"/>
      <c r="CC52" s="294"/>
      <c r="CD52" s="72"/>
      <c r="CE52" s="216"/>
      <c r="CF52" s="294"/>
      <c r="CG52" s="72"/>
      <c r="CH52" s="216"/>
      <c r="CI52" s="294"/>
      <c r="CJ52" s="72"/>
      <c r="CK52" s="216"/>
      <c r="CL52" s="294"/>
      <c r="CM52" s="72"/>
      <c r="CN52" s="216"/>
      <c r="CO52" s="294"/>
      <c r="CP52" s="72"/>
      <c r="CQ52" s="216"/>
      <c r="CR52" s="294"/>
      <c r="CS52" s="72"/>
      <c r="CT52" s="216"/>
      <c r="CU52" s="294"/>
      <c r="CV52" s="72"/>
      <c r="CW52" s="216"/>
    </row>
    <row r="53" spans="1:106" x14ac:dyDescent="0.2">
      <c r="A53" s="40" t="s">
        <v>397</v>
      </c>
      <c r="B53" s="42" t="s">
        <v>370</v>
      </c>
      <c r="C53" s="41" t="s">
        <v>109</v>
      </c>
      <c r="D53" s="41" t="s">
        <v>192</v>
      </c>
      <c r="E53" s="43" t="s">
        <v>112</v>
      </c>
      <c r="F53" s="44">
        <v>2</v>
      </c>
      <c r="G53" s="43" t="s">
        <v>115</v>
      </c>
      <c r="H53" s="69" t="s">
        <v>398</v>
      </c>
      <c r="I53" s="45">
        <f>1684+2008</f>
        <v>3692</v>
      </c>
      <c r="J53" s="45">
        <v>6</v>
      </c>
      <c r="K53" s="45">
        <f>J53-M53</f>
        <v>1</v>
      </c>
      <c r="L53" s="45">
        <f t="shared" si="1"/>
        <v>0</v>
      </c>
      <c r="M53" s="45">
        <v>5</v>
      </c>
      <c r="N53" s="45">
        <v>1</v>
      </c>
      <c r="O53" s="45">
        <v>517</v>
      </c>
      <c r="P53" s="45">
        <v>335</v>
      </c>
      <c r="Q53" s="79" t="s">
        <v>115</v>
      </c>
      <c r="R53" s="45" t="s">
        <v>115</v>
      </c>
      <c r="S53" s="45" t="s">
        <v>115</v>
      </c>
      <c r="T53" s="45" t="s">
        <v>115</v>
      </c>
      <c r="U53" s="45" t="s">
        <v>115</v>
      </c>
      <c r="V53" s="45" t="s">
        <v>115</v>
      </c>
      <c r="W53" s="45" t="s">
        <v>115</v>
      </c>
      <c r="X53" s="45" t="s">
        <v>115</v>
      </c>
      <c r="Y53" s="45" t="s">
        <v>115</v>
      </c>
      <c r="Z53" s="45" t="s">
        <v>115</v>
      </c>
      <c r="AA53" s="45" t="s">
        <v>115</v>
      </c>
      <c r="AB53" s="45" t="s">
        <v>115</v>
      </c>
      <c r="AC53" s="45" t="s">
        <v>115</v>
      </c>
      <c r="AD53" s="45" t="s">
        <v>115</v>
      </c>
      <c r="AE53" s="45" t="s">
        <v>115</v>
      </c>
      <c r="AF53" s="45" t="s">
        <v>115</v>
      </c>
      <c r="AG53" s="49" t="s">
        <v>115</v>
      </c>
      <c r="AH53" s="53">
        <v>1513</v>
      </c>
      <c r="AI53" s="53" t="s">
        <v>115</v>
      </c>
      <c r="AJ53" s="53" t="s">
        <v>115</v>
      </c>
      <c r="AK53" s="53" t="s">
        <v>115</v>
      </c>
      <c r="AL53" s="53" t="s">
        <v>115</v>
      </c>
      <c r="AM53" s="53" t="s">
        <v>115</v>
      </c>
      <c r="AN53" s="53" t="s">
        <v>115</v>
      </c>
      <c r="AO53" s="53" t="s">
        <v>115</v>
      </c>
      <c r="AP53" s="53" t="s">
        <v>115</v>
      </c>
      <c r="AQ53" s="53" t="s">
        <v>115</v>
      </c>
      <c r="AR53" s="53" t="s">
        <v>115</v>
      </c>
      <c r="AS53" s="53" t="s">
        <v>115</v>
      </c>
      <c r="AT53" s="53" t="s">
        <v>115</v>
      </c>
      <c r="AU53" s="53" t="s">
        <v>115</v>
      </c>
      <c r="AV53" s="53" t="s">
        <v>115</v>
      </c>
      <c r="AW53" s="53" t="s">
        <v>115</v>
      </c>
      <c r="AX53" s="53" t="s">
        <v>115</v>
      </c>
      <c r="AY53" s="53" t="s">
        <v>115</v>
      </c>
      <c r="AZ53" s="53" t="s">
        <v>115</v>
      </c>
      <c r="BA53" s="347" t="s">
        <v>115</v>
      </c>
      <c r="BB53" s="45">
        <v>1318</v>
      </c>
      <c r="BC53" s="45">
        <v>763</v>
      </c>
      <c r="BD53" s="45">
        <v>536</v>
      </c>
      <c r="BE53" s="45">
        <v>0</v>
      </c>
      <c r="BF53" s="45">
        <v>175</v>
      </c>
      <c r="BG53" s="45">
        <v>194</v>
      </c>
      <c r="BH53" s="45">
        <v>516</v>
      </c>
      <c r="BI53" s="45">
        <v>61</v>
      </c>
      <c r="BJ53" s="50">
        <v>14</v>
      </c>
      <c r="BK53" s="45">
        <v>181</v>
      </c>
      <c r="BL53" s="45">
        <v>123</v>
      </c>
      <c r="BM53" s="45">
        <v>232</v>
      </c>
      <c r="BN53" s="45">
        <v>304</v>
      </c>
      <c r="BO53" s="45" t="s">
        <v>128</v>
      </c>
      <c r="BP53" s="49">
        <f>BN53</f>
        <v>304</v>
      </c>
      <c r="BQ53" s="51">
        <f t="shared" si="2"/>
        <v>2.5098684210526314</v>
      </c>
      <c r="BR53" s="51">
        <f t="shared" si="0"/>
        <v>8.4590163934426226</v>
      </c>
      <c r="BS53" s="51">
        <f t="shared" si="3"/>
        <v>3.2887931034482758</v>
      </c>
      <c r="BT53" s="52">
        <f t="shared" si="4"/>
        <v>2.3103448275862069</v>
      </c>
      <c r="BU53" s="45">
        <v>447</v>
      </c>
      <c r="BV53" s="45">
        <v>26</v>
      </c>
      <c r="BW53" s="45">
        <v>34</v>
      </c>
      <c r="BX53" s="49">
        <v>18</v>
      </c>
      <c r="BY53" s="80">
        <v>7</v>
      </c>
      <c r="BZ53" s="80">
        <v>103</v>
      </c>
      <c r="CA53" s="80">
        <v>7</v>
      </c>
      <c r="CB53" s="80" t="s">
        <v>115</v>
      </c>
      <c r="CC53" s="292">
        <v>10</v>
      </c>
      <c r="CD53" s="80">
        <v>9</v>
      </c>
      <c r="CE53" s="81">
        <v>6</v>
      </c>
      <c r="CF53" s="292">
        <v>20</v>
      </c>
      <c r="CG53" s="80">
        <v>7</v>
      </c>
      <c r="CH53" s="81">
        <v>9</v>
      </c>
      <c r="CI53" s="292">
        <v>20</v>
      </c>
      <c r="CJ53" s="80">
        <v>6</v>
      </c>
      <c r="CK53" s="81">
        <v>14</v>
      </c>
      <c r="CL53" s="292" t="s">
        <v>115</v>
      </c>
      <c r="CM53" s="80" t="s">
        <v>115</v>
      </c>
      <c r="CN53" s="81" t="s">
        <v>115</v>
      </c>
      <c r="CO53" s="292" t="s">
        <v>115</v>
      </c>
      <c r="CP53" s="80" t="s">
        <v>115</v>
      </c>
      <c r="CQ53" s="81" t="s">
        <v>115</v>
      </c>
      <c r="CR53" s="292" t="s">
        <v>115</v>
      </c>
      <c r="CS53" s="80" t="s">
        <v>115</v>
      </c>
      <c r="CT53" s="81" t="s">
        <v>115</v>
      </c>
      <c r="CU53" s="292" t="s">
        <v>115</v>
      </c>
      <c r="CV53" s="80" t="s">
        <v>115</v>
      </c>
      <c r="CW53" s="81" t="s">
        <v>115</v>
      </c>
      <c r="CX53" s="80"/>
      <c r="CY53" s="80"/>
      <c r="CZ53" s="80"/>
      <c r="DA53" s="80"/>
      <c r="DB53" s="80"/>
    </row>
    <row r="54" spans="1:106" x14ac:dyDescent="0.2">
      <c r="A54" s="40"/>
      <c r="B54" s="41"/>
      <c r="C54" s="41"/>
      <c r="D54" s="41"/>
      <c r="E54" s="43"/>
      <c r="F54" s="44"/>
      <c r="G54" s="43"/>
      <c r="H54" s="69"/>
      <c r="BH54" s="45">
        <v>472</v>
      </c>
      <c r="BI54" s="45">
        <v>66</v>
      </c>
      <c r="BJ54" s="50">
        <v>16</v>
      </c>
      <c r="BK54" s="45">
        <v>164</v>
      </c>
      <c r="BL54" s="45">
        <v>122</v>
      </c>
      <c r="BQ54" s="51"/>
      <c r="BR54" s="51">
        <f t="shared" si="0"/>
        <v>7.1515151515151514</v>
      </c>
      <c r="BS54" s="51"/>
      <c r="BT54" s="52"/>
      <c r="BV54" s="45">
        <v>30</v>
      </c>
      <c r="BW54" s="45">
        <v>30</v>
      </c>
      <c r="BX54" s="49">
        <v>24</v>
      </c>
      <c r="BY54" s="80"/>
      <c r="BZ54" s="80">
        <v>101</v>
      </c>
      <c r="CA54" s="80"/>
      <c r="CB54" s="80"/>
      <c r="CC54" s="292">
        <v>11</v>
      </c>
      <c r="CD54" s="80">
        <v>7</v>
      </c>
      <c r="CE54" s="81">
        <v>7</v>
      </c>
      <c r="CF54" s="292">
        <v>17</v>
      </c>
      <c r="CG54" s="80">
        <v>9</v>
      </c>
      <c r="CH54" s="81">
        <v>12</v>
      </c>
      <c r="CI54" s="292"/>
      <c r="CJ54" s="80"/>
      <c r="CK54" s="81"/>
      <c r="CL54" s="292"/>
      <c r="CM54" s="80"/>
      <c r="CN54" s="81"/>
      <c r="CO54" s="292"/>
      <c r="CP54" s="80"/>
      <c r="CQ54" s="81"/>
      <c r="CR54" s="292"/>
      <c r="CS54" s="80"/>
      <c r="CT54" s="81"/>
      <c r="CU54" s="292"/>
      <c r="CV54" s="80"/>
      <c r="CW54" s="81"/>
      <c r="CX54" s="80"/>
      <c r="CY54" s="80"/>
      <c r="CZ54" s="80"/>
      <c r="DA54" s="80"/>
      <c r="DB54" s="80"/>
    </row>
    <row r="55" spans="1:106" x14ac:dyDescent="0.2">
      <c r="A55" s="40"/>
      <c r="B55" s="41"/>
      <c r="C55" s="41"/>
      <c r="D55" s="41"/>
      <c r="E55" s="43"/>
      <c r="F55" s="44"/>
      <c r="G55" s="43"/>
      <c r="H55" s="69"/>
      <c r="BH55" s="45">
        <v>452</v>
      </c>
      <c r="BI55" s="45">
        <v>70</v>
      </c>
      <c r="BJ55" s="50">
        <v>13</v>
      </c>
      <c r="BK55" s="45">
        <v>169</v>
      </c>
      <c r="BL55" s="45">
        <v>142</v>
      </c>
      <c r="BQ55" s="51"/>
      <c r="BR55" s="51">
        <f t="shared" si="0"/>
        <v>6.4571428571428573</v>
      </c>
      <c r="BS55" s="51"/>
      <c r="BT55" s="52"/>
      <c r="BY55" s="80"/>
      <c r="BZ55" s="80"/>
      <c r="CA55" s="80"/>
      <c r="CB55" s="80"/>
      <c r="CC55" s="292"/>
      <c r="CD55" s="80"/>
      <c r="CE55" s="81"/>
      <c r="CF55" s="292"/>
      <c r="CG55" s="80"/>
      <c r="CH55" s="81"/>
      <c r="CI55" s="292"/>
      <c r="CJ55" s="80"/>
      <c r="CK55" s="81"/>
      <c r="CL55" s="292"/>
      <c r="CM55" s="80"/>
      <c r="CN55" s="81"/>
      <c r="CO55" s="292"/>
      <c r="CP55" s="80"/>
      <c r="CQ55" s="81"/>
      <c r="CR55" s="292"/>
      <c r="CS55" s="80"/>
      <c r="CT55" s="81"/>
      <c r="CU55" s="292"/>
      <c r="CV55" s="80"/>
      <c r="CW55" s="81"/>
      <c r="CX55" s="80"/>
      <c r="CY55" s="80"/>
      <c r="CZ55" s="80"/>
      <c r="DA55" s="80"/>
      <c r="DB55" s="80"/>
    </row>
    <row r="56" spans="1:106" x14ac:dyDescent="0.2">
      <c r="A56" s="54" t="s">
        <v>399</v>
      </c>
      <c r="B56" s="56" t="s">
        <v>370</v>
      </c>
      <c r="C56" s="55" t="s">
        <v>109</v>
      </c>
      <c r="D56" s="55" t="s">
        <v>157</v>
      </c>
      <c r="E56" s="57" t="s">
        <v>124</v>
      </c>
      <c r="F56" s="58" t="s">
        <v>400</v>
      </c>
      <c r="G56" s="57" t="s">
        <v>133</v>
      </c>
      <c r="H56" s="59" t="s">
        <v>401</v>
      </c>
      <c r="I56" s="60">
        <f>1741+1614</f>
        <v>3355</v>
      </c>
      <c r="J56" s="60">
        <v>7</v>
      </c>
      <c r="K56" s="60">
        <f>J56-M56</f>
        <v>1</v>
      </c>
      <c r="L56" s="60">
        <f t="shared" si="1"/>
        <v>1</v>
      </c>
      <c r="M56" s="60">
        <v>6</v>
      </c>
      <c r="N56" s="60">
        <v>0</v>
      </c>
      <c r="O56" s="60">
        <v>514</v>
      </c>
      <c r="P56" s="60">
        <v>253</v>
      </c>
      <c r="Q56" s="75">
        <v>1123</v>
      </c>
      <c r="R56" s="60">
        <v>308</v>
      </c>
      <c r="S56" s="60">
        <v>32</v>
      </c>
      <c r="T56" s="60">
        <v>18</v>
      </c>
      <c r="U56" s="60">
        <f>S56-T56</f>
        <v>14</v>
      </c>
      <c r="V56" s="60">
        <v>63</v>
      </c>
      <c r="W56" s="60">
        <v>80</v>
      </c>
      <c r="X56" s="60">
        <v>189</v>
      </c>
      <c r="Y56" s="60">
        <v>125</v>
      </c>
      <c r="Z56" s="60">
        <v>4</v>
      </c>
      <c r="AA56" s="60">
        <v>313</v>
      </c>
      <c r="AB56" s="60">
        <v>188</v>
      </c>
      <c r="AC56" s="60">
        <v>110</v>
      </c>
      <c r="AD56" s="60">
        <v>32</v>
      </c>
      <c r="AE56" s="60">
        <v>31</v>
      </c>
      <c r="AF56" s="60">
        <v>791</v>
      </c>
      <c r="AG56" s="344">
        <f>AF56/Q56</f>
        <v>0.70436331255565454</v>
      </c>
      <c r="AH56" s="68" t="s">
        <v>115</v>
      </c>
      <c r="AI56" s="68" t="s">
        <v>115</v>
      </c>
      <c r="AJ56" s="68" t="s">
        <v>115</v>
      </c>
      <c r="AK56" s="68" t="s">
        <v>115</v>
      </c>
      <c r="AL56" s="68" t="s">
        <v>115</v>
      </c>
      <c r="AM56" s="68" t="s">
        <v>115</v>
      </c>
      <c r="AN56" s="68" t="s">
        <v>115</v>
      </c>
      <c r="AO56" s="68" t="s">
        <v>115</v>
      </c>
      <c r="AP56" s="68" t="s">
        <v>115</v>
      </c>
      <c r="AQ56" s="68" t="s">
        <v>115</v>
      </c>
      <c r="AR56" s="68" t="s">
        <v>115</v>
      </c>
      <c r="AS56" s="68" t="s">
        <v>115</v>
      </c>
      <c r="AT56" s="68" t="s">
        <v>115</v>
      </c>
      <c r="AU56" s="68" t="s">
        <v>115</v>
      </c>
      <c r="AV56" s="68" t="s">
        <v>115</v>
      </c>
      <c r="AW56" s="68" t="s">
        <v>115</v>
      </c>
      <c r="AX56" s="68" t="s">
        <v>115</v>
      </c>
      <c r="AY56" s="68" t="s">
        <v>115</v>
      </c>
      <c r="AZ56" s="68" t="s">
        <v>115</v>
      </c>
      <c r="BA56" s="344" t="s">
        <v>115</v>
      </c>
      <c r="BB56" s="60">
        <v>1314</v>
      </c>
      <c r="BC56" s="60">
        <v>856</v>
      </c>
      <c r="BD56" s="60">
        <v>452</v>
      </c>
      <c r="BE56" s="60">
        <v>0</v>
      </c>
      <c r="BF56" s="60">
        <v>164</v>
      </c>
      <c r="BG56" s="60">
        <v>228</v>
      </c>
      <c r="BH56" s="60">
        <v>405</v>
      </c>
      <c r="BI56" s="60">
        <v>87</v>
      </c>
      <c r="BJ56" s="65">
        <v>18</v>
      </c>
      <c r="BK56" s="60">
        <v>165</v>
      </c>
      <c r="BL56" s="60">
        <v>87</v>
      </c>
      <c r="BM56" s="60">
        <v>205</v>
      </c>
      <c r="BN56" s="60">
        <v>351</v>
      </c>
      <c r="BO56" s="60" t="s">
        <v>128</v>
      </c>
      <c r="BP56" s="64">
        <f>BN56</f>
        <v>351</v>
      </c>
      <c r="BQ56" s="66">
        <f t="shared" si="2"/>
        <v>2.4387464387464388</v>
      </c>
      <c r="BR56" s="66">
        <f t="shared" si="0"/>
        <v>4.6551724137931032</v>
      </c>
      <c r="BS56" s="66">
        <f t="shared" si="3"/>
        <v>4.1756097560975611</v>
      </c>
      <c r="BT56" s="67">
        <f t="shared" si="4"/>
        <v>2.204878048780488</v>
      </c>
      <c r="BU56" s="60" t="s">
        <v>115</v>
      </c>
      <c r="BV56" s="60">
        <v>24</v>
      </c>
      <c r="BW56" s="60" t="s">
        <v>115</v>
      </c>
      <c r="BX56" s="64" t="s">
        <v>115</v>
      </c>
      <c r="BY56" s="72" t="s">
        <v>115</v>
      </c>
      <c r="BZ56" s="72" t="s">
        <v>115</v>
      </c>
      <c r="CA56" s="72" t="s">
        <v>115</v>
      </c>
      <c r="CB56" s="72" t="s">
        <v>115</v>
      </c>
      <c r="CC56" s="294" t="s">
        <v>115</v>
      </c>
      <c r="CD56" s="72" t="s">
        <v>115</v>
      </c>
      <c r="CE56" s="216" t="s">
        <v>115</v>
      </c>
      <c r="CF56" s="294" t="s">
        <v>115</v>
      </c>
      <c r="CG56" s="72" t="s">
        <v>115</v>
      </c>
      <c r="CH56" s="216" t="s">
        <v>115</v>
      </c>
      <c r="CI56" s="294" t="s">
        <v>115</v>
      </c>
      <c r="CJ56" s="72" t="s">
        <v>115</v>
      </c>
      <c r="CK56" s="216" t="s">
        <v>115</v>
      </c>
      <c r="CL56" s="294" t="s">
        <v>115</v>
      </c>
      <c r="CM56" s="72" t="s">
        <v>115</v>
      </c>
      <c r="CN56" s="216" t="s">
        <v>115</v>
      </c>
      <c r="CO56" s="294" t="s">
        <v>115</v>
      </c>
      <c r="CP56" s="72" t="s">
        <v>115</v>
      </c>
      <c r="CQ56" s="216" t="s">
        <v>115</v>
      </c>
      <c r="CR56" s="294" t="s">
        <v>115</v>
      </c>
      <c r="CS56" s="72" t="s">
        <v>115</v>
      </c>
      <c r="CT56" s="216" t="s">
        <v>115</v>
      </c>
      <c r="CU56" s="294" t="s">
        <v>115</v>
      </c>
      <c r="CV56" s="72" t="s">
        <v>115</v>
      </c>
      <c r="CW56" s="216" t="s">
        <v>115</v>
      </c>
      <c r="CX56" s="80"/>
      <c r="CY56" s="80"/>
      <c r="CZ56" s="80"/>
      <c r="DA56" s="80"/>
      <c r="DB56" s="80"/>
    </row>
    <row r="57" spans="1:106" x14ac:dyDescent="0.2">
      <c r="A57" s="54"/>
      <c r="B57" s="56"/>
      <c r="C57" s="55"/>
      <c r="D57" s="55"/>
      <c r="E57" s="57"/>
      <c r="F57" s="58"/>
      <c r="G57" s="57"/>
      <c r="H57" s="59"/>
      <c r="I57" s="60"/>
      <c r="J57" s="60"/>
      <c r="K57" s="60"/>
      <c r="L57" s="60"/>
      <c r="M57" s="60"/>
      <c r="N57" s="60"/>
      <c r="O57" s="60"/>
      <c r="P57" s="60"/>
      <c r="Q57" s="75"/>
      <c r="R57" s="60"/>
      <c r="S57" s="60"/>
      <c r="T57" s="60"/>
      <c r="U57" s="60"/>
      <c r="V57" s="60">
        <v>49</v>
      </c>
      <c r="W57" s="60">
        <v>87</v>
      </c>
      <c r="X57" s="60"/>
      <c r="Y57" s="60"/>
      <c r="Z57" s="60"/>
      <c r="AA57" s="60"/>
      <c r="AB57" s="60"/>
      <c r="AC57" s="60"/>
      <c r="AD57" s="60">
        <v>37</v>
      </c>
      <c r="AE57" s="60">
        <v>27</v>
      </c>
      <c r="AF57" s="60"/>
      <c r="AG57" s="64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4"/>
      <c r="BB57" s="60"/>
      <c r="BC57" s="60"/>
      <c r="BD57" s="60"/>
      <c r="BE57" s="60"/>
      <c r="BF57" s="60"/>
      <c r="BG57" s="60"/>
      <c r="BH57" s="60">
        <v>419</v>
      </c>
      <c r="BI57" s="60">
        <v>76</v>
      </c>
      <c r="BJ57" s="65">
        <v>12</v>
      </c>
      <c r="BK57" s="60">
        <v>167</v>
      </c>
      <c r="BL57" s="60">
        <v>115</v>
      </c>
      <c r="BM57" s="60"/>
      <c r="BN57" s="60"/>
      <c r="BO57" s="60"/>
      <c r="BP57" s="64"/>
      <c r="BQ57" s="66"/>
      <c r="BR57" s="66">
        <f t="shared" si="0"/>
        <v>5.5131578947368425</v>
      </c>
      <c r="BS57" s="66"/>
      <c r="BT57" s="67"/>
      <c r="BU57" s="60"/>
      <c r="BV57" s="60"/>
      <c r="BW57" s="60"/>
      <c r="BX57" s="64"/>
      <c r="BY57" s="72"/>
      <c r="BZ57" s="72"/>
      <c r="CA57" s="72"/>
      <c r="CB57" s="72"/>
      <c r="CC57" s="294"/>
      <c r="CD57" s="72"/>
      <c r="CE57" s="216"/>
      <c r="CF57" s="294"/>
      <c r="CG57" s="72"/>
      <c r="CH57" s="216"/>
      <c r="CI57" s="294"/>
      <c r="CJ57" s="72"/>
      <c r="CK57" s="216"/>
      <c r="CL57" s="294"/>
      <c r="CM57" s="72"/>
      <c r="CN57" s="216"/>
      <c r="CO57" s="294"/>
      <c r="CP57" s="72"/>
      <c r="CQ57" s="216"/>
      <c r="CR57" s="294"/>
      <c r="CS57" s="72"/>
      <c r="CT57" s="216"/>
      <c r="CU57" s="294"/>
      <c r="CV57" s="72"/>
      <c r="CW57" s="216"/>
      <c r="CX57" s="80"/>
      <c r="CY57" s="80"/>
      <c r="CZ57" s="80"/>
      <c r="DA57" s="80"/>
      <c r="DB57" s="80"/>
    </row>
    <row r="58" spans="1:106" x14ac:dyDescent="0.2">
      <c r="A58" s="54"/>
      <c r="B58" s="56"/>
      <c r="C58" s="55"/>
      <c r="D58" s="55"/>
      <c r="E58" s="57"/>
      <c r="F58" s="58"/>
      <c r="G58" s="57"/>
      <c r="H58" s="59"/>
      <c r="I58" s="60"/>
      <c r="J58" s="60"/>
      <c r="K58" s="60"/>
      <c r="L58" s="60"/>
      <c r="M58" s="60"/>
      <c r="N58" s="60"/>
      <c r="O58" s="60"/>
      <c r="P58" s="60"/>
      <c r="Q58" s="75"/>
      <c r="R58" s="60"/>
      <c r="S58" s="60"/>
      <c r="T58" s="60"/>
      <c r="U58" s="60"/>
      <c r="V58" s="60">
        <v>51</v>
      </c>
      <c r="W58" s="60">
        <v>87</v>
      </c>
      <c r="X58" s="60"/>
      <c r="Y58" s="60"/>
      <c r="Z58" s="60"/>
      <c r="AA58" s="60"/>
      <c r="AB58" s="60"/>
      <c r="AC58" s="60"/>
      <c r="AD58" s="60">
        <v>31</v>
      </c>
      <c r="AE58" s="60">
        <v>38</v>
      </c>
      <c r="AF58" s="60"/>
      <c r="AG58" s="64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4"/>
      <c r="BB58" s="60"/>
      <c r="BC58" s="60"/>
      <c r="BD58" s="60"/>
      <c r="BE58" s="60"/>
      <c r="BF58" s="60"/>
      <c r="BG58" s="60"/>
      <c r="BH58" s="60">
        <v>435</v>
      </c>
      <c r="BI58" s="60">
        <v>68</v>
      </c>
      <c r="BJ58" s="65">
        <v>15</v>
      </c>
      <c r="BK58" s="60">
        <v>165</v>
      </c>
      <c r="BL58" s="60">
        <v>99</v>
      </c>
      <c r="BM58" s="60"/>
      <c r="BN58" s="60"/>
      <c r="BO58" s="60"/>
      <c r="BP58" s="64"/>
      <c r="BQ58" s="66"/>
      <c r="BR58" s="66">
        <f t="shared" si="0"/>
        <v>6.3970588235294121</v>
      </c>
      <c r="BS58" s="66"/>
      <c r="BT58" s="67"/>
      <c r="BU58" s="60"/>
      <c r="BV58" s="60"/>
      <c r="BW58" s="60"/>
      <c r="BX58" s="64"/>
      <c r="BY58" s="72"/>
      <c r="BZ58" s="72"/>
      <c r="CA58" s="72"/>
      <c r="CB58" s="72"/>
      <c r="CC58" s="294"/>
      <c r="CD58" s="72"/>
      <c r="CE58" s="216"/>
      <c r="CF58" s="294"/>
      <c r="CG58" s="72"/>
      <c r="CH58" s="216"/>
      <c r="CI58" s="294"/>
      <c r="CJ58" s="72"/>
      <c r="CK58" s="216"/>
      <c r="CL58" s="294"/>
      <c r="CM58" s="72"/>
      <c r="CN58" s="216"/>
      <c r="CO58" s="294"/>
      <c r="CP58" s="72"/>
      <c r="CQ58" s="216"/>
      <c r="CR58" s="294"/>
      <c r="CS58" s="72"/>
      <c r="CT58" s="216"/>
      <c r="CU58" s="294"/>
      <c r="CV58" s="72"/>
      <c r="CW58" s="216"/>
      <c r="CX58" s="80"/>
    </row>
    <row r="59" spans="1:106" s="80" customFormat="1" x14ac:dyDescent="0.2">
      <c r="A59" s="203" t="s">
        <v>402</v>
      </c>
      <c r="B59" s="42" t="s">
        <v>370</v>
      </c>
      <c r="C59" s="204" t="s">
        <v>109</v>
      </c>
      <c r="D59" s="204" t="s">
        <v>192</v>
      </c>
      <c r="E59" s="295" t="s">
        <v>112</v>
      </c>
      <c r="F59" s="207">
        <v>2</v>
      </c>
      <c r="G59" s="206" t="s">
        <v>204</v>
      </c>
      <c r="H59" s="161" t="s">
        <v>403</v>
      </c>
      <c r="I59" s="80">
        <f>2018+2442</f>
        <v>4460</v>
      </c>
      <c r="J59" s="80">
        <v>9</v>
      </c>
      <c r="K59" s="80">
        <v>2</v>
      </c>
      <c r="L59" s="45">
        <f t="shared" si="1"/>
        <v>1</v>
      </c>
      <c r="M59" s="80">
        <v>7</v>
      </c>
      <c r="N59" s="80">
        <v>1</v>
      </c>
      <c r="O59" s="80">
        <v>485</v>
      </c>
      <c r="P59" s="80">
        <v>250</v>
      </c>
      <c r="Q59" s="292" t="s">
        <v>115</v>
      </c>
      <c r="R59" s="80" t="s">
        <v>115</v>
      </c>
      <c r="S59" s="80">
        <v>27</v>
      </c>
      <c r="T59" s="80">
        <v>12</v>
      </c>
      <c r="U59" s="80">
        <v>15</v>
      </c>
      <c r="V59" s="80" t="s">
        <v>115</v>
      </c>
      <c r="W59" s="80" t="s">
        <v>115</v>
      </c>
      <c r="X59" s="80" t="s">
        <v>115</v>
      </c>
      <c r="Y59" s="80" t="s">
        <v>115</v>
      </c>
      <c r="Z59" s="80">
        <v>4</v>
      </c>
      <c r="AA59" s="80" t="s">
        <v>115</v>
      </c>
      <c r="AB59" s="80" t="s">
        <v>115</v>
      </c>
      <c r="AC59" s="80" t="s">
        <v>115</v>
      </c>
      <c r="AD59" s="80" t="s">
        <v>115</v>
      </c>
      <c r="AE59" s="80" t="s">
        <v>115</v>
      </c>
      <c r="AF59" s="80" t="s">
        <v>115</v>
      </c>
      <c r="AG59" s="347" t="s">
        <v>115</v>
      </c>
      <c r="AH59" s="53">
        <v>1407</v>
      </c>
      <c r="AI59" s="53">
        <v>688</v>
      </c>
      <c r="AJ59" s="53" t="s">
        <v>115</v>
      </c>
      <c r="AK59" s="53" t="s">
        <v>115</v>
      </c>
      <c r="AL59" s="53" t="s">
        <v>115</v>
      </c>
      <c r="AM59" s="53">
        <v>41</v>
      </c>
      <c r="AN59" s="53">
        <v>79</v>
      </c>
      <c r="AO59" s="53" t="s">
        <v>115</v>
      </c>
      <c r="AP59" s="53" t="s">
        <v>115</v>
      </c>
      <c r="AQ59" s="53">
        <v>267</v>
      </c>
      <c r="AR59" s="53">
        <v>129</v>
      </c>
      <c r="AS59" s="53" t="s">
        <v>115</v>
      </c>
      <c r="AT59" s="53">
        <v>143</v>
      </c>
      <c r="AU59" s="53">
        <v>226</v>
      </c>
      <c r="AV59" s="53">
        <v>117</v>
      </c>
      <c r="AW59" s="53">
        <v>29</v>
      </c>
      <c r="AX59" s="53">
        <v>33</v>
      </c>
      <c r="AY59" s="53">
        <v>810</v>
      </c>
      <c r="AZ59" s="74">
        <f>AY59/AH59</f>
        <v>0.57569296375266521</v>
      </c>
      <c r="BA59" s="77">
        <v>7</v>
      </c>
      <c r="BB59" s="80">
        <v>1345</v>
      </c>
      <c r="BC59" s="80">
        <v>886</v>
      </c>
      <c r="BD59" s="80">
        <v>463</v>
      </c>
      <c r="BE59" s="80">
        <v>0</v>
      </c>
      <c r="BF59" s="80">
        <v>173</v>
      </c>
      <c r="BG59" s="80">
        <v>176</v>
      </c>
      <c r="BH59" s="80">
        <v>457</v>
      </c>
      <c r="BI59" s="80">
        <v>71</v>
      </c>
      <c r="BJ59" s="140">
        <v>11</v>
      </c>
      <c r="BK59" s="80">
        <v>201</v>
      </c>
      <c r="BL59" s="80">
        <v>107</v>
      </c>
      <c r="BM59" s="80">
        <v>234</v>
      </c>
      <c r="BN59" s="80">
        <v>225</v>
      </c>
      <c r="BO59" s="80" t="s">
        <v>116</v>
      </c>
      <c r="BP59" s="81">
        <f>AI59</f>
        <v>688</v>
      </c>
      <c r="BQ59" s="51">
        <f t="shared" si="2"/>
        <v>1.2877906976744187</v>
      </c>
      <c r="BR59" s="51">
        <f t="shared" si="0"/>
        <v>6.436619718309859</v>
      </c>
      <c r="BS59" s="51">
        <f t="shared" si="3"/>
        <v>3.7863247863247862</v>
      </c>
      <c r="BT59" s="52">
        <f t="shared" si="4"/>
        <v>1.9786324786324787</v>
      </c>
      <c r="BU59" s="80">
        <v>306</v>
      </c>
      <c r="BV59" s="80">
        <v>48</v>
      </c>
      <c r="BW59" s="80">
        <v>36</v>
      </c>
      <c r="BX59" s="81">
        <v>34</v>
      </c>
      <c r="BY59" s="80">
        <v>6</v>
      </c>
      <c r="BZ59" s="80">
        <v>71</v>
      </c>
      <c r="CA59" s="80">
        <v>7</v>
      </c>
      <c r="CB59" s="80">
        <v>4</v>
      </c>
      <c r="CC59" s="292">
        <v>12</v>
      </c>
      <c r="CD59" s="80">
        <v>8</v>
      </c>
      <c r="CE59" s="81">
        <v>8</v>
      </c>
      <c r="CF59" s="292">
        <v>19</v>
      </c>
      <c r="CG59" s="80">
        <v>8</v>
      </c>
      <c r="CH59" s="81">
        <v>12</v>
      </c>
      <c r="CI59" s="292">
        <v>18</v>
      </c>
      <c r="CJ59" s="80">
        <v>5</v>
      </c>
      <c r="CK59" s="81">
        <v>12</v>
      </c>
      <c r="CL59" s="292">
        <v>16</v>
      </c>
      <c r="CM59" s="80">
        <v>6</v>
      </c>
      <c r="CN59" s="81">
        <v>9</v>
      </c>
      <c r="CO59" s="292">
        <v>17</v>
      </c>
      <c r="CP59" s="80">
        <v>7</v>
      </c>
      <c r="CQ59" s="81">
        <v>7</v>
      </c>
      <c r="CR59" s="292" t="s">
        <v>115</v>
      </c>
      <c r="CS59" s="80" t="s">
        <v>115</v>
      </c>
      <c r="CT59" s="81" t="s">
        <v>115</v>
      </c>
      <c r="CU59" s="292" t="s">
        <v>115</v>
      </c>
      <c r="CV59" s="80" t="s">
        <v>115</v>
      </c>
      <c r="CW59" s="81" t="s">
        <v>115</v>
      </c>
    </row>
    <row r="60" spans="1:106" s="80" customFormat="1" x14ac:dyDescent="0.2">
      <c r="A60" s="203"/>
      <c r="B60" s="41"/>
      <c r="C60" s="204"/>
      <c r="D60" s="204"/>
      <c r="E60" s="295"/>
      <c r="F60" s="207"/>
      <c r="G60" s="206"/>
      <c r="H60" s="161"/>
      <c r="L60" s="45"/>
      <c r="Q60" s="292"/>
      <c r="AD60" s="53"/>
      <c r="AE60" s="53"/>
      <c r="AG60" s="291"/>
      <c r="AH60" s="53"/>
      <c r="AI60" s="53"/>
      <c r="AJ60" s="53"/>
      <c r="AK60" s="53"/>
      <c r="AL60" s="53"/>
      <c r="AM60" s="53">
        <v>39</v>
      </c>
      <c r="AN60" s="53">
        <v>91</v>
      </c>
      <c r="AO60" s="53"/>
      <c r="AP60" s="53"/>
      <c r="AS60" s="53"/>
      <c r="AT60" s="53"/>
      <c r="AU60" s="53"/>
      <c r="AV60" s="53"/>
      <c r="AW60" s="53">
        <v>19</v>
      </c>
      <c r="AX60" s="53">
        <v>36</v>
      </c>
      <c r="BA60" s="49">
        <v>8</v>
      </c>
      <c r="BH60" s="80">
        <v>450</v>
      </c>
      <c r="BI60" s="80">
        <v>58</v>
      </c>
      <c r="BJ60" s="140">
        <v>18</v>
      </c>
      <c r="BK60" s="80">
        <v>220</v>
      </c>
      <c r="BL60" s="80">
        <v>104</v>
      </c>
      <c r="BP60" s="81"/>
      <c r="BQ60" s="51"/>
      <c r="BR60" s="51">
        <f t="shared" si="0"/>
        <v>7.7586206896551726</v>
      </c>
      <c r="BS60" s="51"/>
      <c r="BT60" s="52"/>
      <c r="BX60" s="81"/>
      <c r="CB60" s="80">
        <v>5</v>
      </c>
      <c r="CC60" s="292"/>
      <c r="CE60" s="81"/>
      <c r="CF60" s="292"/>
      <c r="CH60" s="81"/>
      <c r="CI60" s="292">
        <v>17</v>
      </c>
      <c r="CJ60" s="80">
        <v>6</v>
      </c>
      <c r="CK60" s="81">
        <v>12</v>
      </c>
      <c r="CL60" s="292"/>
      <c r="CN60" s="81"/>
      <c r="CO60" s="292"/>
      <c r="CQ60" s="81"/>
      <c r="CR60" s="292"/>
      <c r="CT60" s="81"/>
      <c r="CU60" s="292"/>
      <c r="CW60" s="81"/>
    </row>
    <row r="61" spans="1:106" s="80" customFormat="1" x14ac:dyDescent="0.2">
      <c r="A61" s="203"/>
      <c r="B61" s="41"/>
      <c r="C61" s="204"/>
      <c r="D61" s="204"/>
      <c r="E61" s="295"/>
      <c r="F61" s="207"/>
      <c r="G61" s="206"/>
      <c r="H61" s="161"/>
      <c r="L61" s="45"/>
      <c r="Q61" s="292"/>
      <c r="AD61" s="53"/>
      <c r="AE61" s="53"/>
      <c r="AG61" s="81"/>
      <c r="AH61" s="53"/>
      <c r="AI61" s="53"/>
      <c r="AJ61" s="53"/>
      <c r="AK61" s="53"/>
      <c r="AL61" s="53"/>
      <c r="AM61" s="53">
        <v>45</v>
      </c>
      <c r="AN61" s="53">
        <v>84</v>
      </c>
      <c r="AO61" s="53"/>
      <c r="AP61" s="53"/>
      <c r="AQ61" s="53"/>
      <c r="AR61" s="53"/>
      <c r="AS61" s="53"/>
      <c r="AT61" s="53"/>
      <c r="AU61" s="53"/>
      <c r="AV61" s="53"/>
      <c r="AW61" s="53">
        <v>14</v>
      </c>
      <c r="AX61" s="53">
        <v>38</v>
      </c>
      <c r="AY61" s="53"/>
      <c r="AZ61" s="53"/>
      <c r="BA61" s="49">
        <v>9</v>
      </c>
      <c r="BH61" s="80">
        <v>462</v>
      </c>
      <c r="BI61" s="80">
        <v>74</v>
      </c>
      <c r="BJ61" s="140">
        <v>14</v>
      </c>
      <c r="BK61" s="80">
        <v>212</v>
      </c>
      <c r="BL61" s="80">
        <v>111</v>
      </c>
      <c r="BP61" s="81"/>
      <c r="BQ61" s="51"/>
      <c r="BR61" s="51">
        <f t="shared" si="0"/>
        <v>6.243243243243243</v>
      </c>
      <c r="BS61" s="51"/>
      <c r="BT61" s="52"/>
      <c r="BX61" s="81"/>
      <c r="CC61" s="292"/>
      <c r="CE61" s="81"/>
      <c r="CF61" s="292"/>
      <c r="CH61" s="81"/>
      <c r="CI61" s="292"/>
      <c r="CK61" s="81"/>
      <c r="CL61" s="292"/>
      <c r="CN61" s="81"/>
      <c r="CO61" s="292"/>
      <c r="CQ61" s="81"/>
      <c r="CR61" s="292"/>
      <c r="CT61" s="81"/>
      <c r="CU61" s="292"/>
      <c r="CW61" s="81"/>
    </row>
    <row r="62" spans="1:106" s="80" customFormat="1" ht="15.75" customHeight="1" x14ac:dyDescent="0.2">
      <c r="A62" s="209" t="s">
        <v>404</v>
      </c>
      <c r="B62" s="56" t="s">
        <v>370</v>
      </c>
      <c r="C62" s="210" t="s">
        <v>109</v>
      </c>
      <c r="D62" s="210" t="s">
        <v>111</v>
      </c>
      <c r="E62" s="220" t="s">
        <v>124</v>
      </c>
      <c r="F62" s="213">
        <v>3</v>
      </c>
      <c r="G62" s="212" t="s">
        <v>133</v>
      </c>
      <c r="H62" s="162" t="s">
        <v>405</v>
      </c>
      <c r="I62" s="72">
        <f>2856+1227</f>
        <v>4083</v>
      </c>
      <c r="J62" s="72">
        <v>7</v>
      </c>
      <c r="K62" s="72">
        <v>2</v>
      </c>
      <c r="L62" s="60">
        <f t="shared" si="1"/>
        <v>2</v>
      </c>
      <c r="M62" s="72">
        <v>5</v>
      </c>
      <c r="N62" s="72">
        <v>0</v>
      </c>
      <c r="O62" s="72">
        <v>470</v>
      </c>
      <c r="P62" s="72">
        <v>232</v>
      </c>
      <c r="Q62" s="294">
        <v>1217</v>
      </c>
      <c r="R62" s="72">
        <v>419</v>
      </c>
      <c r="S62" s="72">
        <v>35</v>
      </c>
      <c r="T62" s="72">
        <f>35-18</f>
        <v>17</v>
      </c>
      <c r="U62" s="72">
        <v>18</v>
      </c>
      <c r="V62" s="72">
        <v>70</v>
      </c>
      <c r="W62" s="72">
        <v>93</v>
      </c>
      <c r="X62" s="72">
        <v>206</v>
      </c>
      <c r="Y62" s="72">
        <v>147</v>
      </c>
      <c r="Z62" s="72">
        <v>4</v>
      </c>
      <c r="AA62" s="72">
        <v>281</v>
      </c>
      <c r="AB62" s="72">
        <v>266</v>
      </c>
      <c r="AC62" s="72">
        <v>119</v>
      </c>
      <c r="AD62" s="72">
        <v>33</v>
      </c>
      <c r="AE62" s="72">
        <v>46</v>
      </c>
      <c r="AF62" s="72">
        <v>762</v>
      </c>
      <c r="AG62" s="293">
        <f>AF62/Q62</f>
        <v>0.62612982744453571</v>
      </c>
      <c r="AH62" s="68" t="s">
        <v>115</v>
      </c>
      <c r="AI62" s="68" t="s">
        <v>115</v>
      </c>
      <c r="AJ62" s="68" t="s">
        <v>115</v>
      </c>
      <c r="AK62" s="68" t="s">
        <v>115</v>
      </c>
      <c r="AL62" s="68" t="s">
        <v>115</v>
      </c>
      <c r="AM62" s="68" t="s">
        <v>115</v>
      </c>
      <c r="AN62" s="68" t="s">
        <v>115</v>
      </c>
      <c r="AO62" s="68" t="s">
        <v>115</v>
      </c>
      <c r="AP62" s="68" t="s">
        <v>115</v>
      </c>
      <c r="AQ62" s="68" t="s">
        <v>115</v>
      </c>
      <c r="AR62" s="68" t="s">
        <v>115</v>
      </c>
      <c r="AS62" s="68" t="s">
        <v>115</v>
      </c>
      <c r="AT62" s="68" t="s">
        <v>115</v>
      </c>
      <c r="AU62" s="68" t="s">
        <v>115</v>
      </c>
      <c r="AV62" s="68" t="s">
        <v>115</v>
      </c>
      <c r="AW62" s="68" t="s">
        <v>115</v>
      </c>
      <c r="AX62" s="68" t="s">
        <v>115</v>
      </c>
      <c r="AY62" s="68" t="s">
        <v>115</v>
      </c>
      <c r="AZ62" s="68" t="s">
        <v>115</v>
      </c>
      <c r="BA62" s="344" t="s">
        <v>115</v>
      </c>
      <c r="BB62" s="72">
        <v>1255</v>
      </c>
      <c r="BC62" s="72">
        <v>812</v>
      </c>
      <c r="BD62" s="72">
        <v>438</v>
      </c>
      <c r="BE62" s="72">
        <v>0</v>
      </c>
      <c r="BF62" s="72">
        <v>201</v>
      </c>
      <c r="BG62" s="72">
        <v>205</v>
      </c>
      <c r="BH62" s="72">
        <v>452</v>
      </c>
      <c r="BI62" s="72">
        <v>79</v>
      </c>
      <c r="BJ62" s="215">
        <v>19</v>
      </c>
      <c r="BK62" s="215">
        <v>204</v>
      </c>
      <c r="BL62" s="72">
        <v>124</v>
      </c>
      <c r="BM62" s="72">
        <v>284</v>
      </c>
      <c r="BN62" s="72">
        <v>254</v>
      </c>
      <c r="BO62" s="72" t="s">
        <v>337</v>
      </c>
      <c r="BP62" s="216">
        <f>R62</f>
        <v>419</v>
      </c>
      <c r="BQ62" s="66">
        <f t="shared" si="2"/>
        <v>1.9379474940334129</v>
      </c>
      <c r="BR62" s="66">
        <f t="shared" si="0"/>
        <v>5.7215189873417724</v>
      </c>
      <c r="BS62" s="66">
        <f t="shared" si="3"/>
        <v>2.859154929577465</v>
      </c>
      <c r="BT62" s="67">
        <f t="shared" si="4"/>
        <v>1.5422535211267605</v>
      </c>
      <c r="BU62" s="72">
        <v>195</v>
      </c>
      <c r="BV62" s="72">
        <v>28</v>
      </c>
      <c r="BW62" s="72">
        <v>33</v>
      </c>
      <c r="BX62" s="216">
        <v>20</v>
      </c>
      <c r="BY62" s="72">
        <v>7</v>
      </c>
      <c r="BZ62" s="72">
        <v>86</v>
      </c>
      <c r="CA62" s="72">
        <v>7</v>
      </c>
      <c r="CB62" s="72">
        <v>3</v>
      </c>
      <c r="CC62" s="294" t="s">
        <v>115</v>
      </c>
      <c r="CD62" s="72" t="s">
        <v>115</v>
      </c>
      <c r="CE62" s="216" t="s">
        <v>115</v>
      </c>
      <c r="CF62" s="294">
        <v>17</v>
      </c>
      <c r="CG62" s="72">
        <v>7</v>
      </c>
      <c r="CH62" s="216">
        <v>12</v>
      </c>
      <c r="CI62" s="294">
        <v>20</v>
      </c>
      <c r="CJ62" s="72">
        <v>6</v>
      </c>
      <c r="CK62" s="216">
        <v>17</v>
      </c>
      <c r="CL62" s="294">
        <v>16</v>
      </c>
      <c r="CM62" s="72">
        <v>6</v>
      </c>
      <c r="CN62" s="216">
        <v>11</v>
      </c>
      <c r="CO62" s="294" t="s">
        <v>115</v>
      </c>
      <c r="CP62" s="72" t="s">
        <v>115</v>
      </c>
      <c r="CQ62" s="216" t="s">
        <v>115</v>
      </c>
      <c r="CR62" s="294" t="s">
        <v>115</v>
      </c>
      <c r="CS62" s="72" t="s">
        <v>115</v>
      </c>
      <c r="CT62" s="216" t="s">
        <v>115</v>
      </c>
      <c r="CU62" s="294" t="s">
        <v>115</v>
      </c>
      <c r="CV62" s="72" t="s">
        <v>115</v>
      </c>
      <c r="CW62" s="216" t="s">
        <v>115</v>
      </c>
    </row>
    <row r="63" spans="1:106" s="80" customFormat="1" x14ac:dyDescent="0.2">
      <c r="A63" s="209"/>
      <c r="B63" s="56"/>
      <c r="C63" s="210"/>
      <c r="D63" s="210"/>
      <c r="E63" s="220"/>
      <c r="F63" s="213"/>
      <c r="G63" s="212"/>
      <c r="H63" s="162"/>
      <c r="I63" s="72"/>
      <c r="J63" s="72"/>
      <c r="K63" s="72"/>
      <c r="L63" s="60"/>
      <c r="M63" s="72"/>
      <c r="N63" s="72"/>
      <c r="O63" s="72"/>
      <c r="P63" s="72"/>
      <c r="Q63" s="294"/>
      <c r="R63" s="72"/>
      <c r="S63" s="72"/>
      <c r="T63" s="72"/>
      <c r="U63" s="72"/>
      <c r="V63" s="72">
        <v>44</v>
      </c>
      <c r="W63" s="72">
        <v>111</v>
      </c>
      <c r="X63" s="72"/>
      <c r="Y63" s="72"/>
      <c r="Z63" s="72"/>
      <c r="AA63" s="72"/>
      <c r="AB63" s="72"/>
      <c r="AC63" s="72"/>
      <c r="AD63" s="72">
        <v>22</v>
      </c>
      <c r="AE63" s="72">
        <v>42</v>
      </c>
      <c r="AF63" s="72"/>
      <c r="AG63" s="293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73"/>
      <c r="BA63" s="64"/>
      <c r="BB63" s="72"/>
      <c r="BC63" s="72"/>
      <c r="BD63" s="72"/>
      <c r="BE63" s="72"/>
      <c r="BF63" s="72"/>
      <c r="BG63" s="72"/>
      <c r="BH63" s="72">
        <v>455</v>
      </c>
      <c r="BI63" s="72">
        <v>71</v>
      </c>
      <c r="BJ63" s="215">
        <v>15</v>
      </c>
      <c r="BK63" s="72">
        <v>191</v>
      </c>
      <c r="BL63" s="72">
        <v>119</v>
      </c>
      <c r="BM63" s="72"/>
      <c r="BN63" s="72"/>
      <c r="BO63" s="72"/>
      <c r="BP63" s="216"/>
      <c r="BQ63" s="66"/>
      <c r="BR63" s="66">
        <f t="shared" si="0"/>
        <v>6.408450704225352</v>
      </c>
      <c r="BS63" s="66"/>
      <c r="BT63" s="67"/>
      <c r="BU63" s="72"/>
      <c r="BV63" s="72">
        <v>35</v>
      </c>
      <c r="BW63" s="72">
        <v>29</v>
      </c>
      <c r="BX63" s="216">
        <v>15</v>
      </c>
      <c r="BY63" s="72"/>
      <c r="BZ63" s="72">
        <v>90</v>
      </c>
      <c r="CA63" s="72"/>
      <c r="CB63" s="72">
        <v>7</v>
      </c>
      <c r="CC63" s="294"/>
      <c r="CD63" s="72"/>
      <c r="CE63" s="216"/>
      <c r="CF63" s="294"/>
      <c r="CG63" s="72"/>
      <c r="CH63" s="216"/>
      <c r="CI63" s="294">
        <v>20</v>
      </c>
      <c r="CJ63" s="72">
        <v>5</v>
      </c>
      <c r="CK63" s="216">
        <v>17</v>
      </c>
      <c r="CL63" s="294">
        <v>15</v>
      </c>
      <c r="CM63" s="72">
        <v>6</v>
      </c>
      <c r="CN63" s="216">
        <v>10</v>
      </c>
      <c r="CO63" s="294"/>
      <c r="CP63" s="72"/>
      <c r="CQ63" s="216"/>
      <c r="CR63" s="294"/>
      <c r="CS63" s="72"/>
      <c r="CT63" s="216"/>
      <c r="CU63" s="294"/>
      <c r="CV63" s="72"/>
      <c r="CW63" s="216"/>
    </row>
    <row r="64" spans="1:106" s="80" customFormat="1" x14ac:dyDescent="0.2">
      <c r="A64" s="209"/>
      <c r="B64" s="56"/>
      <c r="C64" s="210"/>
      <c r="D64" s="210"/>
      <c r="E64" s="220"/>
      <c r="F64" s="213"/>
      <c r="G64" s="212"/>
      <c r="H64" s="162"/>
      <c r="I64" s="72"/>
      <c r="J64" s="72"/>
      <c r="K64" s="72"/>
      <c r="L64" s="60"/>
      <c r="M64" s="72"/>
      <c r="N64" s="72"/>
      <c r="O64" s="72"/>
      <c r="P64" s="72"/>
      <c r="Q64" s="294"/>
      <c r="R64" s="72"/>
      <c r="S64" s="72"/>
      <c r="T64" s="72"/>
      <c r="U64" s="72"/>
      <c r="V64" s="72">
        <v>46</v>
      </c>
      <c r="W64" s="72">
        <v>88</v>
      </c>
      <c r="X64" s="72"/>
      <c r="Y64" s="72"/>
      <c r="Z64" s="72"/>
      <c r="AA64" s="72"/>
      <c r="AB64" s="72"/>
      <c r="AC64" s="72"/>
      <c r="AD64" s="72">
        <v>28</v>
      </c>
      <c r="AE64" s="72">
        <v>50</v>
      </c>
      <c r="AF64" s="72"/>
      <c r="AG64" s="216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4"/>
      <c r="BB64" s="72"/>
      <c r="BC64" s="72"/>
      <c r="BD64" s="72"/>
      <c r="BE64" s="72"/>
      <c r="BF64" s="72"/>
      <c r="BG64" s="72"/>
      <c r="BH64" s="72">
        <v>443</v>
      </c>
      <c r="BI64" s="72">
        <v>78</v>
      </c>
      <c r="BJ64" s="215">
        <v>14</v>
      </c>
      <c r="BK64" s="72">
        <v>194</v>
      </c>
      <c r="BL64" s="72">
        <v>121</v>
      </c>
      <c r="BM64" s="72"/>
      <c r="BN64" s="72"/>
      <c r="BO64" s="72"/>
      <c r="BP64" s="216"/>
      <c r="BQ64" s="66"/>
      <c r="BR64" s="66">
        <f t="shared" si="0"/>
        <v>5.6794871794871797</v>
      </c>
      <c r="BS64" s="66"/>
      <c r="BT64" s="67"/>
      <c r="BU64" s="72"/>
      <c r="BV64" s="72">
        <v>33</v>
      </c>
      <c r="BW64" s="72"/>
      <c r="BX64" s="216">
        <v>15</v>
      </c>
      <c r="BY64" s="72"/>
      <c r="BZ64" s="72"/>
      <c r="CA64" s="72"/>
      <c r="CB64" s="72"/>
      <c r="CC64" s="294"/>
      <c r="CD64" s="72"/>
      <c r="CE64" s="216"/>
      <c r="CF64" s="294"/>
      <c r="CG64" s="72"/>
      <c r="CH64" s="216"/>
      <c r="CI64" s="294"/>
      <c r="CJ64" s="72"/>
      <c r="CK64" s="216"/>
      <c r="CL64" s="294"/>
      <c r="CM64" s="72"/>
      <c r="CN64" s="216"/>
      <c r="CO64" s="294"/>
      <c r="CP64" s="72"/>
      <c r="CQ64" s="216"/>
      <c r="CR64" s="294"/>
      <c r="CS64" s="72"/>
      <c r="CT64" s="216"/>
      <c r="CU64" s="294"/>
      <c r="CV64" s="72"/>
      <c r="CW64" s="216"/>
    </row>
    <row r="65" spans="1:101" s="80" customFormat="1" x14ac:dyDescent="0.2">
      <c r="A65" s="203" t="s">
        <v>406</v>
      </c>
      <c r="B65" s="42" t="s">
        <v>370</v>
      </c>
      <c r="C65" s="204" t="s">
        <v>109</v>
      </c>
      <c r="D65" s="204" t="s">
        <v>192</v>
      </c>
      <c r="E65" s="295" t="s">
        <v>112</v>
      </c>
      <c r="F65" s="207">
        <v>2</v>
      </c>
      <c r="G65" s="206" t="s">
        <v>133</v>
      </c>
      <c r="H65" s="161" t="s">
        <v>405</v>
      </c>
      <c r="I65" s="80">
        <f>2534+2944</f>
        <v>5478</v>
      </c>
      <c r="J65" s="80">
        <v>10</v>
      </c>
      <c r="K65" s="80">
        <v>2</v>
      </c>
      <c r="L65" s="45">
        <f t="shared" si="1"/>
        <v>1</v>
      </c>
      <c r="M65" s="80">
        <v>8</v>
      </c>
      <c r="N65" s="80">
        <v>1</v>
      </c>
      <c r="O65" s="80">
        <v>574</v>
      </c>
      <c r="P65" s="80">
        <v>227</v>
      </c>
      <c r="Q65" s="292" t="s">
        <v>115</v>
      </c>
      <c r="R65" s="80" t="s">
        <v>115</v>
      </c>
      <c r="S65" s="80" t="s">
        <v>115</v>
      </c>
      <c r="T65" s="80" t="s">
        <v>115</v>
      </c>
      <c r="U65" s="80" t="s">
        <v>115</v>
      </c>
      <c r="V65" s="80" t="s">
        <v>115</v>
      </c>
      <c r="W65" s="80" t="s">
        <v>115</v>
      </c>
      <c r="X65" s="80" t="s">
        <v>115</v>
      </c>
      <c r="Y65" s="80" t="s">
        <v>115</v>
      </c>
      <c r="Z65" s="80">
        <v>4</v>
      </c>
      <c r="AA65" s="80" t="s">
        <v>115</v>
      </c>
      <c r="AB65" s="80" t="s">
        <v>115</v>
      </c>
      <c r="AC65" s="80" t="s">
        <v>115</v>
      </c>
      <c r="AD65" s="80" t="s">
        <v>115</v>
      </c>
      <c r="AE65" s="80" t="s">
        <v>115</v>
      </c>
      <c r="AF65" s="80" t="s">
        <v>115</v>
      </c>
      <c r="AG65" s="347" t="s">
        <v>115</v>
      </c>
      <c r="AH65" s="53">
        <v>1970</v>
      </c>
      <c r="AI65" s="53">
        <v>427</v>
      </c>
      <c r="AJ65" s="53">
        <v>30</v>
      </c>
      <c r="AK65" s="53">
        <v>14</v>
      </c>
      <c r="AL65" s="53">
        <v>16</v>
      </c>
      <c r="AM65" s="53">
        <v>49</v>
      </c>
      <c r="AN65" s="53">
        <v>82</v>
      </c>
      <c r="AO65" s="53">
        <v>70</v>
      </c>
      <c r="AP65" s="53">
        <v>74</v>
      </c>
      <c r="AQ65" s="53">
        <v>229</v>
      </c>
      <c r="AR65" s="53">
        <v>135</v>
      </c>
      <c r="AS65" s="53" t="s">
        <v>115</v>
      </c>
      <c r="AT65" s="53">
        <v>243</v>
      </c>
      <c r="AU65" s="53">
        <v>132</v>
      </c>
      <c r="AV65" s="53">
        <v>81</v>
      </c>
      <c r="AW65" s="53">
        <v>27</v>
      </c>
      <c r="AX65" s="53">
        <v>27</v>
      </c>
      <c r="AY65" s="53">
        <v>1225</v>
      </c>
      <c r="AZ65" s="74">
        <f>AY65/AH65</f>
        <v>0.62182741116751272</v>
      </c>
      <c r="BA65" s="77">
        <v>15</v>
      </c>
      <c r="BB65" s="80">
        <v>1272</v>
      </c>
      <c r="BC65" s="80">
        <v>816</v>
      </c>
      <c r="BD65" s="80">
        <v>465</v>
      </c>
      <c r="BE65" s="80">
        <v>0</v>
      </c>
      <c r="BF65" s="80">
        <v>176</v>
      </c>
      <c r="BG65" s="80">
        <v>216</v>
      </c>
      <c r="BH65" s="80">
        <v>468</v>
      </c>
      <c r="BI65" s="80">
        <v>63</v>
      </c>
      <c r="BJ65" s="140">
        <v>17</v>
      </c>
      <c r="BK65" s="80" t="s">
        <v>115</v>
      </c>
      <c r="BL65" s="80" t="s">
        <v>115</v>
      </c>
      <c r="BM65" s="80" t="s">
        <v>115</v>
      </c>
      <c r="BN65" s="80" t="s">
        <v>115</v>
      </c>
      <c r="BO65" s="80" t="s">
        <v>115</v>
      </c>
      <c r="BP65" s="81" t="s">
        <v>115</v>
      </c>
      <c r="BQ65" s="51" t="s">
        <v>115</v>
      </c>
      <c r="BR65" s="51">
        <f t="shared" si="0"/>
        <v>7.4285714285714288</v>
      </c>
      <c r="BS65" s="51" t="s">
        <v>115</v>
      </c>
      <c r="BT65" s="52" t="s">
        <v>115</v>
      </c>
      <c r="BU65" s="80">
        <v>354</v>
      </c>
      <c r="BV65" s="80">
        <v>31</v>
      </c>
      <c r="BW65" s="80">
        <v>32</v>
      </c>
      <c r="BX65" s="81">
        <v>17</v>
      </c>
      <c r="BY65" s="80">
        <v>7</v>
      </c>
      <c r="BZ65" s="80" t="s">
        <v>115</v>
      </c>
      <c r="CA65" s="80">
        <v>7</v>
      </c>
      <c r="CB65" s="80">
        <v>3</v>
      </c>
      <c r="CC65" s="292">
        <v>15</v>
      </c>
      <c r="CD65" s="80">
        <v>10</v>
      </c>
      <c r="CE65" s="81">
        <v>9</v>
      </c>
      <c r="CF65" s="292">
        <v>21</v>
      </c>
      <c r="CG65" s="80">
        <v>8</v>
      </c>
      <c r="CH65" s="81">
        <v>12</v>
      </c>
      <c r="CI65" s="292">
        <v>21</v>
      </c>
      <c r="CJ65" s="80">
        <v>8</v>
      </c>
      <c r="CK65" s="81">
        <v>13</v>
      </c>
      <c r="CL65" s="292">
        <v>15</v>
      </c>
      <c r="CM65" s="80">
        <v>6</v>
      </c>
      <c r="CN65" s="81">
        <v>11</v>
      </c>
      <c r="CO65" s="292" t="s">
        <v>115</v>
      </c>
      <c r="CP65" s="80" t="s">
        <v>115</v>
      </c>
      <c r="CQ65" s="81" t="s">
        <v>115</v>
      </c>
      <c r="CR65" s="292" t="s">
        <v>115</v>
      </c>
      <c r="CS65" s="80" t="s">
        <v>115</v>
      </c>
      <c r="CT65" s="81" t="s">
        <v>115</v>
      </c>
      <c r="CU65" s="292" t="s">
        <v>115</v>
      </c>
      <c r="CV65" s="80" t="s">
        <v>115</v>
      </c>
      <c r="CW65" s="81" t="s">
        <v>115</v>
      </c>
    </row>
    <row r="66" spans="1:101" s="80" customFormat="1" x14ac:dyDescent="0.2">
      <c r="A66" s="203"/>
      <c r="B66" s="41"/>
      <c r="C66" s="204"/>
      <c r="D66" s="204"/>
      <c r="E66" s="295"/>
      <c r="F66" s="207"/>
      <c r="G66" s="206"/>
      <c r="H66" s="161"/>
      <c r="L66" s="45"/>
      <c r="Q66" s="292"/>
      <c r="V66" s="53"/>
      <c r="W66" s="53"/>
      <c r="AD66" s="53"/>
      <c r="AE66" s="53"/>
      <c r="AG66" s="291"/>
      <c r="AH66" s="53"/>
      <c r="AI66" s="53"/>
      <c r="AJ66" s="53"/>
      <c r="AK66" s="53"/>
      <c r="AL66" s="53"/>
      <c r="AM66" s="53">
        <v>56</v>
      </c>
      <c r="AN66" s="53">
        <v>86</v>
      </c>
      <c r="AO66" s="53">
        <v>60</v>
      </c>
      <c r="AP66" s="53">
        <v>78</v>
      </c>
      <c r="AS66" s="53"/>
      <c r="AT66" s="53"/>
      <c r="AU66" s="53"/>
      <c r="AV66" s="53"/>
      <c r="AW66" s="53">
        <v>22</v>
      </c>
      <c r="AX66" s="53">
        <v>23</v>
      </c>
      <c r="BA66" s="49">
        <v>18</v>
      </c>
      <c r="BH66" s="80">
        <v>451</v>
      </c>
      <c r="BI66" s="80">
        <v>71</v>
      </c>
      <c r="BJ66" s="140">
        <v>22</v>
      </c>
      <c r="BP66" s="81"/>
      <c r="BQ66" s="51"/>
      <c r="BR66" s="51">
        <f t="shared" si="0"/>
        <v>6.352112676056338</v>
      </c>
      <c r="BS66" s="51"/>
      <c r="BT66" s="52"/>
      <c r="BV66" s="80">
        <v>31</v>
      </c>
      <c r="BW66" s="80">
        <v>31</v>
      </c>
      <c r="BX66" s="81"/>
      <c r="CB66" s="80">
        <v>4</v>
      </c>
      <c r="CC66" s="292"/>
      <c r="CE66" s="81"/>
      <c r="CF66" s="292"/>
      <c r="CH66" s="81"/>
      <c r="CI66" s="292">
        <v>24</v>
      </c>
      <c r="CJ66" s="80">
        <v>9</v>
      </c>
      <c r="CK66" s="81">
        <v>16</v>
      </c>
      <c r="CL66" s="292"/>
      <c r="CN66" s="81"/>
      <c r="CO66" s="292"/>
      <c r="CQ66" s="81"/>
      <c r="CR66" s="292"/>
      <c r="CT66" s="81"/>
      <c r="CU66" s="292"/>
      <c r="CW66" s="81"/>
    </row>
    <row r="67" spans="1:101" s="80" customFormat="1" x14ac:dyDescent="0.2">
      <c r="A67" s="203"/>
      <c r="B67" s="41"/>
      <c r="C67" s="204"/>
      <c r="D67" s="204"/>
      <c r="E67" s="295"/>
      <c r="F67" s="207"/>
      <c r="G67" s="206"/>
      <c r="H67" s="161"/>
      <c r="L67" s="45"/>
      <c r="Q67" s="292"/>
      <c r="V67" s="53"/>
      <c r="W67" s="53"/>
      <c r="AD67" s="53"/>
      <c r="AE67" s="53"/>
      <c r="AG67" s="81"/>
      <c r="AH67" s="53"/>
      <c r="AI67" s="53"/>
      <c r="AJ67" s="53"/>
      <c r="AK67" s="53"/>
      <c r="AL67" s="53"/>
      <c r="AM67" s="53">
        <v>64</v>
      </c>
      <c r="AN67" s="53">
        <v>80</v>
      </c>
      <c r="AO67" s="53">
        <v>66</v>
      </c>
      <c r="AP67" s="53">
        <v>124</v>
      </c>
      <c r="AQ67" s="53"/>
      <c r="AR67" s="53"/>
      <c r="AS67" s="53"/>
      <c r="AT67" s="53"/>
      <c r="AU67" s="53"/>
      <c r="AV67" s="53"/>
      <c r="AW67" s="53">
        <v>35</v>
      </c>
      <c r="AX67" s="53">
        <v>23</v>
      </c>
      <c r="AY67" s="53"/>
      <c r="AZ67" s="53"/>
      <c r="BA67" s="49">
        <v>15</v>
      </c>
      <c r="BH67" s="80">
        <v>440</v>
      </c>
      <c r="BI67" s="80">
        <v>72</v>
      </c>
      <c r="BJ67" s="140">
        <v>14</v>
      </c>
      <c r="BP67" s="81"/>
      <c r="BQ67" s="51"/>
      <c r="BR67" s="51">
        <f t="shared" si="0"/>
        <v>6.1111111111111107</v>
      </c>
      <c r="BS67" s="51"/>
      <c r="BT67" s="52"/>
      <c r="BX67" s="81"/>
      <c r="CC67" s="292"/>
      <c r="CE67" s="81"/>
      <c r="CF67" s="292"/>
      <c r="CH67" s="81"/>
      <c r="CI67" s="292">
        <v>23</v>
      </c>
      <c r="CJ67" s="80">
        <v>7</v>
      </c>
      <c r="CK67" s="81">
        <v>12</v>
      </c>
      <c r="CL67" s="292"/>
      <c r="CN67" s="81"/>
      <c r="CO67" s="292"/>
      <c r="CQ67" s="81"/>
      <c r="CR67" s="292"/>
      <c r="CT67" s="81"/>
      <c r="CU67" s="292"/>
      <c r="CW67" s="81"/>
    </row>
    <row r="68" spans="1:101" s="80" customFormat="1" ht="15.75" customHeight="1" x14ac:dyDescent="0.2">
      <c r="A68" s="209" t="s">
        <v>407</v>
      </c>
      <c r="B68" s="56" t="s">
        <v>370</v>
      </c>
      <c r="C68" s="210" t="s">
        <v>109</v>
      </c>
      <c r="D68" s="210" t="s">
        <v>111</v>
      </c>
      <c r="E68" s="220" t="s">
        <v>124</v>
      </c>
      <c r="F68" s="221">
        <v>4</v>
      </c>
      <c r="G68" s="212" t="s">
        <v>133</v>
      </c>
      <c r="H68" s="162" t="s">
        <v>273</v>
      </c>
      <c r="I68" s="72">
        <f>2586+2005</f>
        <v>4591</v>
      </c>
      <c r="J68" s="72">
        <v>8</v>
      </c>
      <c r="K68" s="72">
        <v>2</v>
      </c>
      <c r="L68" s="60">
        <f t="shared" si="1"/>
        <v>2</v>
      </c>
      <c r="M68" s="72">
        <v>6</v>
      </c>
      <c r="N68" s="72">
        <v>0</v>
      </c>
      <c r="O68" s="72">
        <v>469</v>
      </c>
      <c r="P68" s="72">
        <v>212</v>
      </c>
      <c r="Q68" s="294">
        <v>1222</v>
      </c>
      <c r="R68" s="72">
        <v>331</v>
      </c>
      <c r="S68" s="72">
        <v>31</v>
      </c>
      <c r="T68" s="72">
        <f>31-17</f>
        <v>14</v>
      </c>
      <c r="U68" s="72">
        <v>17</v>
      </c>
      <c r="V68" s="72">
        <v>56</v>
      </c>
      <c r="W68" s="72">
        <v>94</v>
      </c>
      <c r="X68" s="72">
        <v>182</v>
      </c>
      <c r="Y68" s="72">
        <v>139</v>
      </c>
      <c r="Z68" s="72">
        <v>4</v>
      </c>
      <c r="AA68" s="72">
        <v>310</v>
      </c>
      <c r="AB68" s="72">
        <v>201</v>
      </c>
      <c r="AC68" s="72" t="s">
        <v>115</v>
      </c>
      <c r="AD68" s="72">
        <v>30</v>
      </c>
      <c r="AE68" s="72">
        <v>27</v>
      </c>
      <c r="AF68" s="72">
        <v>778</v>
      </c>
      <c r="AG68" s="293">
        <f>AF68/Q68</f>
        <v>0.63666121112929619</v>
      </c>
      <c r="AH68" s="68" t="s">
        <v>115</v>
      </c>
      <c r="AI68" s="68" t="s">
        <v>115</v>
      </c>
      <c r="AJ68" s="68" t="s">
        <v>115</v>
      </c>
      <c r="AK68" s="68" t="s">
        <v>115</v>
      </c>
      <c r="AL68" s="68" t="s">
        <v>115</v>
      </c>
      <c r="AM68" s="68" t="s">
        <v>115</v>
      </c>
      <c r="AN68" s="68" t="s">
        <v>115</v>
      </c>
      <c r="AO68" s="68" t="s">
        <v>115</v>
      </c>
      <c r="AP68" s="68" t="s">
        <v>115</v>
      </c>
      <c r="AQ68" s="68">
        <v>182</v>
      </c>
      <c r="AR68" s="68">
        <v>139</v>
      </c>
      <c r="AS68" s="68" t="s">
        <v>115</v>
      </c>
      <c r="AT68" s="68" t="s">
        <v>115</v>
      </c>
      <c r="AU68" s="68" t="s">
        <v>115</v>
      </c>
      <c r="AV68" s="68" t="s">
        <v>115</v>
      </c>
      <c r="AW68" s="68" t="s">
        <v>115</v>
      </c>
      <c r="AX68" s="68" t="s">
        <v>115</v>
      </c>
      <c r="AY68" s="68" t="s">
        <v>115</v>
      </c>
      <c r="AZ68" s="68" t="s">
        <v>115</v>
      </c>
      <c r="BA68" s="344" t="s">
        <v>115</v>
      </c>
      <c r="BB68" s="72">
        <v>1655</v>
      </c>
      <c r="BC68" s="72">
        <v>1151</v>
      </c>
      <c r="BD68" s="72">
        <v>507</v>
      </c>
      <c r="BE68" s="72">
        <v>10</v>
      </c>
      <c r="BF68" s="72">
        <v>153</v>
      </c>
      <c r="BG68" s="72">
        <v>188</v>
      </c>
      <c r="BH68" s="72">
        <v>510</v>
      </c>
      <c r="BI68" s="72">
        <v>71</v>
      </c>
      <c r="BJ68" s="215">
        <v>17</v>
      </c>
      <c r="BK68" s="215">
        <v>239</v>
      </c>
      <c r="BL68" s="72">
        <v>99</v>
      </c>
      <c r="BM68" s="72">
        <v>264</v>
      </c>
      <c r="BN68" s="72">
        <v>278</v>
      </c>
      <c r="BO68" s="72" t="s">
        <v>337</v>
      </c>
      <c r="BP68" s="216">
        <f>R68</f>
        <v>331</v>
      </c>
      <c r="BQ68" s="66">
        <f t="shared" si="2"/>
        <v>3.4773413897280965</v>
      </c>
      <c r="BR68" s="66">
        <f t="shared" si="0"/>
        <v>7.183098591549296</v>
      </c>
      <c r="BS68" s="66">
        <f t="shared" si="3"/>
        <v>4.3598484848484844</v>
      </c>
      <c r="BT68" s="67">
        <f t="shared" si="4"/>
        <v>1.9204545454545454</v>
      </c>
      <c r="BU68" s="72">
        <v>76</v>
      </c>
      <c r="BV68" s="72">
        <v>32</v>
      </c>
      <c r="BW68" s="72" t="s">
        <v>115</v>
      </c>
      <c r="BX68" s="216" t="s">
        <v>115</v>
      </c>
      <c r="BY68" s="72" t="s">
        <v>115</v>
      </c>
      <c r="BZ68" s="72" t="s">
        <v>115</v>
      </c>
      <c r="CA68" s="72" t="s">
        <v>115</v>
      </c>
      <c r="CB68" s="72" t="s">
        <v>115</v>
      </c>
      <c r="CC68" s="294" t="s">
        <v>115</v>
      </c>
      <c r="CD68" s="72" t="s">
        <v>115</v>
      </c>
      <c r="CE68" s="216" t="s">
        <v>115</v>
      </c>
      <c r="CF68" s="294" t="s">
        <v>115</v>
      </c>
      <c r="CG68" s="72" t="s">
        <v>115</v>
      </c>
      <c r="CH68" s="216" t="s">
        <v>115</v>
      </c>
      <c r="CI68" s="294" t="s">
        <v>115</v>
      </c>
      <c r="CJ68" s="72" t="s">
        <v>115</v>
      </c>
      <c r="CK68" s="216" t="s">
        <v>115</v>
      </c>
      <c r="CL68" s="294" t="s">
        <v>115</v>
      </c>
      <c r="CM68" s="72" t="s">
        <v>115</v>
      </c>
      <c r="CN68" s="216" t="s">
        <v>115</v>
      </c>
      <c r="CO68" s="294" t="s">
        <v>115</v>
      </c>
      <c r="CP68" s="72" t="s">
        <v>115</v>
      </c>
      <c r="CQ68" s="216" t="s">
        <v>115</v>
      </c>
      <c r="CR68" s="294" t="s">
        <v>115</v>
      </c>
      <c r="CS68" s="72" t="s">
        <v>115</v>
      </c>
      <c r="CT68" s="216" t="s">
        <v>115</v>
      </c>
      <c r="CU68" s="294" t="s">
        <v>115</v>
      </c>
      <c r="CV68" s="72" t="s">
        <v>115</v>
      </c>
      <c r="CW68" s="216" t="s">
        <v>115</v>
      </c>
    </row>
    <row r="69" spans="1:101" s="80" customFormat="1" x14ac:dyDescent="0.2">
      <c r="A69" s="209"/>
      <c r="B69" s="56"/>
      <c r="C69" s="210"/>
      <c r="D69" s="210"/>
      <c r="E69" s="220"/>
      <c r="F69" s="221"/>
      <c r="G69" s="212"/>
      <c r="H69" s="162"/>
      <c r="I69" s="72"/>
      <c r="J69" s="72"/>
      <c r="K69" s="72"/>
      <c r="L69" s="72"/>
      <c r="M69" s="72"/>
      <c r="N69" s="72"/>
      <c r="O69" s="72"/>
      <c r="P69" s="72"/>
      <c r="Q69" s="294"/>
      <c r="R69" s="72"/>
      <c r="S69" s="72"/>
      <c r="T69" s="72"/>
      <c r="U69" s="72"/>
      <c r="V69" s="72">
        <v>59</v>
      </c>
      <c r="W69" s="72">
        <v>100</v>
      </c>
      <c r="X69" s="72"/>
      <c r="Y69" s="72"/>
      <c r="Z69" s="72"/>
      <c r="AA69" s="72"/>
      <c r="AB69" s="72"/>
      <c r="AC69" s="72"/>
      <c r="AD69" s="72">
        <v>37</v>
      </c>
      <c r="AE69" s="72">
        <v>27</v>
      </c>
      <c r="AF69" s="72"/>
      <c r="AG69" s="293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73"/>
      <c r="BA69" s="64"/>
      <c r="BB69" s="72"/>
      <c r="BC69" s="72"/>
      <c r="BD69" s="72"/>
      <c r="BE69" s="72"/>
      <c r="BF69" s="72"/>
      <c r="BG69" s="72"/>
      <c r="BH69" s="72">
        <v>504</v>
      </c>
      <c r="BI69" s="72">
        <v>66</v>
      </c>
      <c r="BJ69" s="215">
        <v>11</v>
      </c>
      <c r="BK69" s="72">
        <v>239</v>
      </c>
      <c r="BL69" s="72">
        <v>97</v>
      </c>
      <c r="BM69" s="72"/>
      <c r="BN69" s="72"/>
      <c r="BO69" s="72"/>
      <c r="BP69" s="216"/>
      <c r="BQ69" s="217"/>
      <c r="BR69" s="217"/>
      <c r="BS69" s="217"/>
      <c r="BT69" s="218"/>
      <c r="BU69" s="72"/>
      <c r="BV69" s="72">
        <v>30</v>
      </c>
      <c r="BW69" s="72"/>
      <c r="BX69" s="216"/>
      <c r="BY69" s="72"/>
      <c r="BZ69" s="72"/>
      <c r="CA69" s="72"/>
      <c r="CB69" s="72"/>
      <c r="CC69" s="294"/>
      <c r="CD69" s="72"/>
      <c r="CE69" s="216"/>
      <c r="CF69" s="294"/>
      <c r="CG69" s="72"/>
      <c r="CH69" s="216"/>
      <c r="CI69" s="294"/>
      <c r="CJ69" s="72"/>
      <c r="CK69" s="216"/>
      <c r="CL69" s="294"/>
      <c r="CM69" s="72"/>
      <c r="CN69" s="216"/>
      <c r="CO69" s="294"/>
      <c r="CP69" s="72"/>
      <c r="CQ69" s="216"/>
      <c r="CR69" s="294"/>
      <c r="CS69" s="72"/>
      <c r="CT69" s="216"/>
      <c r="CU69" s="294"/>
      <c r="CV69" s="72"/>
      <c r="CW69" s="216"/>
    </row>
    <row r="70" spans="1:101" s="408" customFormat="1" ht="17" thickBot="1" x14ac:dyDescent="0.25">
      <c r="A70" s="399"/>
      <c r="B70" s="400"/>
      <c r="C70" s="401"/>
      <c r="D70" s="401"/>
      <c r="E70" s="402"/>
      <c r="F70" s="403"/>
      <c r="G70" s="404"/>
      <c r="H70" s="165"/>
      <c r="I70" s="197"/>
      <c r="J70" s="197"/>
      <c r="K70" s="197"/>
      <c r="L70" s="197"/>
      <c r="M70" s="197"/>
      <c r="N70" s="197"/>
      <c r="O70" s="197"/>
      <c r="P70" s="197"/>
      <c r="Q70" s="407"/>
      <c r="R70" s="197"/>
      <c r="S70" s="197"/>
      <c r="T70" s="197"/>
      <c r="U70" s="197"/>
      <c r="V70" s="197">
        <v>75</v>
      </c>
      <c r="W70" s="197">
        <v>93</v>
      </c>
      <c r="X70" s="197"/>
      <c r="Y70" s="197"/>
      <c r="Z70" s="197"/>
      <c r="AA70" s="197"/>
      <c r="AB70" s="197"/>
      <c r="AC70" s="197"/>
      <c r="AD70" s="197">
        <v>31</v>
      </c>
      <c r="AE70" s="197">
        <v>25</v>
      </c>
      <c r="AF70" s="197"/>
      <c r="AG70" s="405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  <c r="AX70" s="123"/>
      <c r="AY70" s="123"/>
      <c r="AZ70" s="123"/>
      <c r="BA70" s="125"/>
      <c r="BB70" s="197"/>
      <c r="BC70" s="197"/>
      <c r="BD70" s="197"/>
      <c r="BE70" s="197"/>
      <c r="BF70" s="197"/>
      <c r="BG70" s="197"/>
      <c r="BH70" s="197">
        <v>510</v>
      </c>
      <c r="BI70" s="197">
        <v>73</v>
      </c>
      <c r="BJ70" s="406">
        <v>10</v>
      </c>
      <c r="BK70" s="197"/>
      <c r="BL70" s="197"/>
      <c r="BM70" s="197"/>
      <c r="BN70" s="197"/>
      <c r="BO70" s="197"/>
      <c r="BP70" s="405"/>
      <c r="BQ70" s="242"/>
      <c r="BR70" s="242"/>
      <c r="BS70" s="242"/>
      <c r="BT70" s="243"/>
      <c r="BU70" s="197"/>
      <c r="BV70" s="197">
        <v>29</v>
      </c>
      <c r="BW70" s="197"/>
      <c r="BX70" s="405"/>
      <c r="BY70" s="197"/>
      <c r="BZ70" s="197"/>
      <c r="CA70" s="197"/>
      <c r="CB70" s="197"/>
      <c r="CC70" s="407"/>
      <c r="CD70" s="197"/>
      <c r="CE70" s="405"/>
      <c r="CF70" s="407"/>
      <c r="CG70" s="197"/>
      <c r="CH70" s="405"/>
      <c r="CI70" s="407"/>
      <c r="CJ70" s="197"/>
      <c r="CK70" s="405"/>
      <c r="CL70" s="407"/>
      <c r="CM70" s="197"/>
      <c r="CN70" s="405"/>
      <c r="CO70" s="407"/>
      <c r="CP70" s="197"/>
      <c r="CQ70" s="405"/>
      <c r="CR70" s="407"/>
      <c r="CS70" s="197"/>
      <c r="CT70" s="405"/>
      <c r="CU70" s="407"/>
      <c r="CV70" s="197"/>
      <c r="CW70" s="405"/>
    </row>
    <row r="71" spans="1:101" ht="18" thickTop="1" x14ac:dyDescent="0.2">
      <c r="A71" s="333"/>
      <c r="B71" s="334"/>
      <c r="C71" s="335"/>
      <c r="D71" s="335"/>
      <c r="E71" s="336"/>
      <c r="G71" s="336"/>
      <c r="H71" s="133" t="s">
        <v>166</v>
      </c>
      <c r="I71" s="45">
        <f>MIN(I5:I70)</f>
        <v>1628</v>
      </c>
      <c r="J71" s="45">
        <f t="shared" ref="J71:BI71" si="5">MIN(J5:J70)</f>
        <v>5</v>
      </c>
      <c r="K71" s="45">
        <f t="shared" si="5"/>
        <v>1</v>
      </c>
      <c r="L71" s="45">
        <f t="shared" si="5"/>
        <v>0</v>
      </c>
      <c r="M71" s="45">
        <f t="shared" si="5"/>
        <v>4</v>
      </c>
      <c r="N71" s="45">
        <f t="shared" si="5"/>
        <v>0</v>
      </c>
      <c r="O71" s="45">
        <f t="shared" si="5"/>
        <v>347</v>
      </c>
      <c r="P71" s="45">
        <f t="shared" si="5"/>
        <v>175</v>
      </c>
      <c r="Q71" s="79">
        <f t="shared" si="5"/>
        <v>708</v>
      </c>
      <c r="R71" s="45">
        <f t="shared" si="5"/>
        <v>232</v>
      </c>
      <c r="S71" s="45">
        <f t="shared" si="5"/>
        <v>23</v>
      </c>
      <c r="T71" s="45">
        <f t="shared" si="5"/>
        <v>12</v>
      </c>
      <c r="U71" s="45">
        <f t="shared" si="5"/>
        <v>11</v>
      </c>
      <c r="V71" s="45">
        <f t="shared" si="5"/>
        <v>38</v>
      </c>
      <c r="W71" s="45">
        <f t="shared" si="5"/>
        <v>46</v>
      </c>
      <c r="X71" s="45">
        <f t="shared" si="5"/>
        <v>164</v>
      </c>
      <c r="Y71" s="45">
        <f t="shared" si="5"/>
        <v>84</v>
      </c>
      <c r="Z71" s="45">
        <f t="shared" si="5"/>
        <v>4</v>
      </c>
      <c r="AA71" s="45">
        <f t="shared" si="5"/>
        <v>187</v>
      </c>
      <c r="AB71" s="45">
        <f t="shared" si="5"/>
        <v>156</v>
      </c>
      <c r="AC71" s="45">
        <f t="shared" si="5"/>
        <v>51</v>
      </c>
      <c r="AD71" s="45">
        <f t="shared" si="5"/>
        <v>16</v>
      </c>
      <c r="AE71" s="45">
        <f t="shared" si="5"/>
        <v>18</v>
      </c>
      <c r="AF71" s="45">
        <f t="shared" si="5"/>
        <v>412</v>
      </c>
      <c r="AG71" s="347">
        <f t="shared" si="5"/>
        <v>0.56029106029106024</v>
      </c>
      <c r="AH71" s="53">
        <f t="shared" si="5"/>
        <v>1407</v>
      </c>
      <c r="AI71" s="53">
        <f t="shared" si="5"/>
        <v>427</v>
      </c>
      <c r="AJ71" s="53">
        <f t="shared" si="5"/>
        <v>30</v>
      </c>
      <c r="AK71" s="53">
        <f t="shared" si="5"/>
        <v>14</v>
      </c>
      <c r="AL71" s="53">
        <f t="shared" si="5"/>
        <v>15</v>
      </c>
      <c r="AM71" s="53">
        <f t="shared" si="5"/>
        <v>39</v>
      </c>
      <c r="AN71" s="53">
        <f t="shared" si="5"/>
        <v>79</v>
      </c>
      <c r="AO71" s="53">
        <f t="shared" si="5"/>
        <v>60</v>
      </c>
      <c r="AP71" s="53">
        <f t="shared" si="5"/>
        <v>74</v>
      </c>
      <c r="AQ71" s="53">
        <f t="shared" si="5"/>
        <v>182</v>
      </c>
      <c r="AR71" s="53">
        <f t="shared" si="5"/>
        <v>125</v>
      </c>
      <c r="AT71" s="53">
        <f t="shared" si="5"/>
        <v>143</v>
      </c>
      <c r="AU71" s="53">
        <f t="shared" si="5"/>
        <v>132</v>
      </c>
      <c r="AV71" s="53">
        <f t="shared" si="5"/>
        <v>81</v>
      </c>
      <c r="AW71" s="53">
        <f t="shared" si="5"/>
        <v>14</v>
      </c>
      <c r="AX71" s="53">
        <f t="shared" si="5"/>
        <v>23</v>
      </c>
      <c r="AY71" s="53">
        <f t="shared" si="5"/>
        <v>810</v>
      </c>
      <c r="AZ71" s="74">
        <f t="shared" si="5"/>
        <v>0.57569296375266521</v>
      </c>
      <c r="BA71" s="49">
        <f t="shared" si="5"/>
        <v>7</v>
      </c>
      <c r="BB71" s="45">
        <f t="shared" si="5"/>
        <v>1122</v>
      </c>
      <c r="BC71" s="45">
        <f t="shared" si="5"/>
        <v>724</v>
      </c>
      <c r="BD71" s="45">
        <f t="shared" si="5"/>
        <v>379</v>
      </c>
      <c r="BE71" s="45">
        <f t="shared" si="5"/>
        <v>0</v>
      </c>
      <c r="BF71" s="45">
        <f t="shared" si="5"/>
        <v>120</v>
      </c>
      <c r="BG71" s="45">
        <f t="shared" si="5"/>
        <v>160</v>
      </c>
      <c r="BH71" s="45">
        <f t="shared" si="5"/>
        <v>343</v>
      </c>
      <c r="BI71" s="45">
        <f t="shared" si="5"/>
        <v>50</v>
      </c>
      <c r="BJ71" s="45">
        <v>2</v>
      </c>
      <c r="BK71" s="45">
        <f t="shared" ref="BK71:BN71" si="6">MIN(BK5:BK70)</f>
        <v>133</v>
      </c>
      <c r="BL71" s="45">
        <f t="shared" si="6"/>
        <v>55</v>
      </c>
      <c r="BM71" s="45">
        <f t="shared" si="6"/>
        <v>192</v>
      </c>
      <c r="BN71" s="45">
        <f t="shared" si="6"/>
        <v>215</v>
      </c>
      <c r="BP71" s="49">
        <f t="shared" ref="BP71:BX71" si="7">MIN(BP5:BP70)</f>
        <v>270</v>
      </c>
      <c r="BQ71" s="51" t="e">
        <f t="shared" si="7"/>
        <v>#VALUE!</v>
      </c>
      <c r="BR71" s="51">
        <f t="shared" si="7"/>
        <v>4.4021739130434785</v>
      </c>
      <c r="BS71" s="51">
        <f t="shared" si="7"/>
        <v>2.859154929577465</v>
      </c>
      <c r="BT71" s="52">
        <f t="shared" si="7"/>
        <v>1.2157894736842105</v>
      </c>
      <c r="BU71" s="45">
        <f t="shared" si="7"/>
        <v>76</v>
      </c>
      <c r="BV71" s="45">
        <f t="shared" si="7"/>
        <v>19</v>
      </c>
      <c r="BW71" s="45">
        <f t="shared" si="7"/>
        <v>21</v>
      </c>
      <c r="BX71" s="49">
        <f t="shared" si="7"/>
        <v>15</v>
      </c>
      <c r="BY71" s="45" t="s">
        <v>286</v>
      </c>
      <c r="BZ71" s="45">
        <f t="shared" ref="BZ71" si="8">MIN(BZ5:BZ70)</f>
        <v>71</v>
      </c>
      <c r="CB71" s="49">
        <f t="shared" ref="CB71:CW71" si="9">MIN(CB5:CB70)</f>
        <v>3</v>
      </c>
      <c r="CC71" s="45">
        <f t="shared" si="9"/>
        <v>8</v>
      </c>
      <c r="CD71" s="45">
        <f t="shared" si="9"/>
        <v>6</v>
      </c>
      <c r="CE71" s="49">
        <f t="shared" si="9"/>
        <v>6</v>
      </c>
      <c r="CF71" s="45">
        <f t="shared" si="9"/>
        <v>14</v>
      </c>
      <c r="CG71" s="45">
        <f t="shared" si="9"/>
        <v>6</v>
      </c>
      <c r="CH71" s="49">
        <f t="shared" si="9"/>
        <v>8</v>
      </c>
      <c r="CI71" s="45">
        <f t="shared" si="9"/>
        <v>14</v>
      </c>
      <c r="CJ71" s="45">
        <f t="shared" si="9"/>
        <v>5</v>
      </c>
      <c r="CK71" s="49">
        <f t="shared" si="9"/>
        <v>9</v>
      </c>
      <c r="CL71" s="45">
        <f t="shared" si="9"/>
        <v>14</v>
      </c>
      <c r="CM71" s="45">
        <f t="shared" si="9"/>
        <v>4</v>
      </c>
      <c r="CN71" s="49">
        <f t="shared" si="9"/>
        <v>4</v>
      </c>
      <c r="CO71" s="45">
        <f t="shared" si="9"/>
        <v>13</v>
      </c>
      <c r="CP71" s="45">
        <f t="shared" si="9"/>
        <v>5</v>
      </c>
      <c r="CQ71" s="49">
        <f t="shared" si="9"/>
        <v>5</v>
      </c>
      <c r="CR71" s="45">
        <f t="shared" si="9"/>
        <v>6</v>
      </c>
      <c r="CS71" s="45">
        <f t="shared" si="9"/>
        <v>3</v>
      </c>
      <c r="CT71" s="49">
        <f t="shared" si="9"/>
        <v>3</v>
      </c>
      <c r="CU71" s="45">
        <f t="shared" si="9"/>
        <v>6</v>
      </c>
      <c r="CV71" s="45">
        <f t="shared" si="9"/>
        <v>3</v>
      </c>
      <c r="CW71" s="49">
        <f t="shared" si="9"/>
        <v>2</v>
      </c>
    </row>
    <row r="72" spans="1:101" ht="17" x14ac:dyDescent="0.2">
      <c r="A72" s="333"/>
      <c r="B72" s="334"/>
      <c r="C72" s="335"/>
      <c r="D72" s="335"/>
      <c r="E72" s="336"/>
      <c r="G72" s="336"/>
      <c r="H72" s="133" t="s">
        <v>168</v>
      </c>
      <c r="I72" s="45">
        <f>MAX(I5:I70)</f>
        <v>5912</v>
      </c>
      <c r="J72" s="45">
        <f t="shared" ref="J72:BU72" si="10">MAX(J5:J70)</f>
        <v>10</v>
      </c>
      <c r="K72" s="45">
        <f t="shared" si="10"/>
        <v>2</v>
      </c>
      <c r="L72" s="45">
        <f t="shared" si="10"/>
        <v>2</v>
      </c>
      <c r="M72" s="45">
        <f t="shared" si="10"/>
        <v>9</v>
      </c>
      <c r="N72" s="45">
        <f t="shared" si="10"/>
        <v>1</v>
      </c>
      <c r="O72" s="45">
        <f t="shared" si="10"/>
        <v>753</v>
      </c>
      <c r="P72" s="45">
        <f t="shared" si="10"/>
        <v>338</v>
      </c>
      <c r="Q72" s="79">
        <f t="shared" si="10"/>
        <v>1562</v>
      </c>
      <c r="R72" s="45">
        <f t="shared" si="10"/>
        <v>419</v>
      </c>
      <c r="S72" s="45">
        <f t="shared" si="10"/>
        <v>35</v>
      </c>
      <c r="T72" s="45">
        <f t="shared" si="10"/>
        <v>18</v>
      </c>
      <c r="U72" s="45">
        <f t="shared" si="10"/>
        <v>18</v>
      </c>
      <c r="V72" s="45">
        <f t="shared" si="10"/>
        <v>114</v>
      </c>
      <c r="W72" s="45">
        <f t="shared" si="10"/>
        <v>118</v>
      </c>
      <c r="X72" s="45">
        <f t="shared" si="10"/>
        <v>206</v>
      </c>
      <c r="Y72" s="45">
        <f t="shared" si="10"/>
        <v>178</v>
      </c>
      <c r="Z72" s="45">
        <f t="shared" si="10"/>
        <v>4</v>
      </c>
      <c r="AA72" s="45">
        <f t="shared" si="10"/>
        <v>427</v>
      </c>
      <c r="AB72" s="45">
        <f t="shared" si="10"/>
        <v>266</v>
      </c>
      <c r="AC72" s="45">
        <f t="shared" si="10"/>
        <v>119</v>
      </c>
      <c r="AD72" s="45">
        <f t="shared" si="10"/>
        <v>48</v>
      </c>
      <c r="AE72" s="45">
        <f t="shared" si="10"/>
        <v>64</v>
      </c>
      <c r="AF72" s="45">
        <f t="shared" si="10"/>
        <v>990</v>
      </c>
      <c r="AG72" s="347">
        <f t="shared" si="10"/>
        <v>0.70436331255565454</v>
      </c>
      <c r="AH72" s="53">
        <f t="shared" si="10"/>
        <v>1970</v>
      </c>
      <c r="AI72" s="53">
        <f t="shared" si="10"/>
        <v>690</v>
      </c>
      <c r="AJ72" s="53">
        <f t="shared" si="10"/>
        <v>30</v>
      </c>
      <c r="AK72" s="53">
        <f t="shared" si="10"/>
        <v>15</v>
      </c>
      <c r="AL72" s="53">
        <f t="shared" si="10"/>
        <v>16</v>
      </c>
      <c r="AM72" s="53">
        <f t="shared" si="10"/>
        <v>72</v>
      </c>
      <c r="AN72" s="53">
        <f t="shared" si="10"/>
        <v>127</v>
      </c>
      <c r="AO72" s="53">
        <f t="shared" si="10"/>
        <v>70</v>
      </c>
      <c r="AP72" s="53">
        <f t="shared" si="10"/>
        <v>124</v>
      </c>
      <c r="AQ72" s="53">
        <f t="shared" si="10"/>
        <v>267</v>
      </c>
      <c r="AR72" s="53">
        <f t="shared" si="10"/>
        <v>139</v>
      </c>
      <c r="AT72" s="53">
        <f t="shared" si="10"/>
        <v>243</v>
      </c>
      <c r="AU72" s="53">
        <f t="shared" si="10"/>
        <v>226</v>
      </c>
      <c r="AV72" s="53">
        <f t="shared" si="10"/>
        <v>117</v>
      </c>
      <c r="AW72" s="53">
        <f t="shared" si="10"/>
        <v>35</v>
      </c>
      <c r="AX72" s="53">
        <f t="shared" si="10"/>
        <v>38</v>
      </c>
      <c r="AY72" s="53">
        <f t="shared" si="10"/>
        <v>1225</v>
      </c>
      <c r="AZ72" s="74">
        <f t="shared" si="10"/>
        <v>0.64793388429752063</v>
      </c>
      <c r="BA72" s="49">
        <f t="shared" si="10"/>
        <v>18</v>
      </c>
      <c r="BB72" s="45">
        <f t="shared" si="10"/>
        <v>1862</v>
      </c>
      <c r="BC72" s="45">
        <f t="shared" si="10"/>
        <v>1371</v>
      </c>
      <c r="BD72" s="45">
        <f t="shared" si="10"/>
        <v>577</v>
      </c>
      <c r="BE72" s="45">
        <f t="shared" si="10"/>
        <v>18</v>
      </c>
      <c r="BF72" s="45">
        <f t="shared" si="10"/>
        <v>225</v>
      </c>
      <c r="BG72" s="45">
        <f t="shared" si="10"/>
        <v>237</v>
      </c>
      <c r="BH72" s="45">
        <f t="shared" si="10"/>
        <v>565</v>
      </c>
      <c r="BI72" s="45">
        <f t="shared" si="10"/>
        <v>95</v>
      </c>
      <c r="BJ72" s="45">
        <f t="shared" si="10"/>
        <v>23</v>
      </c>
      <c r="BK72" s="45">
        <f t="shared" si="10"/>
        <v>273</v>
      </c>
      <c r="BL72" s="45">
        <f t="shared" si="10"/>
        <v>164</v>
      </c>
      <c r="BM72" s="45">
        <f t="shared" si="10"/>
        <v>380</v>
      </c>
      <c r="BN72" s="45">
        <f t="shared" si="10"/>
        <v>357</v>
      </c>
      <c r="BP72" s="49">
        <f t="shared" si="10"/>
        <v>690</v>
      </c>
      <c r="BQ72" s="51" t="e">
        <f t="shared" si="10"/>
        <v>#VALUE!</v>
      </c>
      <c r="BR72" s="51">
        <f t="shared" si="10"/>
        <v>10.98</v>
      </c>
      <c r="BS72" s="51">
        <f t="shared" si="10"/>
        <v>4.6411483253588512</v>
      </c>
      <c r="BT72" s="52">
        <f t="shared" si="10"/>
        <v>2.3645833333333335</v>
      </c>
      <c r="BU72" s="45">
        <f t="shared" si="10"/>
        <v>1007</v>
      </c>
      <c r="BV72" s="45">
        <f t="shared" ref="BV72:CW72" si="11">MAX(BV5:BV70)</f>
        <v>48</v>
      </c>
      <c r="BW72" s="45">
        <f t="shared" si="11"/>
        <v>38</v>
      </c>
      <c r="BX72" s="49">
        <f t="shared" si="11"/>
        <v>34</v>
      </c>
      <c r="BZ72" s="45">
        <f t="shared" si="11"/>
        <v>133</v>
      </c>
      <c r="CB72" s="49">
        <f t="shared" si="11"/>
        <v>9</v>
      </c>
      <c r="CC72" s="45">
        <f t="shared" si="11"/>
        <v>15</v>
      </c>
      <c r="CD72" s="45">
        <f t="shared" si="11"/>
        <v>11</v>
      </c>
      <c r="CE72" s="49">
        <f t="shared" si="11"/>
        <v>15</v>
      </c>
      <c r="CF72" s="45">
        <f t="shared" si="11"/>
        <v>21</v>
      </c>
      <c r="CG72" s="45">
        <f t="shared" si="11"/>
        <v>11</v>
      </c>
      <c r="CH72" s="49">
        <f t="shared" si="11"/>
        <v>15</v>
      </c>
      <c r="CI72" s="45">
        <f t="shared" si="11"/>
        <v>24</v>
      </c>
      <c r="CJ72" s="45">
        <f t="shared" si="11"/>
        <v>9</v>
      </c>
      <c r="CK72" s="49">
        <f t="shared" si="11"/>
        <v>18</v>
      </c>
      <c r="CL72" s="45">
        <f t="shared" si="11"/>
        <v>21</v>
      </c>
      <c r="CM72" s="45">
        <f t="shared" si="11"/>
        <v>6</v>
      </c>
      <c r="CN72" s="49">
        <f t="shared" si="11"/>
        <v>16</v>
      </c>
      <c r="CO72" s="45">
        <f t="shared" si="11"/>
        <v>19</v>
      </c>
      <c r="CP72" s="45">
        <f t="shared" si="11"/>
        <v>7</v>
      </c>
      <c r="CQ72" s="49">
        <f t="shared" si="11"/>
        <v>15</v>
      </c>
      <c r="CR72" s="45">
        <f t="shared" si="11"/>
        <v>8</v>
      </c>
      <c r="CS72" s="45">
        <f t="shared" si="11"/>
        <v>5</v>
      </c>
      <c r="CT72" s="49">
        <f t="shared" si="11"/>
        <v>5</v>
      </c>
      <c r="CU72" s="45">
        <f t="shared" si="11"/>
        <v>8</v>
      </c>
      <c r="CV72" s="45">
        <f t="shared" si="11"/>
        <v>5</v>
      </c>
      <c r="CW72" s="49">
        <f t="shared" si="11"/>
        <v>5</v>
      </c>
    </row>
    <row r="73" spans="1:101" ht="17" x14ac:dyDescent="0.2">
      <c r="A73" s="333"/>
      <c r="B73" s="334"/>
      <c r="C73" s="335"/>
      <c r="D73" s="335"/>
      <c r="E73" s="336"/>
      <c r="G73" s="336"/>
      <c r="H73" s="133" t="s">
        <v>169</v>
      </c>
      <c r="I73" s="50">
        <f>AVERAGE(I5:I70)</f>
        <v>3825.8095238095239</v>
      </c>
      <c r="J73" s="50">
        <f t="shared" ref="J73:BU73" si="12">AVERAGE(J5:J70)</f>
        <v>7.5714285714285712</v>
      </c>
      <c r="K73" s="50">
        <f t="shared" si="12"/>
        <v>1.3809523809523809</v>
      </c>
      <c r="L73" s="50">
        <f t="shared" si="12"/>
        <v>1.1428571428571428</v>
      </c>
      <c r="M73" s="50">
        <f t="shared" si="12"/>
        <v>6.1904761904761907</v>
      </c>
      <c r="N73" s="50">
        <f t="shared" si="12"/>
        <v>0.23809523809523808</v>
      </c>
      <c r="O73" s="50">
        <f t="shared" si="12"/>
        <v>512.85714285714289</v>
      </c>
      <c r="P73" s="50">
        <f t="shared" si="12"/>
        <v>251.66666666666666</v>
      </c>
      <c r="Q73" s="385">
        <f t="shared" si="12"/>
        <v>1100.5</v>
      </c>
      <c r="R73" s="50">
        <f t="shared" si="12"/>
        <v>306.1875</v>
      </c>
      <c r="S73" s="50">
        <f t="shared" si="12"/>
        <v>28.9375</v>
      </c>
      <c r="T73" s="50">
        <f t="shared" si="12"/>
        <v>14.3125</v>
      </c>
      <c r="U73" s="50">
        <f t="shared" si="12"/>
        <v>14.625</v>
      </c>
      <c r="V73" s="50">
        <f t="shared" si="12"/>
        <v>63.577777777777776</v>
      </c>
      <c r="W73" s="50">
        <f t="shared" si="12"/>
        <v>88.222222222222229</v>
      </c>
      <c r="X73" s="50">
        <f t="shared" si="12"/>
        <v>182.58333333333334</v>
      </c>
      <c r="Y73" s="50">
        <f t="shared" si="12"/>
        <v>133.25</v>
      </c>
      <c r="Z73" s="50">
        <f t="shared" si="12"/>
        <v>4</v>
      </c>
      <c r="AA73" s="50">
        <f t="shared" si="12"/>
        <v>276.60000000000002</v>
      </c>
      <c r="AB73" s="50">
        <f t="shared" si="12"/>
        <v>193.18181818181819</v>
      </c>
      <c r="AC73" s="50">
        <f t="shared" si="12"/>
        <v>90</v>
      </c>
      <c r="AD73" s="50">
        <f t="shared" si="12"/>
        <v>30.4</v>
      </c>
      <c r="AE73" s="50">
        <f t="shared" si="12"/>
        <v>34.404761904761905</v>
      </c>
      <c r="AF73" s="50">
        <f t="shared" si="12"/>
        <v>706.625</v>
      </c>
      <c r="AG73" s="347">
        <f t="shared" si="12"/>
        <v>0.64132008960114739</v>
      </c>
      <c r="AH73" s="139">
        <f t="shared" si="12"/>
        <v>1734.6</v>
      </c>
      <c r="AI73" s="139">
        <f t="shared" si="12"/>
        <v>620.25</v>
      </c>
      <c r="AJ73" s="139">
        <f t="shared" si="12"/>
        <v>30</v>
      </c>
      <c r="AK73" s="139">
        <f t="shared" si="12"/>
        <v>14.5</v>
      </c>
      <c r="AL73" s="139">
        <f t="shared" si="12"/>
        <v>15.5</v>
      </c>
      <c r="AM73" s="139">
        <f t="shared" si="12"/>
        <v>55</v>
      </c>
      <c r="AN73" s="139">
        <f t="shared" si="12"/>
        <v>95.555555555555557</v>
      </c>
      <c r="AO73" s="139">
        <f t="shared" si="12"/>
        <v>65.333333333333329</v>
      </c>
      <c r="AP73" s="139">
        <f t="shared" si="12"/>
        <v>92</v>
      </c>
      <c r="AQ73" s="139">
        <f t="shared" si="12"/>
        <v>224.5</v>
      </c>
      <c r="AR73" s="139">
        <f t="shared" si="12"/>
        <v>132</v>
      </c>
      <c r="AS73" s="139"/>
      <c r="AT73" s="139"/>
      <c r="AU73" s="139"/>
      <c r="AV73" s="139"/>
      <c r="AW73" s="139">
        <f t="shared" si="12"/>
        <v>24.333333333333332</v>
      </c>
      <c r="AX73" s="139">
        <f t="shared" si="12"/>
        <v>30</v>
      </c>
      <c r="AY73" s="139">
        <f t="shared" si="12"/>
        <v>1070.3333333333333</v>
      </c>
      <c r="AZ73" s="74">
        <f t="shared" si="12"/>
        <v>0.61515141973923282</v>
      </c>
      <c r="BA73" s="77">
        <f t="shared" si="12"/>
        <v>12</v>
      </c>
      <c r="BB73" s="50">
        <f t="shared" si="12"/>
        <v>1388.5454545454545</v>
      </c>
      <c r="BC73" s="50">
        <f t="shared" si="12"/>
        <v>932.13636363636363</v>
      </c>
      <c r="BD73" s="50">
        <f t="shared" si="12"/>
        <v>460.72727272727275</v>
      </c>
      <c r="BE73" s="50">
        <f t="shared" si="12"/>
        <v>1.7272727272727273</v>
      </c>
      <c r="BF73" s="50">
        <f t="shared" si="12"/>
        <v>161.86363636363637</v>
      </c>
      <c r="BG73" s="50">
        <f t="shared" si="12"/>
        <v>191.27272727272728</v>
      </c>
      <c r="BH73" s="50">
        <f t="shared" si="12"/>
        <v>452.04545454545456</v>
      </c>
      <c r="BI73" s="50">
        <f t="shared" si="12"/>
        <v>68.181818181818187</v>
      </c>
      <c r="BJ73" s="50">
        <f t="shared" si="12"/>
        <v>14.757575757575758</v>
      </c>
      <c r="BK73" s="50">
        <f t="shared" si="12"/>
        <v>194.35185185185185</v>
      </c>
      <c r="BL73" s="50">
        <f t="shared" si="12"/>
        <v>109.69047619047619</v>
      </c>
      <c r="BM73" s="50">
        <f t="shared" si="12"/>
        <v>251.44444444444446</v>
      </c>
      <c r="BN73" s="50">
        <f t="shared" si="12"/>
        <v>277.21052631578948</v>
      </c>
      <c r="BO73" s="50"/>
      <c r="BP73" s="77">
        <f t="shared" si="12"/>
        <v>389.16666666666669</v>
      </c>
      <c r="BQ73" s="51" t="e">
        <f t="shared" si="12"/>
        <v>#VALUE!</v>
      </c>
      <c r="BR73" s="51">
        <f t="shared" si="12"/>
        <v>6.7468226587071936</v>
      </c>
      <c r="BS73" s="51">
        <f t="shared" si="12"/>
        <v>3.8517207359108179</v>
      </c>
      <c r="BT73" s="52">
        <f t="shared" si="12"/>
        <v>1.8998403439526348</v>
      </c>
      <c r="BU73" s="50">
        <f t="shared" si="12"/>
        <v>479.65</v>
      </c>
      <c r="BV73" s="50">
        <f t="shared" ref="BV73:CW73" si="13">AVERAGE(BV5:BV70)</f>
        <v>29.023255813953487</v>
      </c>
      <c r="BW73" s="50">
        <f t="shared" si="13"/>
        <v>30.764705882352942</v>
      </c>
      <c r="BX73" s="77">
        <f t="shared" si="13"/>
        <v>21.361111111111111</v>
      </c>
      <c r="BY73" s="50"/>
      <c r="BZ73" s="50">
        <f t="shared" si="13"/>
        <v>91.42307692307692</v>
      </c>
      <c r="CA73" s="51" t="s">
        <v>283</v>
      </c>
      <c r="CB73" s="77">
        <f t="shared" si="13"/>
        <v>4.9565217391304346</v>
      </c>
      <c r="CC73" s="50">
        <f t="shared" si="13"/>
        <v>12.620689655172415</v>
      </c>
      <c r="CD73" s="50">
        <f t="shared" si="13"/>
        <v>8.931034482758621</v>
      </c>
      <c r="CE73" s="77">
        <f t="shared" si="13"/>
        <v>7.9655172413793105</v>
      </c>
      <c r="CF73" s="50">
        <f t="shared" si="13"/>
        <v>18.433333333333334</v>
      </c>
      <c r="CG73" s="50">
        <f t="shared" si="13"/>
        <v>7.9666666666666668</v>
      </c>
      <c r="CH73" s="77">
        <f t="shared" si="13"/>
        <v>11.766666666666667</v>
      </c>
      <c r="CI73" s="50">
        <f t="shared" si="13"/>
        <v>20.060606060606062</v>
      </c>
      <c r="CJ73" s="50">
        <f t="shared" si="13"/>
        <v>6.3636363636363633</v>
      </c>
      <c r="CK73" s="77">
        <f t="shared" si="13"/>
        <v>13.303030303030303</v>
      </c>
      <c r="CL73" s="50">
        <f t="shared" si="13"/>
        <v>16.869565217391305</v>
      </c>
      <c r="CM73" s="50">
        <f t="shared" si="13"/>
        <v>5.5217391304347823</v>
      </c>
      <c r="CN73" s="77">
        <f t="shared" si="13"/>
        <v>10.130434782608695</v>
      </c>
      <c r="CO73" s="50">
        <f t="shared" si="13"/>
        <v>17.133333333333333</v>
      </c>
      <c r="CP73" s="50">
        <f t="shared" si="13"/>
        <v>6</v>
      </c>
      <c r="CQ73" s="77">
        <f t="shared" si="13"/>
        <v>9.6</v>
      </c>
      <c r="CR73" s="50">
        <f t="shared" si="13"/>
        <v>7.1538461538461542</v>
      </c>
      <c r="CS73" s="50">
        <f t="shared" si="13"/>
        <v>3.4615384615384617</v>
      </c>
      <c r="CT73" s="77">
        <f t="shared" si="13"/>
        <v>3.9230769230769229</v>
      </c>
      <c r="CU73" s="50">
        <f t="shared" si="13"/>
        <v>7</v>
      </c>
      <c r="CV73" s="50">
        <f t="shared" si="13"/>
        <v>3.8181818181818183</v>
      </c>
      <c r="CW73" s="77">
        <f t="shared" si="13"/>
        <v>3.6363636363636362</v>
      </c>
    </row>
    <row r="74" spans="1:101" s="51" customFormat="1" ht="17" x14ac:dyDescent="0.2">
      <c r="A74" s="324"/>
      <c r="B74" s="325"/>
      <c r="C74" s="326"/>
      <c r="D74" s="326"/>
      <c r="E74" s="327"/>
      <c r="F74" s="255"/>
      <c r="G74" s="327"/>
      <c r="H74" s="256" t="s">
        <v>170</v>
      </c>
      <c r="I74" s="51">
        <f>STDEV(I5:I70)</f>
        <v>964.71289091872359</v>
      </c>
      <c r="J74" s="51">
        <f t="shared" ref="J74:BU74" si="14">STDEV(J5:J70)</f>
        <v>1.5352989471574763</v>
      </c>
      <c r="K74" s="51">
        <f t="shared" si="14"/>
        <v>0.49761335152811914</v>
      </c>
      <c r="L74" s="51">
        <f t="shared" si="14"/>
        <v>0.47809144373375756</v>
      </c>
      <c r="M74" s="51">
        <f t="shared" si="14"/>
        <v>1.3645163106041494</v>
      </c>
      <c r="N74" s="51">
        <f t="shared" si="14"/>
        <v>0.43643578047198472</v>
      </c>
      <c r="O74" s="51">
        <f t="shared" si="14"/>
        <v>92.386300777921576</v>
      </c>
      <c r="P74" s="51">
        <f t="shared" si="14"/>
        <v>43.370881168513712</v>
      </c>
      <c r="Q74" s="384">
        <f t="shared" si="14"/>
        <v>229.52646906184916</v>
      </c>
      <c r="R74" s="51">
        <f t="shared" si="14"/>
        <v>53.017253480981708</v>
      </c>
      <c r="S74" s="51">
        <f t="shared" si="14"/>
        <v>2.7921019561135898</v>
      </c>
      <c r="T74" s="51">
        <f t="shared" si="14"/>
        <v>1.7404501333467348</v>
      </c>
      <c r="U74" s="51">
        <f t="shared" si="14"/>
        <v>1.707825127659933</v>
      </c>
      <c r="V74" s="51">
        <f t="shared" si="14"/>
        <v>17.905673160010796</v>
      </c>
      <c r="W74" s="51">
        <f t="shared" si="14"/>
        <v>14.378776246579786</v>
      </c>
      <c r="X74" s="51">
        <f t="shared" si="14"/>
        <v>10.714971118048151</v>
      </c>
      <c r="Y74" s="51">
        <f t="shared" si="14"/>
        <v>23.929061828663489</v>
      </c>
      <c r="Z74" s="51">
        <f t="shared" si="14"/>
        <v>0</v>
      </c>
      <c r="AA74" s="51">
        <f t="shared" si="14"/>
        <v>62.260742045047991</v>
      </c>
      <c r="AB74" s="51">
        <f t="shared" si="14"/>
        <v>36.289993612063853</v>
      </c>
      <c r="AC74" s="51">
        <f t="shared" si="14"/>
        <v>26.851443164195103</v>
      </c>
      <c r="AD74" s="51">
        <f t="shared" si="14"/>
        <v>7.7827648410721348</v>
      </c>
      <c r="AE74" s="51">
        <f t="shared" si="14"/>
        <v>8.3842463303086348</v>
      </c>
      <c r="AF74" s="51">
        <f t="shared" si="14"/>
        <v>154.26811076823364</v>
      </c>
      <c r="AG74" s="409">
        <f t="shared" si="14"/>
        <v>3.8411082532539567E-2</v>
      </c>
      <c r="AH74" s="154">
        <f t="shared" si="14"/>
        <v>261.14229837389388</v>
      </c>
      <c r="AI74" s="154">
        <f t="shared" si="14"/>
        <v>128.98158783330277</v>
      </c>
      <c r="AJ74" s="154">
        <f t="shared" si="14"/>
        <v>0</v>
      </c>
      <c r="AK74" s="154">
        <f t="shared" si="14"/>
        <v>0.70710678118654757</v>
      </c>
      <c r="AL74" s="154">
        <f t="shared" si="14"/>
        <v>0.70710678118654757</v>
      </c>
      <c r="AM74" s="154">
        <f t="shared" si="14"/>
        <v>11.937336386313323</v>
      </c>
      <c r="AN74" s="154">
        <f t="shared" si="14"/>
        <v>18.473705036558783</v>
      </c>
      <c r="AO74" s="154">
        <f t="shared" si="14"/>
        <v>5.0332229568471663</v>
      </c>
      <c r="AP74" s="154">
        <f t="shared" si="14"/>
        <v>27.784887978899608</v>
      </c>
      <c r="AQ74" s="154">
        <f t="shared" si="14"/>
        <v>34.895080837657716</v>
      </c>
      <c r="AR74" s="154">
        <f t="shared" si="14"/>
        <v>6.2182527020592095</v>
      </c>
      <c r="AS74" s="154"/>
      <c r="AT74" s="154"/>
      <c r="AU74" s="154"/>
      <c r="AV74" s="154"/>
      <c r="AW74" s="154">
        <f t="shared" si="14"/>
        <v>7.5277265270908122</v>
      </c>
      <c r="AX74" s="154">
        <f t="shared" si="14"/>
        <v>6.5726706900619938</v>
      </c>
      <c r="AY74" s="154">
        <f t="shared" si="14"/>
        <v>226.78256840712703</v>
      </c>
      <c r="AZ74" s="328">
        <f t="shared" si="14"/>
        <v>3.6580244619943129E-2</v>
      </c>
      <c r="BA74" s="52">
        <f t="shared" si="14"/>
        <v>4.5607017003965522</v>
      </c>
      <c r="BB74" s="51">
        <f t="shared" si="14"/>
        <v>206.57449417830261</v>
      </c>
      <c r="BC74" s="51">
        <f t="shared" si="14"/>
        <v>179.93763349575292</v>
      </c>
      <c r="BD74" s="51">
        <f t="shared" si="14"/>
        <v>54.894862122478017</v>
      </c>
      <c r="BE74" s="51">
        <f t="shared" si="14"/>
        <v>4.6719203575018087</v>
      </c>
      <c r="BF74" s="51">
        <f t="shared" si="14"/>
        <v>25.259218881987227</v>
      </c>
      <c r="BG74" s="51">
        <f t="shared" si="14"/>
        <v>19.074245458912387</v>
      </c>
      <c r="BH74" s="51">
        <f t="shared" si="14"/>
        <v>50.510450348473327</v>
      </c>
      <c r="BI74" s="51">
        <f t="shared" si="14"/>
        <v>10.132824180559227</v>
      </c>
      <c r="BJ74" s="51">
        <f t="shared" si="14"/>
        <v>2.7627222141637819</v>
      </c>
      <c r="BK74" s="51">
        <f t="shared" si="14"/>
        <v>33.206135718209197</v>
      </c>
      <c r="BL74" s="51">
        <f t="shared" si="14"/>
        <v>23.166931958139781</v>
      </c>
      <c r="BM74" s="51">
        <f t="shared" si="14"/>
        <v>51.835965509108064</v>
      </c>
      <c r="BN74" s="51">
        <f t="shared" si="14"/>
        <v>46.610178844645354</v>
      </c>
      <c r="BP74" s="52">
        <f t="shared" si="14"/>
        <v>140.01481014101162</v>
      </c>
      <c r="BQ74" s="51" t="e">
        <f t="shared" si="14"/>
        <v>#VALUE!</v>
      </c>
      <c r="BR74" s="51">
        <f t="shared" si="14"/>
        <v>1.2315131179228131</v>
      </c>
      <c r="BS74" s="51">
        <f t="shared" si="14"/>
        <v>0.49475841600128184</v>
      </c>
      <c r="BT74" s="52">
        <f t="shared" si="14"/>
        <v>0.34813252656299859</v>
      </c>
      <c r="BU74" s="51">
        <f t="shared" si="14"/>
        <v>253.04030779387904</v>
      </c>
      <c r="BV74" s="51">
        <f t="shared" ref="BV74:CW74" si="15">STDEV(BV5:BV70)</f>
        <v>5.2257985131143121</v>
      </c>
      <c r="BW74" s="51">
        <f t="shared" si="15"/>
        <v>3.8063648731088731</v>
      </c>
      <c r="BX74" s="52">
        <f t="shared" si="15"/>
        <v>3.9362983175115707</v>
      </c>
      <c r="BZ74" s="51">
        <f t="shared" si="15"/>
        <v>12.345600275152531</v>
      </c>
      <c r="CB74" s="52">
        <f t="shared" si="15"/>
        <v>1.3306956782609201</v>
      </c>
      <c r="CC74" s="51">
        <f t="shared" si="15"/>
        <v>1.8207885478442021</v>
      </c>
      <c r="CD74" s="51">
        <f t="shared" si="15"/>
        <v>1.1628485493685201</v>
      </c>
      <c r="CE74" s="52">
        <f t="shared" si="15"/>
        <v>1.8609283132867096</v>
      </c>
      <c r="CF74" s="51">
        <f t="shared" si="15"/>
        <v>1.7749858344909903</v>
      </c>
      <c r="CG74" s="51">
        <f t="shared" si="15"/>
        <v>1.1885468767200227</v>
      </c>
      <c r="CH74" s="52">
        <f t="shared" si="15"/>
        <v>2.0117471105438707</v>
      </c>
      <c r="CI74" s="51">
        <f t="shared" si="15"/>
        <v>2.4101269927562168</v>
      </c>
      <c r="CJ74" s="51">
        <f t="shared" si="15"/>
        <v>1.0552897060221742</v>
      </c>
      <c r="CK74" s="52">
        <f t="shared" si="15"/>
        <v>2.3383333873301795</v>
      </c>
      <c r="CL74" s="51">
        <f t="shared" si="15"/>
        <v>2.0069050760286915</v>
      </c>
      <c r="CM74" s="51">
        <f t="shared" si="15"/>
        <v>0.59310931212254869</v>
      </c>
      <c r="CN74" s="52">
        <f t="shared" si="15"/>
        <v>2.4551309505176557</v>
      </c>
      <c r="CO74" s="51">
        <f t="shared" si="15"/>
        <v>1.6846647257229668</v>
      </c>
      <c r="CP74" s="51">
        <f t="shared" si="15"/>
        <v>0.65465367070797709</v>
      </c>
      <c r="CQ74" s="52">
        <f t="shared" si="15"/>
        <v>2.5298221281347022</v>
      </c>
      <c r="CR74" s="51">
        <f t="shared" si="15"/>
        <v>0.8006407690254379</v>
      </c>
      <c r="CS74" s="51">
        <f t="shared" si="15"/>
        <v>0.66022529177352451</v>
      </c>
      <c r="CT74" s="52">
        <f t="shared" si="15"/>
        <v>0.75955452531275058</v>
      </c>
      <c r="CU74" s="51">
        <f t="shared" si="15"/>
        <v>0.7745966692414834</v>
      </c>
      <c r="CV74" s="51">
        <f t="shared" si="15"/>
        <v>0.75075719352954762</v>
      </c>
      <c r="CW74" s="52">
        <f t="shared" si="15"/>
        <v>0.80903983495588971</v>
      </c>
    </row>
    <row r="75" spans="1:101" ht="17" x14ac:dyDescent="0.2">
      <c r="A75" s="333"/>
      <c r="B75" s="334"/>
      <c r="C75" s="335"/>
      <c r="D75" s="335"/>
      <c r="E75" s="336"/>
      <c r="G75" s="336"/>
      <c r="H75" s="133" t="s">
        <v>408</v>
      </c>
      <c r="I75" s="45">
        <f t="shared" ref="I75:AR75" si="16">COUNT(I5:I70)</f>
        <v>21</v>
      </c>
      <c r="J75" s="45">
        <f t="shared" si="16"/>
        <v>21</v>
      </c>
      <c r="K75" s="45">
        <f t="shared" si="16"/>
        <v>21</v>
      </c>
      <c r="L75" s="45">
        <f t="shared" si="16"/>
        <v>21</v>
      </c>
      <c r="M75" s="45">
        <f t="shared" si="16"/>
        <v>21</v>
      </c>
      <c r="N75" s="45">
        <f t="shared" si="16"/>
        <v>21</v>
      </c>
      <c r="O75" s="45">
        <f t="shared" si="16"/>
        <v>21</v>
      </c>
      <c r="P75" s="45">
        <f t="shared" si="16"/>
        <v>21</v>
      </c>
      <c r="Q75" s="79">
        <f t="shared" si="16"/>
        <v>16</v>
      </c>
      <c r="R75" s="45">
        <f t="shared" si="16"/>
        <v>16</v>
      </c>
      <c r="S75" s="45">
        <f t="shared" si="16"/>
        <v>16</v>
      </c>
      <c r="T75" s="45">
        <f t="shared" si="16"/>
        <v>16</v>
      </c>
      <c r="U75" s="45">
        <f t="shared" si="16"/>
        <v>16</v>
      </c>
      <c r="V75" s="45">
        <f t="shared" si="16"/>
        <v>45</v>
      </c>
      <c r="W75" s="45">
        <f t="shared" si="16"/>
        <v>36</v>
      </c>
      <c r="X75" s="45">
        <f t="shared" si="16"/>
        <v>12</v>
      </c>
      <c r="Y75" s="45">
        <f t="shared" si="16"/>
        <v>16</v>
      </c>
      <c r="Z75" s="45">
        <f t="shared" si="16"/>
        <v>17</v>
      </c>
      <c r="AA75" s="45">
        <f t="shared" si="16"/>
        <v>15</v>
      </c>
      <c r="AB75" s="45">
        <f t="shared" si="16"/>
        <v>11</v>
      </c>
      <c r="AC75" s="45">
        <f t="shared" si="16"/>
        <v>5</v>
      </c>
      <c r="AD75" s="45">
        <f t="shared" si="16"/>
        <v>50</v>
      </c>
      <c r="AE75" s="45">
        <f t="shared" si="16"/>
        <v>42</v>
      </c>
      <c r="AF75" s="45">
        <f t="shared" si="16"/>
        <v>16</v>
      </c>
      <c r="AG75" s="49">
        <f t="shared" si="16"/>
        <v>16</v>
      </c>
      <c r="AH75" s="53">
        <f t="shared" si="16"/>
        <v>5</v>
      </c>
      <c r="AI75" s="53">
        <f t="shared" si="16"/>
        <v>4</v>
      </c>
      <c r="AJ75" s="53">
        <f t="shared" si="16"/>
        <v>2</v>
      </c>
      <c r="AK75" s="53">
        <f t="shared" si="16"/>
        <v>2</v>
      </c>
      <c r="AL75" s="53">
        <f t="shared" si="16"/>
        <v>2</v>
      </c>
      <c r="AM75" s="53">
        <f t="shared" si="16"/>
        <v>9</v>
      </c>
      <c r="AN75" s="53">
        <f t="shared" si="16"/>
        <v>9</v>
      </c>
      <c r="AO75" s="53">
        <f t="shared" si="16"/>
        <v>3</v>
      </c>
      <c r="AP75" s="53">
        <f t="shared" si="16"/>
        <v>3</v>
      </c>
      <c r="AQ75" s="53">
        <f t="shared" si="16"/>
        <v>4</v>
      </c>
      <c r="AR75" s="53">
        <f t="shared" si="16"/>
        <v>4</v>
      </c>
      <c r="AW75" s="53">
        <f t="shared" ref="AW75:BN75" si="17">COUNT(AW5:AW70)</f>
        <v>6</v>
      </c>
      <c r="AX75" s="53">
        <f t="shared" si="17"/>
        <v>6</v>
      </c>
      <c r="AY75" s="53">
        <f t="shared" si="17"/>
        <v>3</v>
      </c>
      <c r="AZ75" s="53">
        <f t="shared" si="17"/>
        <v>3</v>
      </c>
      <c r="BA75" s="49">
        <f t="shared" si="17"/>
        <v>6</v>
      </c>
      <c r="BB75" s="45">
        <f t="shared" si="17"/>
        <v>22</v>
      </c>
      <c r="BC75" s="45">
        <f t="shared" si="17"/>
        <v>22</v>
      </c>
      <c r="BD75" s="45">
        <f t="shared" si="17"/>
        <v>22</v>
      </c>
      <c r="BE75" s="45">
        <f t="shared" si="17"/>
        <v>22</v>
      </c>
      <c r="BF75" s="45">
        <f t="shared" si="17"/>
        <v>22</v>
      </c>
      <c r="BG75" s="45">
        <f t="shared" si="17"/>
        <v>22</v>
      </c>
      <c r="BH75" s="45">
        <f t="shared" si="17"/>
        <v>66</v>
      </c>
      <c r="BI75" s="45">
        <f t="shared" si="17"/>
        <v>66</v>
      </c>
      <c r="BJ75" s="45">
        <f t="shared" si="17"/>
        <v>66</v>
      </c>
      <c r="BK75" s="45">
        <f t="shared" si="17"/>
        <v>54</v>
      </c>
      <c r="BL75" s="45">
        <f t="shared" si="17"/>
        <v>42</v>
      </c>
      <c r="BM75" s="45">
        <f t="shared" si="17"/>
        <v>18</v>
      </c>
      <c r="BN75" s="45">
        <f t="shared" si="17"/>
        <v>19</v>
      </c>
      <c r="BP75" s="49">
        <f t="shared" ref="BP75:BZ75" si="18">COUNT(BP5:BP70)</f>
        <v>18</v>
      </c>
      <c r="BQ75" s="50">
        <f t="shared" si="18"/>
        <v>18</v>
      </c>
      <c r="BR75" s="50">
        <f t="shared" si="18"/>
        <v>64</v>
      </c>
      <c r="BS75" s="50">
        <f t="shared" si="18"/>
        <v>18</v>
      </c>
      <c r="BT75" s="77">
        <f t="shared" si="18"/>
        <v>18</v>
      </c>
      <c r="BU75" s="45">
        <f t="shared" si="18"/>
        <v>20</v>
      </c>
      <c r="BV75" s="45">
        <f t="shared" si="18"/>
        <v>43</v>
      </c>
      <c r="BW75" s="45">
        <f t="shared" si="18"/>
        <v>34</v>
      </c>
      <c r="BX75" s="49">
        <f t="shared" si="18"/>
        <v>36</v>
      </c>
      <c r="BZ75" s="45">
        <f t="shared" si="18"/>
        <v>26</v>
      </c>
      <c r="CB75" s="49">
        <f t="shared" ref="CB75:CW75" si="19">COUNT(CB5:CB70)</f>
        <v>23</v>
      </c>
      <c r="CC75" s="45">
        <f t="shared" si="19"/>
        <v>29</v>
      </c>
      <c r="CD75" s="45">
        <f t="shared" si="19"/>
        <v>29</v>
      </c>
      <c r="CE75" s="49">
        <f t="shared" si="19"/>
        <v>29</v>
      </c>
      <c r="CF75" s="45">
        <f t="shared" si="19"/>
        <v>30</v>
      </c>
      <c r="CG75" s="45">
        <f t="shared" si="19"/>
        <v>30</v>
      </c>
      <c r="CH75" s="49">
        <f t="shared" si="19"/>
        <v>30</v>
      </c>
      <c r="CI75" s="45">
        <f t="shared" si="19"/>
        <v>33</v>
      </c>
      <c r="CJ75" s="45">
        <f t="shared" si="19"/>
        <v>33</v>
      </c>
      <c r="CK75" s="49">
        <f t="shared" si="19"/>
        <v>33</v>
      </c>
      <c r="CL75" s="45">
        <f t="shared" si="19"/>
        <v>23</v>
      </c>
      <c r="CM75" s="45">
        <f t="shared" si="19"/>
        <v>23</v>
      </c>
      <c r="CN75" s="49">
        <f t="shared" si="19"/>
        <v>23</v>
      </c>
      <c r="CO75" s="45">
        <f t="shared" si="19"/>
        <v>15</v>
      </c>
      <c r="CP75" s="45">
        <f t="shared" si="19"/>
        <v>15</v>
      </c>
      <c r="CQ75" s="49">
        <f t="shared" si="19"/>
        <v>15</v>
      </c>
      <c r="CR75" s="45">
        <f t="shared" si="19"/>
        <v>13</v>
      </c>
      <c r="CS75" s="45">
        <f t="shared" si="19"/>
        <v>13</v>
      </c>
      <c r="CT75" s="49">
        <f t="shared" si="19"/>
        <v>13</v>
      </c>
      <c r="CU75" s="45">
        <f t="shared" si="19"/>
        <v>11</v>
      </c>
      <c r="CV75" s="45">
        <f t="shared" si="19"/>
        <v>11</v>
      </c>
      <c r="CW75" s="49">
        <f t="shared" si="19"/>
        <v>11</v>
      </c>
    </row>
    <row r="76" spans="1:101" ht="17" x14ac:dyDescent="0.2">
      <c r="A76" s="333"/>
      <c r="B76" s="334"/>
      <c r="C76" s="335"/>
      <c r="D76" s="335"/>
      <c r="E76" s="336"/>
      <c r="G76" s="336"/>
      <c r="H76" s="133" t="s">
        <v>172</v>
      </c>
      <c r="I76" s="45">
        <f>COUNT(I5:I70)</f>
        <v>21</v>
      </c>
      <c r="J76" s="45">
        <f t="shared" ref="J76:U76" si="20">COUNT(J5:J70)</f>
        <v>21</v>
      </c>
      <c r="K76" s="45">
        <f t="shared" si="20"/>
        <v>21</v>
      </c>
      <c r="L76" s="45">
        <f t="shared" si="20"/>
        <v>21</v>
      </c>
      <c r="M76" s="45">
        <f t="shared" si="20"/>
        <v>21</v>
      </c>
      <c r="N76" s="45">
        <f t="shared" si="20"/>
        <v>21</v>
      </c>
      <c r="O76" s="45">
        <f t="shared" si="20"/>
        <v>21</v>
      </c>
      <c r="P76" s="45">
        <f t="shared" si="20"/>
        <v>21</v>
      </c>
      <c r="Q76" s="79">
        <f t="shared" si="20"/>
        <v>16</v>
      </c>
      <c r="R76" s="45">
        <f t="shared" si="20"/>
        <v>16</v>
      </c>
      <c r="S76" s="45">
        <f t="shared" si="20"/>
        <v>16</v>
      </c>
      <c r="T76" s="45">
        <f t="shared" si="20"/>
        <v>16</v>
      </c>
      <c r="U76" s="45">
        <f t="shared" si="20"/>
        <v>16</v>
      </c>
      <c r="V76" s="45">
        <v>18</v>
      </c>
      <c r="W76" s="45">
        <v>15</v>
      </c>
      <c r="X76" s="45">
        <f t="shared" ref="X76:AL76" si="21">COUNT(X5:X70)</f>
        <v>12</v>
      </c>
      <c r="Y76" s="45">
        <f t="shared" si="21"/>
        <v>16</v>
      </c>
      <c r="Z76" s="45">
        <f t="shared" si="21"/>
        <v>17</v>
      </c>
      <c r="AA76" s="45">
        <f t="shared" si="21"/>
        <v>15</v>
      </c>
      <c r="AB76" s="45">
        <f t="shared" si="21"/>
        <v>11</v>
      </c>
      <c r="AC76" s="45">
        <f t="shared" si="21"/>
        <v>5</v>
      </c>
      <c r="AD76" s="45">
        <v>20</v>
      </c>
      <c r="AE76" s="45">
        <v>17</v>
      </c>
      <c r="AF76" s="45">
        <f t="shared" si="21"/>
        <v>16</v>
      </c>
      <c r="AG76" s="49">
        <f t="shared" si="21"/>
        <v>16</v>
      </c>
      <c r="AH76" s="53">
        <f t="shared" si="21"/>
        <v>5</v>
      </c>
      <c r="AI76" s="53">
        <f t="shared" si="21"/>
        <v>4</v>
      </c>
      <c r="AJ76" s="53">
        <f t="shared" si="21"/>
        <v>2</v>
      </c>
      <c r="AK76" s="53">
        <f t="shared" si="21"/>
        <v>2</v>
      </c>
      <c r="AL76" s="53">
        <f t="shared" si="21"/>
        <v>2</v>
      </c>
      <c r="AM76" s="53">
        <v>3</v>
      </c>
      <c r="AN76" s="53">
        <v>3</v>
      </c>
      <c r="AO76" s="53">
        <v>1</v>
      </c>
      <c r="AP76" s="53">
        <v>1</v>
      </c>
      <c r="AQ76" s="53">
        <f t="shared" ref="AQ76:AR76" si="22">COUNT(AQ5:AQ70)</f>
        <v>4</v>
      </c>
      <c r="AR76" s="53">
        <f t="shared" si="22"/>
        <v>4</v>
      </c>
      <c r="AW76" s="53">
        <v>2</v>
      </c>
      <c r="AX76" s="53">
        <v>2</v>
      </c>
      <c r="AY76" s="53">
        <f t="shared" ref="AY76:AZ76" si="23">COUNT(AY5:AY70)</f>
        <v>3</v>
      </c>
      <c r="AZ76" s="53">
        <f t="shared" si="23"/>
        <v>3</v>
      </c>
      <c r="BA76" s="49">
        <v>2</v>
      </c>
      <c r="BB76" s="45">
        <f t="shared" ref="BB76:BU76" si="24">COUNT(BB5:BB70)</f>
        <v>22</v>
      </c>
      <c r="BC76" s="45">
        <f t="shared" si="24"/>
        <v>22</v>
      </c>
      <c r="BD76" s="45">
        <f t="shared" si="24"/>
        <v>22</v>
      </c>
      <c r="BE76" s="45">
        <f t="shared" si="24"/>
        <v>22</v>
      </c>
      <c r="BF76" s="45">
        <f t="shared" si="24"/>
        <v>22</v>
      </c>
      <c r="BG76" s="45">
        <f t="shared" si="24"/>
        <v>22</v>
      </c>
      <c r="BH76" s="45">
        <v>21</v>
      </c>
      <c r="BI76" s="45">
        <v>22</v>
      </c>
      <c r="BJ76" s="45">
        <v>22</v>
      </c>
      <c r="BK76" s="45">
        <v>20</v>
      </c>
      <c r="BL76" s="45">
        <v>16</v>
      </c>
      <c r="BM76" s="45">
        <f t="shared" si="24"/>
        <v>18</v>
      </c>
      <c r="BN76" s="45">
        <f t="shared" si="24"/>
        <v>19</v>
      </c>
      <c r="BP76" s="49">
        <f t="shared" si="24"/>
        <v>18</v>
      </c>
      <c r="BQ76" s="50">
        <f t="shared" si="24"/>
        <v>18</v>
      </c>
      <c r="BR76" s="45">
        <v>22</v>
      </c>
      <c r="BS76" s="50">
        <f t="shared" si="24"/>
        <v>18</v>
      </c>
      <c r="BT76" s="77">
        <f t="shared" si="24"/>
        <v>18</v>
      </c>
      <c r="BU76" s="45">
        <f t="shared" si="24"/>
        <v>20</v>
      </c>
      <c r="BV76" s="45">
        <v>21</v>
      </c>
      <c r="BW76" s="45">
        <v>19</v>
      </c>
      <c r="BX76" s="49">
        <v>19</v>
      </c>
      <c r="BZ76" s="45">
        <v>17</v>
      </c>
      <c r="CB76" s="49">
        <v>14</v>
      </c>
      <c r="CC76" s="45">
        <v>15</v>
      </c>
      <c r="CD76" s="45">
        <v>15</v>
      </c>
      <c r="CE76" s="49">
        <v>15</v>
      </c>
      <c r="CF76" s="45">
        <v>17</v>
      </c>
      <c r="CG76" s="45">
        <v>17</v>
      </c>
      <c r="CH76" s="49">
        <v>17</v>
      </c>
      <c r="CI76" s="45">
        <v>18</v>
      </c>
      <c r="CJ76" s="45">
        <v>18</v>
      </c>
      <c r="CK76" s="49">
        <v>18</v>
      </c>
      <c r="CL76" s="45">
        <v>17</v>
      </c>
      <c r="CM76" s="45">
        <v>17</v>
      </c>
      <c r="CN76" s="49">
        <v>17</v>
      </c>
      <c r="CO76" s="45">
        <v>13</v>
      </c>
      <c r="CP76" s="45">
        <v>13</v>
      </c>
      <c r="CQ76" s="49">
        <v>13</v>
      </c>
      <c r="CR76" s="45">
        <v>10</v>
      </c>
      <c r="CS76" s="45">
        <v>10</v>
      </c>
      <c r="CT76" s="49">
        <v>10</v>
      </c>
      <c r="CU76" s="45">
        <v>9</v>
      </c>
      <c r="CV76" s="45">
        <v>9</v>
      </c>
      <c r="CW76" s="49">
        <v>9</v>
      </c>
    </row>
    <row r="77" spans="1:101" x14ac:dyDescent="0.2">
      <c r="A77" s="333"/>
      <c r="B77" s="334"/>
      <c r="C77" s="335"/>
      <c r="D77" s="335"/>
      <c r="E77" s="336"/>
      <c r="G77" s="336"/>
      <c r="H77" s="337"/>
      <c r="BJ77" s="50"/>
    </row>
    <row r="78" spans="1:101" x14ac:dyDescent="0.2">
      <c r="A78" s="333"/>
      <c r="B78" s="334"/>
      <c r="C78" s="335"/>
      <c r="D78" s="335"/>
      <c r="E78" s="336"/>
      <c r="G78" s="336"/>
      <c r="H78" s="337"/>
      <c r="BJ78" s="50"/>
    </row>
    <row r="79" spans="1:101" x14ac:dyDescent="0.2">
      <c r="A79" s="333"/>
      <c r="B79" s="334"/>
      <c r="C79" s="335"/>
      <c r="D79" s="335"/>
      <c r="E79" s="336"/>
      <c r="G79" s="336"/>
      <c r="H79" s="337"/>
      <c r="BJ79" s="50"/>
    </row>
    <row r="80" spans="1:101" x14ac:dyDescent="0.2">
      <c r="A80" s="333"/>
      <c r="B80" s="334"/>
      <c r="C80" s="335"/>
      <c r="D80" s="335"/>
      <c r="E80" s="336"/>
      <c r="G80" s="336"/>
      <c r="H80" s="337"/>
      <c r="BJ80" s="50"/>
    </row>
    <row r="81" spans="1:62" x14ac:dyDescent="0.2">
      <c r="A81" s="333"/>
      <c r="B81" s="334"/>
      <c r="C81" s="335"/>
      <c r="D81" s="335"/>
      <c r="E81" s="336"/>
      <c r="G81" s="336"/>
      <c r="H81" s="337"/>
      <c r="BJ81" s="50"/>
    </row>
    <row r="82" spans="1:62" x14ac:dyDescent="0.2">
      <c r="A82" s="333"/>
      <c r="B82" s="334"/>
      <c r="C82" s="335"/>
      <c r="D82" s="335"/>
      <c r="E82" s="336"/>
      <c r="G82" s="336"/>
      <c r="H82" s="337"/>
      <c r="BJ82" s="50"/>
    </row>
    <row r="83" spans="1:62" x14ac:dyDescent="0.2">
      <c r="A83" s="333"/>
      <c r="B83" s="334"/>
      <c r="C83" s="335"/>
      <c r="D83" s="335"/>
      <c r="E83" s="336"/>
      <c r="G83" s="336"/>
      <c r="H83" s="337"/>
      <c r="BJ83" s="50"/>
    </row>
    <row r="84" spans="1:62" x14ac:dyDescent="0.2">
      <c r="A84" s="333"/>
      <c r="B84" s="334"/>
      <c r="C84" s="335"/>
      <c r="D84" s="335"/>
      <c r="E84" s="336"/>
      <c r="G84" s="336"/>
      <c r="H84" s="337"/>
      <c r="BJ84" s="50"/>
    </row>
    <row r="85" spans="1:62" x14ac:dyDescent="0.2">
      <c r="A85" s="333"/>
      <c r="B85" s="334"/>
      <c r="C85" s="335"/>
      <c r="D85" s="335"/>
      <c r="E85" s="336"/>
      <c r="G85" s="336"/>
      <c r="H85" s="337"/>
      <c r="BJ85" s="50"/>
    </row>
    <row r="86" spans="1:62" x14ac:dyDescent="0.2">
      <c r="A86" s="333"/>
      <c r="B86" s="334"/>
      <c r="C86" s="335"/>
      <c r="D86" s="335"/>
      <c r="E86" s="336"/>
      <c r="G86" s="336"/>
      <c r="H86" s="337"/>
      <c r="BJ86" s="50"/>
    </row>
    <row r="87" spans="1:62" x14ac:dyDescent="0.2">
      <c r="A87" s="333"/>
      <c r="B87" s="334"/>
      <c r="C87" s="335"/>
      <c r="D87" s="335"/>
      <c r="E87" s="336"/>
      <c r="G87" s="336"/>
      <c r="H87" s="337"/>
      <c r="BJ87" s="50"/>
    </row>
    <row r="88" spans="1:62" x14ac:dyDescent="0.2">
      <c r="A88" s="333"/>
      <c r="B88" s="334"/>
      <c r="C88" s="335"/>
      <c r="D88" s="335"/>
      <c r="E88" s="336"/>
      <c r="G88" s="336"/>
      <c r="H88" s="337"/>
      <c r="BJ88" s="50"/>
    </row>
    <row r="89" spans="1:62" x14ac:dyDescent="0.2">
      <c r="A89" s="333"/>
      <c r="B89" s="334"/>
      <c r="C89" s="335"/>
      <c r="D89" s="335"/>
      <c r="E89" s="336"/>
      <c r="G89" s="336"/>
      <c r="H89" s="337"/>
      <c r="BJ89" s="50"/>
    </row>
    <row r="90" spans="1:62" x14ac:dyDescent="0.2">
      <c r="A90" s="333"/>
      <c r="B90" s="334"/>
      <c r="C90" s="335"/>
      <c r="D90" s="335"/>
      <c r="E90" s="336"/>
      <c r="G90" s="336"/>
      <c r="H90" s="337"/>
      <c r="BJ90" s="50"/>
    </row>
    <row r="91" spans="1:62" x14ac:dyDescent="0.2">
      <c r="A91" s="333"/>
      <c r="B91" s="334"/>
      <c r="C91" s="335"/>
      <c r="D91" s="335"/>
      <c r="E91" s="336"/>
      <c r="G91" s="336"/>
      <c r="H91" s="337"/>
      <c r="BJ91" s="50"/>
    </row>
    <row r="92" spans="1:62" x14ac:dyDescent="0.2">
      <c r="A92" s="333"/>
      <c r="B92" s="334"/>
      <c r="C92" s="335"/>
      <c r="D92" s="335"/>
      <c r="E92" s="336"/>
      <c r="G92" s="336"/>
      <c r="H92" s="337"/>
      <c r="BJ92" s="50"/>
    </row>
    <row r="93" spans="1:62" x14ac:dyDescent="0.2">
      <c r="A93" s="333"/>
      <c r="B93" s="334"/>
      <c r="C93" s="335"/>
      <c r="D93" s="335"/>
      <c r="E93" s="336"/>
      <c r="G93" s="336"/>
      <c r="H93" s="337"/>
      <c r="BJ93" s="50"/>
    </row>
    <row r="94" spans="1:62" x14ac:dyDescent="0.2">
      <c r="A94" s="333"/>
      <c r="B94" s="334"/>
      <c r="C94" s="335"/>
      <c r="D94" s="335"/>
      <c r="E94" s="336"/>
      <c r="G94" s="336"/>
      <c r="H94" s="337"/>
      <c r="BJ94" s="50"/>
    </row>
    <row r="95" spans="1:62" x14ac:dyDescent="0.2">
      <c r="A95" s="333"/>
      <c r="B95" s="334"/>
      <c r="C95" s="335"/>
      <c r="D95" s="335"/>
      <c r="E95" s="336"/>
      <c r="G95" s="336"/>
      <c r="H95" s="337"/>
      <c r="BJ95" s="50"/>
    </row>
    <row r="96" spans="1:62" x14ac:dyDescent="0.2">
      <c r="A96" s="333"/>
      <c r="B96" s="334"/>
      <c r="C96" s="335"/>
      <c r="D96" s="335"/>
      <c r="E96" s="336"/>
      <c r="G96" s="336"/>
      <c r="H96" s="337"/>
      <c r="BJ96" s="50"/>
    </row>
    <row r="97" spans="1:62" x14ac:dyDescent="0.2">
      <c r="A97" s="333"/>
      <c r="B97" s="334"/>
      <c r="C97" s="335"/>
      <c r="D97" s="335"/>
      <c r="E97" s="336"/>
      <c r="G97" s="336"/>
      <c r="H97" s="337"/>
      <c r="BJ97" s="50"/>
    </row>
    <row r="98" spans="1:62" x14ac:dyDescent="0.2">
      <c r="A98" s="333"/>
      <c r="B98" s="334"/>
      <c r="C98" s="335"/>
      <c r="D98" s="335"/>
      <c r="E98" s="336"/>
      <c r="G98" s="336"/>
      <c r="H98" s="337"/>
      <c r="BJ98" s="50"/>
    </row>
    <row r="99" spans="1:62" x14ac:dyDescent="0.2">
      <c r="A99" s="333"/>
      <c r="B99" s="334"/>
      <c r="C99" s="335"/>
      <c r="D99" s="335"/>
      <c r="E99" s="336"/>
      <c r="G99" s="336"/>
      <c r="H99" s="337"/>
      <c r="BJ99" s="50"/>
    </row>
    <row r="100" spans="1:62" x14ac:dyDescent="0.2">
      <c r="A100" s="333"/>
      <c r="B100" s="334"/>
      <c r="C100" s="335"/>
      <c r="D100" s="335"/>
      <c r="E100" s="336"/>
      <c r="G100" s="336"/>
      <c r="H100" s="337"/>
      <c r="BJ100" s="50"/>
    </row>
    <row r="101" spans="1:62" x14ac:dyDescent="0.2">
      <c r="A101" s="333"/>
      <c r="B101" s="334"/>
      <c r="C101" s="335"/>
      <c r="D101" s="335"/>
      <c r="E101" s="336"/>
      <c r="G101" s="336"/>
      <c r="H101" s="337"/>
      <c r="BJ101" s="50"/>
    </row>
    <row r="102" spans="1:62" x14ac:dyDescent="0.2">
      <c r="A102" s="333"/>
      <c r="B102" s="334"/>
      <c r="C102" s="335"/>
      <c r="D102" s="335"/>
      <c r="E102" s="336"/>
      <c r="G102" s="336"/>
      <c r="H102" s="337"/>
      <c r="BJ102" s="50"/>
    </row>
    <row r="103" spans="1:62" x14ac:dyDescent="0.2">
      <c r="A103" s="333"/>
      <c r="B103" s="334"/>
      <c r="C103" s="335"/>
      <c r="D103" s="335"/>
      <c r="E103" s="336"/>
      <c r="G103" s="336"/>
      <c r="H103" s="337"/>
      <c r="BJ103" s="50"/>
    </row>
    <row r="104" spans="1:62" x14ac:dyDescent="0.2">
      <c r="A104" s="333"/>
      <c r="B104" s="334"/>
      <c r="C104" s="335"/>
      <c r="D104" s="335"/>
      <c r="E104" s="336"/>
      <c r="G104" s="336"/>
      <c r="H104" s="337"/>
      <c r="BJ104" s="50"/>
    </row>
    <row r="105" spans="1:62" x14ac:dyDescent="0.2">
      <c r="A105" s="333"/>
      <c r="B105" s="334"/>
      <c r="C105" s="335"/>
      <c r="D105" s="335"/>
      <c r="E105" s="336"/>
      <c r="G105" s="336"/>
      <c r="H105" s="337"/>
      <c r="BJ105" s="50"/>
    </row>
    <row r="106" spans="1:62" x14ac:dyDescent="0.2">
      <c r="A106" s="333"/>
      <c r="B106" s="334"/>
      <c r="C106" s="335"/>
      <c r="D106" s="335"/>
      <c r="E106" s="336"/>
      <c r="G106" s="336"/>
      <c r="H106" s="337"/>
      <c r="BJ106" s="50"/>
    </row>
    <row r="107" spans="1:62" x14ac:dyDescent="0.2">
      <c r="A107" s="333"/>
      <c r="B107" s="334"/>
      <c r="C107" s="335"/>
      <c r="D107" s="335"/>
      <c r="E107" s="336"/>
      <c r="G107" s="336"/>
      <c r="H107" s="337"/>
      <c r="BJ107" s="50"/>
    </row>
    <row r="108" spans="1:62" x14ac:dyDescent="0.2">
      <c r="A108" s="333"/>
      <c r="B108" s="334"/>
      <c r="C108" s="335"/>
      <c r="D108" s="335"/>
      <c r="E108" s="336"/>
      <c r="G108" s="336"/>
      <c r="H108" s="337"/>
      <c r="BJ108" s="50"/>
    </row>
    <row r="109" spans="1:62" x14ac:dyDescent="0.2">
      <c r="A109" s="333"/>
      <c r="B109" s="334"/>
      <c r="C109" s="335"/>
      <c r="D109" s="335"/>
      <c r="E109" s="336"/>
      <c r="G109" s="336"/>
      <c r="H109" s="337"/>
      <c r="BJ109" s="50"/>
    </row>
    <row r="110" spans="1:62" x14ac:dyDescent="0.2">
      <c r="A110" s="333"/>
      <c r="B110" s="334"/>
      <c r="C110" s="335"/>
      <c r="D110" s="335"/>
      <c r="E110" s="336"/>
      <c r="G110" s="336"/>
      <c r="H110" s="337"/>
      <c r="BJ110" s="50"/>
    </row>
    <row r="111" spans="1:62" x14ac:dyDescent="0.2">
      <c r="A111" s="333"/>
      <c r="B111" s="334"/>
      <c r="C111" s="335"/>
      <c r="D111" s="335"/>
      <c r="E111" s="336"/>
      <c r="G111" s="336"/>
      <c r="H111" s="337"/>
    </row>
    <row r="112" spans="1:62" x14ac:dyDescent="0.2">
      <c r="A112" s="333"/>
      <c r="B112" s="334"/>
      <c r="C112" s="335"/>
      <c r="D112" s="335"/>
      <c r="E112" s="336"/>
      <c r="G112" s="336"/>
      <c r="H112" s="337"/>
    </row>
    <row r="113" spans="1:8" x14ac:dyDescent="0.2">
      <c r="A113" s="333"/>
      <c r="B113" s="334"/>
      <c r="C113" s="335"/>
      <c r="D113" s="335"/>
      <c r="E113" s="336"/>
      <c r="G113" s="336"/>
      <c r="H113" s="337"/>
    </row>
    <row r="114" spans="1:8" x14ac:dyDescent="0.2">
      <c r="A114" s="333"/>
      <c r="B114" s="334"/>
      <c r="C114" s="335"/>
      <c r="D114" s="335"/>
      <c r="E114" s="336"/>
      <c r="G114" s="336"/>
      <c r="H114" s="337"/>
    </row>
    <row r="115" spans="1:8" x14ac:dyDescent="0.2">
      <c r="A115" s="333"/>
      <c r="B115" s="334"/>
      <c r="C115" s="335"/>
      <c r="D115" s="335"/>
      <c r="E115" s="336"/>
      <c r="G115" s="336"/>
      <c r="H115" s="337"/>
    </row>
    <row r="116" spans="1:8" x14ac:dyDescent="0.2">
      <c r="A116" s="333"/>
      <c r="B116" s="334"/>
      <c r="C116" s="335"/>
      <c r="D116" s="335"/>
      <c r="E116" s="336"/>
      <c r="G116" s="336"/>
      <c r="H116" s="337"/>
    </row>
    <row r="117" spans="1:8" x14ac:dyDescent="0.2">
      <c r="A117" s="333"/>
      <c r="B117" s="334"/>
      <c r="C117" s="335"/>
      <c r="D117" s="335"/>
      <c r="E117" s="336"/>
      <c r="G117" s="336"/>
      <c r="H117" s="337"/>
    </row>
    <row r="118" spans="1:8" x14ac:dyDescent="0.2">
      <c r="A118" s="333"/>
      <c r="B118" s="334"/>
      <c r="C118" s="335"/>
      <c r="D118" s="335"/>
      <c r="E118" s="336"/>
      <c r="G118" s="336"/>
      <c r="H118" s="337"/>
    </row>
  </sheetData>
  <mergeCells count="370">
    <mergeCell ref="G65:G67"/>
    <mergeCell ref="H65:H67"/>
    <mergeCell ref="A68:A70"/>
    <mergeCell ref="B68:B70"/>
    <mergeCell ref="C68:C70"/>
    <mergeCell ref="D68:D70"/>
    <mergeCell ref="E68:E70"/>
    <mergeCell ref="F68:F70"/>
    <mergeCell ref="G68:G70"/>
    <mergeCell ref="H68:H70"/>
    <mergeCell ref="A65:A67"/>
    <mergeCell ref="B65:B67"/>
    <mergeCell ref="C65:C67"/>
    <mergeCell ref="D65:D67"/>
    <mergeCell ref="E65:E67"/>
    <mergeCell ref="F65:F67"/>
    <mergeCell ref="G59:G61"/>
    <mergeCell ref="H59:H61"/>
    <mergeCell ref="A62:A64"/>
    <mergeCell ref="B62:B64"/>
    <mergeCell ref="C62:C64"/>
    <mergeCell ref="D62:D64"/>
    <mergeCell ref="E62:E64"/>
    <mergeCell ref="F62:F64"/>
    <mergeCell ref="G62:G64"/>
    <mergeCell ref="H62:H64"/>
    <mergeCell ref="A59:A61"/>
    <mergeCell ref="B59:B61"/>
    <mergeCell ref="C59:C61"/>
    <mergeCell ref="D59:D61"/>
    <mergeCell ref="E59:E61"/>
    <mergeCell ref="F59:F61"/>
    <mergeCell ref="G53:G55"/>
    <mergeCell ref="H53:H55"/>
    <mergeCell ref="A56:A58"/>
    <mergeCell ref="B56:B58"/>
    <mergeCell ref="C56:C58"/>
    <mergeCell ref="D56:D58"/>
    <mergeCell ref="E56:E58"/>
    <mergeCell ref="F56:F58"/>
    <mergeCell ref="G56:G58"/>
    <mergeCell ref="H56:H58"/>
    <mergeCell ref="A53:A55"/>
    <mergeCell ref="B53:B55"/>
    <mergeCell ref="C53:C55"/>
    <mergeCell ref="D53:D55"/>
    <mergeCell ref="E53:E55"/>
    <mergeCell ref="F53:F55"/>
    <mergeCell ref="G47:G49"/>
    <mergeCell ref="H47:H49"/>
    <mergeCell ref="A50:A52"/>
    <mergeCell ref="B50:B52"/>
    <mergeCell ref="C50:C52"/>
    <mergeCell ref="D50:D52"/>
    <mergeCell ref="E50:E52"/>
    <mergeCell ref="F50:F52"/>
    <mergeCell ref="G50:G52"/>
    <mergeCell ref="H50:H52"/>
    <mergeCell ref="A47:A49"/>
    <mergeCell ref="B47:B49"/>
    <mergeCell ref="C47:C49"/>
    <mergeCell ref="D47:D49"/>
    <mergeCell ref="E47:E49"/>
    <mergeCell ref="F47:F49"/>
    <mergeCell ref="G41:G43"/>
    <mergeCell ref="H41:H43"/>
    <mergeCell ref="A44:A46"/>
    <mergeCell ref="B44:B46"/>
    <mergeCell ref="C44:C46"/>
    <mergeCell ref="D44:D46"/>
    <mergeCell ref="E44:E46"/>
    <mergeCell ref="F44:F46"/>
    <mergeCell ref="G44:G46"/>
    <mergeCell ref="H44:H46"/>
    <mergeCell ref="A41:A43"/>
    <mergeCell ref="B41:B43"/>
    <mergeCell ref="C41:C43"/>
    <mergeCell ref="D41:D43"/>
    <mergeCell ref="E41:E43"/>
    <mergeCell ref="F41:F43"/>
    <mergeCell ref="G35:G37"/>
    <mergeCell ref="H35:H37"/>
    <mergeCell ref="A38:A40"/>
    <mergeCell ref="B38:B40"/>
    <mergeCell ref="C38:C40"/>
    <mergeCell ref="D38:D40"/>
    <mergeCell ref="E38:E40"/>
    <mergeCell ref="F38:F40"/>
    <mergeCell ref="G38:G40"/>
    <mergeCell ref="H38:H40"/>
    <mergeCell ref="A35:A37"/>
    <mergeCell ref="B35:B37"/>
    <mergeCell ref="C35:C37"/>
    <mergeCell ref="D35:D37"/>
    <mergeCell ref="E35:E37"/>
    <mergeCell ref="F35:F37"/>
    <mergeCell ref="G29:G31"/>
    <mergeCell ref="H29:H31"/>
    <mergeCell ref="A32:A34"/>
    <mergeCell ref="B32:B34"/>
    <mergeCell ref="C32:C34"/>
    <mergeCell ref="D32:D34"/>
    <mergeCell ref="E32:E34"/>
    <mergeCell ref="F32:F34"/>
    <mergeCell ref="G32:G34"/>
    <mergeCell ref="H32:H34"/>
    <mergeCell ref="A29:A31"/>
    <mergeCell ref="B29:B31"/>
    <mergeCell ref="C29:C31"/>
    <mergeCell ref="D29:D31"/>
    <mergeCell ref="E29:E31"/>
    <mergeCell ref="F29:F31"/>
    <mergeCell ref="G23:G25"/>
    <mergeCell ref="H23:H25"/>
    <mergeCell ref="A26:A28"/>
    <mergeCell ref="B26:B28"/>
    <mergeCell ref="C26:C28"/>
    <mergeCell ref="D26:D28"/>
    <mergeCell ref="E26:E28"/>
    <mergeCell ref="F26:F28"/>
    <mergeCell ref="G26:G28"/>
    <mergeCell ref="H26:H28"/>
    <mergeCell ref="A23:A25"/>
    <mergeCell ref="B23:B25"/>
    <mergeCell ref="C23:C25"/>
    <mergeCell ref="D23:D25"/>
    <mergeCell ref="E23:E25"/>
    <mergeCell ref="F23:F25"/>
    <mergeCell ref="G17:G19"/>
    <mergeCell ref="H17:H19"/>
    <mergeCell ref="A20:A22"/>
    <mergeCell ref="B20:B22"/>
    <mergeCell ref="C20:C22"/>
    <mergeCell ref="D20:D22"/>
    <mergeCell ref="E20:E22"/>
    <mergeCell ref="F20:F22"/>
    <mergeCell ref="G20:G22"/>
    <mergeCell ref="H20:H22"/>
    <mergeCell ref="A17:A19"/>
    <mergeCell ref="B17:B19"/>
    <mergeCell ref="C17:C19"/>
    <mergeCell ref="D17:D19"/>
    <mergeCell ref="E17:E19"/>
    <mergeCell ref="F17:F19"/>
    <mergeCell ref="G11:G13"/>
    <mergeCell ref="H11:H13"/>
    <mergeCell ref="A14:A16"/>
    <mergeCell ref="B14:B16"/>
    <mergeCell ref="C14:C16"/>
    <mergeCell ref="D14:D16"/>
    <mergeCell ref="E14:E16"/>
    <mergeCell ref="F14:F16"/>
    <mergeCell ref="G14:G16"/>
    <mergeCell ref="H14:H16"/>
    <mergeCell ref="A11:A13"/>
    <mergeCell ref="B11:B13"/>
    <mergeCell ref="C11:C13"/>
    <mergeCell ref="D11:D13"/>
    <mergeCell ref="E11:E13"/>
    <mergeCell ref="F11:F13"/>
    <mergeCell ref="G5:G7"/>
    <mergeCell ref="H5:H7"/>
    <mergeCell ref="A8:A10"/>
    <mergeCell ref="B8:B10"/>
    <mergeCell ref="C8:C10"/>
    <mergeCell ref="D8:D10"/>
    <mergeCell ref="E8:E10"/>
    <mergeCell ref="F8:F10"/>
    <mergeCell ref="G8:G10"/>
    <mergeCell ref="H8:H10"/>
    <mergeCell ref="CT3:CT4"/>
    <mergeCell ref="CU3:CU4"/>
    <mergeCell ref="CV3:CV4"/>
    <mergeCell ref="CW3:CW4"/>
    <mergeCell ref="A5:A7"/>
    <mergeCell ref="B5:B7"/>
    <mergeCell ref="C5:C7"/>
    <mergeCell ref="D5:D7"/>
    <mergeCell ref="E5:E7"/>
    <mergeCell ref="F5:F7"/>
    <mergeCell ref="CN3:CN4"/>
    <mergeCell ref="CO3:CO4"/>
    <mergeCell ref="CP3:CP4"/>
    <mergeCell ref="CQ3:CQ4"/>
    <mergeCell ref="CR3:CR4"/>
    <mergeCell ref="CS3:CS4"/>
    <mergeCell ref="CH3:CH4"/>
    <mergeCell ref="CI3:CI4"/>
    <mergeCell ref="CJ3:CJ4"/>
    <mergeCell ref="CK3:CK4"/>
    <mergeCell ref="CL3:CL4"/>
    <mergeCell ref="CM3:CM4"/>
    <mergeCell ref="CB3:CB4"/>
    <mergeCell ref="CC3:CC4"/>
    <mergeCell ref="CD3:CD4"/>
    <mergeCell ref="CE3:CE4"/>
    <mergeCell ref="CF3:CF4"/>
    <mergeCell ref="CG3:CG4"/>
    <mergeCell ref="BV3:BV4"/>
    <mergeCell ref="BW3:BW4"/>
    <mergeCell ref="BX3:BX4"/>
    <mergeCell ref="BY3:BY4"/>
    <mergeCell ref="BZ3:BZ4"/>
    <mergeCell ref="CA3:CA4"/>
    <mergeCell ref="BP3:BP4"/>
    <mergeCell ref="BQ3:BQ4"/>
    <mergeCell ref="BR3:BR4"/>
    <mergeCell ref="BS3:BS4"/>
    <mergeCell ref="BT3:BT4"/>
    <mergeCell ref="BU3:BU4"/>
    <mergeCell ref="BJ3:BJ4"/>
    <mergeCell ref="BK3:BK4"/>
    <mergeCell ref="BL3:BL4"/>
    <mergeCell ref="BM3:BM4"/>
    <mergeCell ref="BN3:BN4"/>
    <mergeCell ref="BO3:BO4"/>
    <mergeCell ref="BD3:BD4"/>
    <mergeCell ref="BE3:BE4"/>
    <mergeCell ref="BF3:BF4"/>
    <mergeCell ref="BG3:BG4"/>
    <mergeCell ref="BH3:BH4"/>
    <mergeCell ref="BI3:BI4"/>
    <mergeCell ref="AX3:AX4"/>
    <mergeCell ref="AY3:AY4"/>
    <mergeCell ref="AZ3:AZ4"/>
    <mergeCell ref="BA3:BA4"/>
    <mergeCell ref="BB3:BB4"/>
    <mergeCell ref="BC3:BC4"/>
    <mergeCell ref="AR3:AR4"/>
    <mergeCell ref="AS3:AS4"/>
    <mergeCell ref="AT3:AT4"/>
    <mergeCell ref="AU3:AU4"/>
    <mergeCell ref="AV3:AV4"/>
    <mergeCell ref="AW3:AW4"/>
    <mergeCell ref="AL3:AL4"/>
    <mergeCell ref="AM3:AM4"/>
    <mergeCell ref="AN3:AN4"/>
    <mergeCell ref="AO3:AO4"/>
    <mergeCell ref="AP3:AP4"/>
    <mergeCell ref="AQ3:AQ4"/>
    <mergeCell ref="AF3:AF4"/>
    <mergeCell ref="AG3:AG4"/>
    <mergeCell ref="AH3:AH4"/>
    <mergeCell ref="AI3:AI4"/>
    <mergeCell ref="AJ3:AJ4"/>
    <mergeCell ref="AK3:AK4"/>
    <mergeCell ref="Z3:Z4"/>
    <mergeCell ref="AA3:AA4"/>
    <mergeCell ref="AB3:AB4"/>
    <mergeCell ref="AC3:AC4"/>
    <mergeCell ref="AD3:AD4"/>
    <mergeCell ref="AE3:AE4"/>
    <mergeCell ref="T3:T4"/>
    <mergeCell ref="U3:U4"/>
    <mergeCell ref="V3:V4"/>
    <mergeCell ref="W3:W4"/>
    <mergeCell ref="X3:X4"/>
    <mergeCell ref="Y3:Y4"/>
    <mergeCell ref="N3:N4"/>
    <mergeCell ref="O3:O4"/>
    <mergeCell ref="P3:P4"/>
    <mergeCell ref="Q3:Q4"/>
    <mergeCell ref="R3:R4"/>
    <mergeCell ref="S3:S4"/>
    <mergeCell ref="CS1:CS2"/>
    <mergeCell ref="CT1:CT2"/>
    <mergeCell ref="CU1:CU2"/>
    <mergeCell ref="CV1:CV2"/>
    <mergeCell ref="CW1:CW2"/>
    <mergeCell ref="I3:I4"/>
    <mergeCell ref="J3:J4"/>
    <mergeCell ref="K3:K4"/>
    <mergeCell ref="L3:L4"/>
    <mergeCell ref="M3:M4"/>
    <mergeCell ref="CM1:CM2"/>
    <mergeCell ref="CN1:CN2"/>
    <mergeCell ref="CO1:CO2"/>
    <mergeCell ref="CP1:CP2"/>
    <mergeCell ref="CQ1:CQ2"/>
    <mergeCell ref="CR1:CR2"/>
    <mergeCell ref="CG1:CG2"/>
    <mergeCell ref="CH1:CH2"/>
    <mergeCell ref="CI1:CI2"/>
    <mergeCell ref="CJ1:CJ2"/>
    <mergeCell ref="CK1:CK2"/>
    <mergeCell ref="CL1:CL2"/>
    <mergeCell ref="CA1:CA2"/>
    <mergeCell ref="CB1:CB2"/>
    <mergeCell ref="CC1:CC2"/>
    <mergeCell ref="CD1:CD2"/>
    <mergeCell ref="CE1:CE2"/>
    <mergeCell ref="CF1:CF2"/>
    <mergeCell ref="BU1:BU2"/>
    <mergeCell ref="BV1:BV2"/>
    <mergeCell ref="BW1:BW2"/>
    <mergeCell ref="BX1:BX2"/>
    <mergeCell ref="BY1:BY2"/>
    <mergeCell ref="BZ1:BZ2"/>
    <mergeCell ref="BO1:BO2"/>
    <mergeCell ref="BP1:BP2"/>
    <mergeCell ref="BQ1:BQ2"/>
    <mergeCell ref="BR1:BR2"/>
    <mergeCell ref="BS1:BS2"/>
    <mergeCell ref="BT1:BT2"/>
    <mergeCell ref="BI1:BI2"/>
    <mergeCell ref="BJ1:BJ2"/>
    <mergeCell ref="BK1:BK2"/>
    <mergeCell ref="BL1:BL2"/>
    <mergeCell ref="BM1:BM2"/>
    <mergeCell ref="BN1:BN2"/>
    <mergeCell ref="BC1:BC2"/>
    <mergeCell ref="BD1:BD2"/>
    <mergeCell ref="BE1:BE2"/>
    <mergeCell ref="BF1:BF2"/>
    <mergeCell ref="BG1:BG2"/>
    <mergeCell ref="BH1:BH2"/>
    <mergeCell ref="AW1:AW2"/>
    <mergeCell ref="AX1:AX2"/>
    <mergeCell ref="AY1:AY2"/>
    <mergeCell ref="AZ1:AZ2"/>
    <mergeCell ref="BA1:BA2"/>
    <mergeCell ref="BB1:BB2"/>
    <mergeCell ref="AQ1:AQ2"/>
    <mergeCell ref="AR1:AR2"/>
    <mergeCell ref="AS1:AS2"/>
    <mergeCell ref="AT1:AT2"/>
    <mergeCell ref="AU1:AU2"/>
    <mergeCell ref="AV1:AV2"/>
    <mergeCell ref="AK1:AK2"/>
    <mergeCell ref="AL1:AL2"/>
    <mergeCell ref="AM1:AM2"/>
    <mergeCell ref="AN1:AN2"/>
    <mergeCell ref="AO1:AO2"/>
    <mergeCell ref="AP1:AP2"/>
    <mergeCell ref="AE1:AE2"/>
    <mergeCell ref="AF1:AF2"/>
    <mergeCell ref="AG1:AG2"/>
    <mergeCell ref="AH1:AH2"/>
    <mergeCell ref="AI1:AI2"/>
    <mergeCell ref="AJ1:AJ2"/>
    <mergeCell ref="Y1:Y2"/>
    <mergeCell ref="Z1:Z2"/>
    <mergeCell ref="AA1:AA2"/>
    <mergeCell ref="AB1:AB2"/>
    <mergeCell ref="AC1:AC2"/>
    <mergeCell ref="AD1:AD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4"/>
    <mergeCell ref="H1:H4"/>
    <mergeCell ref="I1:I2"/>
    <mergeCell ref="J1:J2"/>
    <mergeCell ref="K1:K2"/>
    <mergeCell ref="L1:L2"/>
    <mergeCell ref="A1:A4"/>
    <mergeCell ref="B1:B4"/>
    <mergeCell ref="C1:C4"/>
    <mergeCell ref="D1:D4"/>
    <mergeCell ref="E1:E4"/>
    <mergeCell ref="F1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CE21-D398-C347-83F7-C4D4340C606B}">
  <dimension ref="A1:CA43"/>
  <sheetViews>
    <sheetView tabSelected="1" topLeftCell="AX8" workbookViewId="0">
      <selection activeCell="Y38" sqref="Y38"/>
    </sheetView>
  </sheetViews>
  <sheetFormatPr baseColWidth="10" defaultColWidth="10.83203125" defaultRowHeight="16" x14ac:dyDescent="0.2"/>
  <cols>
    <col min="1" max="1" width="13" style="49" customWidth="1"/>
    <col min="2" max="2" width="10.33203125" style="130" customWidth="1"/>
    <col min="3" max="3" width="14.83203125" style="130" customWidth="1"/>
    <col min="4" max="4" width="12.33203125" style="45" customWidth="1"/>
    <col min="5" max="5" width="10.33203125" style="132" customWidth="1"/>
    <col min="6" max="6" width="12.1640625" style="45" customWidth="1"/>
    <col min="7" max="7" width="32.83203125" style="160" customWidth="1"/>
    <col min="8" max="33" width="10.83203125" style="45"/>
    <col min="34" max="34" width="10.83203125" style="49"/>
    <col min="35" max="48" width="10.83203125" style="45"/>
    <col min="49" max="49" width="10.83203125" style="49"/>
    <col min="50" max="50" width="10.83203125" style="80"/>
    <col min="51" max="51" width="10.83203125" style="45"/>
    <col min="52" max="52" width="14" style="45" customWidth="1"/>
    <col min="53" max="53" width="13.1640625" style="49" customWidth="1"/>
    <col min="54" max="56" width="10.83203125" style="45"/>
    <col min="57" max="57" width="10.83203125" style="49"/>
    <col min="58" max="16384" width="10.83203125" style="45"/>
  </cols>
  <sheetData>
    <row r="1" spans="1:79" s="15" customFormat="1" ht="16" customHeight="1" x14ac:dyDescent="0.2">
      <c r="A1" s="1" t="s">
        <v>0</v>
      </c>
      <c r="B1" s="2" t="s">
        <v>1</v>
      </c>
      <c r="C1" s="2" t="s">
        <v>3</v>
      </c>
      <c r="D1" s="3" t="s">
        <v>4</v>
      </c>
      <c r="E1" s="3" t="s">
        <v>5</v>
      </c>
      <c r="F1" s="3" t="s">
        <v>6</v>
      </c>
      <c r="G1" s="4" t="s">
        <v>7</v>
      </c>
      <c r="H1" s="280" t="s">
        <v>8</v>
      </c>
      <c r="I1" s="280" t="s">
        <v>9</v>
      </c>
      <c r="J1" s="5"/>
      <c r="K1" s="280"/>
      <c r="L1" s="5"/>
      <c r="M1" s="280"/>
      <c r="N1" s="280"/>
      <c r="O1" s="5" t="s">
        <v>307</v>
      </c>
      <c r="P1" s="5"/>
      <c r="Q1" s="5" t="s">
        <v>17</v>
      </c>
      <c r="R1" s="5"/>
      <c r="S1" s="280" t="s">
        <v>308</v>
      </c>
      <c r="T1" s="280"/>
      <c r="U1" s="280"/>
      <c r="V1" s="280"/>
      <c r="W1" s="280"/>
      <c r="X1" s="5" t="s">
        <v>309</v>
      </c>
      <c r="Y1" s="5"/>
      <c r="Z1" s="280" t="s">
        <v>310</v>
      </c>
      <c r="AA1" s="20"/>
      <c r="AB1" s="280"/>
      <c r="AC1" s="280" t="s">
        <v>311</v>
      </c>
      <c r="AD1" s="280" t="s">
        <v>312</v>
      </c>
      <c r="AE1" s="280"/>
      <c r="AF1" s="5" t="s">
        <v>313</v>
      </c>
      <c r="AG1" s="281"/>
      <c r="AH1" s="339" t="s">
        <v>24</v>
      </c>
      <c r="AI1" s="5" t="s">
        <v>25</v>
      </c>
      <c r="AJ1" s="5"/>
      <c r="AK1" s="5"/>
      <c r="AL1" s="5"/>
      <c r="AM1" s="5"/>
      <c r="AN1" s="5"/>
      <c r="AO1" s="5"/>
      <c r="AP1" s="5"/>
      <c r="AQ1" s="280"/>
      <c r="AR1" s="5"/>
      <c r="AS1" s="5"/>
      <c r="AT1" s="5"/>
      <c r="AU1" s="5"/>
      <c r="AV1" s="5"/>
      <c r="AW1" s="13"/>
      <c r="AX1" s="413" t="s">
        <v>26</v>
      </c>
      <c r="AY1" s="280"/>
      <c r="AZ1" s="414"/>
      <c r="BA1" s="285"/>
      <c r="BB1" s="280" t="s">
        <v>27</v>
      </c>
      <c r="BC1" s="280"/>
      <c r="BD1" s="280"/>
      <c r="BE1" s="285"/>
      <c r="BF1" s="280" t="s">
        <v>28</v>
      </c>
      <c r="BG1" s="280"/>
      <c r="BH1" s="280"/>
      <c r="BI1" s="280"/>
      <c r="BJ1" s="280"/>
      <c r="BK1" s="280"/>
      <c r="BL1" s="280"/>
      <c r="BM1" s="280"/>
      <c r="BN1" s="280"/>
      <c r="BO1" s="280"/>
      <c r="BP1" s="280"/>
      <c r="BQ1" s="280"/>
      <c r="BR1" s="280"/>
      <c r="BS1" s="280"/>
      <c r="BT1" s="280"/>
      <c r="BU1" s="280"/>
      <c r="BV1" s="280"/>
      <c r="BW1" s="280"/>
      <c r="BX1" s="280"/>
      <c r="BY1" s="280"/>
      <c r="BZ1" s="280"/>
      <c r="CA1" s="280"/>
    </row>
    <row r="2" spans="1:79" s="15" customFormat="1" ht="63" customHeight="1" x14ac:dyDescent="0.2">
      <c r="A2" s="1"/>
      <c r="B2" s="2"/>
      <c r="C2" s="2"/>
      <c r="D2" s="3"/>
      <c r="E2" s="3"/>
      <c r="F2" s="3"/>
      <c r="G2" s="4"/>
      <c r="H2" s="280"/>
      <c r="I2" s="280"/>
      <c r="J2" s="5"/>
      <c r="K2" s="280"/>
      <c r="L2" s="5"/>
      <c r="M2" s="280"/>
      <c r="N2" s="280"/>
      <c r="O2" s="5"/>
      <c r="P2" s="5"/>
      <c r="Q2" s="5"/>
      <c r="R2" s="5"/>
      <c r="S2" s="280"/>
      <c r="T2" s="280"/>
      <c r="U2" s="280"/>
      <c r="V2" s="280"/>
      <c r="W2" s="280"/>
      <c r="X2" s="5"/>
      <c r="Y2" s="5"/>
      <c r="Z2" s="280"/>
      <c r="AA2" s="20"/>
      <c r="AB2" s="280"/>
      <c r="AC2" s="280"/>
      <c r="AD2" s="280"/>
      <c r="AE2" s="280"/>
      <c r="AF2" s="5"/>
      <c r="AG2" s="281"/>
      <c r="AH2" s="339"/>
      <c r="AI2" s="5"/>
      <c r="AJ2" s="5"/>
      <c r="AK2" s="5"/>
      <c r="AL2" s="5"/>
      <c r="AM2" s="5"/>
      <c r="AN2" s="5"/>
      <c r="AO2" s="5"/>
      <c r="AP2" s="5"/>
      <c r="AQ2" s="280"/>
      <c r="AR2" s="5"/>
      <c r="AS2" s="5"/>
      <c r="AT2" s="5"/>
      <c r="AU2" s="5"/>
      <c r="AV2" s="5"/>
      <c r="AW2" s="13"/>
      <c r="AX2" s="413"/>
      <c r="AY2" s="280"/>
      <c r="AZ2" s="414"/>
      <c r="BA2" s="285"/>
      <c r="BB2" s="280"/>
      <c r="BC2" s="280"/>
      <c r="BD2" s="280"/>
      <c r="BE2" s="285"/>
      <c r="BF2" s="280"/>
      <c r="BG2" s="280"/>
      <c r="BH2" s="280"/>
      <c r="BI2" s="280"/>
      <c r="BJ2" s="280"/>
      <c r="BK2" s="280"/>
      <c r="BL2" s="280"/>
      <c r="BM2" s="280"/>
      <c r="BN2" s="280"/>
      <c r="BO2" s="280"/>
      <c r="BP2" s="280"/>
      <c r="BQ2" s="280"/>
      <c r="BR2" s="280"/>
      <c r="BS2" s="280"/>
      <c r="BT2" s="280"/>
      <c r="BU2" s="280"/>
      <c r="BV2" s="280"/>
      <c r="BW2" s="280"/>
      <c r="BX2" s="280"/>
      <c r="BY2" s="280"/>
      <c r="BZ2" s="280"/>
      <c r="CA2" s="280"/>
    </row>
    <row r="3" spans="1:79" s="15" customFormat="1" ht="26" customHeight="1" x14ac:dyDescent="0.2">
      <c r="A3" s="1"/>
      <c r="B3" s="2"/>
      <c r="C3" s="2"/>
      <c r="D3" s="3"/>
      <c r="E3" s="3"/>
      <c r="F3" s="3"/>
      <c r="G3" s="4"/>
      <c r="H3" s="16" t="s">
        <v>29</v>
      </c>
      <c r="I3" s="17" t="s">
        <v>31</v>
      </c>
      <c r="J3" s="17" t="s">
        <v>32</v>
      </c>
      <c r="K3" s="17" t="s">
        <v>34</v>
      </c>
      <c r="L3" s="17" t="s">
        <v>36</v>
      </c>
      <c r="M3" s="17" t="s">
        <v>37</v>
      </c>
      <c r="N3" s="17" t="s">
        <v>38</v>
      </c>
      <c r="O3" s="20" t="s">
        <v>39</v>
      </c>
      <c r="P3" s="17" t="s">
        <v>40</v>
      </c>
      <c r="Q3" s="20" t="s">
        <v>54</v>
      </c>
      <c r="R3" s="20" t="s">
        <v>55</v>
      </c>
      <c r="S3" s="17" t="s">
        <v>41</v>
      </c>
      <c r="T3" s="17" t="s">
        <v>42</v>
      </c>
      <c r="U3" s="17" t="s">
        <v>43</v>
      </c>
      <c r="V3" s="17" t="s">
        <v>44</v>
      </c>
      <c r="W3" s="17" t="s">
        <v>45</v>
      </c>
      <c r="X3" s="17" t="s">
        <v>44</v>
      </c>
      <c r="Y3" s="17" t="s">
        <v>45</v>
      </c>
      <c r="Z3" s="17" t="s">
        <v>46</v>
      </c>
      <c r="AA3" s="17" t="s">
        <v>47</v>
      </c>
      <c r="AB3" s="17" t="s">
        <v>56</v>
      </c>
      <c r="AC3" s="17" t="s">
        <v>49</v>
      </c>
      <c r="AD3" s="17" t="s">
        <v>50</v>
      </c>
      <c r="AE3" s="17" t="s">
        <v>51</v>
      </c>
      <c r="AF3" s="17" t="s">
        <v>52</v>
      </c>
      <c r="AG3" s="286" t="s">
        <v>53</v>
      </c>
      <c r="AH3" s="287" t="s">
        <v>57</v>
      </c>
      <c r="AI3" s="17" t="s">
        <v>8</v>
      </c>
      <c r="AJ3" s="17" t="s">
        <v>58</v>
      </c>
      <c r="AK3" s="17" t="s">
        <v>59</v>
      </c>
      <c r="AL3" s="17" t="s">
        <v>60</v>
      </c>
      <c r="AM3" s="17" t="s">
        <v>61</v>
      </c>
      <c r="AN3" s="17" t="s">
        <v>62</v>
      </c>
      <c r="AO3" s="17" t="s">
        <v>63</v>
      </c>
      <c r="AP3" s="17" t="s">
        <v>64</v>
      </c>
      <c r="AQ3" s="17" t="s">
        <v>65</v>
      </c>
      <c r="AR3" s="17" t="s">
        <v>66</v>
      </c>
      <c r="AS3" s="17" t="s">
        <v>67</v>
      </c>
      <c r="AT3" s="17" t="s">
        <v>68</v>
      </c>
      <c r="AU3" s="17" t="s">
        <v>69</v>
      </c>
      <c r="AV3" s="17" t="s">
        <v>70</v>
      </c>
      <c r="AW3" s="24" t="s">
        <v>56</v>
      </c>
      <c r="AX3" s="17" t="s">
        <v>71</v>
      </c>
      <c r="AY3" s="17" t="s">
        <v>72</v>
      </c>
      <c r="AZ3" s="17" t="s">
        <v>73</v>
      </c>
      <c r="BA3" s="24" t="s">
        <v>74</v>
      </c>
      <c r="BB3" s="17" t="s">
        <v>75</v>
      </c>
      <c r="BC3" s="17" t="s">
        <v>76</v>
      </c>
      <c r="BD3" s="17" t="s">
        <v>77</v>
      </c>
      <c r="BE3" s="24" t="s">
        <v>78</v>
      </c>
      <c r="BF3" s="17" t="s">
        <v>79</v>
      </c>
      <c r="BG3" s="17" t="s">
        <v>263</v>
      </c>
      <c r="BH3" s="17" t="s">
        <v>82</v>
      </c>
      <c r="BI3" s="24" t="s">
        <v>83</v>
      </c>
      <c r="BJ3" s="17" t="s">
        <v>87</v>
      </c>
      <c r="BK3" s="17" t="s">
        <v>88</v>
      </c>
      <c r="BL3" s="24" t="s">
        <v>89</v>
      </c>
      <c r="BM3" s="17" t="s">
        <v>90</v>
      </c>
      <c r="BN3" s="17" t="s">
        <v>91</v>
      </c>
      <c r="BO3" s="24" t="s">
        <v>92</v>
      </c>
      <c r="BP3" s="17" t="s">
        <v>93</v>
      </c>
      <c r="BQ3" s="17" t="s">
        <v>94</v>
      </c>
      <c r="BR3" s="24" t="s">
        <v>95</v>
      </c>
      <c r="BS3" s="17" t="s">
        <v>96</v>
      </c>
      <c r="BT3" s="17" t="s">
        <v>97</v>
      </c>
      <c r="BU3" s="24" t="s">
        <v>98</v>
      </c>
      <c r="BV3" s="17" t="s">
        <v>99</v>
      </c>
      <c r="BW3" s="17" t="s">
        <v>100</v>
      </c>
      <c r="BX3" s="24" t="s">
        <v>101</v>
      </c>
      <c r="BY3" s="17" t="s">
        <v>102</v>
      </c>
      <c r="BZ3" s="17" t="s">
        <v>103</v>
      </c>
      <c r="CA3" s="24" t="s">
        <v>104</v>
      </c>
    </row>
    <row r="4" spans="1:79" s="15" customFormat="1" ht="72" customHeight="1" x14ac:dyDescent="0.2">
      <c r="A4" s="25"/>
      <c r="B4" s="26"/>
      <c r="C4" s="26"/>
      <c r="D4" s="27"/>
      <c r="E4" s="27"/>
      <c r="F4" s="27"/>
      <c r="G4" s="28"/>
      <c r="H4" s="29"/>
      <c r="I4" s="30"/>
      <c r="J4" s="30"/>
      <c r="K4" s="30"/>
      <c r="L4" s="30"/>
      <c r="M4" s="30"/>
      <c r="N4" s="30"/>
      <c r="O4" s="34"/>
      <c r="P4" s="30"/>
      <c r="Q4" s="34"/>
      <c r="R4" s="34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289"/>
      <c r="AH4" s="29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9"/>
      <c r="AX4" s="30"/>
      <c r="AY4" s="30"/>
      <c r="AZ4" s="30"/>
      <c r="BA4" s="39"/>
      <c r="BB4" s="30"/>
      <c r="BC4" s="30"/>
      <c r="BD4" s="30"/>
      <c r="BE4" s="39"/>
      <c r="BF4" s="30"/>
      <c r="BG4" s="30"/>
      <c r="BH4" s="30"/>
      <c r="BI4" s="39"/>
      <c r="BJ4" s="30"/>
      <c r="BK4" s="30"/>
      <c r="BL4" s="39"/>
      <c r="BM4" s="30"/>
      <c r="BN4" s="30"/>
      <c r="BO4" s="39"/>
      <c r="BP4" s="30"/>
      <c r="BQ4" s="30"/>
      <c r="BR4" s="39"/>
      <c r="BS4" s="30"/>
      <c r="BT4" s="30"/>
      <c r="BU4" s="39"/>
      <c r="BV4" s="30"/>
      <c r="BW4" s="30"/>
      <c r="BX4" s="39"/>
      <c r="BY4" s="30"/>
      <c r="BZ4" s="30"/>
      <c r="CA4" s="39"/>
    </row>
    <row r="5" spans="1:79" s="80" customFormat="1" x14ac:dyDescent="0.2">
      <c r="A5" s="203" t="s">
        <v>409</v>
      </c>
      <c r="B5" s="204" t="s">
        <v>410</v>
      </c>
      <c r="C5" s="204" t="s">
        <v>111</v>
      </c>
      <c r="D5" s="206" t="s">
        <v>124</v>
      </c>
      <c r="E5" s="207">
        <v>0</v>
      </c>
      <c r="F5" s="206" t="s">
        <v>113</v>
      </c>
      <c r="G5" s="161" t="s">
        <v>411</v>
      </c>
      <c r="H5" s="80" t="s">
        <v>115</v>
      </c>
      <c r="I5" s="80">
        <v>4</v>
      </c>
      <c r="J5" s="80">
        <v>1</v>
      </c>
      <c r="K5" s="80">
        <f>I5-J5</f>
        <v>3</v>
      </c>
      <c r="L5" s="80">
        <v>0</v>
      </c>
      <c r="M5" s="80">
        <v>79</v>
      </c>
      <c r="N5" s="80">
        <v>120</v>
      </c>
      <c r="O5" s="80" t="s">
        <v>115</v>
      </c>
      <c r="P5" s="80" t="s">
        <v>115</v>
      </c>
      <c r="Q5" s="80" t="s">
        <v>115</v>
      </c>
      <c r="R5" s="80" t="s">
        <v>115</v>
      </c>
      <c r="S5" s="80">
        <v>31</v>
      </c>
      <c r="T5" s="80">
        <v>12</v>
      </c>
      <c r="U5" s="80">
        <f>S5-T5</f>
        <v>19</v>
      </c>
      <c r="V5" s="80">
        <v>66</v>
      </c>
      <c r="W5" s="80">
        <v>68</v>
      </c>
      <c r="X5" s="80">
        <v>122</v>
      </c>
      <c r="Y5" s="80">
        <v>102</v>
      </c>
      <c r="Z5" s="80">
        <v>4</v>
      </c>
      <c r="AA5" s="80">
        <v>203</v>
      </c>
      <c r="AB5" s="80">
        <v>119</v>
      </c>
      <c r="AC5" s="80">
        <v>93</v>
      </c>
      <c r="AD5" s="80">
        <v>29</v>
      </c>
      <c r="AE5" s="80">
        <v>34</v>
      </c>
      <c r="AF5" s="80" t="s">
        <v>115</v>
      </c>
      <c r="AG5" s="80" t="s">
        <v>115</v>
      </c>
      <c r="AH5" s="81" t="s">
        <v>115</v>
      </c>
      <c r="AI5" s="80">
        <f>323+363</f>
        <v>686</v>
      </c>
      <c r="AJ5" s="80">
        <v>383</v>
      </c>
      <c r="AK5" s="80">
        <v>326</v>
      </c>
      <c r="AL5" s="80">
        <v>7</v>
      </c>
      <c r="AM5" s="80">
        <v>208</v>
      </c>
      <c r="AN5" s="80">
        <v>212</v>
      </c>
      <c r="AO5" s="80">
        <f>183+177</f>
        <v>360</v>
      </c>
      <c r="AP5" s="80">
        <v>64</v>
      </c>
      <c r="AQ5" s="140">
        <v>10</v>
      </c>
      <c r="AR5" s="80">
        <v>162</v>
      </c>
      <c r="AS5" s="80" t="s">
        <v>115</v>
      </c>
      <c r="AT5" s="80">
        <v>153</v>
      </c>
      <c r="AU5" s="80">
        <v>264</v>
      </c>
      <c r="AV5" s="80" t="s">
        <v>115</v>
      </c>
      <c r="AW5" s="81" t="s">
        <v>115</v>
      </c>
      <c r="AX5" s="147" t="s">
        <v>115</v>
      </c>
      <c r="AY5" s="51">
        <f>AO5/AP5</f>
        <v>5.625</v>
      </c>
      <c r="AZ5" s="51">
        <f>AJ5/AT5</f>
        <v>2.5032679738562091</v>
      </c>
      <c r="BA5" s="52">
        <f>AK5/AT5</f>
        <v>2.130718954248366</v>
      </c>
      <c r="BB5" s="80" t="s">
        <v>115</v>
      </c>
      <c r="BC5" s="80" t="s">
        <v>115</v>
      </c>
      <c r="BD5" s="80" t="s">
        <v>115</v>
      </c>
      <c r="BE5" s="81" t="s">
        <v>115</v>
      </c>
      <c r="BF5" s="415" t="s">
        <v>115</v>
      </c>
      <c r="BG5" s="416" t="s">
        <v>115</v>
      </c>
      <c r="BH5" s="416" t="s">
        <v>115</v>
      </c>
      <c r="BI5" s="417" t="s">
        <v>115</v>
      </c>
      <c r="BJ5" s="80" t="s">
        <v>115</v>
      </c>
      <c r="BK5" s="80" t="s">
        <v>115</v>
      </c>
      <c r="BL5" s="81" t="s">
        <v>115</v>
      </c>
      <c r="BM5" s="80" t="s">
        <v>115</v>
      </c>
      <c r="BN5" s="80" t="s">
        <v>115</v>
      </c>
      <c r="BO5" s="81" t="s">
        <v>115</v>
      </c>
      <c r="BP5" s="80" t="s">
        <v>115</v>
      </c>
      <c r="BQ5" s="80" t="s">
        <v>115</v>
      </c>
      <c r="BR5" s="81" t="s">
        <v>115</v>
      </c>
      <c r="BS5" s="80" t="s">
        <v>115</v>
      </c>
      <c r="BT5" s="80" t="s">
        <v>115</v>
      </c>
      <c r="BU5" s="81" t="s">
        <v>115</v>
      </c>
      <c r="BV5" s="80" t="s">
        <v>115</v>
      </c>
      <c r="BW5" s="80" t="s">
        <v>115</v>
      </c>
      <c r="BX5" s="81" t="s">
        <v>115</v>
      </c>
      <c r="BY5" s="80" t="s">
        <v>115</v>
      </c>
      <c r="BZ5" s="80" t="s">
        <v>115</v>
      </c>
      <c r="CA5" s="81" t="s">
        <v>115</v>
      </c>
    </row>
    <row r="6" spans="1:79" s="80" customFormat="1" x14ac:dyDescent="0.2">
      <c r="A6" s="203"/>
      <c r="B6" s="204"/>
      <c r="C6" s="204"/>
      <c r="D6" s="206"/>
      <c r="E6" s="207"/>
      <c r="F6" s="206"/>
      <c r="G6" s="161"/>
      <c r="V6" s="80">
        <v>74</v>
      </c>
      <c r="W6" s="80">
        <v>66</v>
      </c>
      <c r="AD6" s="80">
        <v>16</v>
      </c>
      <c r="AE6" s="80">
        <v>30</v>
      </c>
      <c r="AG6" s="146"/>
      <c r="AH6" s="49"/>
      <c r="AO6" s="80">
        <v>301</v>
      </c>
      <c r="AP6" s="80">
        <v>62</v>
      </c>
      <c r="AQ6" s="140">
        <v>9</v>
      </c>
      <c r="AR6" s="80">
        <v>153</v>
      </c>
      <c r="AS6" s="80" t="s">
        <v>115</v>
      </c>
      <c r="AW6" s="81"/>
      <c r="AX6" s="147"/>
      <c r="AY6" s="51">
        <f t="shared" ref="AY6:AY12" si="0">AO6/AP6</f>
        <v>4.854838709677419</v>
      </c>
      <c r="AZ6" s="51"/>
      <c r="BA6" s="52"/>
      <c r="BE6" s="81"/>
      <c r="BI6" s="81"/>
      <c r="BL6" s="81"/>
      <c r="BO6" s="81"/>
      <c r="BR6" s="81"/>
      <c r="BU6" s="81"/>
      <c r="BX6" s="81"/>
      <c r="CA6" s="81"/>
    </row>
    <row r="7" spans="1:79" s="80" customFormat="1" x14ac:dyDescent="0.2">
      <c r="A7" s="203"/>
      <c r="B7" s="204"/>
      <c r="C7" s="204"/>
      <c r="D7" s="206"/>
      <c r="E7" s="207"/>
      <c r="F7" s="206"/>
      <c r="G7" s="161"/>
      <c r="V7" s="80">
        <v>60</v>
      </c>
      <c r="W7" s="80">
        <v>71</v>
      </c>
      <c r="AD7" s="80">
        <v>29</v>
      </c>
      <c r="AE7" s="80">
        <v>25</v>
      </c>
      <c r="AH7" s="49"/>
      <c r="AO7" s="80">
        <f>128+157</f>
        <v>285</v>
      </c>
      <c r="AP7" s="80">
        <v>76</v>
      </c>
      <c r="AQ7" s="140">
        <v>11</v>
      </c>
      <c r="AR7" s="80">
        <v>166</v>
      </c>
      <c r="AS7" s="80" t="s">
        <v>115</v>
      </c>
      <c r="AW7" s="81"/>
      <c r="AX7" s="147"/>
      <c r="AY7" s="51">
        <f t="shared" si="0"/>
        <v>3.75</v>
      </c>
      <c r="AZ7" s="51"/>
      <c r="BA7" s="52"/>
      <c r="BE7" s="81"/>
      <c r="BI7" s="81"/>
      <c r="BL7" s="81"/>
      <c r="BO7" s="81"/>
      <c r="BR7" s="81"/>
      <c r="BU7" s="81"/>
      <c r="BX7" s="81"/>
      <c r="CA7" s="81"/>
    </row>
    <row r="8" spans="1:79" x14ac:dyDescent="0.2">
      <c r="A8" s="54" t="s">
        <v>412</v>
      </c>
      <c r="B8" s="55" t="s">
        <v>410</v>
      </c>
      <c r="C8" s="55" t="s">
        <v>111</v>
      </c>
      <c r="D8" s="57" t="s">
        <v>124</v>
      </c>
      <c r="E8" s="58">
        <v>0</v>
      </c>
      <c r="F8" s="57" t="s">
        <v>113</v>
      </c>
      <c r="G8" s="59" t="s">
        <v>413</v>
      </c>
      <c r="H8" s="60">
        <f>307+1164+1553</f>
        <v>3024</v>
      </c>
      <c r="I8" s="60">
        <v>5</v>
      </c>
      <c r="J8" s="60">
        <v>1</v>
      </c>
      <c r="K8" s="60">
        <f>I8-J8</f>
        <v>4</v>
      </c>
      <c r="L8" s="60">
        <v>0</v>
      </c>
      <c r="M8" s="60">
        <v>347</v>
      </c>
      <c r="N8" s="60">
        <v>145</v>
      </c>
      <c r="O8" s="60">
        <f>305+825</f>
        <v>1130</v>
      </c>
      <c r="P8" s="60">
        <v>206</v>
      </c>
      <c r="Q8" s="60" t="s">
        <v>115</v>
      </c>
      <c r="R8" s="60" t="s">
        <v>115</v>
      </c>
      <c r="S8" s="60">
        <v>31</v>
      </c>
      <c r="T8" s="60">
        <v>14</v>
      </c>
      <c r="U8" s="60">
        <f>S8-T8</f>
        <v>17</v>
      </c>
      <c r="V8" s="60">
        <v>67</v>
      </c>
      <c r="W8" s="60">
        <v>70</v>
      </c>
      <c r="X8" s="60">
        <v>113</v>
      </c>
      <c r="Y8" s="60">
        <v>126</v>
      </c>
      <c r="Z8" s="60">
        <v>4</v>
      </c>
      <c r="AA8" s="60">
        <v>232</v>
      </c>
      <c r="AB8" s="60">
        <v>114</v>
      </c>
      <c r="AC8" s="60">
        <v>105</v>
      </c>
      <c r="AD8" s="60">
        <v>27</v>
      </c>
      <c r="AE8" s="60">
        <v>33</v>
      </c>
      <c r="AF8" s="60">
        <f>320+338</f>
        <v>658</v>
      </c>
      <c r="AG8" s="61">
        <f>AF8/O8</f>
        <v>0.58230088495575216</v>
      </c>
      <c r="AH8" s="64" t="s">
        <v>115</v>
      </c>
      <c r="AI8" s="60">
        <f>620+411+286</f>
        <v>1317</v>
      </c>
      <c r="AJ8" s="60">
        <f>395+292</f>
        <v>687</v>
      </c>
      <c r="AK8" s="60">
        <v>632</v>
      </c>
      <c r="AL8" s="60">
        <v>0</v>
      </c>
      <c r="AM8" s="60">
        <v>139</v>
      </c>
      <c r="AN8" s="60">
        <v>144</v>
      </c>
      <c r="AO8" s="60">
        <v>604</v>
      </c>
      <c r="AP8" s="60">
        <v>50</v>
      </c>
      <c r="AQ8" s="65">
        <v>11</v>
      </c>
      <c r="AR8" s="60">
        <v>164</v>
      </c>
      <c r="AS8" s="60">
        <v>88</v>
      </c>
      <c r="AT8" s="60">
        <v>216</v>
      </c>
      <c r="AU8" s="60">
        <v>244</v>
      </c>
      <c r="AV8" s="60" t="s">
        <v>128</v>
      </c>
      <c r="AW8" s="64">
        <f>AU8</f>
        <v>244</v>
      </c>
      <c r="AX8" s="217">
        <f t="shared" ref="AX8:AX35" si="1">AJ8/AW8</f>
        <v>2.8155737704918034</v>
      </c>
      <c r="AY8" s="66">
        <f t="shared" si="0"/>
        <v>12.08</v>
      </c>
      <c r="AZ8" s="66">
        <f>AJ8/AT8</f>
        <v>3.1805555555555554</v>
      </c>
      <c r="BA8" s="67">
        <f t="shared" ref="BA8:BA35" si="2">AK8/AT8</f>
        <v>2.925925925925926</v>
      </c>
      <c r="BB8" s="60" t="s">
        <v>115</v>
      </c>
      <c r="BC8" s="60" t="s">
        <v>115</v>
      </c>
      <c r="BD8" s="60" t="s">
        <v>115</v>
      </c>
      <c r="BE8" s="64" t="s">
        <v>115</v>
      </c>
      <c r="BF8" s="60" t="s">
        <v>115</v>
      </c>
      <c r="BG8" s="60" t="s">
        <v>115</v>
      </c>
      <c r="BH8" s="60" t="s">
        <v>115</v>
      </c>
      <c r="BI8" s="64" t="s">
        <v>115</v>
      </c>
      <c r="BJ8" s="60" t="s">
        <v>115</v>
      </c>
      <c r="BK8" s="60" t="s">
        <v>115</v>
      </c>
      <c r="BL8" s="64" t="s">
        <v>115</v>
      </c>
      <c r="BM8" s="60" t="s">
        <v>115</v>
      </c>
      <c r="BN8" s="60" t="s">
        <v>115</v>
      </c>
      <c r="BO8" s="64" t="s">
        <v>115</v>
      </c>
      <c r="BP8" s="60" t="s">
        <v>115</v>
      </c>
      <c r="BQ8" s="60" t="s">
        <v>115</v>
      </c>
      <c r="BR8" s="64" t="s">
        <v>115</v>
      </c>
      <c r="BS8" s="60" t="s">
        <v>115</v>
      </c>
      <c r="BT8" s="60" t="s">
        <v>115</v>
      </c>
      <c r="BU8" s="64" t="s">
        <v>115</v>
      </c>
      <c r="BV8" s="60" t="s">
        <v>115</v>
      </c>
      <c r="BW8" s="60" t="s">
        <v>115</v>
      </c>
      <c r="BX8" s="64" t="s">
        <v>115</v>
      </c>
      <c r="BY8" s="60" t="s">
        <v>115</v>
      </c>
      <c r="BZ8" s="60" t="s">
        <v>115</v>
      </c>
      <c r="CA8" s="64" t="s">
        <v>115</v>
      </c>
    </row>
    <row r="9" spans="1:79" x14ac:dyDescent="0.2">
      <c r="A9" s="54"/>
      <c r="B9" s="55"/>
      <c r="C9" s="55"/>
      <c r="D9" s="57"/>
      <c r="E9" s="58"/>
      <c r="F9" s="57"/>
      <c r="G9" s="59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>
        <v>93</v>
      </c>
      <c r="W9" s="60">
        <v>83</v>
      </c>
      <c r="X9" s="60"/>
      <c r="Y9" s="60"/>
      <c r="Z9" s="60"/>
      <c r="AA9" s="60"/>
      <c r="AB9" s="60"/>
      <c r="AC9" s="60"/>
      <c r="AD9" s="60">
        <v>22</v>
      </c>
      <c r="AE9" s="60">
        <v>41</v>
      </c>
      <c r="AF9" s="60"/>
      <c r="AG9" s="60"/>
      <c r="AH9" s="64"/>
      <c r="AI9" s="60"/>
      <c r="AJ9" s="60"/>
      <c r="AK9" s="60"/>
      <c r="AL9" s="60"/>
      <c r="AM9" s="60"/>
      <c r="AN9" s="60"/>
      <c r="AO9" s="60">
        <v>610</v>
      </c>
      <c r="AP9" s="60">
        <v>68</v>
      </c>
      <c r="AQ9" s="65">
        <v>10</v>
      </c>
      <c r="AR9" s="60">
        <v>171</v>
      </c>
      <c r="AS9" s="60">
        <v>90</v>
      </c>
      <c r="AT9" s="60"/>
      <c r="AU9" s="60"/>
      <c r="AV9" s="60"/>
      <c r="AW9" s="64"/>
      <c r="AX9" s="217"/>
      <c r="AY9" s="66">
        <f t="shared" si="0"/>
        <v>8.9705882352941178</v>
      </c>
      <c r="AZ9" s="66"/>
      <c r="BA9" s="67"/>
      <c r="BB9" s="60"/>
      <c r="BC9" s="60"/>
      <c r="BD9" s="60"/>
      <c r="BE9" s="64"/>
      <c r="BF9" s="60"/>
      <c r="BG9" s="60"/>
      <c r="BH9" s="60"/>
      <c r="BI9" s="64"/>
      <c r="BJ9" s="60"/>
      <c r="BK9" s="60"/>
      <c r="BL9" s="64"/>
      <c r="BM9" s="60"/>
      <c r="BN9" s="60"/>
      <c r="BO9" s="64"/>
      <c r="BP9" s="60"/>
      <c r="BQ9" s="60"/>
      <c r="BR9" s="64"/>
      <c r="BS9" s="60"/>
      <c r="BT9" s="60"/>
      <c r="BU9" s="64"/>
      <c r="BV9" s="60"/>
      <c r="BW9" s="60"/>
      <c r="BX9" s="64"/>
      <c r="BY9" s="60"/>
      <c r="BZ9" s="60"/>
      <c r="CA9" s="64"/>
    </row>
    <row r="10" spans="1:79" x14ac:dyDescent="0.2">
      <c r="A10" s="54"/>
      <c r="B10" s="55"/>
      <c r="C10" s="55"/>
      <c r="D10" s="57"/>
      <c r="E10" s="58"/>
      <c r="F10" s="57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>
        <v>66</v>
      </c>
      <c r="W10" s="60">
        <v>53</v>
      </c>
      <c r="X10" s="60"/>
      <c r="Y10" s="60"/>
      <c r="Z10" s="60"/>
      <c r="AA10" s="60"/>
      <c r="AB10" s="60"/>
      <c r="AC10" s="60"/>
      <c r="AD10" s="60">
        <v>34</v>
      </c>
      <c r="AE10" s="60">
        <v>22</v>
      </c>
      <c r="AF10" s="60"/>
      <c r="AG10" s="60"/>
      <c r="AH10" s="64"/>
      <c r="AI10" s="60"/>
      <c r="AJ10" s="60"/>
      <c r="AK10" s="60"/>
      <c r="AL10" s="60"/>
      <c r="AM10" s="60"/>
      <c r="AN10" s="60"/>
      <c r="AO10" s="60">
        <v>607</v>
      </c>
      <c r="AP10" s="60">
        <v>51</v>
      </c>
      <c r="AQ10" s="65">
        <v>10</v>
      </c>
      <c r="AR10" s="60"/>
      <c r="AS10" s="60"/>
      <c r="AT10" s="60"/>
      <c r="AU10" s="60"/>
      <c r="AV10" s="60"/>
      <c r="AW10" s="64"/>
      <c r="AX10" s="217"/>
      <c r="AY10" s="66">
        <f t="shared" si="0"/>
        <v>11.901960784313726</v>
      </c>
      <c r="AZ10" s="66"/>
      <c r="BA10" s="67"/>
      <c r="BB10" s="60"/>
      <c r="BC10" s="60"/>
      <c r="BD10" s="60"/>
      <c r="BE10" s="64"/>
      <c r="BF10" s="75"/>
      <c r="BG10" s="60"/>
      <c r="BH10" s="60"/>
      <c r="BI10" s="64"/>
      <c r="BJ10" s="60"/>
      <c r="BK10" s="60"/>
      <c r="BL10" s="64"/>
      <c r="BM10" s="60"/>
      <c r="BN10" s="60"/>
      <c r="BO10" s="64"/>
      <c r="BP10" s="60"/>
      <c r="BQ10" s="60"/>
      <c r="BR10" s="64"/>
      <c r="BS10" s="60"/>
      <c r="BT10" s="60"/>
      <c r="BU10" s="64"/>
      <c r="BV10" s="60"/>
      <c r="BW10" s="60"/>
      <c r="BX10" s="64"/>
      <c r="BY10" s="60"/>
      <c r="BZ10" s="60"/>
      <c r="CA10" s="64"/>
    </row>
    <row r="11" spans="1:79" x14ac:dyDescent="0.2">
      <c r="A11" s="40" t="s">
        <v>414</v>
      </c>
      <c r="B11" s="41" t="s">
        <v>410</v>
      </c>
      <c r="C11" s="41" t="s">
        <v>111</v>
      </c>
      <c r="D11" s="43" t="s">
        <v>124</v>
      </c>
      <c r="E11" s="44">
        <v>0</v>
      </c>
      <c r="F11" s="43" t="s">
        <v>113</v>
      </c>
      <c r="G11" s="69" t="s">
        <v>415</v>
      </c>
      <c r="H11" s="45">
        <f>2422+1490+801+1700</f>
        <v>6413</v>
      </c>
      <c r="I11" s="45">
        <v>6</v>
      </c>
      <c r="J11" s="45">
        <v>2</v>
      </c>
      <c r="K11" s="45">
        <f>I11-J11</f>
        <v>4</v>
      </c>
      <c r="L11" s="45">
        <v>0</v>
      </c>
      <c r="M11" s="45">
        <v>267</v>
      </c>
      <c r="N11" s="45">
        <v>227</v>
      </c>
      <c r="O11" s="45">
        <f>528+724</f>
        <v>1252</v>
      </c>
      <c r="P11" s="45">
        <v>288</v>
      </c>
      <c r="Q11" s="45" t="s">
        <v>115</v>
      </c>
      <c r="R11" s="45" t="s">
        <v>115</v>
      </c>
      <c r="S11" s="45">
        <v>31</v>
      </c>
      <c r="T11" s="45">
        <v>15</v>
      </c>
      <c r="U11" s="45">
        <f>S11-T11</f>
        <v>16</v>
      </c>
      <c r="V11" s="45" t="s">
        <v>115</v>
      </c>
      <c r="W11" s="45" t="s">
        <v>115</v>
      </c>
      <c r="X11" s="45">
        <v>181</v>
      </c>
      <c r="Y11" s="45">
        <v>154</v>
      </c>
      <c r="Z11" s="45">
        <v>4</v>
      </c>
      <c r="AA11" s="45">
        <v>286</v>
      </c>
      <c r="AB11" s="45">
        <v>232</v>
      </c>
      <c r="AC11" s="45" t="s">
        <v>115</v>
      </c>
      <c r="AD11" s="45">
        <v>29</v>
      </c>
      <c r="AE11" s="45">
        <v>39</v>
      </c>
      <c r="AF11" s="45">
        <f>294+464</f>
        <v>758</v>
      </c>
      <c r="AG11" s="46">
        <f>AF11/O11</f>
        <v>0.60543130990415339</v>
      </c>
      <c r="AH11" s="49" t="s">
        <v>115</v>
      </c>
      <c r="AI11" s="45">
        <f>333+392</f>
        <v>725</v>
      </c>
      <c r="AJ11" s="45">
        <v>405</v>
      </c>
      <c r="AK11" s="45">
        <v>362</v>
      </c>
      <c r="AL11" s="45">
        <v>0</v>
      </c>
      <c r="AM11" s="45">
        <v>225</v>
      </c>
      <c r="AN11" s="45">
        <v>172</v>
      </c>
      <c r="AO11" s="45">
        <v>358</v>
      </c>
      <c r="AP11" s="45">
        <v>72</v>
      </c>
      <c r="AQ11" s="50">
        <v>12</v>
      </c>
      <c r="AR11" s="45" t="s">
        <v>115</v>
      </c>
      <c r="AS11" s="45" t="s">
        <v>115</v>
      </c>
      <c r="AT11" s="45" t="s">
        <v>115</v>
      </c>
      <c r="AU11" s="45" t="s">
        <v>115</v>
      </c>
      <c r="AV11" s="45" t="s">
        <v>115</v>
      </c>
      <c r="AW11" s="49" t="s">
        <v>115</v>
      </c>
      <c r="AX11" s="147" t="s">
        <v>115</v>
      </c>
      <c r="AY11" s="51">
        <f t="shared" si="0"/>
        <v>4.9722222222222223</v>
      </c>
      <c r="AZ11" s="51" t="s">
        <v>115</v>
      </c>
      <c r="BA11" s="52" t="s">
        <v>115</v>
      </c>
      <c r="BB11" s="80" t="s">
        <v>115</v>
      </c>
      <c r="BC11" s="80" t="s">
        <v>115</v>
      </c>
      <c r="BD11" s="80" t="s">
        <v>115</v>
      </c>
      <c r="BE11" s="81" t="s">
        <v>115</v>
      </c>
      <c r="BF11" s="292" t="s">
        <v>115</v>
      </c>
      <c r="BG11" s="80" t="s">
        <v>115</v>
      </c>
      <c r="BH11" s="80" t="s">
        <v>115</v>
      </c>
      <c r="BI11" s="81" t="s">
        <v>115</v>
      </c>
      <c r="BJ11" s="80" t="s">
        <v>115</v>
      </c>
      <c r="BK11" s="80" t="s">
        <v>115</v>
      </c>
      <c r="BL11" s="81" t="s">
        <v>115</v>
      </c>
      <c r="BM11" s="80" t="s">
        <v>115</v>
      </c>
      <c r="BN11" s="80" t="s">
        <v>115</v>
      </c>
      <c r="BO11" s="81" t="s">
        <v>115</v>
      </c>
      <c r="BP11" s="80" t="s">
        <v>115</v>
      </c>
      <c r="BQ11" s="80" t="s">
        <v>115</v>
      </c>
      <c r="BR11" s="81" t="s">
        <v>115</v>
      </c>
      <c r="BS11" s="80" t="s">
        <v>115</v>
      </c>
      <c r="BT11" s="80" t="s">
        <v>115</v>
      </c>
      <c r="BU11" s="81" t="s">
        <v>115</v>
      </c>
      <c r="BV11" s="80" t="s">
        <v>115</v>
      </c>
      <c r="BW11" s="80" t="s">
        <v>115</v>
      </c>
      <c r="BX11" s="81" t="s">
        <v>115</v>
      </c>
      <c r="BY11" s="80" t="s">
        <v>115</v>
      </c>
      <c r="BZ11" s="80" t="s">
        <v>115</v>
      </c>
      <c r="CA11" s="81" t="s">
        <v>115</v>
      </c>
    </row>
    <row r="12" spans="1:79" x14ac:dyDescent="0.2">
      <c r="A12" s="40"/>
      <c r="B12" s="41"/>
      <c r="C12" s="41"/>
      <c r="D12" s="43"/>
      <c r="E12" s="44"/>
      <c r="F12" s="43"/>
      <c r="G12" s="69"/>
      <c r="V12" s="45" t="s">
        <v>115</v>
      </c>
      <c r="W12" s="45" t="s">
        <v>115</v>
      </c>
      <c r="AD12" s="45">
        <v>34</v>
      </c>
      <c r="AE12" s="45">
        <v>30</v>
      </c>
      <c r="AO12" s="45">
        <f>220+151</f>
        <v>371</v>
      </c>
      <c r="AP12" s="45">
        <v>56</v>
      </c>
      <c r="AQ12" s="50">
        <v>8</v>
      </c>
      <c r="AX12" s="147"/>
      <c r="AY12" s="51">
        <f t="shared" si="0"/>
        <v>6.625</v>
      </c>
      <c r="AZ12" s="51"/>
      <c r="BA12" s="52"/>
      <c r="BI12" s="49"/>
      <c r="BL12" s="49"/>
      <c r="BO12" s="49"/>
      <c r="BR12" s="49"/>
      <c r="BU12" s="49"/>
      <c r="BX12" s="49"/>
      <c r="CA12" s="49"/>
    </row>
    <row r="13" spans="1:79" x14ac:dyDescent="0.2">
      <c r="A13" s="40"/>
      <c r="B13" s="41"/>
      <c r="C13" s="41"/>
      <c r="D13" s="43"/>
      <c r="E13" s="44"/>
      <c r="F13" s="43"/>
      <c r="G13" s="69"/>
      <c r="V13" s="45" t="s">
        <v>115</v>
      </c>
      <c r="W13" s="45" t="s">
        <v>115</v>
      </c>
      <c r="AD13" s="45">
        <v>35</v>
      </c>
      <c r="AE13" s="45">
        <v>47</v>
      </c>
      <c r="AQ13" s="50">
        <v>11</v>
      </c>
      <c r="AX13" s="147"/>
      <c r="AY13" s="51"/>
      <c r="AZ13" s="51"/>
      <c r="BA13" s="52"/>
      <c r="BI13" s="49"/>
      <c r="BL13" s="49"/>
      <c r="BO13" s="49"/>
      <c r="BR13" s="49"/>
      <c r="BU13" s="49"/>
      <c r="BX13" s="49"/>
      <c r="CA13" s="49"/>
    </row>
    <row r="14" spans="1:79" s="80" customFormat="1" ht="15.75" customHeight="1" x14ac:dyDescent="0.2">
      <c r="A14" s="209" t="s">
        <v>416</v>
      </c>
      <c r="B14" s="210" t="s">
        <v>417</v>
      </c>
      <c r="C14" s="210" t="s">
        <v>111</v>
      </c>
      <c r="D14" s="220" t="s">
        <v>124</v>
      </c>
      <c r="E14" s="221">
        <v>4</v>
      </c>
      <c r="F14" s="212" t="s">
        <v>115</v>
      </c>
      <c r="G14" s="162" t="s">
        <v>418</v>
      </c>
      <c r="H14" s="72">
        <f>246+159+160+584+258+243+332+172+439+277+415+216+154+93+152+478+268+176</f>
        <v>4822</v>
      </c>
      <c r="I14" s="72">
        <v>10</v>
      </c>
      <c r="J14" s="72">
        <v>2</v>
      </c>
      <c r="K14" s="72">
        <f>I14-J14</f>
        <v>8</v>
      </c>
      <c r="L14" s="72">
        <v>0</v>
      </c>
      <c r="M14" s="72">
        <f>96+476</f>
        <v>572</v>
      </c>
      <c r="N14" s="72">
        <v>190</v>
      </c>
      <c r="O14" s="72">
        <f>356+126+226+368+305+268</f>
        <v>1649</v>
      </c>
      <c r="P14" s="72">
        <v>207</v>
      </c>
      <c r="Q14" s="72" t="s">
        <v>115</v>
      </c>
      <c r="R14" s="72" t="s">
        <v>115</v>
      </c>
      <c r="S14" s="72">
        <v>35</v>
      </c>
      <c r="T14" s="72">
        <v>17</v>
      </c>
      <c r="U14" s="72">
        <f>S14-T14</f>
        <v>18</v>
      </c>
      <c r="V14" s="72">
        <v>67</v>
      </c>
      <c r="W14" s="72">
        <v>64</v>
      </c>
      <c r="X14" s="72" t="s">
        <v>115</v>
      </c>
      <c r="Y14" s="72" t="s">
        <v>115</v>
      </c>
      <c r="Z14" s="72" t="s">
        <v>115</v>
      </c>
      <c r="AA14" s="72" t="s">
        <v>115</v>
      </c>
      <c r="AB14" s="72" t="s">
        <v>115</v>
      </c>
      <c r="AC14" s="72">
        <v>122</v>
      </c>
      <c r="AD14" s="72">
        <v>35</v>
      </c>
      <c r="AE14" s="72">
        <v>35</v>
      </c>
      <c r="AF14" s="72">
        <f>189+195+136+453</f>
        <v>973</v>
      </c>
      <c r="AG14" s="219">
        <f>AF14/O14</f>
        <v>0.59005457853244392</v>
      </c>
      <c r="AH14" s="216" t="s">
        <v>115</v>
      </c>
      <c r="AI14" s="72">
        <f>353+128+387</f>
        <v>868</v>
      </c>
      <c r="AJ14" s="72">
        <f>63+136+295</f>
        <v>494</v>
      </c>
      <c r="AK14" s="72">
        <f>286+143</f>
        <v>429</v>
      </c>
      <c r="AL14" s="72">
        <v>0</v>
      </c>
      <c r="AM14" s="72">
        <v>180</v>
      </c>
      <c r="AN14" s="72">
        <v>192</v>
      </c>
      <c r="AO14" s="72">
        <f>46+93+136+112</f>
        <v>387</v>
      </c>
      <c r="AP14" s="72">
        <v>75</v>
      </c>
      <c r="AQ14" s="215">
        <v>15</v>
      </c>
      <c r="AR14" s="215">
        <v>186</v>
      </c>
      <c r="AS14" s="72" t="s">
        <v>115</v>
      </c>
      <c r="AT14" s="72">
        <v>251</v>
      </c>
      <c r="AU14" s="72">
        <v>312</v>
      </c>
      <c r="AV14" s="72" t="s">
        <v>128</v>
      </c>
      <c r="AW14" s="216">
        <f>AU14</f>
        <v>312</v>
      </c>
      <c r="AX14" s="217">
        <f t="shared" si="1"/>
        <v>1.5833333333333333</v>
      </c>
      <c r="AY14" s="66">
        <f>AO14/AP14</f>
        <v>5.16</v>
      </c>
      <c r="AZ14" s="66">
        <f>AJ14/AT14</f>
        <v>1.9681274900398407</v>
      </c>
      <c r="BA14" s="67">
        <f t="shared" si="2"/>
        <v>1.7091633466135459</v>
      </c>
      <c r="BB14" s="72">
        <f>58+66+75+51+30</f>
        <v>280</v>
      </c>
      <c r="BC14" s="72">
        <v>25</v>
      </c>
      <c r="BD14" s="72">
        <v>26</v>
      </c>
      <c r="BE14" s="216">
        <v>20</v>
      </c>
      <c r="BF14" s="72" t="s">
        <v>419</v>
      </c>
      <c r="BG14" s="72">
        <v>84</v>
      </c>
      <c r="BH14" s="72">
        <v>6</v>
      </c>
      <c r="BI14" s="216">
        <v>6</v>
      </c>
      <c r="BJ14" s="72">
        <v>12</v>
      </c>
      <c r="BK14" s="72">
        <v>6</v>
      </c>
      <c r="BL14" s="216">
        <v>8</v>
      </c>
      <c r="BM14" s="72">
        <v>14</v>
      </c>
      <c r="BN14" s="72">
        <v>7</v>
      </c>
      <c r="BO14" s="216">
        <v>9</v>
      </c>
      <c r="BP14" s="72">
        <v>13</v>
      </c>
      <c r="BQ14" s="72">
        <v>5</v>
      </c>
      <c r="BR14" s="216">
        <v>9</v>
      </c>
      <c r="BS14" s="72">
        <v>19</v>
      </c>
      <c r="BT14" s="72">
        <v>5</v>
      </c>
      <c r="BU14" s="216">
        <v>6</v>
      </c>
      <c r="BV14" s="72">
        <v>7</v>
      </c>
      <c r="BW14" s="72">
        <v>3</v>
      </c>
      <c r="BX14" s="216">
        <v>3</v>
      </c>
      <c r="BY14" s="72">
        <v>7</v>
      </c>
      <c r="BZ14" s="72">
        <v>2</v>
      </c>
      <c r="CA14" s="216">
        <v>3</v>
      </c>
    </row>
    <row r="15" spans="1:79" s="80" customFormat="1" x14ac:dyDescent="0.2">
      <c r="A15" s="209"/>
      <c r="B15" s="210"/>
      <c r="C15" s="210"/>
      <c r="D15" s="220"/>
      <c r="E15" s="221"/>
      <c r="F15" s="212"/>
      <c r="G15" s="16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>
        <v>69</v>
      </c>
      <c r="W15" s="72">
        <v>61</v>
      </c>
      <c r="X15" s="72"/>
      <c r="Y15" s="72"/>
      <c r="Z15" s="72"/>
      <c r="AA15" s="72"/>
      <c r="AB15" s="72"/>
      <c r="AC15" s="72"/>
      <c r="AD15" s="72">
        <v>28</v>
      </c>
      <c r="AE15" s="72">
        <v>32</v>
      </c>
      <c r="AF15" s="72"/>
      <c r="AG15" s="219"/>
      <c r="AH15" s="64"/>
      <c r="AI15" s="72"/>
      <c r="AJ15" s="72"/>
      <c r="AK15" s="72"/>
      <c r="AL15" s="72"/>
      <c r="AM15" s="72"/>
      <c r="AN15" s="72"/>
      <c r="AO15" s="72">
        <f>108+262+84</f>
        <v>454</v>
      </c>
      <c r="AP15" s="72">
        <v>70</v>
      </c>
      <c r="AQ15" s="215">
        <v>17</v>
      </c>
      <c r="AR15" s="72">
        <v>192</v>
      </c>
      <c r="AS15" s="72"/>
      <c r="AT15" s="72"/>
      <c r="AU15" s="72"/>
      <c r="AV15" s="72"/>
      <c r="AW15" s="216"/>
      <c r="AX15" s="217"/>
      <c r="AY15" s="66">
        <f>AO15/AP15</f>
        <v>6.4857142857142858</v>
      </c>
      <c r="AZ15" s="66"/>
      <c r="BA15" s="67"/>
      <c r="BB15" s="72"/>
      <c r="BC15" s="72"/>
      <c r="BD15" s="72"/>
      <c r="BE15" s="216"/>
      <c r="BF15" s="72"/>
      <c r="BG15" s="72"/>
      <c r="BH15" s="72"/>
      <c r="BI15" s="216"/>
      <c r="BJ15" s="72">
        <v>12</v>
      </c>
      <c r="BK15" s="72">
        <v>9</v>
      </c>
      <c r="BL15" s="216">
        <v>9</v>
      </c>
      <c r="BM15" s="72"/>
      <c r="BN15" s="72"/>
      <c r="BO15" s="216"/>
      <c r="BP15" s="72">
        <v>20</v>
      </c>
      <c r="BQ15" s="72">
        <v>7</v>
      </c>
      <c r="BR15" s="216">
        <v>9</v>
      </c>
      <c r="BS15" s="72"/>
      <c r="BT15" s="72"/>
      <c r="BU15" s="216"/>
      <c r="BV15" s="72"/>
      <c r="BW15" s="72"/>
      <c r="BX15" s="216"/>
      <c r="BY15" s="72"/>
      <c r="BZ15" s="72"/>
      <c r="CA15" s="216"/>
    </row>
    <row r="16" spans="1:79" s="80" customFormat="1" x14ac:dyDescent="0.2">
      <c r="A16" s="209"/>
      <c r="B16" s="210"/>
      <c r="C16" s="210"/>
      <c r="D16" s="220"/>
      <c r="E16" s="221"/>
      <c r="F16" s="212"/>
      <c r="G16" s="16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>
        <v>81</v>
      </c>
      <c r="W16" s="72">
        <v>67</v>
      </c>
      <c r="X16" s="72"/>
      <c r="Y16" s="72"/>
      <c r="Z16" s="72"/>
      <c r="AA16" s="72"/>
      <c r="AB16" s="72"/>
      <c r="AC16" s="72"/>
      <c r="AD16" s="72">
        <v>34</v>
      </c>
      <c r="AE16" s="72">
        <v>32</v>
      </c>
      <c r="AF16" s="72"/>
      <c r="AG16" s="72"/>
      <c r="AH16" s="64"/>
      <c r="AI16" s="72"/>
      <c r="AJ16" s="72"/>
      <c r="AK16" s="72"/>
      <c r="AL16" s="72"/>
      <c r="AM16" s="72"/>
      <c r="AN16" s="72"/>
      <c r="AO16" s="72"/>
      <c r="AP16" s="72"/>
      <c r="AQ16" s="215"/>
      <c r="AR16" s="72"/>
      <c r="AS16" s="72"/>
      <c r="AT16" s="72"/>
      <c r="AU16" s="72"/>
      <c r="AV16" s="72"/>
      <c r="AW16" s="216"/>
      <c r="AX16" s="217"/>
      <c r="AY16" s="66"/>
      <c r="AZ16" s="66"/>
      <c r="BA16" s="67"/>
      <c r="BB16" s="72"/>
      <c r="BC16" s="72"/>
      <c r="BD16" s="72"/>
      <c r="BE16" s="216"/>
      <c r="BF16" s="72"/>
      <c r="BG16" s="72"/>
      <c r="BH16" s="72"/>
      <c r="BI16" s="216"/>
      <c r="BJ16" s="72"/>
      <c r="BK16" s="72"/>
      <c r="BL16" s="216"/>
      <c r="BM16" s="72"/>
      <c r="BN16" s="72"/>
      <c r="BO16" s="216"/>
      <c r="BP16" s="72"/>
      <c r="BQ16" s="72"/>
      <c r="BR16" s="216"/>
      <c r="BS16" s="72"/>
      <c r="BT16" s="72"/>
      <c r="BU16" s="216"/>
      <c r="BV16" s="72"/>
      <c r="BW16" s="72"/>
      <c r="BX16" s="216"/>
      <c r="BY16" s="72"/>
      <c r="BZ16" s="72"/>
      <c r="CA16" s="216"/>
    </row>
    <row r="17" spans="1:79" x14ac:dyDescent="0.2">
      <c r="A17" s="40" t="s">
        <v>420</v>
      </c>
      <c r="B17" s="41" t="s">
        <v>417</v>
      </c>
      <c r="C17" s="41" t="s">
        <v>111</v>
      </c>
      <c r="D17" s="43" t="s">
        <v>124</v>
      </c>
      <c r="E17" s="44">
        <v>0</v>
      </c>
      <c r="F17" s="43" t="s">
        <v>115</v>
      </c>
      <c r="G17" s="69" t="s">
        <v>421</v>
      </c>
      <c r="H17" s="45">
        <f>317+621+482+329+323+392+417+655+313+212+249</f>
        <v>4310</v>
      </c>
      <c r="I17" s="45">
        <v>9</v>
      </c>
      <c r="J17" s="45">
        <v>2</v>
      </c>
      <c r="K17" s="45">
        <f>I17-J17</f>
        <v>7</v>
      </c>
      <c r="L17" s="45">
        <v>0</v>
      </c>
      <c r="M17" s="45" t="s">
        <v>115</v>
      </c>
      <c r="N17" s="45" t="s">
        <v>115</v>
      </c>
      <c r="O17" s="45">
        <f>333+842</f>
        <v>1175</v>
      </c>
      <c r="P17" s="45">
        <v>277</v>
      </c>
      <c r="Q17" s="45" t="s">
        <v>115</v>
      </c>
      <c r="R17" s="45" t="s">
        <v>115</v>
      </c>
      <c r="S17" s="45" t="s">
        <v>115</v>
      </c>
      <c r="T17" s="45" t="s">
        <v>115</v>
      </c>
      <c r="U17" s="45" t="s">
        <v>115</v>
      </c>
      <c r="V17" s="45">
        <v>61</v>
      </c>
      <c r="W17" s="45" t="s">
        <v>115</v>
      </c>
      <c r="X17" s="45" t="s">
        <v>115</v>
      </c>
      <c r="Y17" s="45">
        <v>125</v>
      </c>
      <c r="Z17" s="45">
        <v>4</v>
      </c>
      <c r="AA17" s="45" t="s">
        <v>115</v>
      </c>
      <c r="AB17" s="45" t="s">
        <v>115</v>
      </c>
      <c r="AC17" s="45" t="s">
        <v>115</v>
      </c>
      <c r="AD17" s="45">
        <v>27</v>
      </c>
      <c r="AE17" s="45" t="s">
        <v>115</v>
      </c>
      <c r="AF17" s="45">
        <f>328+380</f>
        <v>708</v>
      </c>
      <c r="AG17" s="46">
        <f>AF17/O17</f>
        <v>0.60255319148936171</v>
      </c>
      <c r="AH17" s="49" t="s">
        <v>115</v>
      </c>
      <c r="AI17" s="45">
        <f>390+284+204+160+330</f>
        <v>1368</v>
      </c>
      <c r="AJ17" s="45">
        <f>190+234+283+338</f>
        <v>1045</v>
      </c>
      <c r="AK17" s="45">
        <f>362+337</f>
        <v>699</v>
      </c>
      <c r="AL17" s="45">
        <v>8</v>
      </c>
      <c r="AM17" s="45">
        <v>143</v>
      </c>
      <c r="AN17" s="45">
        <v>176</v>
      </c>
      <c r="AO17" s="45">
        <v>511</v>
      </c>
      <c r="AP17" s="45">
        <v>54</v>
      </c>
      <c r="AQ17" s="50">
        <v>14</v>
      </c>
      <c r="AR17" s="45">
        <v>214</v>
      </c>
      <c r="AS17" s="45">
        <v>76</v>
      </c>
      <c r="AT17" s="45">
        <v>245</v>
      </c>
      <c r="AU17" s="45">
        <v>328</v>
      </c>
      <c r="AV17" s="45" t="s">
        <v>128</v>
      </c>
      <c r="AW17" s="49">
        <f>AU17</f>
        <v>328</v>
      </c>
      <c r="AX17" s="147">
        <f t="shared" si="1"/>
        <v>3.1859756097560976</v>
      </c>
      <c r="AY17" s="51">
        <f t="shared" ref="AY17:AY28" si="3">AO17/AP17</f>
        <v>9.4629629629629637</v>
      </c>
      <c r="AZ17" s="51">
        <f>AJ17/AT17</f>
        <v>4.2653061224489797</v>
      </c>
      <c r="BA17" s="52">
        <f t="shared" si="2"/>
        <v>2.8530612244897959</v>
      </c>
      <c r="BB17" s="80" t="s">
        <v>115</v>
      </c>
      <c r="BC17" s="80" t="s">
        <v>115</v>
      </c>
      <c r="BD17" s="80" t="s">
        <v>115</v>
      </c>
      <c r="BE17" s="81" t="s">
        <v>115</v>
      </c>
      <c r="BF17" s="292" t="s">
        <v>115</v>
      </c>
      <c r="BG17" s="80" t="s">
        <v>115</v>
      </c>
      <c r="BH17" s="80" t="s">
        <v>115</v>
      </c>
      <c r="BI17" s="81" t="s">
        <v>115</v>
      </c>
      <c r="BJ17" s="80" t="s">
        <v>115</v>
      </c>
      <c r="BK17" s="80" t="s">
        <v>115</v>
      </c>
      <c r="BL17" s="81" t="s">
        <v>115</v>
      </c>
      <c r="BM17" s="80" t="s">
        <v>115</v>
      </c>
      <c r="BN17" s="80" t="s">
        <v>115</v>
      </c>
      <c r="BO17" s="81" t="s">
        <v>115</v>
      </c>
      <c r="BP17" s="80" t="s">
        <v>115</v>
      </c>
      <c r="BQ17" s="80" t="s">
        <v>115</v>
      </c>
      <c r="BR17" s="81" t="s">
        <v>115</v>
      </c>
      <c r="BS17" s="80" t="s">
        <v>115</v>
      </c>
      <c r="BT17" s="80" t="s">
        <v>115</v>
      </c>
      <c r="BU17" s="81" t="s">
        <v>115</v>
      </c>
      <c r="BV17" s="80" t="s">
        <v>115</v>
      </c>
      <c r="BW17" s="80" t="s">
        <v>115</v>
      </c>
      <c r="BX17" s="81" t="s">
        <v>115</v>
      </c>
      <c r="BY17" s="80" t="s">
        <v>115</v>
      </c>
      <c r="BZ17" s="80" t="s">
        <v>115</v>
      </c>
      <c r="CA17" s="81" t="s">
        <v>115</v>
      </c>
    </row>
    <row r="18" spans="1:79" x14ac:dyDescent="0.2">
      <c r="A18" s="40"/>
      <c r="B18" s="41"/>
      <c r="C18" s="41"/>
      <c r="D18" s="43"/>
      <c r="E18" s="44"/>
      <c r="F18" s="43"/>
      <c r="G18" s="69"/>
      <c r="V18" s="45">
        <v>52</v>
      </c>
      <c r="W18" s="45" t="s">
        <v>115</v>
      </c>
      <c r="AD18" s="45">
        <v>19</v>
      </c>
      <c r="AE18" s="45" t="s">
        <v>115</v>
      </c>
      <c r="AO18" s="45">
        <v>515</v>
      </c>
      <c r="AP18" s="45">
        <v>78</v>
      </c>
      <c r="AQ18" s="50">
        <v>12</v>
      </c>
      <c r="AR18" s="45">
        <v>218</v>
      </c>
      <c r="AS18" s="45">
        <v>89</v>
      </c>
      <c r="AX18" s="147"/>
      <c r="AY18" s="51">
        <f t="shared" si="3"/>
        <v>6.6025641025641022</v>
      </c>
      <c r="AZ18" s="51"/>
      <c r="BA18" s="52"/>
      <c r="BI18" s="49"/>
      <c r="BL18" s="49"/>
      <c r="BO18" s="49"/>
      <c r="BR18" s="49"/>
      <c r="BU18" s="49"/>
      <c r="BX18" s="49"/>
      <c r="CA18" s="49"/>
    </row>
    <row r="19" spans="1:79" x14ac:dyDescent="0.2">
      <c r="A19" s="40"/>
      <c r="B19" s="41"/>
      <c r="C19" s="41"/>
      <c r="D19" s="43"/>
      <c r="E19" s="44"/>
      <c r="F19" s="43"/>
      <c r="G19" s="69"/>
      <c r="V19" s="45">
        <v>53</v>
      </c>
      <c r="W19" s="45" t="s">
        <v>115</v>
      </c>
      <c r="AD19" s="45">
        <v>26</v>
      </c>
      <c r="AE19" s="45" t="s">
        <v>115</v>
      </c>
      <c r="AO19" s="45">
        <v>520</v>
      </c>
      <c r="AP19" s="45">
        <v>75</v>
      </c>
      <c r="AQ19" s="50">
        <v>13</v>
      </c>
      <c r="AX19" s="147"/>
      <c r="AY19" s="51">
        <f t="shared" si="3"/>
        <v>6.9333333333333336</v>
      </c>
      <c r="AZ19" s="51"/>
      <c r="BA19" s="52"/>
      <c r="BI19" s="49"/>
      <c r="BL19" s="49"/>
      <c r="BO19" s="49"/>
      <c r="BR19" s="49"/>
      <c r="BU19" s="49"/>
      <c r="BX19" s="49"/>
      <c r="CA19" s="49"/>
    </row>
    <row r="20" spans="1:79" s="80" customFormat="1" x14ac:dyDescent="0.2">
      <c r="A20" s="209" t="s">
        <v>422</v>
      </c>
      <c r="B20" s="210" t="s">
        <v>109</v>
      </c>
      <c r="C20" s="210" t="s">
        <v>123</v>
      </c>
      <c r="D20" s="212" t="s">
        <v>124</v>
      </c>
      <c r="E20" s="213">
        <v>3</v>
      </c>
      <c r="F20" s="212" t="s">
        <v>115</v>
      </c>
      <c r="G20" s="162" t="s">
        <v>423</v>
      </c>
      <c r="H20" s="72" t="s">
        <v>115</v>
      </c>
      <c r="I20" s="72" t="s">
        <v>115</v>
      </c>
      <c r="J20" s="72" t="s">
        <v>115</v>
      </c>
      <c r="K20" s="72" t="s">
        <v>115</v>
      </c>
      <c r="L20" s="72" t="s">
        <v>115</v>
      </c>
      <c r="M20" s="72" t="s">
        <v>115</v>
      </c>
      <c r="N20" s="72" t="s">
        <v>115</v>
      </c>
      <c r="O20" s="72" t="s">
        <v>115</v>
      </c>
      <c r="P20" s="72" t="s">
        <v>115</v>
      </c>
      <c r="Q20" s="72" t="s">
        <v>115</v>
      </c>
      <c r="R20" s="72" t="s">
        <v>115</v>
      </c>
      <c r="S20" s="72" t="s">
        <v>115</v>
      </c>
      <c r="T20" s="72" t="s">
        <v>115</v>
      </c>
      <c r="U20" s="72" t="s">
        <v>115</v>
      </c>
      <c r="V20" s="72" t="s">
        <v>115</v>
      </c>
      <c r="W20" s="72" t="s">
        <v>115</v>
      </c>
      <c r="X20" s="72" t="s">
        <v>115</v>
      </c>
      <c r="Y20" s="72" t="s">
        <v>115</v>
      </c>
      <c r="Z20" s="72" t="s">
        <v>115</v>
      </c>
      <c r="AA20" s="72" t="s">
        <v>115</v>
      </c>
      <c r="AB20" s="72" t="s">
        <v>115</v>
      </c>
      <c r="AC20" s="72" t="s">
        <v>115</v>
      </c>
      <c r="AD20" s="72" t="s">
        <v>115</v>
      </c>
      <c r="AE20" s="72" t="s">
        <v>115</v>
      </c>
      <c r="AF20" s="72" t="s">
        <v>115</v>
      </c>
      <c r="AG20" s="72" t="s">
        <v>115</v>
      </c>
      <c r="AH20" s="216" t="s">
        <v>115</v>
      </c>
      <c r="AI20" s="72">
        <v>835</v>
      </c>
      <c r="AJ20" s="72">
        <v>448</v>
      </c>
      <c r="AK20" s="72">
        <v>393</v>
      </c>
      <c r="AL20" s="72">
        <v>0</v>
      </c>
      <c r="AM20" s="72">
        <v>225</v>
      </c>
      <c r="AN20" s="72">
        <v>222</v>
      </c>
      <c r="AO20" s="72">
        <v>409</v>
      </c>
      <c r="AP20" s="72">
        <v>79</v>
      </c>
      <c r="AQ20" s="215">
        <v>11</v>
      </c>
      <c r="AR20" s="72">
        <v>135</v>
      </c>
      <c r="AS20" s="72">
        <v>106</v>
      </c>
      <c r="AT20" s="72">
        <v>172</v>
      </c>
      <c r="AU20" s="72">
        <v>227</v>
      </c>
      <c r="AV20" s="72" t="s">
        <v>115</v>
      </c>
      <c r="AW20" s="216" t="s">
        <v>115</v>
      </c>
      <c r="AX20" s="72" t="s">
        <v>115</v>
      </c>
      <c r="AY20" s="66">
        <f t="shared" si="3"/>
        <v>5.1772151898734178</v>
      </c>
      <c r="AZ20" s="66">
        <f>AJ20/AT20</f>
        <v>2.6046511627906979</v>
      </c>
      <c r="BA20" s="67">
        <f t="shared" si="2"/>
        <v>2.2848837209302326</v>
      </c>
      <c r="BB20" s="72">
        <f>42+69+42+101</f>
        <v>254</v>
      </c>
      <c r="BC20" s="72">
        <v>28</v>
      </c>
      <c r="BD20" s="72">
        <v>37</v>
      </c>
      <c r="BE20" s="216">
        <v>24</v>
      </c>
      <c r="BF20" s="72">
        <v>6</v>
      </c>
      <c r="BG20" s="72">
        <v>88</v>
      </c>
      <c r="BH20" s="72">
        <v>6</v>
      </c>
      <c r="BI20" s="216">
        <v>5</v>
      </c>
      <c r="BJ20" s="72">
        <v>11</v>
      </c>
      <c r="BK20" s="72">
        <v>11</v>
      </c>
      <c r="BL20" s="216">
        <v>6</v>
      </c>
      <c r="BM20" s="72">
        <v>19</v>
      </c>
      <c r="BN20" s="72">
        <v>6</v>
      </c>
      <c r="BO20" s="216">
        <v>12</v>
      </c>
      <c r="BP20" s="72">
        <v>17</v>
      </c>
      <c r="BQ20" s="72">
        <v>6</v>
      </c>
      <c r="BR20" s="216">
        <v>9</v>
      </c>
      <c r="BS20" s="72">
        <v>14</v>
      </c>
      <c r="BT20" s="72">
        <v>5</v>
      </c>
      <c r="BU20" s="216">
        <v>7</v>
      </c>
      <c r="BV20" s="72">
        <v>7</v>
      </c>
      <c r="BW20" s="72">
        <v>2</v>
      </c>
      <c r="BX20" s="216">
        <v>4</v>
      </c>
      <c r="BY20" s="72">
        <v>5</v>
      </c>
      <c r="BZ20" s="72">
        <v>2</v>
      </c>
      <c r="CA20" s="216">
        <v>3</v>
      </c>
    </row>
    <row r="21" spans="1:79" s="80" customFormat="1" x14ac:dyDescent="0.2">
      <c r="A21" s="209"/>
      <c r="B21" s="210"/>
      <c r="C21" s="210"/>
      <c r="D21" s="212"/>
      <c r="E21" s="213"/>
      <c r="F21" s="212"/>
      <c r="G21" s="16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219"/>
      <c r="AH21" s="64"/>
      <c r="AI21" s="72"/>
      <c r="AJ21" s="72"/>
      <c r="AK21" s="72"/>
      <c r="AL21" s="72"/>
      <c r="AM21" s="72"/>
      <c r="AN21" s="72"/>
      <c r="AO21" s="72">
        <v>400</v>
      </c>
      <c r="AP21" s="72">
        <v>71</v>
      </c>
      <c r="AQ21" s="215">
        <v>12</v>
      </c>
      <c r="AR21" s="72">
        <v>123</v>
      </c>
      <c r="AS21" s="72">
        <v>115</v>
      </c>
      <c r="AT21" s="72"/>
      <c r="AU21" s="72"/>
      <c r="AV21" s="72"/>
      <c r="AW21" s="216"/>
      <c r="AX21" s="72"/>
      <c r="AY21" s="66">
        <f t="shared" si="3"/>
        <v>5.6338028169014081</v>
      </c>
      <c r="AZ21" s="66"/>
      <c r="BA21" s="67"/>
      <c r="BB21" s="72"/>
      <c r="BC21" s="72">
        <v>27</v>
      </c>
      <c r="BD21" s="72">
        <v>36</v>
      </c>
      <c r="BE21" s="216">
        <v>23</v>
      </c>
      <c r="BF21" s="72"/>
      <c r="BG21" s="72">
        <v>84</v>
      </c>
      <c r="BH21" s="72"/>
      <c r="BI21" s="216"/>
      <c r="BJ21" s="72">
        <v>10</v>
      </c>
      <c r="BK21" s="72">
        <v>6</v>
      </c>
      <c r="BL21" s="216">
        <v>7</v>
      </c>
      <c r="BM21" s="72">
        <v>16</v>
      </c>
      <c r="BN21" s="72">
        <v>8</v>
      </c>
      <c r="BO21" s="216">
        <v>10</v>
      </c>
      <c r="BP21" s="72">
        <v>22</v>
      </c>
      <c r="BQ21" s="72">
        <v>7</v>
      </c>
      <c r="BR21" s="216">
        <v>14</v>
      </c>
      <c r="BS21" s="72">
        <v>11</v>
      </c>
      <c r="BT21" s="72">
        <v>5</v>
      </c>
      <c r="BU21" s="216">
        <v>6</v>
      </c>
      <c r="BV21" s="72">
        <v>7</v>
      </c>
      <c r="BW21" s="72">
        <v>3</v>
      </c>
      <c r="BX21" s="216">
        <v>4</v>
      </c>
      <c r="BY21" s="72"/>
      <c r="BZ21" s="72"/>
      <c r="CA21" s="216"/>
    </row>
    <row r="22" spans="1:79" s="80" customFormat="1" x14ac:dyDescent="0.2">
      <c r="A22" s="209"/>
      <c r="B22" s="210"/>
      <c r="C22" s="210"/>
      <c r="D22" s="212"/>
      <c r="E22" s="213"/>
      <c r="F22" s="212"/>
      <c r="G22" s="16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64"/>
      <c r="AI22" s="72"/>
      <c r="AJ22" s="72"/>
      <c r="AK22" s="72"/>
      <c r="AL22" s="72"/>
      <c r="AM22" s="72"/>
      <c r="AN22" s="72"/>
      <c r="AO22" s="72">
        <v>394</v>
      </c>
      <c r="AP22" s="72">
        <v>81</v>
      </c>
      <c r="AQ22" s="215">
        <v>12</v>
      </c>
      <c r="AR22" s="72"/>
      <c r="AS22" s="72"/>
      <c r="AT22" s="72"/>
      <c r="AU22" s="72"/>
      <c r="AV22" s="72"/>
      <c r="AW22" s="216"/>
      <c r="AX22" s="72"/>
      <c r="AY22" s="66">
        <f t="shared" si="3"/>
        <v>4.8641975308641978</v>
      </c>
      <c r="AZ22" s="66"/>
      <c r="BA22" s="67"/>
      <c r="BB22" s="72"/>
      <c r="BC22" s="72">
        <v>30</v>
      </c>
      <c r="BD22" s="72"/>
      <c r="BE22" s="216"/>
      <c r="BF22" s="72"/>
      <c r="BG22" s="72"/>
      <c r="BH22" s="72"/>
      <c r="BI22" s="216"/>
      <c r="BJ22" s="72">
        <v>12</v>
      </c>
      <c r="BK22" s="72">
        <v>10</v>
      </c>
      <c r="BL22" s="216">
        <v>7</v>
      </c>
      <c r="BM22" s="72">
        <v>12</v>
      </c>
      <c r="BN22" s="72">
        <v>7</v>
      </c>
      <c r="BO22" s="216">
        <v>11</v>
      </c>
      <c r="BP22" s="72"/>
      <c r="BQ22" s="72"/>
      <c r="BR22" s="216"/>
      <c r="BS22" s="72"/>
      <c r="BT22" s="72"/>
      <c r="BU22" s="216"/>
      <c r="BV22" s="72"/>
      <c r="BW22" s="72"/>
      <c r="BX22" s="216"/>
      <c r="BY22" s="72"/>
      <c r="BZ22" s="72"/>
      <c r="CA22" s="216"/>
    </row>
    <row r="23" spans="1:79" s="80" customFormat="1" x14ac:dyDescent="0.2">
      <c r="A23" s="203" t="s">
        <v>424</v>
      </c>
      <c r="B23" s="204" t="s">
        <v>109</v>
      </c>
      <c r="C23" s="204" t="s">
        <v>111</v>
      </c>
      <c r="D23" s="295" t="s">
        <v>124</v>
      </c>
      <c r="E23" s="207">
        <v>0</v>
      </c>
      <c r="F23" s="206" t="s">
        <v>133</v>
      </c>
      <c r="G23" s="161" t="s">
        <v>143</v>
      </c>
      <c r="H23" s="80">
        <f>315+813+292+441+728</f>
        <v>2589</v>
      </c>
      <c r="I23" s="80">
        <v>6</v>
      </c>
      <c r="J23" s="80">
        <v>1</v>
      </c>
      <c r="K23" s="80">
        <f>I23-J23</f>
        <v>5</v>
      </c>
      <c r="L23" s="80">
        <v>0</v>
      </c>
      <c r="M23" s="80">
        <v>461</v>
      </c>
      <c r="N23" s="80">
        <v>148</v>
      </c>
      <c r="O23" s="80">
        <f>92+198+530</f>
        <v>820</v>
      </c>
      <c r="P23" s="80">
        <v>195</v>
      </c>
      <c r="Q23" s="45" t="s">
        <v>115</v>
      </c>
      <c r="R23" s="45" t="s">
        <v>115</v>
      </c>
      <c r="S23" s="80">
        <v>33</v>
      </c>
      <c r="T23" s="80">
        <v>16</v>
      </c>
      <c r="U23" s="80">
        <f>S23-T23</f>
        <v>17</v>
      </c>
      <c r="V23" s="80">
        <v>42</v>
      </c>
      <c r="W23" s="80">
        <v>65</v>
      </c>
      <c r="X23" s="80">
        <v>115</v>
      </c>
      <c r="Y23" s="80">
        <v>82</v>
      </c>
      <c r="Z23" s="80">
        <v>4</v>
      </c>
      <c r="AA23" s="345">
        <v>180</v>
      </c>
      <c r="AB23" s="80">
        <v>141</v>
      </c>
      <c r="AC23" s="80">
        <v>62</v>
      </c>
      <c r="AD23" s="80">
        <v>26</v>
      </c>
      <c r="AE23" s="80">
        <v>29</v>
      </c>
      <c r="AF23" s="80">
        <v>520</v>
      </c>
      <c r="AG23" s="146">
        <f>AF23/O23</f>
        <v>0.63414634146341464</v>
      </c>
      <c r="AH23" s="141" t="s">
        <v>115</v>
      </c>
      <c r="AI23" s="80">
        <f>402+532</f>
        <v>934</v>
      </c>
      <c r="AJ23" s="80">
        <v>456</v>
      </c>
      <c r="AK23" s="80">
        <v>468</v>
      </c>
      <c r="AL23" s="80">
        <v>0</v>
      </c>
      <c r="AM23" s="80">
        <v>229</v>
      </c>
      <c r="AN23" s="80">
        <v>224</v>
      </c>
      <c r="AO23" s="80">
        <f>365+137</f>
        <v>502</v>
      </c>
      <c r="AP23" s="80">
        <v>82</v>
      </c>
      <c r="AQ23" s="140">
        <v>12</v>
      </c>
      <c r="AR23" s="80">
        <v>171</v>
      </c>
      <c r="AS23" s="80">
        <v>75</v>
      </c>
      <c r="AT23" s="80" t="s">
        <v>115</v>
      </c>
      <c r="AU23" s="80" t="s">
        <v>115</v>
      </c>
      <c r="AV23" s="45" t="s">
        <v>115</v>
      </c>
      <c r="AW23" s="49" t="s">
        <v>115</v>
      </c>
      <c r="AX23" s="147" t="s">
        <v>115</v>
      </c>
      <c r="AY23" s="51">
        <f t="shared" si="3"/>
        <v>6.1219512195121952</v>
      </c>
      <c r="AZ23" s="51" t="s">
        <v>115</v>
      </c>
      <c r="BA23" s="52" t="s">
        <v>115</v>
      </c>
      <c r="BB23" s="80" t="s">
        <v>115</v>
      </c>
      <c r="BC23" s="80" t="s">
        <v>115</v>
      </c>
      <c r="BD23" s="80" t="s">
        <v>115</v>
      </c>
      <c r="BE23" s="81" t="s">
        <v>115</v>
      </c>
      <c r="BF23" s="292" t="s">
        <v>115</v>
      </c>
      <c r="BG23" s="80" t="s">
        <v>115</v>
      </c>
      <c r="BH23" s="80" t="s">
        <v>115</v>
      </c>
      <c r="BI23" s="81" t="s">
        <v>115</v>
      </c>
      <c r="BJ23" s="80" t="s">
        <v>115</v>
      </c>
      <c r="BK23" s="80" t="s">
        <v>115</v>
      </c>
      <c r="BL23" s="81" t="s">
        <v>115</v>
      </c>
      <c r="BM23" s="80" t="s">
        <v>115</v>
      </c>
      <c r="BN23" s="80" t="s">
        <v>115</v>
      </c>
      <c r="BO23" s="81" t="s">
        <v>115</v>
      </c>
      <c r="BP23" s="80" t="s">
        <v>115</v>
      </c>
      <c r="BQ23" s="80" t="s">
        <v>115</v>
      </c>
      <c r="BR23" s="81" t="s">
        <v>115</v>
      </c>
      <c r="BS23" s="80" t="s">
        <v>115</v>
      </c>
      <c r="BT23" s="80" t="s">
        <v>115</v>
      </c>
      <c r="BU23" s="81" t="s">
        <v>115</v>
      </c>
      <c r="BV23" s="80" t="s">
        <v>115</v>
      </c>
      <c r="BW23" s="80" t="s">
        <v>115</v>
      </c>
      <c r="BX23" s="81" t="s">
        <v>115</v>
      </c>
      <c r="BY23" s="80" t="s">
        <v>115</v>
      </c>
      <c r="BZ23" s="80" t="s">
        <v>115</v>
      </c>
      <c r="CA23" s="81" t="s">
        <v>115</v>
      </c>
    </row>
    <row r="24" spans="1:79" s="80" customFormat="1" x14ac:dyDescent="0.2">
      <c r="A24" s="203"/>
      <c r="B24" s="204"/>
      <c r="C24" s="204"/>
      <c r="D24" s="295"/>
      <c r="E24" s="207"/>
      <c r="F24" s="206"/>
      <c r="G24" s="161"/>
      <c r="V24" s="80">
        <v>47</v>
      </c>
      <c r="W24" s="80">
        <v>74</v>
      </c>
      <c r="X24" s="53"/>
      <c r="Y24" s="53"/>
      <c r="AD24" s="80">
        <v>28</v>
      </c>
      <c r="AE24" s="80">
        <v>27</v>
      </c>
      <c r="AF24" s="53"/>
      <c r="AG24" s="74"/>
      <c r="AH24" s="81"/>
      <c r="AO24" s="80">
        <v>427</v>
      </c>
      <c r="AP24" s="80">
        <v>81</v>
      </c>
      <c r="AQ24" s="140">
        <v>11</v>
      </c>
      <c r="AR24" s="80">
        <v>179</v>
      </c>
      <c r="AS24" s="80">
        <v>88</v>
      </c>
      <c r="AW24" s="81"/>
      <c r="AX24" s="147"/>
      <c r="AY24" s="51">
        <f t="shared" si="3"/>
        <v>5.2716049382716053</v>
      </c>
      <c r="AZ24" s="51"/>
      <c r="BA24" s="52"/>
      <c r="BB24" s="45"/>
      <c r="BC24" s="45"/>
      <c r="BD24" s="45"/>
      <c r="BE24" s="49"/>
      <c r="BF24" s="45"/>
      <c r="BG24" s="45"/>
      <c r="BH24" s="45"/>
      <c r="BI24" s="49"/>
      <c r="BJ24" s="45"/>
      <c r="BK24" s="45"/>
      <c r="BL24" s="49"/>
      <c r="BM24" s="45"/>
      <c r="BN24" s="45"/>
      <c r="BO24" s="49"/>
      <c r="BP24" s="45"/>
      <c r="BQ24" s="45"/>
      <c r="BR24" s="49"/>
      <c r="BS24" s="45"/>
      <c r="BT24" s="45"/>
      <c r="BU24" s="49"/>
      <c r="BV24" s="45"/>
      <c r="BW24" s="45"/>
      <c r="BX24" s="49"/>
      <c r="BY24" s="45"/>
      <c r="BZ24" s="45"/>
      <c r="CA24" s="49"/>
    </row>
    <row r="25" spans="1:79" s="80" customFormat="1" x14ac:dyDescent="0.2">
      <c r="A25" s="203"/>
      <c r="B25" s="204"/>
      <c r="C25" s="204"/>
      <c r="D25" s="295"/>
      <c r="E25" s="207"/>
      <c r="F25" s="206"/>
      <c r="G25" s="161"/>
      <c r="V25" s="80">
        <v>52</v>
      </c>
      <c r="W25" s="80">
        <v>62</v>
      </c>
      <c r="AD25" s="80">
        <v>25</v>
      </c>
      <c r="AE25" s="80">
        <v>31</v>
      </c>
      <c r="AH25" s="81"/>
      <c r="AO25" s="80">
        <v>436</v>
      </c>
      <c r="AP25" s="80">
        <v>84</v>
      </c>
      <c r="AQ25" s="140">
        <v>12</v>
      </c>
      <c r="AR25" s="80">
        <v>175</v>
      </c>
      <c r="AW25" s="81"/>
      <c r="AX25" s="147"/>
      <c r="AY25" s="51">
        <f t="shared" si="3"/>
        <v>5.1904761904761907</v>
      </c>
      <c r="AZ25" s="51"/>
      <c r="BA25" s="52"/>
      <c r="BB25" s="45"/>
      <c r="BC25" s="45"/>
      <c r="BD25" s="45"/>
      <c r="BE25" s="49"/>
      <c r="BF25" s="45"/>
      <c r="BG25" s="45"/>
      <c r="BH25" s="45"/>
      <c r="BI25" s="49"/>
      <c r="BJ25" s="45"/>
      <c r="BK25" s="45"/>
      <c r="BL25" s="49"/>
      <c r="BM25" s="45"/>
      <c r="BN25" s="45"/>
      <c r="BO25" s="49"/>
      <c r="BP25" s="45"/>
      <c r="BQ25" s="45"/>
      <c r="BR25" s="49"/>
      <c r="BS25" s="45"/>
      <c r="BT25" s="45"/>
      <c r="BU25" s="49"/>
      <c r="BV25" s="45"/>
      <c r="BW25" s="45"/>
      <c r="BX25" s="49"/>
      <c r="BY25" s="45"/>
      <c r="BZ25" s="45"/>
      <c r="CA25" s="49"/>
    </row>
    <row r="26" spans="1:79" s="80" customFormat="1" ht="15.75" customHeight="1" x14ac:dyDescent="0.2">
      <c r="A26" s="209" t="s">
        <v>425</v>
      </c>
      <c r="B26" s="210" t="s">
        <v>109</v>
      </c>
      <c r="C26" s="210" t="s">
        <v>111</v>
      </c>
      <c r="D26" s="220" t="s">
        <v>124</v>
      </c>
      <c r="E26" s="221">
        <v>0</v>
      </c>
      <c r="F26" s="212" t="s">
        <v>133</v>
      </c>
      <c r="G26" s="162" t="s">
        <v>426</v>
      </c>
      <c r="H26" s="72">
        <f>209+304+660+864+508</f>
        <v>2545</v>
      </c>
      <c r="I26" s="72">
        <v>6</v>
      </c>
      <c r="J26" s="72">
        <v>1</v>
      </c>
      <c r="K26" s="72">
        <f>I26-J26</f>
        <v>5</v>
      </c>
      <c r="L26" s="72">
        <v>0</v>
      </c>
      <c r="M26" s="72">
        <v>392</v>
      </c>
      <c r="N26" s="72">
        <v>232</v>
      </c>
      <c r="O26" s="72">
        <f>104+179+795</f>
        <v>1078</v>
      </c>
      <c r="P26" s="72">
        <v>212</v>
      </c>
      <c r="Q26" s="72" t="s">
        <v>115</v>
      </c>
      <c r="R26" s="72" t="s">
        <v>115</v>
      </c>
      <c r="S26" s="72">
        <v>35</v>
      </c>
      <c r="T26" s="72">
        <v>17</v>
      </c>
      <c r="U26" s="72">
        <f>S26-T26</f>
        <v>18</v>
      </c>
      <c r="V26" s="72">
        <v>64</v>
      </c>
      <c r="W26" s="72">
        <v>63</v>
      </c>
      <c r="X26" s="72">
        <v>139</v>
      </c>
      <c r="Y26" s="72">
        <v>153</v>
      </c>
      <c r="Z26" s="72">
        <v>4</v>
      </c>
      <c r="AA26" s="72">
        <v>198</v>
      </c>
      <c r="AB26" s="72">
        <v>154</v>
      </c>
      <c r="AC26" s="72">
        <v>105</v>
      </c>
      <c r="AD26" s="72">
        <v>38</v>
      </c>
      <c r="AE26" s="72">
        <v>26</v>
      </c>
      <c r="AF26" s="72">
        <f>104+106+469</f>
        <v>679</v>
      </c>
      <c r="AG26" s="219">
        <f>AF26/O26</f>
        <v>0.62987012987012991</v>
      </c>
      <c r="AH26" s="344" t="s">
        <v>115</v>
      </c>
      <c r="AI26" s="72">
        <f>319+552</f>
        <v>871</v>
      </c>
      <c r="AJ26" s="72">
        <v>427</v>
      </c>
      <c r="AK26" s="72">
        <v>425</v>
      </c>
      <c r="AL26" s="72">
        <v>0</v>
      </c>
      <c r="AM26" s="72">
        <v>240</v>
      </c>
      <c r="AN26" s="72">
        <v>209</v>
      </c>
      <c r="AO26" s="72">
        <f>189+183+127</f>
        <v>499</v>
      </c>
      <c r="AP26" s="72">
        <v>81</v>
      </c>
      <c r="AQ26" s="215">
        <v>13</v>
      </c>
      <c r="AR26" s="215">
        <v>167</v>
      </c>
      <c r="AS26" s="72">
        <v>95</v>
      </c>
      <c r="AT26" s="72" t="s">
        <v>115</v>
      </c>
      <c r="AU26" s="72" t="s">
        <v>115</v>
      </c>
      <c r="AV26" s="72" t="s">
        <v>115</v>
      </c>
      <c r="AW26" s="216" t="s">
        <v>115</v>
      </c>
      <c r="AX26" s="72" t="s">
        <v>115</v>
      </c>
      <c r="AY26" s="66">
        <f t="shared" si="3"/>
        <v>6.1604938271604937</v>
      </c>
      <c r="AZ26" s="66" t="s">
        <v>115</v>
      </c>
      <c r="BA26" s="67" t="s">
        <v>115</v>
      </c>
      <c r="BB26" s="60" t="s">
        <v>115</v>
      </c>
      <c r="BC26" s="60" t="s">
        <v>115</v>
      </c>
      <c r="BD26" s="60" t="s">
        <v>115</v>
      </c>
      <c r="BE26" s="64" t="s">
        <v>115</v>
      </c>
      <c r="BF26" s="60" t="s">
        <v>115</v>
      </c>
      <c r="BG26" s="60" t="s">
        <v>115</v>
      </c>
      <c r="BH26" s="60" t="s">
        <v>115</v>
      </c>
      <c r="BI26" s="64" t="s">
        <v>115</v>
      </c>
      <c r="BJ26" s="60" t="s">
        <v>115</v>
      </c>
      <c r="BK26" s="60" t="s">
        <v>115</v>
      </c>
      <c r="BL26" s="64" t="s">
        <v>115</v>
      </c>
      <c r="BM26" s="60" t="s">
        <v>115</v>
      </c>
      <c r="BN26" s="60" t="s">
        <v>115</v>
      </c>
      <c r="BO26" s="64" t="s">
        <v>115</v>
      </c>
      <c r="BP26" s="60" t="s">
        <v>115</v>
      </c>
      <c r="BQ26" s="60" t="s">
        <v>115</v>
      </c>
      <c r="BR26" s="64" t="s">
        <v>115</v>
      </c>
      <c r="BS26" s="60" t="s">
        <v>115</v>
      </c>
      <c r="BT26" s="60" t="s">
        <v>115</v>
      </c>
      <c r="BU26" s="64" t="s">
        <v>115</v>
      </c>
      <c r="BV26" s="60" t="s">
        <v>115</v>
      </c>
      <c r="BW26" s="60" t="s">
        <v>115</v>
      </c>
      <c r="BX26" s="64" t="s">
        <v>115</v>
      </c>
      <c r="BY26" s="60" t="s">
        <v>115</v>
      </c>
      <c r="BZ26" s="60" t="s">
        <v>115</v>
      </c>
      <c r="CA26" s="64" t="s">
        <v>115</v>
      </c>
    </row>
    <row r="27" spans="1:79" s="80" customFormat="1" x14ac:dyDescent="0.2">
      <c r="A27" s="209"/>
      <c r="B27" s="210"/>
      <c r="C27" s="210"/>
      <c r="D27" s="220"/>
      <c r="E27" s="221"/>
      <c r="F27" s="212"/>
      <c r="G27" s="16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>
        <v>44</v>
      </c>
      <c r="W27" s="72">
        <v>80</v>
      </c>
      <c r="X27" s="72"/>
      <c r="Y27" s="72"/>
      <c r="Z27" s="72"/>
      <c r="AA27" s="72"/>
      <c r="AB27" s="72"/>
      <c r="AC27" s="72"/>
      <c r="AD27" s="72">
        <v>33</v>
      </c>
      <c r="AE27" s="72">
        <v>24</v>
      </c>
      <c r="AF27" s="72"/>
      <c r="AG27" s="219"/>
      <c r="AH27" s="64"/>
      <c r="AI27" s="72"/>
      <c r="AJ27" s="72"/>
      <c r="AK27" s="72"/>
      <c r="AL27" s="72"/>
      <c r="AM27" s="72"/>
      <c r="AN27" s="72"/>
      <c r="AO27" s="72">
        <f>155+114+162</f>
        <v>431</v>
      </c>
      <c r="AP27" s="72">
        <v>78</v>
      </c>
      <c r="AQ27" s="215">
        <v>16</v>
      </c>
      <c r="AR27" s="72">
        <v>153</v>
      </c>
      <c r="AS27" s="72">
        <v>124</v>
      </c>
      <c r="AT27" s="72"/>
      <c r="AU27" s="72"/>
      <c r="AV27" s="72"/>
      <c r="AW27" s="216"/>
      <c r="AX27" s="72"/>
      <c r="AY27" s="66">
        <f t="shared" si="3"/>
        <v>5.5256410256410255</v>
      </c>
      <c r="AZ27" s="66"/>
      <c r="BA27" s="67"/>
      <c r="BB27" s="60"/>
      <c r="BC27" s="60"/>
      <c r="BD27" s="60"/>
      <c r="BE27" s="64"/>
      <c r="BF27" s="60"/>
      <c r="BG27" s="60"/>
      <c r="BH27" s="60"/>
      <c r="BI27" s="64"/>
      <c r="BJ27" s="60"/>
      <c r="BK27" s="60"/>
      <c r="BL27" s="64"/>
      <c r="BM27" s="60"/>
      <c r="BN27" s="60"/>
      <c r="BO27" s="64"/>
      <c r="BP27" s="60"/>
      <c r="BQ27" s="60"/>
      <c r="BR27" s="64"/>
      <c r="BS27" s="60"/>
      <c r="BT27" s="60"/>
      <c r="BU27" s="64"/>
      <c r="BV27" s="60"/>
      <c r="BW27" s="60"/>
      <c r="BX27" s="64"/>
      <c r="BY27" s="60"/>
      <c r="BZ27" s="60"/>
      <c r="CA27" s="64"/>
    </row>
    <row r="28" spans="1:79" s="80" customFormat="1" x14ac:dyDescent="0.2">
      <c r="A28" s="209"/>
      <c r="B28" s="210"/>
      <c r="C28" s="210"/>
      <c r="D28" s="220"/>
      <c r="E28" s="221"/>
      <c r="F28" s="212"/>
      <c r="G28" s="16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>
        <v>47</v>
      </c>
      <c r="W28" s="72">
        <v>98</v>
      </c>
      <c r="X28" s="72"/>
      <c r="Y28" s="72"/>
      <c r="Z28" s="72"/>
      <c r="AA28" s="72"/>
      <c r="AB28" s="72"/>
      <c r="AC28" s="72"/>
      <c r="AD28" s="72">
        <v>28</v>
      </c>
      <c r="AE28" s="72">
        <v>21</v>
      </c>
      <c r="AF28" s="72"/>
      <c r="AG28" s="72"/>
      <c r="AH28" s="64"/>
      <c r="AI28" s="72"/>
      <c r="AJ28" s="72"/>
      <c r="AK28" s="72"/>
      <c r="AL28" s="72"/>
      <c r="AM28" s="72"/>
      <c r="AN28" s="72"/>
      <c r="AO28" s="72">
        <f>114+150+219</f>
        <v>483</v>
      </c>
      <c r="AP28" s="72">
        <v>72</v>
      </c>
      <c r="AQ28" s="215">
        <v>15</v>
      </c>
      <c r="AR28" s="72"/>
      <c r="AS28" s="72"/>
      <c r="AT28" s="72"/>
      <c r="AU28" s="72"/>
      <c r="AV28" s="72"/>
      <c r="AW28" s="216"/>
      <c r="AX28" s="72"/>
      <c r="AY28" s="66">
        <f t="shared" si="3"/>
        <v>6.708333333333333</v>
      </c>
      <c r="AZ28" s="66"/>
      <c r="BA28" s="67"/>
      <c r="BB28" s="60"/>
      <c r="BC28" s="60"/>
      <c r="BD28" s="60"/>
      <c r="BE28" s="64"/>
      <c r="BF28" s="75"/>
      <c r="BG28" s="60"/>
      <c r="BH28" s="60"/>
      <c r="BI28" s="64"/>
      <c r="BJ28" s="60"/>
      <c r="BK28" s="60"/>
      <c r="BL28" s="64"/>
      <c r="BM28" s="60"/>
      <c r="BN28" s="60"/>
      <c r="BO28" s="64"/>
      <c r="BP28" s="60"/>
      <c r="BQ28" s="60"/>
      <c r="BR28" s="64"/>
      <c r="BS28" s="60"/>
      <c r="BT28" s="60"/>
      <c r="BU28" s="64"/>
      <c r="BV28" s="60"/>
      <c r="BW28" s="60"/>
      <c r="BX28" s="64"/>
      <c r="BY28" s="60"/>
      <c r="BZ28" s="60"/>
      <c r="CA28" s="64"/>
    </row>
    <row r="29" spans="1:79" s="80" customFormat="1" x14ac:dyDescent="0.2">
      <c r="A29" s="203" t="s">
        <v>427</v>
      </c>
      <c r="B29" s="204" t="s">
        <v>136</v>
      </c>
      <c r="C29" s="204" t="s">
        <v>111</v>
      </c>
      <c r="D29" s="206" t="s">
        <v>124</v>
      </c>
      <c r="E29" s="207" t="s">
        <v>115</v>
      </c>
      <c r="F29" s="206" t="s">
        <v>115</v>
      </c>
      <c r="G29" s="418" t="s">
        <v>428</v>
      </c>
      <c r="H29" s="80" t="s">
        <v>115</v>
      </c>
      <c r="I29" s="80" t="s">
        <v>115</v>
      </c>
      <c r="J29" s="80" t="s">
        <v>115</v>
      </c>
      <c r="K29" s="80" t="s">
        <v>115</v>
      </c>
      <c r="L29" s="80" t="s">
        <v>115</v>
      </c>
      <c r="M29" s="80" t="s">
        <v>115</v>
      </c>
      <c r="N29" s="80" t="s">
        <v>115</v>
      </c>
      <c r="O29" s="80">
        <f>288+383+632</f>
        <v>1303</v>
      </c>
      <c r="P29" s="80">
        <v>328</v>
      </c>
      <c r="Q29" s="80" t="s">
        <v>115</v>
      </c>
      <c r="R29" s="80" t="s">
        <v>115</v>
      </c>
      <c r="S29" s="80" t="s">
        <v>115</v>
      </c>
      <c r="T29" s="80" t="s">
        <v>115</v>
      </c>
      <c r="U29" s="80" t="s">
        <v>115</v>
      </c>
      <c r="V29" s="80" t="s">
        <v>115</v>
      </c>
      <c r="W29" s="80" t="s">
        <v>115</v>
      </c>
      <c r="X29" s="80">
        <f>46+33+106</f>
        <v>185</v>
      </c>
      <c r="Y29" s="80" t="s">
        <v>429</v>
      </c>
      <c r="Z29" s="80">
        <v>4</v>
      </c>
      <c r="AA29" s="80">
        <v>379</v>
      </c>
      <c r="AB29" s="80">
        <v>241</v>
      </c>
      <c r="AC29" s="80">
        <v>169</v>
      </c>
      <c r="AD29" s="80">
        <v>36</v>
      </c>
      <c r="AE29" s="80">
        <v>33</v>
      </c>
      <c r="AF29" s="80">
        <f>558+274</f>
        <v>832</v>
      </c>
      <c r="AG29" s="146">
        <f>AF29/O29</f>
        <v>0.63852647735993862</v>
      </c>
      <c r="AH29" s="81" t="s">
        <v>115</v>
      </c>
      <c r="AI29" s="80" t="s">
        <v>115</v>
      </c>
      <c r="AJ29" s="80" t="s">
        <v>115</v>
      </c>
      <c r="AK29" s="80" t="s">
        <v>115</v>
      </c>
      <c r="AL29" s="80" t="s">
        <v>115</v>
      </c>
      <c r="AM29" s="80" t="s">
        <v>115</v>
      </c>
      <c r="AN29" s="80" t="s">
        <v>115</v>
      </c>
      <c r="AO29" s="80" t="s">
        <v>115</v>
      </c>
      <c r="AP29" s="80" t="s">
        <v>115</v>
      </c>
      <c r="AQ29" s="80" t="s">
        <v>115</v>
      </c>
      <c r="AR29" s="80" t="s">
        <v>115</v>
      </c>
      <c r="AS29" s="80" t="s">
        <v>115</v>
      </c>
      <c r="AT29" s="80" t="s">
        <v>115</v>
      </c>
      <c r="AU29" s="80" t="s">
        <v>115</v>
      </c>
      <c r="AV29" s="80" t="s">
        <v>115</v>
      </c>
      <c r="AW29" s="81" t="s">
        <v>115</v>
      </c>
      <c r="AX29" s="147" t="s">
        <v>115</v>
      </c>
      <c r="AY29" s="147" t="s">
        <v>115</v>
      </c>
      <c r="AZ29" s="147" t="s">
        <v>115</v>
      </c>
      <c r="BA29" s="148" t="s">
        <v>115</v>
      </c>
      <c r="BB29" s="80" t="s">
        <v>115</v>
      </c>
      <c r="BC29" s="80" t="s">
        <v>115</v>
      </c>
      <c r="BD29" s="80" t="s">
        <v>115</v>
      </c>
      <c r="BE29" s="81" t="s">
        <v>115</v>
      </c>
      <c r="BF29" s="292" t="s">
        <v>115</v>
      </c>
      <c r="BG29" s="80" t="s">
        <v>115</v>
      </c>
      <c r="BH29" s="80" t="s">
        <v>115</v>
      </c>
      <c r="BI29" s="81" t="s">
        <v>115</v>
      </c>
      <c r="BJ29" s="80" t="s">
        <v>115</v>
      </c>
      <c r="BK29" s="80" t="s">
        <v>115</v>
      </c>
      <c r="BL29" s="81" t="s">
        <v>115</v>
      </c>
      <c r="BM29" s="80" t="s">
        <v>115</v>
      </c>
      <c r="BN29" s="80" t="s">
        <v>115</v>
      </c>
      <c r="BO29" s="81" t="s">
        <v>115</v>
      </c>
      <c r="BP29" s="80" t="s">
        <v>115</v>
      </c>
      <c r="BQ29" s="80" t="s">
        <v>115</v>
      </c>
      <c r="BR29" s="81" t="s">
        <v>115</v>
      </c>
      <c r="BS29" s="80" t="s">
        <v>115</v>
      </c>
      <c r="BT29" s="80" t="s">
        <v>115</v>
      </c>
      <c r="BU29" s="81" t="s">
        <v>115</v>
      </c>
      <c r="BV29" s="80" t="s">
        <v>115</v>
      </c>
      <c r="BW29" s="80" t="s">
        <v>115</v>
      </c>
      <c r="BX29" s="81" t="s">
        <v>115</v>
      </c>
      <c r="BY29" s="80" t="s">
        <v>115</v>
      </c>
      <c r="BZ29" s="80" t="s">
        <v>115</v>
      </c>
      <c r="CA29" s="81" t="s">
        <v>115</v>
      </c>
    </row>
    <row r="30" spans="1:79" s="80" customFormat="1" x14ac:dyDescent="0.2">
      <c r="A30" s="203"/>
      <c r="B30" s="204"/>
      <c r="C30" s="204"/>
      <c r="D30" s="206"/>
      <c r="E30" s="207"/>
      <c r="F30" s="206"/>
      <c r="G30" s="161"/>
      <c r="X30" s="80" t="s">
        <v>430</v>
      </c>
      <c r="Y30" s="80" t="s">
        <v>431</v>
      </c>
      <c r="AD30" s="80">
        <v>32</v>
      </c>
      <c r="AE30" s="80">
        <v>38</v>
      </c>
      <c r="AH30" s="81"/>
      <c r="AQ30" s="140"/>
      <c r="AW30" s="81"/>
      <c r="AX30" s="147"/>
      <c r="AY30" s="147"/>
      <c r="AZ30" s="147"/>
      <c r="BA30" s="148"/>
      <c r="BE30" s="81"/>
      <c r="BI30" s="81"/>
      <c r="BL30" s="81"/>
      <c r="BO30" s="81"/>
      <c r="BR30" s="81"/>
      <c r="BU30" s="81"/>
      <c r="BX30" s="81"/>
      <c r="CA30" s="81"/>
    </row>
    <row r="31" spans="1:79" s="80" customFormat="1" x14ac:dyDescent="0.2">
      <c r="A31" s="203"/>
      <c r="B31" s="204"/>
      <c r="C31" s="204"/>
      <c r="D31" s="206"/>
      <c r="E31" s="207"/>
      <c r="F31" s="206"/>
      <c r="G31" s="161"/>
      <c r="Y31" s="80" t="s">
        <v>430</v>
      </c>
      <c r="AD31" s="80">
        <v>29</v>
      </c>
      <c r="AE31" s="80">
        <v>45</v>
      </c>
      <c r="AH31" s="81"/>
      <c r="AQ31" s="140"/>
      <c r="AW31" s="81"/>
      <c r="AX31" s="147"/>
      <c r="AY31" s="147"/>
      <c r="AZ31" s="147"/>
      <c r="BA31" s="148"/>
      <c r="BE31" s="81"/>
      <c r="BI31" s="81"/>
      <c r="BL31" s="81"/>
      <c r="BO31" s="81"/>
      <c r="BR31" s="81"/>
      <c r="BU31" s="81"/>
      <c r="BX31" s="81"/>
      <c r="CA31" s="81"/>
    </row>
    <row r="32" spans="1:79" x14ac:dyDescent="0.2">
      <c r="A32" s="54" t="s">
        <v>432</v>
      </c>
      <c r="B32" s="55" t="s">
        <v>109</v>
      </c>
      <c r="C32" s="55" t="s">
        <v>123</v>
      </c>
      <c r="D32" s="57" t="s">
        <v>124</v>
      </c>
      <c r="E32" s="58">
        <v>3</v>
      </c>
      <c r="F32" s="57" t="s">
        <v>115</v>
      </c>
      <c r="G32" s="59"/>
      <c r="H32" s="60">
        <f>334+370+185+89+316+259+164+456+308+437</f>
        <v>2918</v>
      </c>
      <c r="I32" s="60">
        <v>6</v>
      </c>
      <c r="J32" s="60"/>
      <c r="K32" s="60">
        <f>I32-J32</f>
        <v>6</v>
      </c>
      <c r="L32" s="60">
        <v>0</v>
      </c>
      <c r="M32" s="60" t="s">
        <v>115</v>
      </c>
      <c r="N32" s="60" t="s">
        <v>115</v>
      </c>
      <c r="O32" s="60" t="s">
        <v>115</v>
      </c>
      <c r="P32" s="60" t="s">
        <v>115</v>
      </c>
      <c r="Q32" s="60" t="s">
        <v>115</v>
      </c>
      <c r="R32" s="60" t="s">
        <v>115</v>
      </c>
      <c r="S32" s="60" t="s">
        <v>115</v>
      </c>
      <c r="T32" s="60" t="s">
        <v>115</v>
      </c>
      <c r="U32" s="60" t="s">
        <v>115</v>
      </c>
      <c r="V32" s="60" t="s">
        <v>115</v>
      </c>
      <c r="W32" s="60" t="s">
        <v>115</v>
      </c>
      <c r="X32" s="60" t="s">
        <v>115</v>
      </c>
      <c r="Y32" s="60" t="s">
        <v>115</v>
      </c>
      <c r="Z32" s="60" t="s">
        <v>115</v>
      </c>
      <c r="AA32" s="60" t="s">
        <v>115</v>
      </c>
      <c r="AB32" s="60" t="s">
        <v>115</v>
      </c>
      <c r="AC32" s="60" t="s">
        <v>115</v>
      </c>
      <c r="AD32" s="60" t="s">
        <v>115</v>
      </c>
      <c r="AE32" s="60" t="s">
        <v>115</v>
      </c>
      <c r="AF32" s="60" t="s">
        <v>115</v>
      </c>
      <c r="AG32" s="60" t="s">
        <v>115</v>
      </c>
      <c r="AH32" s="64" t="s">
        <v>115</v>
      </c>
      <c r="AI32" s="60">
        <f>201+332+326+337</f>
        <v>1196</v>
      </c>
      <c r="AJ32" s="60">
        <f>103+281+293</f>
        <v>677</v>
      </c>
      <c r="AK32" s="60">
        <f>191+336</f>
        <v>527</v>
      </c>
      <c r="AL32" s="60">
        <v>0</v>
      </c>
      <c r="AM32" s="60">
        <v>226</v>
      </c>
      <c r="AN32" s="60">
        <v>259</v>
      </c>
      <c r="AO32" s="60">
        <v>504</v>
      </c>
      <c r="AP32" s="60">
        <v>97</v>
      </c>
      <c r="AQ32" s="65">
        <v>25</v>
      </c>
      <c r="AR32" s="60">
        <v>206</v>
      </c>
      <c r="AS32" s="60">
        <v>95</v>
      </c>
      <c r="AT32" s="60">
        <v>291</v>
      </c>
      <c r="AU32" s="60">
        <v>362</v>
      </c>
      <c r="AV32" s="60" t="s">
        <v>115</v>
      </c>
      <c r="AW32" s="64" t="s">
        <v>115</v>
      </c>
      <c r="AX32" s="72" t="s">
        <v>115</v>
      </c>
      <c r="AY32" s="66">
        <f>AO32/AP32</f>
        <v>5.195876288659794</v>
      </c>
      <c r="AZ32" s="66">
        <f>AJ32/AT32</f>
        <v>2.3264604810996565</v>
      </c>
      <c r="BA32" s="67">
        <f>AK32/AT32</f>
        <v>1.8109965635738832</v>
      </c>
      <c r="BB32" s="60">
        <f>79+281</f>
        <v>360</v>
      </c>
      <c r="BC32" s="60">
        <v>32</v>
      </c>
      <c r="BD32" s="60">
        <v>30</v>
      </c>
      <c r="BE32" s="216">
        <v>18</v>
      </c>
      <c r="BF32" s="72" t="s">
        <v>286</v>
      </c>
      <c r="BG32" s="72">
        <v>92</v>
      </c>
      <c r="BH32" s="72">
        <v>6</v>
      </c>
      <c r="BI32" s="216">
        <v>3</v>
      </c>
      <c r="BJ32" s="72">
        <v>12</v>
      </c>
      <c r="BK32" s="72">
        <v>7</v>
      </c>
      <c r="BL32" s="216">
        <v>7</v>
      </c>
      <c r="BM32" s="72">
        <v>15</v>
      </c>
      <c r="BN32" s="72">
        <v>8</v>
      </c>
      <c r="BO32" s="216">
        <v>10</v>
      </c>
      <c r="BP32" s="72">
        <v>18</v>
      </c>
      <c r="BQ32" s="72">
        <v>5</v>
      </c>
      <c r="BR32" s="216">
        <v>11</v>
      </c>
      <c r="BS32" s="72">
        <v>16</v>
      </c>
      <c r="BT32" s="72">
        <v>5</v>
      </c>
      <c r="BU32" s="216">
        <v>8</v>
      </c>
      <c r="BV32" s="72">
        <v>7</v>
      </c>
      <c r="BW32" s="72">
        <v>3</v>
      </c>
      <c r="BX32" s="216">
        <v>3</v>
      </c>
      <c r="BY32" s="72">
        <v>5</v>
      </c>
      <c r="BZ32" s="72">
        <v>2</v>
      </c>
      <c r="CA32" s="216">
        <v>3</v>
      </c>
    </row>
    <row r="33" spans="1:79" x14ac:dyDescent="0.2">
      <c r="A33" s="54"/>
      <c r="B33" s="55"/>
      <c r="C33" s="55"/>
      <c r="D33" s="57"/>
      <c r="E33" s="58"/>
      <c r="F33" s="57"/>
      <c r="G33" s="59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4"/>
      <c r="AI33" s="60"/>
      <c r="AJ33" s="60"/>
      <c r="AK33" s="60"/>
      <c r="AL33" s="60"/>
      <c r="AM33" s="60"/>
      <c r="AN33" s="60"/>
      <c r="AO33" s="60">
        <v>529</v>
      </c>
      <c r="AP33" s="60">
        <v>102</v>
      </c>
      <c r="AQ33" s="65">
        <v>30</v>
      </c>
      <c r="AR33" s="60">
        <v>219</v>
      </c>
      <c r="AS33" s="60">
        <v>117</v>
      </c>
      <c r="AT33" s="60"/>
      <c r="AU33" s="60"/>
      <c r="AV33" s="60"/>
      <c r="AW33" s="64"/>
      <c r="AX33" s="72"/>
      <c r="AY33" s="66">
        <f>AO33/AP33</f>
        <v>5.1862745098039218</v>
      </c>
      <c r="AZ33" s="66"/>
      <c r="BA33" s="67"/>
      <c r="BB33" s="60"/>
      <c r="BC33" s="60">
        <v>30</v>
      </c>
      <c r="BD33" s="60">
        <v>37</v>
      </c>
      <c r="BE33" s="216">
        <v>19</v>
      </c>
      <c r="BF33" s="72"/>
      <c r="BG33" s="72">
        <v>95</v>
      </c>
      <c r="BH33" s="72"/>
      <c r="BI33" s="216"/>
      <c r="BJ33" s="72">
        <v>13</v>
      </c>
      <c r="BK33" s="72">
        <v>10</v>
      </c>
      <c r="BL33" s="216">
        <v>6</v>
      </c>
      <c r="BM33" s="72">
        <v>15</v>
      </c>
      <c r="BN33" s="72">
        <v>5</v>
      </c>
      <c r="BO33" s="216">
        <v>8</v>
      </c>
      <c r="BP33" s="72">
        <v>19</v>
      </c>
      <c r="BQ33" s="72">
        <v>4</v>
      </c>
      <c r="BR33" s="216">
        <v>14</v>
      </c>
      <c r="BS33" s="72">
        <v>16</v>
      </c>
      <c r="BT33" s="72">
        <v>4</v>
      </c>
      <c r="BU33" s="216">
        <v>8</v>
      </c>
      <c r="BV33" s="72">
        <v>6</v>
      </c>
      <c r="BW33" s="72">
        <v>4</v>
      </c>
      <c r="BX33" s="216">
        <v>3</v>
      </c>
      <c r="BY33" s="72">
        <v>6</v>
      </c>
      <c r="BZ33" s="72">
        <v>3</v>
      </c>
      <c r="CA33" s="216">
        <v>4</v>
      </c>
    </row>
    <row r="34" spans="1:79" x14ac:dyDescent="0.2">
      <c r="A34" s="54"/>
      <c r="B34" s="55"/>
      <c r="C34" s="55"/>
      <c r="D34" s="57"/>
      <c r="E34" s="58"/>
      <c r="F34" s="57"/>
      <c r="G34" s="59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4"/>
      <c r="AI34" s="60"/>
      <c r="AJ34" s="60"/>
      <c r="AK34" s="60"/>
      <c r="AL34" s="60"/>
      <c r="AM34" s="60"/>
      <c r="AN34" s="60"/>
      <c r="AO34" s="60">
        <f>266+266</f>
        <v>532</v>
      </c>
      <c r="AP34" s="60"/>
      <c r="AQ34" s="65">
        <v>31</v>
      </c>
      <c r="AR34" s="60">
        <v>207</v>
      </c>
      <c r="AS34" s="60"/>
      <c r="AT34" s="60"/>
      <c r="AU34" s="60"/>
      <c r="AV34" s="60"/>
      <c r="AW34" s="64"/>
      <c r="AX34" s="72"/>
      <c r="AY34" s="66"/>
      <c r="AZ34" s="66"/>
      <c r="BA34" s="67"/>
      <c r="BB34" s="60"/>
      <c r="BC34" s="60"/>
      <c r="BD34" s="60">
        <v>32</v>
      </c>
      <c r="BE34" s="216">
        <v>16</v>
      </c>
      <c r="BF34" s="72"/>
      <c r="BG34" s="72"/>
      <c r="BH34" s="72"/>
      <c r="BI34" s="216"/>
      <c r="BJ34" s="72">
        <v>13</v>
      </c>
      <c r="BK34" s="72">
        <v>10</v>
      </c>
      <c r="BL34" s="216">
        <v>6</v>
      </c>
      <c r="BM34" s="72">
        <v>18</v>
      </c>
      <c r="BN34" s="72">
        <v>7</v>
      </c>
      <c r="BO34" s="216">
        <v>12</v>
      </c>
      <c r="BP34" s="72">
        <v>16</v>
      </c>
      <c r="BQ34" s="72">
        <v>5</v>
      </c>
      <c r="BR34" s="216">
        <v>9</v>
      </c>
      <c r="BS34" s="72">
        <v>20</v>
      </c>
      <c r="BT34" s="72">
        <v>5</v>
      </c>
      <c r="BU34" s="216">
        <v>11</v>
      </c>
      <c r="BV34" s="72">
        <v>6</v>
      </c>
      <c r="BW34" s="72">
        <v>3</v>
      </c>
      <c r="BX34" s="216">
        <v>3</v>
      </c>
      <c r="BY34" s="72"/>
      <c r="BZ34" s="72"/>
      <c r="CA34" s="216"/>
    </row>
    <row r="35" spans="1:79" ht="15.75" customHeight="1" x14ac:dyDescent="0.2">
      <c r="A35" s="40" t="s">
        <v>433</v>
      </c>
      <c r="B35" s="41" t="s">
        <v>109</v>
      </c>
      <c r="C35" s="41" t="s">
        <v>111</v>
      </c>
      <c r="D35" s="43" t="s">
        <v>124</v>
      </c>
      <c r="E35" s="44">
        <v>0</v>
      </c>
      <c r="F35" s="43" t="s">
        <v>113</v>
      </c>
      <c r="G35" s="69" t="s">
        <v>339</v>
      </c>
      <c r="H35" s="45">
        <f>119+207+320+506+614+944</f>
        <v>2710</v>
      </c>
      <c r="I35" s="45">
        <v>7</v>
      </c>
      <c r="J35" s="45">
        <v>1</v>
      </c>
      <c r="K35" s="45">
        <f>I35-J35</f>
        <v>6</v>
      </c>
      <c r="L35" s="45">
        <v>0</v>
      </c>
      <c r="M35" s="45">
        <v>408</v>
      </c>
      <c r="N35" s="45">
        <v>184</v>
      </c>
      <c r="O35" s="45">
        <f>105+146+491+225</f>
        <v>967</v>
      </c>
      <c r="P35" s="45">
        <v>205</v>
      </c>
      <c r="Q35" s="45" t="s">
        <v>115</v>
      </c>
      <c r="R35" s="45" t="s">
        <v>115</v>
      </c>
      <c r="S35" s="45">
        <v>30</v>
      </c>
      <c r="T35" s="45">
        <v>14</v>
      </c>
      <c r="U35" s="45">
        <f>S35-T35</f>
        <v>16</v>
      </c>
      <c r="V35" s="45">
        <v>39</v>
      </c>
      <c r="W35" s="45">
        <v>85</v>
      </c>
      <c r="X35" s="45">
        <v>106</v>
      </c>
      <c r="Y35" s="45">
        <v>104</v>
      </c>
      <c r="Z35" s="45">
        <v>4</v>
      </c>
      <c r="AA35" s="45">
        <v>218</v>
      </c>
      <c r="AB35" s="45">
        <v>122</v>
      </c>
      <c r="AC35" s="45">
        <v>78</v>
      </c>
      <c r="AD35" s="45" t="s">
        <v>115</v>
      </c>
      <c r="AE35" s="45" t="s">
        <v>115</v>
      </c>
      <c r="AF35" s="45">
        <f>80+102+351</f>
        <v>533</v>
      </c>
      <c r="AG35" s="46">
        <f>AF35/O35</f>
        <v>0.55118924508790068</v>
      </c>
      <c r="AH35" s="347" t="s">
        <v>115</v>
      </c>
      <c r="AI35" s="45">
        <f>132+196+597</f>
        <v>925</v>
      </c>
      <c r="AJ35" s="45">
        <v>485</v>
      </c>
      <c r="AK35" s="45">
        <f>145+318</f>
        <v>463</v>
      </c>
      <c r="AL35" s="45">
        <v>0</v>
      </c>
      <c r="AM35" s="45">
        <v>237</v>
      </c>
      <c r="AN35" s="45">
        <v>221</v>
      </c>
      <c r="AO35" s="45">
        <f>232+206</f>
        <v>438</v>
      </c>
      <c r="AP35" s="45">
        <v>85</v>
      </c>
      <c r="AQ35" s="50">
        <v>15</v>
      </c>
      <c r="AR35" s="45">
        <v>174</v>
      </c>
      <c r="AS35" s="45">
        <v>98</v>
      </c>
      <c r="AT35" s="45">
        <v>235</v>
      </c>
      <c r="AU35" s="45">
        <v>288</v>
      </c>
      <c r="AV35" s="45" t="s">
        <v>128</v>
      </c>
      <c r="AW35" s="49">
        <f>AU35</f>
        <v>288</v>
      </c>
      <c r="AX35" s="147">
        <f t="shared" si="1"/>
        <v>1.6840277777777777</v>
      </c>
      <c r="AY35" s="51">
        <f>AO35/AP35</f>
        <v>5.1529411764705886</v>
      </c>
      <c r="AZ35" s="51">
        <f>AJ35/AT35</f>
        <v>2.0638297872340425</v>
      </c>
      <c r="BA35" s="52">
        <f t="shared" si="2"/>
        <v>1.9702127659574469</v>
      </c>
      <c r="BB35" s="80" t="s">
        <v>115</v>
      </c>
      <c r="BC35" s="80" t="s">
        <v>115</v>
      </c>
      <c r="BD35" s="80" t="s">
        <v>115</v>
      </c>
      <c r="BE35" s="81" t="s">
        <v>115</v>
      </c>
      <c r="BF35" s="292" t="s">
        <v>115</v>
      </c>
      <c r="BG35" s="80" t="s">
        <v>115</v>
      </c>
      <c r="BH35" s="80" t="s">
        <v>115</v>
      </c>
      <c r="BI35" s="81" t="s">
        <v>115</v>
      </c>
      <c r="BJ35" s="80" t="s">
        <v>115</v>
      </c>
      <c r="BK35" s="80" t="s">
        <v>115</v>
      </c>
      <c r="BL35" s="81" t="s">
        <v>115</v>
      </c>
      <c r="BM35" s="80" t="s">
        <v>115</v>
      </c>
      <c r="BN35" s="80" t="s">
        <v>115</v>
      </c>
      <c r="BO35" s="81" t="s">
        <v>115</v>
      </c>
      <c r="BP35" s="80" t="s">
        <v>115</v>
      </c>
      <c r="BQ35" s="80" t="s">
        <v>115</v>
      </c>
      <c r="BR35" s="81" t="s">
        <v>115</v>
      </c>
      <c r="BS35" s="80" t="s">
        <v>115</v>
      </c>
      <c r="BT35" s="80" t="s">
        <v>115</v>
      </c>
      <c r="BU35" s="81" t="s">
        <v>115</v>
      </c>
      <c r="BV35" s="80" t="s">
        <v>115</v>
      </c>
      <c r="BW35" s="80" t="s">
        <v>115</v>
      </c>
      <c r="BX35" s="81" t="s">
        <v>115</v>
      </c>
      <c r="BY35" s="80" t="s">
        <v>115</v>
      </c>
      <c r="BZ35" s="80" t="s">
        <v>115</v>
      </c>
      <c r="CA35" s="81" t="s">
        <v>115</v>
      </c>
    </row>
    <row r="36" spans="1:79" x14ac:dyDescent="0.2">
      <c r="A36" s="40"/>
      <c r="B36" s="41"/>
      <c r="C36" s="41"/>
      <c r="D36" s="43"/>
      <c r="E36" s="44"/>
      <c r="F36" s="43"/>
      <c r="G36" s="69"/>
      <c r="V36" s="45">
        <v>41</v>
      </c>
      <c r="W36" s="45">
        <v>79</v>
      </c>
      <c r="AO36" s="45">
        <f>172+173+122</f>
        <v>467</v>
      </c>
      <c r="AP36" s="45">
        <v>73</v>
      </c>
      <c r="AQ36" s="50">
        <v>14</v>
      </c>
      <c r="AR36" s="45">
        <v>187</v>
      </c>
      <c r="AS36" s="45">
        <v>87</v>
      </c>
      <c r="AX36" s="419"/>
      <c r="AY36" s="420"/>
      <c r="AZ36" s="420"/>
      <c r="BA36" s="421"/>
      <c r="BF36" s="80"/>
      <c r="BG36" s="80"/>
      <c r="BH36" s="80"/>
      <c r="BI36" s="81"/>
      <c r="BJ36" s="80"/>
      <c r="BK36" s="80"/>
      <c r="BL36" s="81"/>
      <c r="BM36" s="80"/>
      <c r="BN36" s="80"/>
      <c r="BO36" s="81"/>
      <c r="BP36" s="80"/>
      <c r="BQ36" s="80"/>
      <c r="BR36" s="81"/>
      <c r="BS36" s="80"/>
      <c r="BT36" s="80"/>
      <c r="BU36" s="81"/>
      <c r="BV36" s="80"/>
      <c r="BW36" s="80"/>
      <c r="BX36" s="81"/>
      <c r="BY36" s="80"/>
      <c r="BZ36" s="80"/>
      <c r="CA36" s="81"/>
    </row>
    <row r="37" spans="1:79" x14ac:dyDescent="0.2">
      <c r="A37" s="83"/>
      <c r="B37" s="84"/>
      <c r="C37" s="84"/>
      <c r="D37" s="86"/>
      <c r="E37" s="87"/>
      <c r="F37" s="86"/>
      <c r="G37" s="88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>
        <v>37</v>
      </c>
      <c r="W37" s="89">
        <v>80</v>
      </c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93"/>
      <c r="AI37" s="89"/>
      <c r="AJ37" s="89"/>
      <c r="AK37" s="89"/>
      <c r="AL37" s="89"/>
      <c r="AM37" s="89"/>
      <c r="AN37" s="89"/>
      <c r="AO37" s="89">
        <f>60+187+131+74</f>
        <v>452</v>
      </c>
      <c r="AP37" s="89">
        <v>85</v>
      </c>
      <c r="AQ37" s="94">
        <v>13</v>
      </c>
      <c r="AR37" s="89"/>
      <c r="AS37" s="89">
        <v>92</v>
      </c>
      <c r="AT37" s="89"/>
      <c r="AU37" s="89"/>
      <c r="AV37" s="89"/>
      <c r="AW37" s="93"/>
      <c r="AX37" s="422"/>
      <c r="AY37" s="423"/>
      <c r="AZ37" s="423"/>
      <c r="BA37" s="424"/>
      <c r="BB37" s="89"/>
      <c r="BC37" s="89"/>
      <c r="BD37" s="89"/>
      <c r="BE37" s="93"/>
      <c r="BF37" s="195"/>
      <c r="BG37" s="195"/>
      <c r="BH37" s="195"/>
      <c r="BI37" s="229"/>
      <c r="BJ37" s="195"/>
      <c r="BK37" s="195"/>
      <c r="BL37" s="229"/>
      <c r="BM37" s="195"/>
      <c r="BN37" s="195"/>
      <c r="BO37" s="229"/>
      <c r="BP37" s="195"/>
      <c r="BQ37" s="195"/>
      <c r="BR37" s="229"/>
      <c r="BS37" s="195"/>
      <c r="BT37" s="195"/>
      <c r="BU37" s="229"/>
      <c r="BV37" s="195"/>
      <c r="BW37" s="195"/>
      <c r="BX37" s="229"/>
      <c r="BY37" s="195"/>
      <c r="BZ37" s="195"/>
      <c r="CA37" s="229"/>
    </row>
    <row r="38" spans="1:79" ht="17" x14ac:dyDescent="0.2">
      <c r="A38" s="333"/>
      <c r="B38" s="335"/>
      <c r="C38" s="335"/>
      <c r="D38" s="336"/>
      <c r="F38" s="336"/>
      <c r="G38" s="133" t="s">
        <v>166</v>
      </c>
      <c r="H38" s="45">
        <f>MIN(H5:H37)</f>
        <v>2545</v>
      </c>
      <c r="I38" s="45">
        <f t="shared" ref="I38:BT38" si="4">MIN(I5:I37)</f>
        <v>4</v>
      </c>
      <c r="J38" s="45">
        <f t="shared" si="4"/>
        <v>1</v>
      </c>
      <c r="K38" s="45">
        <f t="shared" si="4"/>
        <v>3</v>
      </c>
      <c r="L38" s="45">
        <f t="shared" si="4"/>
        <v>0</v>
      </c>
      <c r="M38" s="45">
        <f t="shared" si="4"/>
        <v>79</v>
      </c>
      <c r="N38" s="45">
        <f t="shared" si="4"/>
        <v>120</v>
      </c>
      <c r="O38" s="45">
        <f>MIN(O30:O37,O5:O28)</f>
        <v>820</v>
      </c>
      <c r="P38" s="45">
        <f>MIN(P30:P37,P5:P28)</f>
        <v>195</v>
      </c>
      <c r="Q38" s="45">
        <f t="shared" si="4"/>
        <v>0</v>
      </c>
      <c r="R38" s="45">
        <f t="shared" si="4"/>
        <v>0</v>
      </c>
      <c r="S38" s="45">
        <f t="shared" si="4"/>
        <v>30</v>
      </c>
      <c r="T38" s="45">
        <f t="shared" si="4"/>
        <v>12</v>
      </c>
      <c r="U38" s="45">
        <f t="shared" si="4"/>
        <v>16</v>
      </c>
      <c r="V38" s="45">
        <f t="shared" si="4"/>
        <v>37</v>
      </c>
      <c r="W38" s="45">
        <f t="shared" si="4"/>
        <v>53</v>
      </c>
      <c r="X38" s="45">
        <f>MIN(X32:X37,X5:X28)</f>
        <v>106</v>
      </c>
      <c r="Y38" s="45">
        <f>MIN(Y32:Y37,Y5:Y28)</f>
        <v>82</v>
      </c>
      <c r="Z38" s="45">
        <f t="shared" si="4"/>
        <v>4</v>
      </c>
      <c r="AA38" s="45">
        <f t="shared" si="4"/>
        <v>180</v>
      </c>
      <c r="AB38" s="45">
        <f t="shared" si="4"/>
        <v>114</v>
      </c>
      <c r="AC38" s="45">
        <f t="shared" si="4"/>
        <v>62</v>
      </c>
      <c r="AD38" s="45">
        <f t="shared" si="4"/>
        <v>16</v>
      </c>
      <c r="AE38" s="45">
        <f t="shared" si="4"/>
        <v>21</v>
      </c>
      <c r="AF38" s="45">
        <f t="shared" si="4"/>
        <v>520</v>
      </c>
      <c r="AG38" s="46">
        <f t="shared" si="4"/>
        <v>0.55118924508790068</v>
      </c>
      <c r="AH38" s="370">
        <f t="shared" si="4"/>
        <v>0</v>
      </c>
      <c r="AI38" s="45">
        <f t="shared" si="4"/>
        <v>686</v>
      </c>
      <c r="AJ38" s="45">
        <f t="shared" si="4"/>
        <v>383</v>
      </c>
      <c r="AK38" s="45">
        <f t="shared" si="4"/>
        <v>326</v>
      </c>
      <c r="AL38" s="45">
        <f>MIN(AL17,AL5)</f>
        <v>7</v>
      </c>
      <c r="AM38" s="45">
        <f t="shared" si="4"/>
        <v>139</v>
      </c>
      <c r="AN38" s="45">
        <f t="shared" si="4"/>
        <v>144</v>
      </c>
      <c r="AO38" s="45">
        <f t="shared" si="4"/>
        <v>285</v>
      </c>
      <c r="AP38" s="45">
        <f t="shared" si="4"/>
        <v>50</v>
      </c>
      <c r="AQ38" s="45">
        <f t="shared" si="4"/>
        <v>8</v>
      </c>
      <c r="AR38" s="45">
        <f t="shared" si="4"/>
        <v>123</v>
      </c>
      <c r="AS38" s="45">
        <f t="shared" si="4"/>
        <v>75</v>
      </c>
      <c r="AT38" s="45">
        <f t="shared" si="4"/>
        <v>153</v>
      </c>
      <c r="AU38" s="45">
        <f t="shared" si="4"/>
        <v>227</v>
      </c>
      <c r="AW38" s="370">
        <f t="shared" si="4"/>
        <v>244</v>
      </c>
      <c r="AX38" s="425">
        <f t="shared" si="4"/>
        <v>1.5833333333333333</v>
      </c>
      <c r="AY38" s="51">
        <f>MIN(AY5:AY37)</f>
        <v>3.75</v>
      </c>
      <c r="AZ38" s="51">
        <f>MIN(AZ5:AZ37)</f>
        <v>1.9681274900398407</v>
      </c>
      <c r="BA38" s="381">
        <f>MIN(BA5:BA37)</f>
        <v>1.7091633466135459</v>
      </c>
      <c r="BC38" s="45">
        <f t="shared" si="4"/>
        <v>25</v>
      </c>
      <c r="BD38" s="45">
        <f t="shared" si="4"/>
        <v>26</v>
      </c>
      <c r="BE38" s="370">
        <f t="shared" si="4"/>
        <v>16</v>
      </c>
      <c r="BG38" s="45">
        <f t="shared" si="4"/>
        <v>84</v>
      </c>
      <c r="BH38" s="45">
        <f t="shared" si="4"/>
        <v>6</v>
      </c>
      <c r="BI38" s="370">
        <f t="shared" si="4"/>
        <v>3</v>
      </c>
      <c r="BJ38" s="45">
        <f t="shared" si="4"/>
        <v>10</v>
      </c>
      <c r="BK38" s="45">
        <f t="shared" si="4"/>
        <v>6</v>
      </c>
      <c r="BL38" s="370">
        <f t="shared" si="4"/>
        <v>6</v>
      </c>
      <c r="BM38" s="45">
        <f t="shared" si="4"/>
        <v>12</v>
      </c>
      <c r="BN38" s="45">
        <f t="shared" si="4"/>
        <v>5</v>
      </c>
      <c r="BO38" s="370">
        <f t="shared" si="4"/>
        <v>8</v>
      </c>
      <c r="BP38" s="45">
        <f t="shared" si="4"/>
        <v>13</v>
      </c>
      <c r="BQ38" s="45">
        <f t="shared" si="4"/>
        <v>4</v>
      </c>
      <c r="BR38" s="370">
        <f t="shared" si="4"/>
        <v>9</v>
      </c>
      <c r="BS38" s="45">
        <f t="shared" si="4"/>
        <v>11</v>
      </c>
      <c r="BT38" s="45">
        <f t="shared" si="4"/>
        <v>4</v>
      </c>
      <c r="BU38" s="370">
        <f t="shared" ref="BU38:CA38" si="5">MIN(BU5:BU37)</f>
        <v>6</v>
      </c>
      <c r="BV38" s="45">
        <f t="shared" si="5"/>
        <v>6</v>
      </c>
      <c r="BW38" s="45">
        <f t="shared" si="5"/>
        <v>2</v>
      </c>
      <c r="BX38" s="370">
        <f t="shared" si="5"/>
        <v>3</v>
      </c>
      <c r="BY38" s="45">
        <f t="shared" si="5"/>
        <v>5</v>
      </c>
      <c r="BZ38" s="45">
        <f t="shared" si="5"/>
        <v>2</v>
      </c>
      <c r="CA38" s="370">
        <f t="shared" si="5"/>
        <v>3</v>
      </c>
    </row>
    <row r="39" spans="1:79" ht="17" x14ac:dyDescent="0.2">
      <c r="A39" s="333"/>
      <c r="B39" s="335"/>
      <c r="C39" s="335"/>
      <c r="D39" s="336"/>
      <c r="F39" s="336"/>
      <c r="G39" s="133" t="s">
        <v>168</v>
      </c>
      <c r="H39" s="45">
        <f>MAX(H5:H37)</f>
        <v>6413</v>
      </c>
      <c r="I39" s="45">
        <f t="shared" ref="I39:BT39" si="6">MAX(I5:I37)</f>
        <v>10</v>
      </c>
      <c r="J39" s="45">
        <f t="shared" si="6"/>
        <v>2</v>
      </c>
      <c r="K39" s="45">
        <f t="shared" si="6"/>
        <v>8</v>
      </c>
      <c r="L39" s="45">
        <f t="shared" si="6"/>
        <v>0</v>
      </c>
      <c r="M39" s="45">
        <f t="shared" si="6"/>
        <v>572</v>
      </c>
      <c r="N39" s="45">
        <f t="shared" si="6"/>
        <v>232</v>
      </c>
      <c r="O39" s="45">
        <f>MAX(O30:O37,O5:O28)</f>
        <v>1649</v>
      </c>
      <c r="P39" s="45">
        <f>MAX(P30:P37,P5:P28)</f>
        <v>288</v>
      </c>
      <c r="S39" s="45">
        <f t="shared" si="6"/>
        <v>35</v>
      </c>
      <c r="T39" s="45">
        <f t="shared" si="6"/>
        <v>17</v>
      </c>
      <c r="U39" s="45">
        <f t="shared" si="6"/>
        <v>19</v>
      </c>
      <c r="V39" s="45">
        <f t="shared" si="6"/>
        <v>93</v>
      </c>
      <c r="W39" s="45">
        <f t="shared" si="6"/>
        <v>98</v>
      </c>
      <c r="X39" s="45">
        <f>MAX(X32:X37,X5:X28)</f>
        <v>181</v>
      </c>
      <c r="Y39" s="45">
        <f>MAX(Y32:Y37,Y5:Y28)</f>
        <v>154</v>
      </c>
      <c r="Z39" s="45">
        <f t="shared" si="6"/>
        <v>4</v>
      </c>
      <c r="AA39" s="45">
        <f t="shared" si="6"/>
        <v>379</v>
      </c>
      <c r="AB39" s="45">
        <f t="shared" si="6"/>
        <v>241</v>
      </c>
      <c r="AC39" s="45">
        <f t="shared" si="6"/>
        <v>169</v>
      </c>
      <c r="AD39" s="45">
        <f t="shared" si="6"/>
        <v>38</v>
      </c>
      <c r="AE39" s="45">
        <f t="shared" si="6"/>
        <v>47</v>
      </c>
      <c r="AF39" s="45">
        <f t="shared" si="6"/>
        <v>973</v>
      </c>
      <c r="AG39" s="46">
        <f t="shared" si="6"/>
        <v>0.63852647735993862</v>
      </c>
      <c r="AI39" s="45">
        <f t="shared" si="6"/>
        <v>1368</v>
      </c>
      <c r="AJ39" s="45">
        <f t="shared" si="6"/>
        <v>1045</v>
      </c>
      <c r="AK39" s="45">
        <f t="shared" si="6"/>
        <v>699</v>
      </c>
      <c r="AL39" s="45">
        <f>MAX(AL5,AL17)</f>
        <v>8</v>
      </c>
      <c r="AM39" s="45">
        <f t="shared" si="6"/>
        <v>240</v>
      </c>
      <c r="AN39" s="45">
        <f t="shared" si="6"/>
        <v>259</v>
      </c>
      <c r="AO39" s="45">
        <f t="shared" si="6"/>
        <v>610</v>
      </c>
      <c r="AP39" s="45">
        <f t="shared" si="6"/>
        <v>102</v>
      </c>
      <c r="AQ39" s="45">
        <f t="shared" si="6"/>
        <v>31</v>
      </c>
      <c r="AR39" s="45">
        <f t="shared" si="6"/>
        <v>219</v>
      </c>
      <c r="AS39" s="45">
        <f t="shared" si="6"/>
        <v>124</v>
      </c>
      <c r="AT39" s="45">
        <f t="shared" si="6"/>
        <v>291</v>
      </c>
      <c r="AU39" s="45">
        <f t="shared" si="6"/>
        <v>362</v>
      </c>
      <c r="AW39" s="49">
        <f t="shared" si="6"/>
        <v>328</v>
      </c>
      <c r="AX39" s="426">
        <f t="shared" si="6"/>
        <v>3.1859756097560976</v>
      </c>
      <c r="AY39" s="51">
        <f>MAX(AY5:AY35)</f>
        <v>12.08</v>
      </c>
      <c r="AZ39" s="51">
        <f>MAX(AZ5:AZ35)</f>
        <v>4.2653061224489797</v>
      </c>
      <c r="BA39" s="52">
        <f>MAX(BA5:BA35)</f>
        <v>2.925925925925926</v>
      </c>
      <c r="BB39" s="45">
        <f t="shared" si="6"/>
        <v>360</v>
      </c>
      <c r="BC39" s="45">
        <f t="shared" si="6"/>
        <v>32</v>
      </c>
      <c r="BD39" s="45">
        <f t="shared" si="6"/>
        <v>37</v>
      </c>
      <c r="BE39" s="49">
        <f t="shared" si="6"/>
        <v>24</v>
      </c>
      <c r="BG39" s="45">
        <f t="shared" si="6"/>
        <v>95</v>
      </c>
      <c r="BH39" s="45">
        <f t="shared" si="6"/>
        <v>6</v>
      </c>
      <c r="BI39" s="49">
        <f t="shared" si="6"/>
        <v>6</v>
      </c>
      <c r="BJ39" s="45">
        <f t="shared" si="6"/>
        <v>13</v>
      </c>
      <c r="BK39" s="45">
        <f t="shared" si="6"/>
        <v>11</v>
      </c>
      <c r="BL39" s="49">
        <f t="shared" si="6"/>
        <v>9</v>
      </c>
      <c r="BM39" s="45">
        <f t="shared" si="6"/>
        <v>19</v>
      </c>
      <c r="BN39" s="45">
        <f t="shared" si="6"/>
        <v>8</v>
      </c>
      <c r="BO39" s="49">
        <f t="shared" si="6"/>
        <v>12</v>
      </c>
      <c r="BP39" s="45">
        <f t="shared" si="6"/>
        <v>22</v>
      </c>
      <c r="BQ39" s="45">
        <f t="shared" si="6"/>
        <v>7</v>
      </c>
      <c r="BR39" s="49">
        <f t="shared" si="6"/>
        <v>14</v>
      </c>
      <c r="BS39" s="45">
        <f t="shared" si="6"/>
        <v>20</v>
      </c>
      <c r="BT39" s="45">
        <f t="shared" si="6"/>
        <v>5</v>
      </c>
      <c r="BU39" s="49">
        <f t="shared" ref="BU39:CA39" si="7">MAX(BU5:BU37)</f>
        <v>11</v>
      </c>
      <c r="BV39" s="45">
        <f t="shared" si="7"/>
        <v>7</v>
      </c>
      <c r="BW39" s="45">
        <f t="shared" si="7"/>
        <v>4</v>
      </c>
      <c r="BX39" s="49">
        <f t="shared" si="7"/>
        <v>4</v>
      </c>
      <c r="BY39" s="45">
        <f t="shared" si="7"/>
        <v>7</v>
      </c>
      <c r="BZ39" s="45">
        <f t="shared" si="7"/>
        <v>3</v>
      </c>
      <c r="CA39" s="49">
        <f t="shared" si="7"/>
        <v>4</v>
      </c>
    </row>
    <row r="40" spans="1:79" ht="17" x14ac:dyDescent="0.2">
      <c r="A40" s="333"/>
      <c r="B40" s="335"/>
      <c r="C40" s="335"/>
      <c r="D40" s="336"/>
      <c r="F40" s="336"/>
      <c r="G40" s="133" t="s">
        <v>169</v>
      </c>
      <c r="H40" s="50">
        <f>AVERAGE(H5:H37)</f>
        <v>3666.375</v>
      </c>
      <c r="I40" s="50">
        <f t="shared" ref="I40:BT40" si="8">AVERAGE(I5:I37)</f>
        <v>6.5555555555555554</v>
      </c>
      <c r="J40" s="50">
        <f t="shared" si="8"/>
        <v>1.375</v>
      </c>
      <c r="K40" s="50">
        <f t="shared" si="8"/>
        <v>5.333333333333333</v>
      </c>
      <c r="L40" s="50">
        <f t="shared" si="8"/>
        <v>0</v>
      </c>
      <c r="M40" s="50">
        <f t="shared" si="8"/>
        <v>360.85714285714283</v>
      </c>
      <c r="N40" s="50">
        <f t="shared" si="8"/>
        <v>178</v>
      </c>
      <c r="O40" s="50">
        <f>AVERAGE(O30:O37,O5:O28)</f>
        <v>1153</v>
      </c>
      <c r="P40" s="50">
        <f>AVERAGE(P30:P37,P5:P28)</f>
        <v>227.14285714285714</v>
      </c>
      <c r="Q40" s="50"/>
      <c r="R40" s="50"/>
      <c r="S40" s="50">
        <f t="shared" si="8"/>
        <v>32.285714285714285</v>
      </c>
      <c r="T40" s="50">
        <f t="shared" si="8"/>
        <v>15</v>
      </c>
      <c r="U40" s="50">
        <f t="shared" si="8"/>
        <v>17.285714285714285</v>
      </c>
      <c r="V40" s="50">
        <f t="shared" si="8"/>
        <v>58.19047619047619</v>
      </c>
      <c r="W40" s="50">
        <f t="shared" si="8"/>
        <v>71.611111111111114</v>
      </c>
      <c r="X40" s="50">
        <f>AVERAGE(X32:X37,X5:X28)</f>
        <v>129.33333333333334</v>
      </c>
      <c r="Y40" s="50">
        <f>AVERAGE(Y32:Y37,Y5:Y28)</f>
        <v>120.85714285714286</v>
      </c>
      <c r="Z40" s="50">
        <f t="shared" si="8"/>
        <v>4</v>
      </c>
      <c r="AA40" s="50">
        <f t="shared" si="8"/>
        <v>242.28571428571428</v>
      </c>
      <c r="AB40" s="50">
        <f t="shared" si="8"/>
        <v>160.42857142857142</v>
      </c>
      <c r="AC40" s="50">
        <f t="shared" si="8"/>
        <v>104.85714285714286</v>
      </c>
      <c r="AD40" s="50">
        <f t="shared" si="8"/>
        <v>29.125</v>
      </c>
      <c r="AE40" s="50">
        <f t="shared" si="8"/>
        <v>32.095238095238095</v>
      </c>
      <c r="AF40" s="50">
        <f t="shared" si="8"/>
        <v>707.625</v>
      </c>
      <c r="AG40" s="46">
        <f t="shared" si="8"/>
        <v>0.60425901983288699</v>
      </c>
      <c r="AH40" s="77"/>
      <c r="AI40" s="50">
        <f t="shared" si="8"/>
        <v>972.5</v>
      </c>
      <c r="AJ40" s="50">
        <f t="shared" si="8"/>
        <v>550.70000000000005</v>
      </c>
      <c r="AK40" s="50">
        <f t="shared" si="8"/>
        <v>472.4</v>
      </c>
      <c r="AL40" s="50">
        <f>AVERAGE(AL5,AL17)</f>
        <v>7.5</v>
      </c>
      <c r="AM40" s="50">
        <f t="shared" si="8"/>
        <v>205.2</v>
      </c>
      <c r="AN40" s="50">
        <f t="shared" si="8"/>
        <v>203.1</v>
      </c>
      <c r="AO40" s="50">
        <f t="shared" si="8"/>
        <v>456.64285714285717</v>
      </c>
      <c r="AP40" s="50">
        <f t="shared" si="8"/>
        <v>74.148148148148152</v>
      </c>
      <c r="AQ40" s="50">
        <f t="shared" si="8"/>
        <v>13.96551724137931</v>
      </c>
      <c r="AR40" s="50">
        <f t="shared" si="8"/>
        <v>177.23809523809524</v>
      </c>
      <c r="AS40" s="50">
        <f t="shared" si="8"/>
        <v>95.666666666666671</v>
      </c>
      <c r="AT40" s="50">
        <f t="shared" si="8"/>
        <v>223.28571428571428</v>
      </c>
      <c r="AU40" s="50">
        <f t="shared" si="8"/>
        <v>289.28571428571428</v>
      </c>
      <c r="AV40" s="50" t="s">
        <v>128</v>
      </c>
      <c r="AW40" s="77">
        <f t="shared" si="8"/>
        <v>293</v>
      </c>
      <c r="AX40" s="426">
        <f t="shared" si="8"/>
        <v>2.317227622839753</v>
      </c>
      <c r="AY40" s="51">
        <f>AVERAGE(AY5:AY37)</f>
        <v>6.3845197073220152</v>
      </c>
      <c r="AZ40" s="51">
        <f>AVERAGE(AZ5:AZ37)</f>
        <v>2.701742653289283</v>
      </c>
      <c r="BA40" s="52">
        <f>AVERAGE(BA5:BA37)</f>
        <v>2.2407089288198856</v>
      </c>
      <c r="BB40" s="50"/>
      <c r="BC40" s="50">
        <f t="shared" si="8"/>
        <v>28.666666666666668</v>
      </c>
      <c r="BD40" s="50">
        <f t="shared" si="8"/>
        <v>33</v>
      </c>
      <c r="BE40" s="77">
        <f t="shared" si="8"/>
        <v>20</v>
      </c>
      <c r="BF40" s="50" t="s">
        <v>434</v>
      </c>
      <c r="BG40" s="50">
        <f t="shared" si="8"/>
        <v>88.6</v>
      </c>
      <c r="BH40" s="50">
        <f t="shared" si="8"/>
        <v>6</v>
      </c>
      <c r="BI40" s="77">
        <f t="shared" si="8"/>
        <v>4.666666666666667</v>
      </c>
      <c r="BJ40" s="50">
        <f t="shared" si="8"/>
        <v>11.875</v>
      </c>
      <c r="BK40" s="50">
        <f t="shared" si="8"/>
        <v>8.625</v>
      </c>
      <c r="BL40" s="77">
        <f t="shared" si="8"/>
        <v>7</v>
      </c>
      <c r="BM40" s="50">
        <f t="shared" si="8"/>
        <v>15.571428571428571</v>
      </c>
      <c r="BN40" s="50">
        <f t="shared" si="8"/>
        <v>6.8571428571428568</v>
      </c>
      <c r="BO40" s="77">
        <f t="shared" si="8"/>
        <v>10.285714285714286</v>
      </c>
      <c r="BP40" s="50">
        <f t="shared" si="8"/>
        <v>17.857142857142858</v>
      </c>
      <c r="BQ40" s="50">
        <f t="shared" si="8"/>
        <v>5.5714285714285712</v>
      </c>
      <c r="BR40" s="77">
        <f t="shared" si="8"/>
        <v>10.714285714285714</v>
      </c>
      <c r="BS40" s="50">
        <f t="shared" si="8"/>
        <v>16</v>
      </c>
      <c r="BT40" s="50">
        <f t="shared" si="8"/>
        <v>4.833333333333333</v>
      </c>
      <c r="BU40" s="77">
        <f t="shared" ref="BU40:CA40" si="9">AVERAGE(BU5:BU37)</f>
        <v>7.666666666666667</v>
      </c>
      <c r="BV40" s="50">
        <f t="shared" si="9"/>
        <v>6.666666666666667</v>
      </c>
      <c r="BW40" s="50">
        <f t="shared" si="9"/>
        <v>3</v>
      </c>
      <c r="BX40" s="77">
        <f t="shared" si="9"/>
        <v>3.3333333333333335</v>
      </c>
      <c r="BY40" s="50">
        <f t="shared" si="9"/>
        <v>5.75</v>
      </c>
      <c r="BZ40" s="50">
        <f t="shared" si="9"/>
        <v>2.25</v>
      </c>
      <c r="CA40" s="77">
        <f t="shared" si="9"/>
        <v>3.25</v>
      </c>
    </row>
    <row r="41" spans="1:79" ht="17" x14ac:dyDescent="0.2">
      <c r="A41" s="333"/>
      <c r="B41" s="335"/>
      <c r="C41" s="335"/>
      <c r="D41" s="336"/>
      <c r="F41" s="336"/>
      <c r="G41" s="133" t="s">
        <v>170</v>
      </c>
      <c r="H41" s="51">
        <f>STDEV(H5:H37)</f>
        <v>1393.8258691714072</v>
      </c>
      <c r="I41" s="51">
        <f t="shared" ref="I41:BT41" si="10">STDEV(I5:I37)</f>
        <v>1.8782379449307745</v>
      </c>
      <c r="J41" s="51">
        <f t="shared" si="10"/>
        <v>0.51754916950676566</v>
      </c>
      <c r="K41" s="51">
        <f t="shared" si="10"/>
        <v>1.5811388300841898</v>
      </c>
      <c r="L41" s="51">
        <f t="shared" si="10"/>
        <v>0</v>
      </c>
      <c r="M41" s="51">
        <f t="shared" si="10"/>
        <v>156.12327241790763</v>
      </c>
      <c r="N41" s="51">
        <f t="shared" si="10"/>
        <v>42.524502740576914</v>
      </c>
      <c r="O41" s="51">
        <f>STDEV(O30:O37,O5:O28)</f>
        <v>260.74892137840186</v>
      </c>
      <c r="P41" s="51">
        <f>STDEV(P30:P37,P5:P28)</f>
        <v>38.285891968315518</v>
      </c>
      <c r="Q41" s="51"/>
      <c r="R41" s="51"/>
      <c r="S41" s="51">
        <f t="shared" si="10"/>
        <v>2.0586634591635513</v>
      </c>
      <c r="T41" s="51">
        <f t="shared" si="10"/>
        <v>1.8257418583505538</v>
      </c>
      <c r="U41" s="51">
        <f t="shared" si="10"/>
        <v>1.1126972805283735</v>
      </c>
      <c r="V41" s="51">
        <f t="shared" si="10"/>
        <v>14.749979822423644</v>
      </c>
      <c r="W41" s="51">
        <f t="shared" si="10"/>
        <v>10.852697625550718</v>
      </c>
      <c r="X41" s="51">
        <f>STDEV(X32:X37,X5:X28)</f>
        <v>27.688746209726901</v>
      </c>
      <c r="Y41" s="51">
        <f>STDEV(Y32:Y37,Y5:Y28)</f>
        <v>26.847896077896387</v>
      </c>
      <c r="Z41" s="51">
        <f t="shared" si="10"/>
        <v>0</v>
      </c>
      <c r="AA41" s="51">
        <f t="shared" si="10"/>
        <v>69.139265943731971</v>
      </c>
      <c r="AB41" s="51">
        <f t="shared" si="10"/>
        <v>53.823344200749752</v>
      </c>
      <c r="AC41" s="51">
        <f t="shared" si="10"/>
        <v>34.416219874881534</v>
      </c>
      <c r="AD41" s="51">
        <f t="shared" si="10"/>
        <v>5.3755687262311866</v>
      </c>
      <c r="AE41" s="51">
        <f t="shared" si="10"/>
        <v>7.0278358112918484</v>
      </c>
      <c r="AF41" s="51">
        <f t="shared" si="10"/>
        <v>149.95707719210856</v>
      </c>
      <c r="AG41" s="257">
        <f t="shared" si="10"/>
        <v>2.9828199846854381E-2</v>
      </c>
      <c r="AH41" s="52"/>
      <c r="AI41" s="51">
        <f t="shared" si="10"/>
        <v>238.57412079081652</v>
      </c>
      <c r="AJ41" s="51">
        <f t="shared" si="10"/>
        <v>202.91270701133203</v>
      </c>
      <c r="AK41" s="51">
        <f t="shared" si="10"/>
        <v>117.36192833377531</v>
      </c>
      <c r="AL41" s="51">
        <f>STDEV(AL5,AL17)</f>
        <v>0.70710678118654757</v>
      </c>
      <c r="AM41" s="51">
        <f t="shared" si="10"/>
        <v>37.858802000180702</v>
      </c>
      <c r="AN41" s="51">
        <f t="shared" si="10"/>
        <v>32.780244728257401</v>
      </c>
      <c r="AO41" s="51">
        <f t="shared" si="10"/>
        <v>84.482395398539197</v>
      </c>
      <c r="AP41" s="51">
        <f t="shared" si="10"/>
        <v>12.513696200267646</v>
      </c>
      <c r="AQ41" s="51">
        <f t="shared" si="10"/>
        <v>5.5515940993857775</v>
      </c>
      <c r="AR41" s="51">
        <f t="shared" si="10"/>
        <v>25.976729512978984</v>
      </c>
      <c r="AS41" s="51">
        <f t="shared" si="10"/>
        <v>14.246135649795759</v>
      </c>
      <c r="AT41" s="51">
        <f t="shared" si="10"/>
        <v>47.584010920035908</v>
      </c>
      <c r="AU41" s="51">
        <f t="shared" si="10"/>
        <v>48.085736921025621</v>
      </c>
      <c r="AV41" s="51"/>
      <c r="AW41" s="52">
        <f t="shared" si="10"/>
        <v>36.569568405073269</v>
      </c>
      <c r="AX41" s="426">
        <f t="shared" si="10"/>
        <v>0.80469762843101122</v>
      </c>
      <c r="AY41" s="51">
        <f t="shared" si="10"/>
        <v>2.0930192878904932</v>
      </c>
      <c r="AZ41" s="51">
        <f t="shared" si="10"/>
        <v>0.79674046532966081</v>
      </c>
      <c r="BA41" s="52">
        <f t="shared" si="10"/>
        <v>0.48285754814975407</v>
      </c>
      <c r="BB41" s="51"/>
      <c r="BC41" s="51">
        <f t="shared" si="10"/>
        <v>2.503331114069145</v>
      </c>
      <c r="BD41" s="51">
        <f t="shared" si="10"/>
        <v>4.4721359549995796</v>
      </c>
      <c r="BE41" s="52">
        <f t="shared" si="10"/>
        <v>3.03315017762062</v>
      </c>
      <c r="BF41" s="51"/>
      <c r="BG41" s="51">
        <f t="shared" si="10"/>
        <v>4.8785243670601872</v>
      </c>
      <c r="BH41" s="51">
        <f t="shared" si="10"/>
        <v>0</v>
      </c>
      <c r="BI41" s="52">
        <f t="shared" si="10"/>
        <v>1.5275252316519474</v>
      </c>
      <c r="BJ41" s="51">
        <f t="shared" si="10"/>
        <v>0.99103120896511487</v>
      </c>
      <c r="BK41" s="51">
        <f t="shared" si="10"/>
        <v>1.9955307206712847</v>
      </c>
      <c r="BL41" s="52">
        <f t="shared" si="10"/>
        <v>1.0690449676496976</v>
      </c>
      <c r="BM41" s="51">
        <f t="shared" si="10"/>
        <v>2.3704530408864106</v>
      </c>
      <c r="BN41" s="51">
        <f t="shared" si="10"/>
        <v>1.0690449676496956</v>
      </c>
      <c r="BO41" s="52">
        <f t="shared" si="10"/>
        <v>1.4960264830861922</v>
      </c>
      <c r="BP41" s="51">
        <f t="shared" si="10"/>
        <v>2.911389784310999</v>
      </c>
      <c r="BQ41" s="51">
        <f t="shared" si="10"/>
        <v>1.1338934190276824</v>
      </c>
      <c r="BR41" s="52">
        <f t="shared" si="10"/>
        <v>2.3603873774083302</v>
      </c>
      <c r="BS41" s="51">
        <f t="shared" si="10"/>
        <v>3.2863353450309969</v>
      </c>
      <c r="BT41" s="51">
        <f t="shared" si="10"/>
        <v>0.40824829046386302</v>
      </c>
      <c r="BU41" s="52">
        <f t="shared" ref="BU41:CA41" si="11">STDEV(BU5:BU37)</f>
        <v>1.8618986725025244</v>
      </c>
      <c r="BV41" s="51">
        <f t="shared" si="11"/>
        <v>0.51639777949432231</v>
      </c>
      <c r="BW41" s="51">
        <f t="shared" si="11"/>
        <v>0.63245553203367588</v>
      </c>
      <c r="BX41" s="52">
        <f t="shared" si="11"/>
        <v>0.51639777949432131</v>
      </c>
      <c r="BY41" s="51">
        <f t="shared" si="11"/>
        <v>0.9574271077563381</v>
      </c>
      <c r="BZ41" s="51">
        <f t="shared" si="11"/>
        <v>0.5</v>
      </c>
      <c r="CA41" s="52">
        <f t="shared" si="11"/>
        <v>0.5</v>
      </c>
    </row>
    <row r="42" spans="1:79" ht="17" x14ac:dyDescent="0.2">
      <c r="A42" s="333"/>
      <c r="B42" s="335"/>
      <c r="C42" s="335"/>
      <c r="D42" s="336"/>
      <c r="F42" s="336"/>
      <c r="G42" s="133" t="s">
        <v>171</v>
      </c>
      <c r="H42" s="45">
        <f>COUNT(H5:H37)</f>
        <v>8</v>
      </c>
      <c r="I42" s="45">
        <f t="shared" ref="I42:BT42" si="12">COUNT(I5:I37)</f>
        <v>9</v>
      </c>
      <c r="J42" s="45">
        <f t="shared" si="12"/>
        <v>8</v>
      </c>
      <c r="K42" s="45">
        <f t="shared" si="12"/>
        <v>9</v>
      </c>
      <c r="L42" s="45">
        <f t="shared" si="12"/>
        <v>9</v>
      </c>
      <c r="M42" s="45">
        <f t="shared" si="12"/>
        <v>7</v>
      </c>
      <c r="N42" s="45">
        <f t="shared" si="12"/>
        <v>7</v>
      </c>
      <c r="O42" s="45">
        <f>COUNT(O30:O37,O5:O28)</f>
        <v>7</v>
      </c>
      <c r="P42" s="45">
        <f>COUNT(P30:P37,P5:P28)</f>
        <v>7</v>
      </c>
      <c r="S42" s="45">
        <f t="shared" si="12"/>
        <v>7</v>
      </c>
      <c r="T42" s="45">
        <f t="shared" si="12"/>
        <v>7</v>
      </c>
      <c r="U42" s="45">
        <f t="shared" si="12"/>
        <v>7</v>
      </c>
      <c r="V42" s="45">
        <f t="shared" si="12"/>
        <v>21</v>
      </c>
      <c r="W42" s="45">
        <f t="shared" si="12"/>
        <v>18</v>
      </c>
      <c r="X42" s="45">
        <f>COUNT(X32:X37,X5:X28)</f>
        <v>6</v>
      </c>
      <c r="Y42" s="45">
        <f>COUNT(Y32:Y37,Y5:Y28)</f>
        <v>7</v>
      </c>
      <c r="Z42" s="45">
        <f t="shared" si="12"/>
        <v>8</v>
      </c>
      <c r="AA42" s="45">
        <f t="shared" si="12"/>
        <v>7</v>
      </c>
      <c r="AB42" s="45">
        <f t="shared" si="12"/>
        <v>7</v>
      </c>
      <c r="AC42" s="45">
        <f t="shared" si="12"/>
        <v>7</v>
      </c>
      <c r="AD42" s="45">
        <f t="shared" si="12"/>
        <v>24</v>
      </c>
      <c r="AE42" s="45">
        <f t="shared" si="12"/>
        <v>21</v>
      </c>
      <c r="AF42" s="45">
        <f t="shared" si="12"/>
        <v>8</v>
      </c>
      <c r="AG42" s="45">
        <f t="shared" si="12"/>
        <v>8</v>
      </c>
      <c r="AI42" s="45">
        <f t="shared" si="12"/>
        <v>10</v>
      </c>
      <c r="AJ42" s="45">
        <f t="shared" si="12"/>
        <v>10</v>
      </c>
      <c r="AK42" s="45">
        <f t="shared" si="12"/>
        <v>10</v>
      </c>
      <c r="AL42" s="45">
        <f>COUNT(AL5,AL17)</f>
        <v>2</v>
      </c>
      <c r="AM42" s="45">
        <f t="shared" si="12"/>
        <v>10</v>
      </c>
      <c r="AN42" s="45">
        <f t="shared" si="12"/>
        <v>10</v>
      </c>
      <c r="AO42" s="45">
        <f t="shared" si="12"/>
        <v>28</v>
      </c>
      <c r="AP42" s="45">
        <f t="shared" si="12"/>
        <v>27</v>
      </c>
      <c r="AQ42" s="45">
        <f t="shared" si="12"/>
        <v>29</v>
      </c>
      <c r="AR42" s="45">
        <f t="shared" si="12"/>
        <v>21</v>
      </c>
      <c r="AS42" s="45">
        <f t="shared" si="12"/>
        <v>15</v>
      </c>
      <c r="AT42" s="45">
        <f t="shared" si="12"/>
        <v>7</v>
      </c>
      <c r="AU42" s="45">
        <f t="shared" si="12"/>
        <v>7</v>
      </c>
      <c r="AW42" s="49">
        <f t="shared" si="12"/>
        <v>4</v>
      </c>
      <c r="AX42" s="292">
        <f t="shared" si="12"/>
        <v>4</v>
      </c>
      <c r="AY42" s="50">
        <f>COUNT(AY5:AY37)</f>
        <v>25</v>
      </c>
      <c r="AZ42" s="50">
        <f>COUNT(AZ5:AZ37)</f>
        <v>7</v>
      </c>
      <c r="BA42" s="77">
        <f>COUNT(BA5:BA37)</f>
        <v>7</v>
      </c>
      <c r="BC42" s="45">
        <f t="shared" si="12"/>
        <v>6</v>
      </c>
      <c r="BD42" s="45">
        <f t="shared" si="12"/>
        <v>6</v>
      </c>
      <c r="BE42" s="49">
        <f t="shared" si="12"/>
        <v>6</v>
      </c>
      <c r="BG42" s="45">
        <f t="shared" si="12"/>
        <v>5</v>
      </c>
      <c r="BH42" s="45">
        <f t="shared" si="12"/>
        <v>3</v>
      </c>
      <c r="BI42" s="49">
        <f t="shared" si="12"/>
        <v>3</v>
      </c>
      <c r="BJ42" s="45">
        <f t="shared" si="12"/>
        <v>8</v>
      </c>
      <c r="BK42" s="45">
        <f t="shared" si="12"/>
        <v>8</v>
      </c>
      <c r="BL42" s="49">
        <f t="shared" si="12"/>
        <v>8</v>
      </c>
      <c r="BM42" s="45">
        <f t="shared" si="12"/>
        <v>7</v>
      </c>
      <c r="BN42" s="45">
        <f t="shared" si="12"/>
        <v>7</v>
      </c>
      <c r="BO42" s="49">
        <f t="shared" si="12"/>
        <v>7</v>
      </c>
      <c r="BP42" s="45">
        <f t="shared" si="12"/>
        <v>7</v>
      </c>
      <c r="BQ42" s="45">
        <f t="shared" si="12"/>
        <v>7</v>
      </c>
      <c r="BR42" s="49">
        <f t="shared" si="12"/>
        <v>7</v>
      </c>
      <c r="BS42" s="45">
        <f t="shared" si="12"/>
        <v>6</v>
      </c>
      <c r="BT42" s="45">
        <f t="shared" si="12"/>
        <v>6</v>
      </c>
      <c r="BU42" s="49">
        <f t="shared" ref="BU42:CA42" si="13">COUNT(BU5:BU37)</f>
        <v>6</v>
      </c>
      <c r="BV42" s="45">
        <f t="shared" si="13"/>
        <v>6</v>
      </c>
      <c r="BW42" s="45">
        <f t="shared" si="13"/>
        <v>6</v>
      </c>
      <c r="BX42" s="49">
        <f t="shared" si="13"/>
        <v>6</v>
      </c>
      <c r="BY42" s="45">
        <f t="shared" si="13"/>
        <v>4</v>
      </c>
      <c r="BZ42" s="45">
        <f t="shared" si="13"/>
        <v>4</v>
      </c>
      <c r="CA42" s="49">
        <f t="shared" si="13"/>
        <v>4</v>
      </c>
    </row>
    <row r="43" spans="1:79" ht="17" x14ac:dyDescent="0.2">
      <c r="A43" s="333"/>
      <c r="B43" s="335"/>
      <c r="C43" s="335"/>
      <c r="D43" s="336"/>
      <c r="F43" s="336"/>
      <c r="G43" s="133" t="s">
        <v>435</v>
      </c>
      <c r="H43" s="45">
        <f>H42</f>
        <v>8</v>
      </c>
      <c r="I43" s="45">
        <f t="shared" ref="I43:BI43" si="14">I42</f>
        <v>9</v>
      </c>
      <c r="J43" s="45">
        <f t="shared" si="14"/>
        <v>8</v>
      </c>
      <c r="K43" s="45">
        <f t="shared" si="14"/>
        <v>9</v>
      </c>
      <c r="L43" s="45">
        <f t="shared" si="14"/>
        <v>9</v>
      </c>
      <c r="M43" s="45">
        <f t="shared" si="14"/>
        <v>7</v>
      </c>
      <c r="N43" s="45">
        <f t="shared" si="14"/>
        <v>7</v>
      </c>
      <c r="O43" s="45">
        <f>O42</f>
        <v>7</v>
      </c>
      <c r="P43" s="45">
        <f>P42</f>
        <v>7</v>
      </c>
      <c r="S43" s="45">
        <f t="shared" si="14"/>
        <v>7</v>
      </c>
      <c r="T43" s="45">
        <f t="shared" si="14"/>
        <v>7</v>
      </c>
      <c r="U43" s="45">
        <f t="shared" si="14"/>
        <v>7</v>
      </c>
      <c r="V43" s="45">
        <v>7</v>
      </c>
      <c r="W43" s="45">
        <v>7</v>
      </c>
      <c r="X43" s="45">
        <f>X42</f>
        <v>6</v>
      </c>
      <c r="Y43" s="45">
        <f>Y42</f>
        <v>7</v>
      </c>
      <c r="Z43" s="45">
        <f t="shared" si="14"/>
        <v>8</v>
      </c>
      <c r="AA43" s="45">
        <f t="shared" si="14"/>
        <v>7</v>
      </c>
      <c r="AB43" s="45">
        <f t="shared" si="14"/>
        <v>7</v>
      </c>
      <c r="AC43" s="45">
        <f t="shared" si="14"/>
        <v>7</v>
      </c>
      <c r="AD43" s="45">
        <v>8</v>
      </c>
      <c r="AE43" s="45">
        <v>7</v>
      </c>
      <c r="AF43" s="45">
        <f t="shared" si="14"/>
        <v>8</v>
      </c>
      <c r="AG43" s="45">
        <f t="shared" si="14"/>
        <v>8</v>
      </c>
      <c r="AI43" s="45">
        <f t="shared" si="14"/>
        <v>10</v>
      </c>
      <c r="AJ43" s="45">
        <f t="shared" si="14"/>
        <v>10</v>
      </c>
      <c r="AK43" s="45">
        <f t="shared" si="14"/>
        <v>10</v>
      </c>
      <c r="AL43" s="45">
        <f>AL42</f>
        <v>2</v>
      </c>
      <c r="AM43" s="45">
        <f t="shared" si="14"/>
        <v>10</v>
      </c>
      <c r="AN43" s="45">
        <f t="shared" si="14"/>
        <v>10</v>
      </c>
      <c r="AO43" s="45">
        <v>10</v>
      </c>
      <c r="AP43" s="45">
        <v>10</v>
      </c>
      <c r="AQ43" s="45">
        <v>10</v>
      </c>
      <c r="AR43" s="45">
        <v>9</v>
      </c>
      <c r="AS43" s="45">
        <v>7</v>
      </c>
      <c r="AT43" s="45">
        <f t="shared" si="14"/>
        <v>7</v>
      </c>
      <c r="AU43" s="45">
        <f t="shared" si="14"/>
        <v>7</v>
      </c>
      <c r="AW43" s="49">
        <f t="shared" si="14"/>
        <v>4</v>
      </c>
      <c r="AX43" s="292">
        <f t="shared" si="14"/>
        <v>4</v>
      </c>
      <c r="AY43" s="50">
        <v>10</v>
      </c>
      <c r="AZ43" s="50">
        <v>7</v>
      </c>
      <c r="BA43" s="77">
        <v>7</v>
      </c>
      <c r="BC43" s="45">
        <v>3</v>
      </c>
      <c r="BD43" s="45">
        <v>3</v>
      </c>
      <c r="BE43" s="49">
        <v>3</v>
      </c>
      <c r="BG43" s="45">
        <v>3</v>
      </c>
      <c r="BH43" s="45">
        <f t="shared" si="14"/>
        <v>3</v>
      </c>
      <c r="BI43" s="49">
        <f t="shared" si="14"/>
        <v>3</v>
      </c>
      <c r="BJ43" s="45">
        <v>3</v>
      </c>
      <c r="BK43" s="45">
        <v>3</v>
      </c>
      <c r="BL43" s="49">
        <v>3</v>
      </c>
      <c r="BM43" s="45">
        <v>3</v>
      </c>
      <c r="BN43" s="45">
        <v>3</v>
      </c>
      <c r="BO43" s="49">
        <v>3</v>
      </c>
      <c r="BP43" s="45">
        <v>3</v>
      </c>
      <c r="BQ43" s="45">
        <v>3</v>
      </c>
      <c r="BR43" s="49">
        <v>3</v>
      </c>
      <c r="BS43" s="45">
        <v>3</v>
      </c>
      <c r="BT43" s="45">
        <v>3</v>
      </c>
      <c r="BU43" s="49">
        <v>3</v>
      </c>
      <c r="BV43" s="45">
        <v>3</v>
      </c>
      <c r="BW43" s="45">
        <v>3</v>
      </c>
      <c r="BX43" s="49">
        <v>3</v>
      </c>
      <c r="BY43" s="45">
        <v>3</v>
      </c>
      <c r="BZ43" s="45">
        <v>3</v>
      </c>
      <c r="CA43" s="49">
        <v>3</v>
      </c>
    </row>
  </sheetData>
  <mergeCells count="228">
    <mergeCell ref="G32:G34"/>
    <mergeCell ref="A35:A37"/>
    <mergeCell ref="B35:B37"/>
    <mergeCell ref="C35:C37"/>
    <mergeCell ref="D35:D37"/>
    <mergeCell ref="E35:E37"/>
    <mergeCell ref="F35:F37"/>
    <mergeCell ref="G35:G37"/>
    <mergeCell ref="A32:A34"/>
    <mergeCell ref="B32:B34"/>
    <mergeCell ref="C32:C34"/>
    <mergeCell ref="D32:D34"/>
    <mergeCell ref="E32:E34"/>
    <mergeCell ref="F32:F34"/>
    <mergeCell ref="G26:G28"/>
    <mergeCell ref="A29:A31"/>
    <mergeCell ref="B29:B31"/>
    <mergeCell ref="C29:C31"/>
    <mergeCell ref="D29:D31"/>
    <mergeCell ref="E29:E31"/>
    <mergeCell ref="F29:F31"/>
    <mergeCell ref="G29:G31"/>
    <mergeCell ref="A26:A28"/>
    <mergeCell ref="B26:B28"/>
    <mergeCell ref="C26:C28"/>
    <mergeCell ref="D26:D28"/>
    <mergeCell ref="E26:E28"/>
    <mergeCell ref="F26:F28"/>
    <mergeCell ref="G20:G22"/>
    <mergeCell ref="A23:A25"/>
    <mergeCell ref="B23:B25"/>
    <mergeCell ref="C23:C25"/>
    <mergeCell ref="D23:D25"/>
    <mergeCell ref="E23:E25"/>
    <mergeCell ref="F23:F25"/>
    <mergeCell ref="G23:G25"/>
    <mergeCell ref="A20:A22"/>
    <mergeCell ref="B20:B22"/>
    <mergeCell ref="C20:C22"/>
    <mergeCell ref="D20:D22"/>
    <mergeCell ref="E20:E22"/>
    <mergeCell ref="F20:F22"/>
    <mergeCell ref="G14:G16"/>
    <mergeCell ref="A17:A19"/>
    <mergeCell ref="B17:B19"/>
    <mergeCell ref="C17:C19"/>
    <mergeCell ref="D17:D19"/>
    <mergeCell ref="E17:E19"/>
    <mergeCell ref="F17:F19"/>
    <mergeCell ref="G17:G19"/>
    <mergeCell ref="A14:A16"/>
    <mergeCell ref="B14:B16"/>
    <mergeCell ref="C14:C16"/>
    <mergeCell ref="D14:D16"/>
    <mergeCell ref="E14:E16"/>
    <mergeCell ref="F14:F16"/>
    <mergeCell ref="G8:G10"/>
    <mergeCell ref="A11:A13"/>
    <mergeCell ref="B11:B13"/>
    <mergeCell ref="C11:C13"/>
    <mergeCell ref="D11:D13"/>
    <mergeCell ref="E11:E13"/>
    <mergeCell ref="F11:F13"/>
    <mergeCell ref="G11:G13"/>
    <mergeCell ref="A8:A10"/>
    <mergeCell ref="B8:B10"/>
    <mergeCell ref="C8:C10"/>
    <mergeCell ref="D8:D10"/>
    <mergeCell ref="E8:E10"/>
    <mergeCell ref="F8:F10"/>
    <mergeCell ref="BY3:BY4"/>
    <mergeCell ref="BZ3:BZ4"/>
    <mergeCell ref="CA3:CA4"/>
    <mergeCell ref="A5:A7"/>
    <mergeCell ref="B5:B7"/>
    <mergeCell ref="C5:C7"/>
    <mergeCell ref="D5:D7"/>
    <mergeCell ref="E5:E7"/>
    <mergeCell ref="F5:F7"/>
    <mergeCell ref="G5:G7"/>
    <mergeCell ref="BS3:BS4"/>
    <mergeCell ref="BT3:BT4"/>
    <mergeCell ref="BU3:BU4"/>
    <mergeCell ref="BV3:BV4"/>
    <mergeCell ref="BW3:BW4"/>
    <mergeCell ref="BX3:BX4"/>
    <mergeCell ref="BM3:BM4"/>
    <mergeCell ref="BN3:BN4"/>
    <mergeCell ref="BO3:BO4"/>
    <mergeCell ref="BP3:BP4"/>
    <mergeCell ref="BQ3:BQ4"/>
    <mergeCell ref="BR3:BR4"/>
    <mergeCell ref="BG3:BG4"/>
    <mergeCell ref="BH3:BH4"/>
    <mergeCell ref="BI3:BI4"/>
    <mergeCell ref="BJ3:BJ4"/>
    <mergeCell ref="BK3:BK4"/>
    <mergeCell ref="BL3:BL4"/>
    <mergeCell ref="BA3:BA4"/>
    <mergeCell ref="BB3:BB4"/>
    <mergeCell ref="BC3:BC4"/>
    <mergeCell ref="BD3:BD4"/>
    <mergeCell ref="BE3:BE4"/>
    <mergeCell ref="BF3:BF4"/>
    <mergeCell ref="AU3:AU4"/>
    <mergeCell ref="AV3:AV4"/>
    <mergeCell ref="AW3:AW4"/>
    <mergeCell ref="AX3:AX4"/>
    <mergeCell ref="AY3:AY4"/>
    <mergeCell ref="AZ3:AZ4"/>
    <mergeCell ref="AO3:AO4"/>
    <mergeCell ref="AP3:AP4"/>
    <mergeCell ref="AQ3:AQ4"/>
    <mergeCell ref="AR3:AR4"/>
    <mergeCell ref="AS3:AS4"/>
    <mergeCell ref="AT3:AT4"/>
    <mergeCell ref="AI3:AI4"/>
    <mergeCell ref="AJ3:AJ4"/>
    <mergeCell ref="AK3:AK4"/>
    <mergeCell ref="AL3:AL4"/>
    <mergeCell ref="AM3:AM4"/>
    <mergeCell ref="AN3:AN4"/>
    <mergeCell ref="AC3:AC4"/>
    <mergeCell ref="AD3:AD4"/>
    <mergeCell ref="AE3:AE4"/>
    <mergeCell ref="AF3:AF4"/>
    <mergeCell ref="AG3:AG4"/>
    <mergeCell ref="AH3:AH4"/>
    <mergeCell ref="W3:W4"/>
    <mergeCell ref="X3:X4"/>
    <mergeCell ref="Y3:Y4"/>
    <mergeCell ref="Z3:Z4"/>
    <mergeCell ref="AA3:AA4"/>
    <mergeCell ref="AB3:AB4"/>
    <mergeCell ref="Q3:Q4"/>
    <mergeCell ref="R3:R4"/>
    <mergeCell ref="S3:S4"/>
    <mergeCell ref="T3:T4"/>
    <mergeCell ref="U3:U4"/>
    <mergeCell ref="V3:V4"/>
    <mergeCell ref="CA1:CA2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BU1:BU2"/>
    <mergeCell ref="BV1:BV2"/>
    <mergeCell ref="BW1:BW2"/>
    <mergeCell ref="BX1:BX2"/>
    <mergeCell ref="BY1:BY2"/>
    <mergeCell ref="BZ1:BZ2"/>
    <mergeCell ref="BO1:BO2"/>
    <mergeCell ref="BP1:BP2"/>
    <mergeCell ref="BQ1:BQ2"/>
    <mergeCell ref="BR1:BR2"/>
    <mergeCell ref="BS1:BS2"/>
    <mergeCell ref="BT1:BT2"/>
    <mergeCell ref="BI1:BI2"/>
    <mergeCell ref="BJ1:BJ2"/>
    <mergeCell ref="BK1:BK2"/>
    <mergeCell ref="BL1:BL2"/>
    <mergeCell ref="BM1:BM2"/>
    <mergeCell ref="BN1:BN2"/>
    <mergeCell ref="BC1:BC2"/>
    <mergeCell ref="BD1:BD2"/>
    <mergeCell ref="BE1:BE2"/>
    <mergeCell ref="BF1:BF2"/>
    <mergeCell ref="BG1:BG2"/>
    <mergeCell ref="BH1:BH2"/>
    <mergeCell ref="AW1:AW2"/>
    <mergeCell ref="AX1:AX2"/>
    <mergeCell ref="AY1:AY2"/>
    <mergeCell ref="AZ1:AZ2"/>
    <mergeCell ref="BA1:BA2"/>
    <mergeCell ref="BB1:BB2"/>
    <mergeCell ref="AQ1:AQ2"/>
    <mergeCell ref="AR1:AR2"/>
    <mergeCell ref="AS1:AS2"/>
    <mergeCell ref="AT1:AT2"/>
    <mergeCell ref="AU1:AU2"/>
    <mergeCell ref="AV1:AV2"/>
    <mergeCell ref="AK1:AK2"/>
    <mergeCell ref="AL1:AL2"/>
    <mergeCell ref="AM1:AM2"/>
    <mergeCell ref="AN1:AN2"/>
    <mergeCell ref="AO1:AO2"/>
    <mergeCell ref="AP1:AP2"/>
    <mergeCell ref="AE1:AE2"/>
    <mergeCell ref="AF1:AF2"/>
    <mergeCell ref="AG1:AG2"/>
    <mergeCell ref="AH1:AH2"/>
    <mergeCell ref="AI1:AI2"/>
    <mergeCell ref="AJ1:AJ2"/>
    <mergeCell ref="Y1:Y2"/>
    <mergeCell ref="Z1:Z2"/>
    <mergeCell ref="AA1:AA2"/>
    <mergeCell ref="AB1:AB2"/>
    <mergeCell ref="AC1:AC2"/>
    <mergeCell ref="AD1:AD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4"/>
    <mergeCell ref="H1:H2"/>
    <mergeCell ref="I1:I2"/>
    <mergeCell ref="J1:J2"/>
    <mergeCell ref="K1:K2"/>
    <mergeCell ref="L1:L2"/>
    <mergeCell ref="A1:A4"/>
    <mergeCell ref="B1:B4"/>
    <mergeCell ref="C1:C4"/>
    <mergeCell ref="D1:D4"/>
    <mergeCell ref="E1:E4"/>
    <mergeCell ref="F1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Rmegacantha</vt:lpstr>
      <vt:lpstr>Rmegacantha_egg_diameters</vt:lpstr>
      <vt:lpstr>Rbutlerae</vt:lpstr>
      <vt:lpstr>Rjensenae</vt:lpstr>
      <vt:lpstr>Rschaeffneri</vt:lpstr>
      <vt:lpstr>Rmozambiquensis</vt:lpstr>
      <vt:lpstr>Rhexacantha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2021-11-18T17:13:10Z</dcterms:created>
  <dcterms:modified xsi:type="dcterms:W3CDTF">2021-11-18T17:47:19Z</dcterms:modified>
</cp:coreProperties>
</file>