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firstSheet="10" activeTab="10"/>
  </bookViews>
  <sheets>
    <sheet name="area and harvest information" sheetId="1" r:id="rId1"/>
    <sheet name="P input-atmospheric deposition" sheetId="2" r:id="rId2"/>
    <sheet name="P input-seeds" sheetId="3" r:id="rId3"/>
    <sheet name="P input-chemical fertilizers" sheetId="4" r:id="rId4"/>
    <sheet name="P input-pesticides" sheetId="5" r:id="rId5"/>
    <sheet name="P input-straws return to filed" sheetId="6" r:id="rId6"/>
    <sheet name="P input-irrigation" sheetId="7" r:id="rId7"/>
    <sheet name="P input-Residents' excrement" sheetId="8" r:id="rId8"/>
    <sheet name="P input-livestocks' excrement" sheetId="9" r:id="rId9"/>
    <sheet name="P output-Harvest grains" sheetId="10" r:id="rId10"/>
    <sheet name="P output-Discarded straw" sheetId="11" r:id="rId11"/>
    <sheet name="P 0utput-Erosion and runoff" sheetId="12" r:id="rId12"/>
  </sheets>
  <calcPr calcId="145621"/>
</workbook>
</file>

<file path=xl/calcChain.xml><?xml version="1.0" encoding="utf-8"?>
<calcChain xmlns="http://schemas.openxmlformats.org/spreadsheetml/2006/main">
  <c r="B15" i="12" l="1"/>
  <c r="B14" i="12"/>
  <c r="B13" i="12"/>
  <c r="B12" i="12"/>
  <c r="B11" i="12"/>
  <c r="B10" i="12"/>
  <c r="B9" i="12"/>
  <c r="B8" i="12"/>
  <c r="E15" i="12"/>
  <c r="E14" i="12"/>
  <c r="E13" i="12"/>
  <c r="E12" i="12"/>
  <c r="E11" i="12"/>
  <c r="E10" i="12"/>
  <c r="E9" i="12"/>
  <c r="E8" i="12"/>
  <c r="H15" i="12"/>
  <c r="H14" i="12"/>
  <c r="H13" i="12"/>
  <c r="H12" i="12"/>
  <c r="H11" i="12"/>
  <c r="H10" i="12"/>
  <c r="H9" i="12"/>
  <c r="H8" i="12"/>
  <c r="U13" i="12"/>
  <c r="T13" i="12" s="1"/>
  <c r="R15" i="12"/>
  <c r="Q15" i="12" s="1"/>
  <c r="R14" i="12"/>
  <c r="R13" i="12"/>
  <c r="I14" i="12"/>
  <c r="F14" i="12"/>
  <c r="F13" i="12"/>
  <c r="B33" i="12"/>
  <c r="T15" i="12"/>
  <c r="T14" i="12"/>
  <c r="T12" i="12"/>
  <c r="T11" i="12"/>
  <c r="T10" i="12"/>
  <c r="T9" i="12"/>
  <c r="T8" i="12"/>
  <c r="Q14" i="12"/>
  <c r="Q13" i="12"/>
  <c r="Q12" i="12"/>
  <c r="Q11" i="12"/>
  <c r="Q10" i="12"/>
  <c r="Q9" i="12"/>
  <c r="Q8" i="12"/>
  <c r="N15" i="12"/>
  <c r="N14" i="12"/>
  <c r="N13" i="12"/>
  <c r="N12" i="12"/>
  <c r="N11" i="12"/>
  <c r="N10" i="12"/>
  <c r="N9" i="12"/>
  <c r="N8" i="12"/>
  <c r="K15" i="12"/>
  <c r="K14" i="12"/>
  <c r="K13" i="12"/>
  <c r="K12" i="12"/>
  <c r="K11" i="12"/>
  <c r="K10" i="12"/>
  <c r="K9" i="12"/>
  <c r="K8" i="12"/>
  <c r="AF8" i="6"/>
  <c r="AF9" i="6"/>
  <c r="AF10" i="6"/>
  <c r="AF11" i="6"/>
  <c r="AF12" i="6"/>
  <c r="AF13" i="6"/>
  <c r="AF14" i="6"/>
  <c r="AF7" i="6"/>
  <c r="Z8" i="6"/>
  <c r="Z9" i="6"/>
  <c r="Z10" i="6"/>
  <c r="Z11" i="6"/>
  <c r="Z12" i="6"/>
  <c r="Z13" i="6"/>
  <c r="Z14" i="6"/>
  <c r="Z7" i="6"/>
  <c r="T8" i="6"/>
  <c r="T9" i="6"/>
  <c r="T10" i="6"/>
  <c r="T11" i="6"/>
  <c r="T12" i="6"/>
  <c r="T13" i="6"/>
  <c r="T14" i="6"/>
  <c r="T7" i="6"/>
  <c r="N8" i="6"/>
  <c r="N9" i="6"/>
  <c r="N10" i="6"/>
  <c r="N11" i="6"/>
  <c r="N12" i="6"/>
  <c r="N13" i="6"/>
  <c r="N14" i="6"/>
  <c r="N7" i="6"/>
  <c r="H8" i="6"/>
  <c r="H9" i="6"/>
  <c r="H10" i="6"/>
  <c r="H11" i="6"/>
  <c r="H12" i="6"/>
  <c r="H13" i="6"/>
  <c r="H14" i="6"/>
  <c r="H7" i="6"/>
  <c r="B8" i="6"/>
  <c r="B9" i="6"/>
  <c r="B10" i="6"/>
  <c r="B11" i="6"/>
  <c r="B12" i="6"/>
  <c r="B13" i="6"/>
  <c r="B14" i="6"/>
  <c r="B7" i="6"/>
  <c r="AJ14" i="6"/>
  <c r="AJ13" i="6"/>
  <c r="AJ12" i="6"/>
  <c r="AJ11" i="6"/>
  <c r="AJ10" i="6"/>
  <c r="AJ9" i="6"/>
  <c r="AJ8" i="6"/>
  <c r="AJ7" i="6"/>
  <c r="AD14" i="6"/>
  <c r="AD13" i="6"/>
  <c r="AD12" i="6"/>
  <c r="AD11" i="6"/>
  <c r="AD10" i="6"/>
  <c r="AD9" i="6"/>
  <c r="AD8" i="6"/>
  <c r="AD7" i="6"/>
  <c r="X14" i="6"/>
  <c r="X13" i="6"/>
  <c r="X12" i="6"/>
  <c r="X11" i="6"/>
  <c r="X10" i="6"/>
  <c r="X9" i="6"/>
  <c r="X8" i="6"/>
  <c r="X7" i="6"/>
  <c r="R14" i="6"/>
  <c r="R13" i="6"/>
  <c r="R12" i="6"/>
  <c r="R11" i="6"/>
  <c r="R10" i="6"/>
  <c r="R9" i="6"/>
  <c r="R8" i="6"/>
  <c r="R7" i="6"/>
  <c r="L14" i="6"/>
  <c r="L13" i="6"/>
  <c r="L12" i="6"/>
  <c r="L11" i="6"/>
  <c r="L10" i="6"/>
  <c r="L9" i="6"/>
  <c r="L8" i="6"/>
  <c r="L7" i="6"/>
  <c r="F14" i="6"/>
  <c r="F13" i="6"/>
  <c r="F12" i="6"/>
  <c r="F11" i="6"/>
  <c r="F10" i="6"/>
  <c r="F9" i="6"/>
  <c r="F8" i="6"/>
  <c r="F7" i="6"/>
  <c r="AB15" i="11"/>
  <c r="AB14" i="11"/>
  <c r="AB13" i="11"/>
  <c r="AB12" i="11"/>
  <c r="AB11" i="11"/>
  <c r="AB10" i="11"/>
  <c r="AB9" i="11"/>
  <c r="AB8" i="11"/>
  <c r="W15" i="11"/>
  <c r="W14" i="11"/>
  <c r="W13" i="11"/>
  <c r="W12" i="11"/>
  <c r="W11" i="11"/>
  <c r="W10" i="11"/>
  <c r="W9" i="11"/>
  <c r="W8" i="11"/>
  <c r="R11" i="11"/>
  <c r="R12" i="11"/>
  <c r="R13" i="11"/>
  <c r="R14" i="11"/>
  <c r="R15" i="11"/>
  <c r="R10" i="11"/>
  <c r="R9" i="11"/>
  <c r="R8" i="11"/>
  <c r="M15" i="11"/>
  <c r="M14" i="11"/>
  <c r="M13" i="11"/>
  <c r="M12" i="11"/>
  <c r="M11" i="11"/>
  <c r="M10" i="11"/>
  <c r="M9" i="11"/>
  <c r="M8" i="11"/>
  <c r="H15" i="11"/>
  <c r="H14" i="11"/>
  <c r="H13" i="11"/>
  <c r="H12" i="11"/>
  <c r="H11" i="11"/>
  <c r="H10" i="11"/>
  <c r="H9" i="11"/>
  <c r="H8" i="11"/>
  <c r="C11" i="11"/>
  <c r="C12" i="11"/>
  <c r="C13" i="11"/>
  <c r="C14" i="11"/>
  <c r="C15" i="11"/>
  <c r="C10" i="11"/>
  <c r="C9" i="11"/>
  <c r="C8" i="11"/>
  <c r="AA15" i="11"/>
  <c r="V15" i="11"/>
  <c r="Q15" i="11"/>
  <c r="L15" i="11"/>
  <c r="G15" i="11"/>
  <c r="B15" i="11"/>
  <c r="AA14" i="11"/>
  <c r="V14" i="11"/>
  <c r="Q14" i="11"/>
  <c r="L14" i="11"/>
  <c r="G14" i="11"/>
  <c r="B14" i="11"/>
  <c r="AA13" i="11"/>
  <c r="V13" i="11"/>
  <c r="Q13" i="11"/>
  <c r="L13" i="11"/>
  <c r="G13" i="11"/>
  <c r="B13" i="11"/>
  <c r="AA12" i="11"/>
  <c r="V12" i="11"/>
  <c r="Q12" i="11"/>
  <c r="L12" i="11"/>
  <c r="G12" i="11"/>
  <c r="B12" i="11"/>
  <c r="AA11" i="11"/>
  <c r="V11" i="11"/>
  <c r="Q11" i="11"/>
  <c r="L11" i="11"/>
  <c r="G11" i="11"/>
  <c r="B11" i="11"/>
  <c r="AA10" i="11"/>
  <c r="V10" i="11"/>
  <c r="Q10" i="11"/>
  <c r="L10" i="11"/>
  <c r="G10" i="11"/>
  <c r="B10" i="11"/>
  <c r="AA9" i="11"/>
  <c r="V9" i="11"/>
  <c r="Q9" i="11"/>
  <c r="L9" i="11"/>
  <c r="G9" i="11"/>
  <c r="B9" i="11"/>
  <c r="AA8" i="11"/>
  <c r="V8" i="11"/>
  <c r="Q8" i="11"/>
  <c r="L8" i="11"/>
  <c r="G8" i="11"/>
  <c r="B8" i="11"/>
  <c r="C15" i="12"/>
  <c r="C13" i="12"/>
  <c r="T10" i="10"/>
  <c r="T11" i="10"/>
  <c r="T12" i="10"/>
  <c r="T13" i="10"/>
  <c r="T14" i="10"/>
  <c r="T15" i="10"/>
  <c r="T16" i="10"/>
  <c r="T9" i="10"/>
  <c r="Q10" i="10"/>
  <c r="Q11" i="10"/>
  <c r="Q12" i="10"/>
  <c r="Q13" i="10"/>
  <c r="Q14" i="10"/>
  <c r="Q15" i="10"/>
  <c r="Q16" i="10"/>
  <c r="Q9" i="10"/>
  <c r="N10" i="10"/>
  <c r="N11" i="10"/>
  <c r="N12" i="10"/>
  <c r="N13" i="10"/>
  <c r="N14" i="10"/>
  <c r="N15" i="10"/>
  <c r="N16" i="10"/>
  <c r="N9" i="10"/>
  <c r="K10" i="10"/>
  <c r="K11" i="10"/>
  <c r="K12" i="10"/>
  <c r="K13" i="10"/>
  <c r="K14" i="10"/>
  <c r="K15" i="10"/>
  <c r="K16" i="10"/>
  <c r="K9" i="10"/>
  <c r="H10" i="10"/>
  <c r="H11" i="10"/>
  <c r="H12" i="10"/>
  <c r="H13" i="10"/>
  <c r="H14" i="10"/>
  <c r="H15" i="10"/>
  <c r="H16" i="10"/>
  <c r="H9" i="10"/>
  <c r="E10" i="10"/>
  <c r="E11" i="10"/>
  <c r="E12" i="10"/>
  <c r="E13" i="10"/>
  <c r="E14" i="10"/>
  <c r="E15" i="10"/>
  <c r="E16" i="10"/>
  <c r="E9" i="10"/>
  <c r="B10" i="10"/>
  <c r="B11" i="10"/>
  <c r="B12" i="10"/>
  <c r="B13" i="10"/>
  <c r="B14" i="10"/>
  <c r="B15" i="10"/>
  <c r="B16" i="10"/>
  <c r="B9" i="10"/>
  <c r="BJ9" i="9"/>
  <c r="BJ10" i="9"/>
  <c r="BJ11" i="9"/>
  <c r="BJ12" i="9"/>
  <c r="BJ13" i="9"/>
  <c r="BJ14" i="9"/>
  <c r="BJ15" i="9"/>
  <c r="BJ8" i="9"/>
  <c r="AZ9" i="9"/>
  <c r="AZ10" i="9"/>
  <c r="AZ11" i="9"/>
  <c r="AZ12" i="9"/>
  <c r="AZ13" i="9"/>
  <c r="AZ14" i="9"/>
  <c r="AZ15" i="9"/>
  <c r="AZ8" i="9"/>
  <c r="AP9" i="9"/>
  <c r="AP10" i="9"/>
  <c r="AP11" i="9"/>
  <c r="AP12" i="9"/>
  <c r="AP13" i="9"/>
  <c r="AP14" i="9"/>
  <c r="AP15" i="9"/>
  <c r="AP8" i="9"/>
  <c r="AF9" i="9"/>
  <c r="AF10" i="9"/>
  <c r="AF11" i="9"/>
  <c r="AF12" i="9"/>
  <c r="AF13" i="9"/>
  <c r="AF14" i="9"/>
  <c r="AF15" i="9"/>
  <c r="AF8" i="9"/>
  <c r="V9" i="9"/>
  <c r="V10" i="9"/>
  <c r="V11" i="9"/>
  <c r="V12" i="9"/>
  <c r="V13" i="9"/>
  <c r="V14" i="9"/>
  <c r="V15" i="9"/>
  <c r="V8" i="9"/>
  <c r="L9" i="9"/>
  <c r="L10" i="9"/>
  <c r="L11" i="9"/>
  <c r="L12" i="9"/>
  <c r="L13" i="9"/>
  <c r="L14" i="9"/>
  <c r="L15" i="9"/>
  <c r="L8" i="9"/>
  <c r="B9" i="9"/>
  <c r="B10" i="9"/>
  <c r="B11" i="9"/>
  <c r="B12" i="9"/>
  <c r="B13" i="9"/>
  <c r="B14" i="9"/>
  <c r="B15" i="9"/>
  <c r="B8" i="9"/>
  <c r="K6" i="7"/>
  <c r="T8" i="7"/>
  <c r="Q10" i="7"/>
  <c r="N12" i="7"/>
  <c r="B6" i="7"/>
  <c r="B8" i="7"/>
  <c r="B10" i="7"/>
  <c r="B12" i="7"/>
  <c r="T13" i="7"/>
  <c r="Q13" i="7"/>
  <c r="N13" i="7"/>
  <c r="K13" i="7"/>
  <c r="H13" i="7"/>
  <c r="E13" i="7"/>
  <c r="B13" i="7"/>
  <c r="Q12" i="7"/>
  <c r="K12" i="7"/>
  <c r="E12" i="7"/>
  <c r="T11" i="7"/>
  <c r="Q11" i="7"/>
  <c r="N11" i="7"/>
  <c r="K11" i="7"/>
  <c r="H11" i="7"/>
  <c r="E11" i="7"/>
  <c r="B11" i="7"/>
  <c r="T10" i="7"/>
  <c r="N10" i="7"/>
  <c r="H10" i="7"/>
  <c r="T9" i="7"/>
  <c r="Q9" i="7"/>
  <c r="N9" i="7"/>
  <c r="K9" i="7"/>
  <c r="H9" i="7"/>
  <c r="E9" i="7"/>
  <c r="B9" i="7"/>
  <c r="Q8" i="7"/>
  <c r="K8" i="7"/>
  <c r="E8" i="7"/>
  <c r="T7" i="7"/>
  <c r="Q7" i="7"/>
  <c r="N7" i="7"/>
  <c r="K7" i="7"/>
  <c r="H7" i="7"/>
  <c r="E7" i="7"/>
  <c r="B7" i="7"/>
  <c r="T6" i="7"/>
  <c r="N6" i="7"/>
  <c r="H6" i="7"/>
  <c r="AF13" i="4"/>
  <c r="AA13" i="4"/>
  <c r="V13" i="4"/>
  <c r="Q13" i="4"/>
  <c r="L13" i="4"/>
  <c r="G13" i="4"/>
  <c r="B13" i="4"/>
  <c r="AF12" i="4"/>
  <c r="AA12" i="4"/>
  <c r="V12" i="4"/>
  <c r="Q12" i="4"/>
  <c r="L12" i="4"/>
  <c r="G12" i="4"/>
  <c r="B12" i="4"/>
  <c r="AF11" i="4"/>
  <c r="AA11" i="4"/>
  <c r="V11" i="4"/>
  <c r="Q11" i="4"/>
  <c r="L11" i="4"/>
  <c r="G11" i="4"/>
  <c r="B11" i="4"/>
  <c r="AF10" i="4"/>
  <c r="AA10" i="4"/>
  <c r="V10" i="4"/>
  <c r="Q10" i="4"/>
  <c r="L10" i="4"/>
  <c r="G10" i="4"/>
  <c r="B10" i="4"/>
  <c r="AF9" i="4"/>
  <c r="AA9" i="4"/>
  <c r="V9" i="4"/>
  <c r="Q9" i="4"/>
  <c r="L9" i="4"/>
  <c r="G9" i="4"/>
  <c r="B9" i="4"/>
  <c r="AF8" i="4"/>
  <c r="AA8" i="4"/>
  <c r="V8" i="4"/>
  <c r="Q8" i="4"/>
  <c r="L8" i="4"/>
  <c r="G8" i="4"/>
  <c r="B8" i="4"/>
  <c r="AF7" i="4"/>
  <c r="AA7" i="4"/>
  <c r="V7" i="4"/>
  <c r="Q7" i="4"/>
  <c r="L7" i="4"/>
  <c r="G7" i="4"/>
  <c r="B7" i="4"/>
  <c r="AF6" i="4"/>
  <c r="AA6" i="4"/>
  <c r="V6" i="4"/>
  <c r="Q6" i="4"/>
  <c r="L6" i="4"/>
  <c r="G6" i="4"/>
  <c r="B6" i="4"/>
  <c r="AC13" i="3"/>
  <c r="Y13" i="3"/>
  <c r="V13" i="3"/>
  <c r="U13" i="3"/>
  <c r="Q13" i="3"/>
  <c r="M13" i="3"/>
  <c r="I13" i="3"/>
  <c r="B13" i="3"/>
  <c r="E13" i="3" s="1"/>
  <c r="AC12" i="3"/>
  <c r="V12" i="3"/>
  <c r="Y12" i="3" s="1"/>
  <c r="U12" i="3"/>
  <c r="Q12" i="3"/>
  <c r="M12" i="3"/>
  <c r="J12" i="3"/>
  <c r="I12" i="3"/>
  <c r="F12" i="3"/>
  <c r="E12" i="3"/>
  <c r="Z11" i="3"/>
  <c r="AC11" i="3" s="1"/>
  <c r="V11" i="3"/>
  <c r="Y11" i="3" s="1"/>
  <c r="U11" i="3"/>
  <c r="Q11" i="3"/>
  <c r="M11" i="3"/>
  <c r="I11" i="3"/>
  <c r="F11" i="3"/>
  <c r="B11" i="3"/>
  <c r="E11" i="3" s="1"/>
  <c r="AC10" i="3"/>
  <c r="Y10" i="3"/>
  <c r="U10" i="3"/>
  <c r="Q10" i="3"/>
  <c r="M10" i="3"/>
  <c r="I10" i="3"/>
  <c r="E10" i="3"/>
  <c r="AC9" i="3"/>
  <c r="Y9" i="3"/>
  <c r="U9" i="3"/>
  <c r="Q9" i="3"/>
  <c r="M9" i="3"/>
  <c r="I9" i="3"/>
  <c r="E9" i="3"/>
  <c r="AC8" i="3"/>
  <c r="Y8" i="3"/>
  <c r="U8" i="3"/>
  <c r="Q8" i="3"/>
  <c r="M8" i="3"/>
  <c r="I8" i="3"/>
  <c r="E8" i="3"/>
  <c r="AC7" i="3"/>
  <c r="Y7" i="3"/>
  <c r="U7" i="3"/>
  <c r="Q7" i="3"/>
  <c r="M7" i="3"/>
  <c r="I7" i="3"/>
  <c r="E7" i="3"/>
  <c r="AC6" i="3"/>
  <c r="Y6" i="3"/>
  <c r="U6" i="3"/>
  <c r="Q6" i="3"/>
  <c r="M6" i="3"/>
  <c r="I6" i="3"/>
  <c r="E6" i="3"/>
  <c r="AJ13" i="2"/>
  <c r="AA13" i="2"/>
  <c r="AE13" i="2" s="1"/>
  <c r="Z13" i="2"/>
  <c r="U13" i="2"/>
  <c r="P13" i="2"/>
  <c r="K13" i="2"/>
  <c r="B13" i="2"/>
  <c r="F13" i="2" s="1"/>
  <c r="AJ12" i="2"/>
  <c r="AA12" i="2"/>
  <c r="AE12" i="2" s="1"/>
  <c r="Z12" i="2"/>
  <c r="U12" i="2"/>
  <c r="L12" i="2"/>
  <c r="P12" i="2" s="1"/>
  <c r="G12" i="2"/>
  <c r="K12" i="2" s="1"/>
  <c r="F12" i="2"/>
  <c r="AF11" i="2"/>
  <c r="AJ11" i="2" s="1"/>
  <c r="AA11" i="2"/>
  <c r="AE11" i="2" s="1"/>
  <c r="Z11" i="2"/>
  <c r="U11" i="2"/>
  <c r="P11" i="2"/>
  <c r="K11" i="2"/>
  <c r="G11" i="2"/>
  <c r="B11" i="2"/>
  <c r="F11" i="2" s="1"/>
  <c r="AJ10" i="2"/>
  <c r="AE10" i="2"/>
  <c r="Z10" i="2"/>
  <c r="U10" i="2"/>
  <c r="P10" i="2"/>
  <c r="K10" i="2"/>
  <c r="F10" i="2"/>
  <c r="AJ9" i="2"/>
  <c r="AE9" i="2"/>
  <c r="Z9" i="2"/>
  <c r="U9" i="2"/>
  <c r="P9" i="2"/>
  <c r="K9" i="2"/>
  <c r="F9" i="2"/>
  <c r="AJ8" i="2"/>
  <c r="AE8" i="2"/>
  <c r="Z8" i="2"/>
  <c r="U8" i="2"/>
  <c r="P8" i="2"/>
  <c r="K8" i="2"/>
  <c r="F8" i="2"/>
  <c r="AJ7" i="2"/>
  <c r="AE7" i="2"/>
  <c r="Z7" i="2"/>
  <c r="U7" i="2"/>
  <c r="P7" i="2"/>
  <c r="K7" i="2"/>
  <c r="F7" i="2"/>
  <c r="AJ6" i="2"/>
  <c r="AE6" i="2"/>
  <c r="Z6" i="2"/>
  <c r="U6" i="2"/>
  <c r="P6" i="2"/>
  <c r="K6" i="2"/>
  <c r="F6" i="2"/>
  <c r="L11" i="1"/>
  <c r="B11" i="1"/>
  <c r="L10" i="1"/>
  <c r="F10" i="1"/>
  <c r="D10" i="1"/>
  <c r="N9" i="1"/>
  <c r="L9" i="1"/>
  <c r="D9" i="1"/>
  <c r="B9" i="1"/>
  <c r="E6" i="7" l="1"/>
  <c r="Q6" i="7"/>
  <c r="N8" i="7"/>
  <c r="K10" i="7"/>
  <c r="H12" i="7"/>
  <c r="T12" i="7"/>
  <c r="H8" i="7"/>
  <c r="E10" i="7"/>
</calcChain>
</file>

<file path=xl/sharedStrings.xml><?xml version="1.0" encoding="utf-8"?>
<sst xmlns="http://schemas.openxmlformats.org/spreadsheetml/2006/main" count="795" uniqueCount="345">
  <si>
    <t>673775</t>
    <phoneticPr fontId="4" type="noConversion"/>
  </si>
  <si>
    <t>100966</t>
    <phoneticPr fontId="4" type="noConversion"/>
  </si>
  <si>
    <t>510039</t>
    <phoneticPr fontId="4" type="noConversion"/>
  </si>
  <si>
    <t>45250</t>
    <phoneticPr fontId="4" type="noConversion"/>
  </si>
  <si>
    <t>273450</t>
    <phoneticPr fontId="4" type="noConversion"/>
  </si>
  <si>
    <t>14855</t>
    <phoneticPr fontId="4" type="noConversion"/>
  </si>
  <si>
    <t>85986</t>
    <phoneticPr fontId="4" type="noConversion"/>
  </si>
  <si>
    <t>66377</t>
    <phoneticPr fontId="4" type="noConversion"/>
  </si>
  <si>
    <t>121562</t>
    <phoneticPr fontId="4" type="noConversion"/>
  </si>
  <si>
    <t>3180</t>
    <phoneticPr fontId="4" type="noConversion"/>
  </si>
  <si>
    <t>8992</t>
    <phoneticPr fontId="4" type="noConversion"/>
  </si>
  <si>
    <t>21554</t>
    <phoneticPr fontId="4" type="noConversion"/>
  </si>
  <si>
    <t>16063</t>
    <phoneticPr fontId="4" type="noConversion"/>
  </si>
  <si>
    <t>24886</t>
    <phoneticPr fontId="4" type="noConversion"/>
  </si>
  <si>
    <t>1395785</t>
    <phoneticPr fontId="4" type="noConversion"/>
  </si>
  <si>
    <t>78855</t>
    <phoneticPr fontId="4" type="noConversion"/>
  </si>
  <si>
    <t>396320</t>
    <phoneticPr fontId="4" type="noConversion"/>
  </si>
  <si>
    <t>48764</t>
    <phoneticPr fontId="4" type="noConversion"/>
  </si>
  <si>
    <t>304490</t>
    <phoneticPr fontId="4" type="noConversion"/>
  </si>
  <si>
    <t>11917</t>
    <phoneticPr fontId="4" type="noConversion"/>
  </si>
  <si>
    <t>66238</t>
    <phoneticPr fontId="4" type="noConversion"/>
  </si>
  <si>
    <t>33659</t>
    <phoneticPr fontId="4" type="noConversion"/>
  </si>
  <si>
    <t>50550</t>
    <phoneticPr fontId="4" type="noConversion"/>
  </si>
  <si>
    <t>4039</t>
    <phoneticPr fontId="4" type="noConversion"/>
  </si>
  <si>
    <t>10636</t>
    <phoneticPr fontId="4" type="noConversion"/>
  </si>
  <si>
    <t>39186</t>
    <phoneticPr fontId="4" type="noConversion"/>
  </si>
  <si>
    <t>45796</t>
    <phoneticPr fontId="4" type="noConversion"/>
  </si>
  <si>
    <t>39999</t>
    <phoneticPr fontId="4" type="noConversion"/>
  </si>
  <si>
    <t>2046654</t>
    <phoneticPr fontId="4" type="noConversion"/>
  </si>
  <si>
    <t>31438</t>
    <phoneticPr fontId="4" type="noConversion"/>
  </si>
  <si>
    <t>187346</t>
    <phoneticPr fontId="4" type="noConversion"/>
  </si>
  <si>
    <t>38720</t>
    <phoneticPr fontId="4" type="noConversion"/>
  </si>
  <si>
    <t>261585</t>
    <phoneticPr fontId="4" type="noConversion"/>
  </si>
  <si>
    <t>4509</t>
    <phoneticPr fontId="4" type="noConversion"/>
  </si>
  <si>
    <t>26101</t>
    <phoneticPr fontId="4" type="noConversion"/>
  </si>
  <si>
    <t>7593</t>
    <phoneticPr fontId="4" type="noConversion"/>
  </si>
  <si>
    <t>14053</t>
    <phoneticPr fontId="4" type="noConversion"/>
  </si>
  <si>
    <t>1758</t>
    <phoneticPr fontId="4" type="noConversion"/>
  </si>
  <si>
    <t>5782</t>
    <phoneticPr fontId="4" type="noConversion"/>
  </si>
  <si>
    <t>98731</t>
    <phoneticPr fontId="4" type="noConversion"/>
  </si>
  <si>
    <t>107304</t>
    <phoneticPr fontId="4" type="noConversion"/>
  </si>
  <si>
    <t>35065</t>
    <phoneticPr fontId="4" type="noConversion"/>
  </si>
  <si>
    <t>area (ha)</t>
    <phoneticPr fontId="1" type="noConversion"/>
  </si>
  <si>
    <t>Year</t>
  </si>
  <si>
    <t>Year</t>
    <phoneticPr fontId="1" type="noConversion"/>
  </si>
  <si>
    <t>Wheat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</si>
  <si>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</si>
  <si>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</si>
  <si>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</si>
  <si>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</si>
  <si>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t>harvest (t)</t>
    <phoneticPr fontId="1" type="noConversion"/>
  </si>
  <si>
    <t>Area and Harvest information</t>
    <phoneticPr fontId="1" type="noConversion"/>
  </si>
  <si>
    <t>Maize</t>
    <phoneticPr fontId="1" type="noConversion"/>
  </si>
  <si>
    <t>Year</t>
    <phoneticPr fontId="1" type="noConversion"/>
  </si>
  <si>
    <t>100966</t>
    <phoneticPr fontId="4" type="noConversion"/>
  </si>
  <si>
    <t>45250</t>
    <phoneticPr fontId="4" type="noConversion"/>
  </si>
  <si>
    <t>14855</t>
    <phoneticPr fontId="4" type="noConversion"/>
  </si>
  <si>
    <t>66377</t>
    <phoneticPr fontId="4" type="noConversion"/>
  </si>
  <si>
    <t>3180</t>
    <phoneticPr fontId="4" type="noConversion"/>
  </si>
  <si>
    <t>21554</t>
    <phoneticPr fontId="4" type="noConversion"/>
  </si>
  <si>
    <t>24886</t>
    <phoneticPr fontId="4" type="noConversion"/>
  </si>
  <si>
    <t>78855</t>
    <phoneticPr fontId="4" type="noConversion"/>
  </si>
  <si>
    <t>48764</t>
    <phoneticPr fontId="4" type="noConversion"/>
  </si>
  <si>
    <t>11917</t>
    <phoneticPr fontId="4" type="noConversion"/>
  </si>
  <si>
    <t>33659</t>
    <phoneticPr fontId="4" type="noConversion"/>
  </si>
  <si>
    <t>4039</t>
    <phoneticPr fontId="4" type="noConversion"/>
  </si>
  <si>
    <t>39186</t>
    <phoneticPr fontId="4" type="noConversion"/>
  </si>
  <si>
    <t>39999</t>
    <phoneticPr fontId="4" type="noConversion"/>
  </si>
  <si>
    <t>31438</t>
    <phoneticPr fontId="4" type="noConversion"/>
  </si>
  <si>
    <t>38720</t>
    <phoneticPr fontId="4" type="noConversion"/>
  </si>
  <si>
    <t>4509</t>
    <phoneticPr fontId="4" type="noConversion"/>
  </si>
  <si>
    <t>7593</t>
    <phoneticPr fontId="4" type="noConversion"/>
  </si>
  <si>
    <t>1758</t>
    <phoneticPr fontId="4" type="noConversion"/>
  </si>
  <si>
    <t>98731</t>
    <phoneticPr fontId="4" type="noConversion"/>
  </si>
  <si>
    <t>35065</t>
    <phoneticPr fontId="4" type="noConversion"/>
  </si>
  <si>
    <t xml:space="preserve">equation:  </t>
    <phoneticPr fontId="1" type="noConversion"/>
  </si>
  <si>
    <t>Wheat</t>
    <phoneticPr fontId="1" type="noConversion"/>
  </si>
  <si>
    <t>Maize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</si>
  <si>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</si>
  <si>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</si>
  <si>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</si>
  <si>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</si>
  <si>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t>Fruit-Vegetable</t>
    <phoneticPr fontId="1" type="noConversion"/>
  </si>
  <si>
    <t>Atmospheric deposition P of wheat, maize, rice, soybean, peanut, cotton, fruit-vegetable, respectively (t)</t>
    <phoneticPr fontId="1" type="noConversion"/>
  </si>
  <si>
    <t>Sown areas of wheat, maize, rice, soybean, peanut, cotton, and fruit-vegetable, respectively (ha);</t>
  </si>
  <si>
    <t>Sown areas of wheat, maize, rice, soybean, peanut, cotton, and fruit-vegetable, respectively (ha)</t>
  </si>
  <si>
    <t>Sown areas of wheat, maize, rice, soybean, peanut, cotton, and fruit-vegetable, respectively (ha)</t>
    <phoneticPr fontId="1" type="noConversion"/>
  </si>
  <si>
    <t>Average wind erosion intensity per sown area (kg/ha)</t>
    <phoneticPr fontId="1" type="noConversion"/>
  </si>
  <si>
    <t>Precipitaiton (mm/ha)</t>
    <phoneticPr fontId="1" type="noConversion"/>
  </si>
  <si>
    <t>P content in the rail fall (mg/L)</t>
    <phoneticPr fontId="1" type="noConversion"/>
  </si>
  <si>
    <r>
      <t xml:space="preserve"> w</t>
    </r>
    <r>
      <rPr>
        <vertAlign val="superscript"/>
        <sz val="11"/>
        <color theme="1"/>
        <rFont val="Times New Roman"/>
        <family val="1"/>
      </rPr>
      <t xml:space="preserve">wind </t>
    </r>
    <r>
      <rPr>
        <sz val="11"/>
        <color theme="1"/>
        <rFont val="Times New Roman"/>
        <family val="1"/>
      </rPr>
      <t>(kg /ha)</t>
    </r>
    <phoneticPr fontId="1" type="noConversion"/>
  </si>
  <si>
    <r>
      <t xml:space="preserve"> A</t>
    </r>
    <r>
      <rPr>
        <vertAlign val="superscript"/>
        <sz val="11"/>
        <color theme="1"/>
        <rFont val="Times New Roman"/>
        <family val="1"/>
      </rPr>
      <t xml:space="preserve">preci </t>
    </r>
    <r>
      <rPr>
        <sz val="11"/>
        <color theme="1"/>
        <rFont val="Times New Roman"/>
        <family val="1"/>
      </rPr>
      <t>(mm)</t>
    </r>
    <phoneticPr fontId="1" type="noConversion"/>
  </si>
  <si>
    <r>
      <t xml:space="preserve"> r</t>
    </r>
    <r>
      <rPr>
        <vertAlign val="superscript"/>
        <sz val="11"/>
        <color theme="1"/>
        <rFont val="Times New Roman"/>
        <family val="1"/>
      </rPr>
      <t xml:space="preserve">rain </t>
    </r>
    <r>
      <rPr>
        <sz val="11"/>
        <color theme="1"/>
        <rFont val="Times New Roman"/>
        <family val="1"/>
      </rPr>
      <t>(mg/L)</t>
    </r>
    <phoneticPr fontId="1" type="noConversion"/>
  </si>
  <si>
    <r>
      <t xml:space="preserve"> P</t>
    </r>
    <r>
      <rPr>
        <vertAlign val="superscript"/>
        <sz val="11"/>
        <color theme="1"/>
        <rFont val="Times New Roman"/>
        <family val="1"/>
      </rPr>
      <t xml:space="preserve">atmos </t>
    </r>
    <r>
      <rPr>
        <sz val="11"/>
        <color theme="1"/>
        <rFont val="Times New Roman"/>
        <family val="1"/>
      </rPr>
      <t>(t)</t>
    </r>
    <phoneticPr fontId="1" type="noConversion"/>
  </si>
  <si>
    <r>
      <t xml:space="preserve"> A</t>
    </r>
    <r>
      <rPr>
        <vertAlign val="superscript"/>
        <sz val="11"/>
        <color theme="1"/>
        <rFont val="Times New Roman"/>
        <family val="1"/>
      </rPr>
      <t xml:space="preserve">area </t>
    </r>
    <r>
      <rPr>
        <sz val="11"/>
        <color theme="1"/>
        <rFont val="Times New Roman"/>
        <family val="1"/>
      </rPr>
      <t>(ha)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</si>
  <si>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 xml:space="preserve">area </t>
    </r>
    <r>
      <rPr>
        <sz val="11"/>
        <color theme="1"/>
        <rFont val="宋体"/>
        <family val="3"/>
        <charset val="134"/>
      </rPr>
      <t>（</t>
    </r>
    <r>
      <rPr>
        <sz val="11"/>
        <color theme="1"/>
        <rFont val="Times New Roman"/>
        <family val="1"/>
      </rPr>
      <t>ha</t>
    </r>
    <r>
      <rPr>
        <sz val="11"/>
        <color theme="1"/>
        <rFont val="宋体"/>
        <family val="3"/>
        <charset val="134"/>
      </rPr>
      <t>）</t>
    </r>
    <phoneticPr fontId="1" type="noConversion"/>
  </si>
  <si>
    <t>Note:</t>
    <phoneticPr fontId="1" type="noConversion"/>
  </si>
  <si>
    <t>Note:the information of area and harvest of those crop systems (wheat, maize, rice, soybean, peanut, cotton, and fruit-vegetable)were obtained based on the Dongying Statistical Yearbook.</t>
    <phoneticPr fontId="1" type="noConversion"/>
  </si>
  <si>
    <t>the data were obtained based on the Dongying Statistical Yearbook</t>
    <phoneticPr fontId="1" type="noConversion"/>
  </si>
  <si>
    <t>the data were obtained based on the report of Wu et al.,(2016)</t>
    <phoneticPr fontId="1" type="noConversion"/>
  </si>
  <si>
    <t>Year</t>
    <phoneticPr fontId="1" type="noConversion"/>
  </si>
  <si>
    <t>100966</t>
    <phoneticPr fontId="4" type="noConversion"/>
  </si>
  <si>
    <t>45250</t>
    <phoneticPr fontId="4" type="noConversion"/>
  </si>
  <si>
    <t>14855</t>
    <phoneticPr fontId="4" type="noConversion"/>
  </si>
  <si>
    <t>66377</t>
    <phoneticPr fontId="4" type="noConversion"/>
  </si>
  <si>
    <t>3180</t>
    <phoneticPr fontId="4" type="noConversion"/>
  </si>
  <si>
    <t>21554</t>
    <phoneticPr fontId="4" type="noConversion"/>
  </si>
  <si>
    <t>24886</t>
    <phoneticPr fontId="4" type="noConversion"/>
  </si>
  <si>
    <t>78855</t>
    <phoneticPr fontId="4" type="noConversion"/>
  </si>
  <si>
    <t>48764</t>
    <phoneticPr fontId="4" type="noConversion"/>
  </si>
  <si>
    <t>11917</t>
    <phoneticPr fontId="4" type="noConversion"/>
  </si>
  <si>
    <t>33659</t>
    <phoneticPr fontId="4" type="noConversion"/>
  </si>
  <si>
    <t>4039</t>
    <phoneticPr fontId="4" type="noConversion"/>
  </si>
  <si>
    <t>39186</t>
    <phoneticPr fontId="4" type="noConversion"/>
  </si>
  <si>
    <t>39999</t>
    <phoneticPr fontId="4" type="noConversion"/>
  </si>
  <si>
    <t>31438</t>
    <phoneticPr fontId="4" type="noConversion"/>
  </si>
  <si>
    <t>38720</t>
    <phoneticPr fontId="4" type="noConversion"/>
  </si>
  <si>
    <t>4509</t>
    <phoneticPr fontId="4" type="noConversion"/>
  </si>
  <si>
    <t>7593</t>
    <phoneticPr fontId="4" type="noConversion"/>
  </si>
  <si>
    <t>1758</t>
    <phoneticPr fontId="4" type="noConversion"/>
  </si>
  <si>
    <t>98731</t>
    <phoneticPr fontId="4" type="noConversion"/>
  </si>
  <si>
    <t>35065</t>
    <phoneticPr fontId="4" type="noConversion"/>
  </si>
  <si>
    <t>Sown areas of rice, wheat,  peanut,  cotton, vegetables and fruits, maize and beans  respectively</t>
    <phoneticPr fontId="1" type="noConversion"/>
  </si>
  <si>
    <t>Amounts of seeds of  rice, wheat,  peanut,  cotton, vegetables and fruits, maize and beans, per sown area</t>
    <phoneticPr fontId="1" type="noConversion"/>
  </si>
  <si>
    <t>P-containing rates of seeds of rice, wheat,  peanut,  cotton, vegetables and fruits, maize and beans, respectively</t>
    <phoneticPr fontId="1" type="noConversion"/>
  </si>
  <si>
    <t>P content of the seeds of wheat, maize, rice, soybean, peanut, cotton, fruit-vegetable, respectively (t)</t>
  </si>
  <si>
    <t>Wheat</t>
    <phoneticPr fontId="1" type="noConversion"/>
  </si>
  <si>
    <t>Maize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</si>
  <si>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</si>
  <si>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</si>
  <si>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</si>
  <si>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</si>
  <si>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t>Fruit-Vegetable</t>
    <phoneticPr fontId="1" type="noConversion"/>
  </si>
  <si>
    <r>
      <t xml:space="preserve"> P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(t)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</si>
  <si>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(ha)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</si>
  <si>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seed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</si>
  <si>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(kg/m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 type="noConversion"/>
  </si>
  <si>
    <r>
      <t xml:space="preserve">the data were obtained from the local farmers </t>
    </r>
    <r>
      <rPr>
        <sz val="11"/>
        <color theme="1"/>
        <rFont val="宋体"/>
        <family val="2"/>
      </rPr>
      <t>（</t>
    </r>
    <r>
      <rPr>
        <sz val="11"/>
        <color theme="1"/>
        <rFont val="Times New Roman"/>
        <family val="1"/>
      </rPr>
      <t>face-to-face interviews</t>
    </r>
    <r>
      <rPr>
        <sz val="11"/>
        <color theme="1"/>
        <rFont val="宋体"/>
        <family val="2"/>
      </rPr>
      <t>）</t>
    </r>
    <r>
      <rPr>
        <sz val="11"/>
        <color theme="1"/>
        <rFont val="Times New Roman"/>
        <family val="1"/>
      </rPr>
      <t>and the questionnaires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</si>
  <si>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(ha)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</si>
  <si>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(kg/m</t>
    </r>
    <r>
      <rPr>
        <vertAlign val="superscript"/>
        <sz val="11"/>
        <color theme="1"/>
        <rFont val="Times New Roman"/>
        <family val="1"/>
      </rPr>
      <t>2</t>
    </r>
    <r>
      <rPr>
        <sz val="11"/>
        <color theme="1"/>
        <rFont val="Times New Roman"/>
        <family val="1"/>
      </rPr>
      <t>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</si>
  <si>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seed</t>
    </r>
    <phoneticPr fontId="1" type="noConversion"/>
  </si>
  <si>
    <r>
      <t xml:space="preserve"> P</t>
    </r>
    <r>
      <rPr>
        <vertAlign val="superscript"/>
        <sz val="11"/>
        <color theme="1"/>
        <rFont val="Times New Roman"/>
        <family val="1"/>
      </rPr>
      <t xml:space="preserve">seed </t>
    </r>
    <r>
      <rPr>
        <sz val="11"/>
        <color theme="1"/>
        <rFont val="Times New Roman"/>
        <family val="1"/>
      </rPr>
      <t>(t)</t>
    </r>
    <phoneticPr fontId="1" type="noConversion"/>
  </si>
  <si>
    <t>Year</t>
    <phoneticPr fontId="1" type="noConversion"/>
  </si>
  <si>
    <t>P content of chemical fertilizers used in wheat, maize, rice, soybean, peanut, cotton, fruit-vegetable, respectively (t)</t>
  </si>
  <si>
    <t>Amount of compound fertilizer used in wheat, maize, rice, soybean, peanut, cotton, fruit-vegetable, respectively (t)</t>
  </si>
  <si>
    <r>
      <t>r</t>
    </r>
    <r>
      <rPr>
        <vertAlign val="superscript"/>
        <sz val="11"/>
        <color theme="1"/>
        <rFont val="Times New Roman"/>
        <family val="1"/>
      </rPr>
      <t xml:space="preserve">com </t>
    </r>
    <phoneticPr fontId="1" type="noConversion"/>
  </si>
  <si>
    <t>Amount of phosphate fertilizer used in wheat, maize, rice, soybean, peanut, cotton, fruit-vegetable, respectively (t);</t>
  </si>
  <si>
    <r>
      <t>P</t>
    </r>
    <r>
      <rPr>
        <vertAlign val="superscript"/>
        <sz val="11"/>
        <color theme="1"/>
        <rFont val="Times New Roman"/>
        <family val="1"/>
      </rPr>
      <t xml:space="preserve">chem </t>
    </r>
    <r>
      <rPr>
        <sz val="11"/>
        <color theme="1"/>
        <rFont val="Times New Roman"/>
        <family val="1"/>
      </rPr>
      <t>(t)</t>
    </r>
    <phoneticPr fontId="1" type="noConversion"/>
  </si>
  <si>
    <t xml:space="preserve">P-containing rate of the compound fertilizer </t>
    <phoneticPr fontId="1" type="noConversion"/>
  </si>
  <si>
    <t xml:space="preserve">P-containing rate of the phosphate fertilizer </t>
    <phoneticPr fontId="1" type="noConversion"/>
  </si>
  <si>
    <t>Maize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</si>
  <si>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</si>
  <si>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</si>
  <si>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</si>
  <si>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</si>
  <si>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t>Fruit-Vegetable</t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</si>
  <si>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chem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</si>
  <si>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com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</si>
  <si>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com 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</si>
  <si>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phos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</si>
  <si>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phos </t>
    </r>
    <phoneticPr fontId="1" type="noConversion"/>
  </si>
  <si>
    <r>
      <t xml:space="preserve">the data were obtained from the local farmers </t>
    </r>
    <r>
      <rPr>
        <sz val="11"/>
        <color theme="1"/>
        <rFont val="宋体"/>
        <family val="2"/>
      </rPr>
      <t>（</t>
    </r>
    <r>
      <rPr>
        <sz val="11"/>
        <color theme="1"/>
        <rFont val="Times New Roman"/>
        <family val="1"/>
      </rPr>
      <t>face-to-face interviews</t>
    </r>
    <r>
      <rPr>
        <sz val="11"/>
        <color theme="1"/>
        <rFont val="宋体"/>
        <family val="2"/>
      </rPr>
      <t>）</t>
    </r>
    <r>
      <rPr>
        <sz val="11"/>
        <color theme="1"/>
        <rFont val="Times New Roman"/>
        <family val="1"/>
      </rPr>
      <t>and the questionnaires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</si>
  <si>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com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</si>
  <si>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phos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</si>
  <si>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phos </t>
    </r>
    <phoneticPr fontId="1" type="noConversion"/>
  </si>
  <si>
    <t>the data were obtained from the interview with manufacturing enterprises</t>
  </si>
  <si>
    <t>the data were obtained from the interview with manufacturing enterprises</t>
    <phoneticPr fontId="1" type="noConversion"/>
  </si>
  <si>
    <t>Year</t>
    <phoneticPr fontId="1" type="noConversion"/>
  </si>
  <si>
    <t>Wheat</t>
    <phoneticPr fontId="1" type="noConversion"/>
  </si>
  <si>
    <t>Maize</t>
    <phoneticPr fontId="1" type="noConversion"/>
  </si>
  <si>
    <t>Rice</t>
    <phoneticPr fontId="1" type="noConversion"/>
  </si>
  <si>
    <t>Soybean</t>
    <phoneticPr fontId="1" type="noConversion"/>
  </si>
  <si>
    <t>Fruit-Vegetable</t>
    <phoneticPr fontId="1" type="noConversion"/>
  </si>
  <si>
    <t>P content of the pesticide used in wheat, maize, rice, soybean, peanut, cotton, fruit-vegetable, respectively (t)</t>
  </si>
  <si>
    <t>Amount of pesticide used in wheat, maize, rice, soybean, peanut, cotton, fruit-vegetable, respectively (t)</t>
  </si>
  <si>
    <t>P-containing rate of the pesticide (%)</t>
  </si>
  <si>
    <r>
      <t>P</t>
    </r>
    <r>
      <rPr>
        <vertAlign val="superscript"/>
        <sz val="11"/>
        <color theme="1"/>
        <rFont val="Times New Roman"/>
        <family val="1"/>
      </rPr>
      <t xml:space="preserve">pest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</si>
  <si>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pest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</si>
  <si>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pest </t>
    </r>
    <phoneticPr fontId="1" type="noConversion"/>
  </si>
  <si>
    <t>510039</t>
  </si>
  <si>
    <t>273450</t>
  </si>
  <si>
    <t>85986</t>
  </si>
  <si>
    <t>121562</t>
  </si>
  <si>
    <t>8992</t>
  </si>
  <si>
    <t>16063</t>
  </si>
  <si>
    <t>396320</t>
  </si>
  <si>
    <t>304490</t>
  </si>
  <si>
    <t>66238</t>
  </si>
  <si>
    <t>50550</t>
  </si>
  <si>
    <t>10636</t>
  </si>
  <si>
    <t>45796</t>
  </si>
  <si>
    <t>187346</t>
  </si>
  <si>
    <t>261585</t>
  </si>
  <si>
    <t>26101</t>
  </si>
  <si>
    <t>14053</t>
  </si>
  <si>
    <t>5782</t>
  </si>
  <si>
    <t>107304</t>
  </si>
  <si>
    <r>
      <t>P</t>
    </r>
    <r>
      <rPr>
        <vertAlign val="superscript"/>
        <sz val="11"/>
        <color theme="1"/>
        <rFont val="Times New Roman"/>
        <family val="1"/>
      </rPr>
      <t xml:space="preserve">irrig </t>
    </r>
    <r>
      <rPr>
        <sz val="11"/>
        <color theme="1"/>
        <rFont val="Times New Roman"/>
        <family val="1"/>
      </rPr>
      <t>(t)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</si>
  <si>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 xml:space="preserve">irrig </t>
    </r>
    <r>
      <rPr>
        <sz val="11"/>
        <color theme="1"/>
        <rFont val="Times New Roman"/>
        <family val="1"/>
      </rPr>
      <t>(ha)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</si>
  <si>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irrig  </t>
    </r>
    <r>
      <rPr>
        <sz val="11"/>
        <color theme="1"/>
        <rFont val="Times New Roman"/>
        <family val="1"/>
      </rPr>
      <t>(kg/ha)</t>
    </r>
    <phoneticPr fontId="1" type="noConversion"/>
  </si>
  <si>
    <t>P content of irrigation in wheat, maize, rice, soybean, peanut, cotton, and fruit-vegetable, respectively (t);</t>
  </si>
  <si>
    <t>Irrigation areas of wheat, maize, rice, soybean, peanut, cotton, and fruit-vegetable, respectively (ha);</t>
  </si>
  <si>
    <t>P content of irrigation per sown area of wheat, maize, rice, soybean, peanut, cotton, fruit-vegetable, respectively (kg/ha)</t>
  </si>
  <si>
    <t>Wheat</t>
    <phoneticPr fontId="1" type="noConversion"/>
  </si>
  <si>
    <t>Maize</t>
    <phoneticPr fontId="1" type="noConversion"/>
  </si>
  <si>
    <t>Rice</t>
    <phoneticPr fontId="1" type="noConversion"/>
  </si>
  <si>
    <t>Peanut</t>
    <phoneticPr fontId="1" type="noConversion"/>
  </si>
  <si>
    <t>Cotton</t>
    <phoneticPr fontId="1" type="noConversion"/>
  </si>
  <si>
    <t>the data were obtained based on the report of Wu et al.,(2016)</t>
    <phoneticPr fontId="1" type="noConversion"/>
  </si>
  <si>
    <t>the data were obtained based on the report of Wu et al.,(2016)</t>
    <phoneticPr fontId="1" type="noConversion"/>
  </si>
  <si>
    <t>Wheat</t>
    <phoneticPr fontId="1" type="noConversion"/>
  </si>
  <si>
    <t>Maize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</si>
  <si>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</si>
  <si>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</si>
  <si>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</si>
  <si>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</si>
  <si>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t>Fruit-Vegetable</t>
    <phoneticPr fontId="1" type="noConversion"/>
  </si>
  <si>
    <t>Sown area of all crop (ha)</t>
  </si>
  <si>
    <t>Proportion of residents’ excrement applied to the field (%)</t>
  </si>
  <si>
    <t>P content of residents’ excrement (kg)</t>
  </si>
  <si>
    <t>The population of residents</t>
  </si>
  <si>
    <t>P content of the residents’ excrement applied to the field of wheat, maize, rice, soybean, peanut, cotton, fruit-vegetable, respectively (t)</t>
  </si>
  <si>
    <r>
      <t>P</t>
    </r>
    <r>
      <rPr>
        <vertAlign val="superscript"/>
        <sz val="11"/>
        <color theme="1"/>
        <rFont val="Times New Roman"/>
        <family val="1"/>
      </rPr>
      <t xml:space="preserve">resid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</si>
  <si>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resid </t>
    </r>
    <r>
      <rPr>
        <sz val="11"/>
        <color theme="1"/>
        <rFont val="Times New Roman"/>
        <family val="1"/>
      </rPr>
      <t>* A</t>
    </r>
    <r>
      <rPr>
        <vertAlign val="subscript"/>
        <sz val="11"/>
        <color theme="1"/>
        <rFont val="Times New Roman"/>
        <family val="1"/>
      </rPr>
      <t>i</t>
    </r>
    <r>
      <rPr>
        <vertAlign val="superscript"/>
        <sz val="11"/>
        <color theme="1"/>
        <rFont val="Times New Roman"/>
        <family val="1"/>
      </rPr>
      <t>area</t>
    </r>
    <r>
      <rPr>
        <sz val="11"/>
        <color theme="1"/>
        <rFont val="Times New Roman"/>
        <family val="1"/>
      </rPr>
      <t>/A</t>
    </r>
    <r>
      <rPr>
        <vertAlign val="superscript"/>
        <sz val="11"/>
        <color theme="1"/>
        <rFont val="Times New Roman"/>
        <family val="1"/>
      </rPr>
      <t>area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</si>
  <si>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resid  </t>
    </r>
    <r>
      <rPr>
        <sz val="11"/>
        <color theme="1"/>
        <rFont val="Times New Roman"/>
        <family val="1"/>
      </rPr>
      <t>(kg)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</si>
  <si>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resid  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</si>
  <si>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resid </t>
    </r>
    <r>
      <rPr>
        <sz val="11"/>
        <color theme="1"/>
        <rFont val="Times New Roman"/>
        <family val="1"/>
      </rPr>
      <t>(ha)</t>
    </r>
    <phoneticPr fontId="1" type="noConversion"/>
  </si>
  <si>
    <r>
      <t>A</t>
    </r>
    <r>
      <rPr>
        <vertAlign val="subscript"/>
        <sz val="11"/>
        <color theme="1"/>
        <rFont val="Times New Roman"/>
        <family val="1"/>
      </rPr>
      <t>i</t>
    </r>
    <r>
      <rPr>
        <vertAlign val="superscript"/>
        <sz val="11"/>
        <color theme="1"/>
        <rFont val="Times New Roman"/>
        <family val="1"/>
      </rPr>
      <t>area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</si>
  <si>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>area</t>
    </r>
    <phoneticPr fontId="1" type="noConversion"/>
  </si>
  <si>
    <t>Questionnaire from local residents</t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</si>
  <si>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</si>
  <si>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(ha)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</si>
  <si>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livestock  </t>
    </r>
    <r>
      <rPr>
        <sz val="11"/>
        <color theme="1"/>
        <rFont val="Times New Roman"/>
        <family val="1"/>
      </rPr>
      <t>(kg)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</si>
  <si>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livestock  </t>
    </r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</si>
  <si>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</si>
  <si>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* A</t>
    </r>
    <r>
      <rPr>
        <vertAlign val="subscript"/>
        <sz val="11"/>
        <color theme="1"/>
        <rFont val="Times New Roman"/>
        <family val="1"/>
      </rPr>
      <t>i</t>
    </r>
    <r>
      <rPr>
        <vertAlign val="superscript"/>
        <sz val="11"/>
        <color theme="1"/>
        <rFont val="Times New Roman"/>
        <family val="1"/>
      </rPr>
      <t>area</t>
    </r>
    <r>
      <rPr>
        <sz val="11"/>
        <color theme="1"/>
        <rFont val="Times New Roman"/>
        <family val="1"/>
      </rPr>
      <t>/A</t>
    </r>
    <r>
      <rPr>
        <vertAlign val="superscript"/>
        <sz val="11"/>
        <color theme="1"/>
        <rFont val="Times New Roman"/>
        <family val="1"/>
      </rPr>
      <t>area-pig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</si>
  <si>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livestock  </t>
    </r>
    <r>
      <rPr>
        <sz val="11"/>
        <color theme="1"/>
        <rFont val="Times New Roman"/>
        <family val="1"/>
      </rPr>
      <t>(kg)-pig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</si>
  <si>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livestock-pig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</si>
  <si>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* A</t>
    </r>
    <r>
      <rPr>
        <vertAlign val="subscript"/>
        <sz val="11"/>
        <color theme="1"/>
        <rFont val="Times New Roman"/>
        <family val="1"/>
      </rPr>
      <t>i</t>
    </r>
    <r>
      <rPr>
        <vertAlign val="superscript"/>
        <sz val="11"/>
        <color theme="1"/>
        <rFont val="Times New Roman"/>
        <family val="1"/>
      </rPr>
      <t>area</t>
    </r>
    <r>
      <rPr>
        <sz val="11"/>
        <color theme="1"/>
        <rFont val="Times New Roman"/>
        <family val="1"/>
      </rPr>
      <t>/A</t>
    </r>
    <r>
      <rPr>
        <vertAlign val="superscript"/>
        <sz val="11"/>
        <color theme="1"/>
        <rFont val="Times New Roman"/>
        <family val="1"/>
      </rPr>
      <t>area-cattle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</si>
  <si>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livestock  </t>
    </r>
    <r>
      <rPr>
        <sz val="11"/>
        <color theme="1"/>
        <rFont val="Times New Roman"/>
        <family val="1"/>
      </rPr>
      <t>(kg)-cattle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</si>
  <si>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livestock-cattle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</si>
  <si>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livestock </t>
    </r>
    <r>
      <rPr>
        <sz val="11"/>
        <color theme="1"/>
        <rFont val="Times New Roman"/>
        <family val="1"/>
      </rPr>
      <t>* A</t>
    </r>
    <r>
      <rPr>
        <vertAlign val="subscript"/>
        <sz val="11"/>
        <color theme="1"/>
        <rFont val="Times New Roman"/>
        <family val="1"/>
      </rPr>
      <t>i</t>
    </r>
    <r>
      <rPr>
        <vertAlign val="superscript"/>
        <sz val="11"/>
        <color theme="1"/>
        <rFont val="Times New Roman"/>
        <family val="1"/>
      </rPr>
      <t>area</t>
    </r>
    <r>
      <rPr>
        <sz val="11"/>
        <color theme="1"/>
        <rFont val="Times New Roman"/>
        <family val="1"/>
      </rPr>
      <t>/A</t>
    </r>
    <r>
      <rPr>
        <vertAlign val="superscript"/>
        <sz val="11"/>
        <color theme="1"/>
        <rFont val="Times New Roman"/>
        <family val="1"/>
      </rPr>
      <t>area-sheep</t>
    </r>
    <phoneticPr fontId="1" type="noConversion"/>
  </si>
  <si>
    <r>
      <t>w</t>
    </r>
    <r>
      <rPr>
        <vertAlign val="superscript"/>
        <sz val="11"/>
        <color theme="1"/>
        <rFont val="Times New Roman"/>
        <family val="1"/>
      </rPr>
      <t xml:space="preserve">livestock  </t>
    </r>
    <r>
      <rPr>
        <sz val="11"/>
        <color theme="1"/>
        <rFont val="Times New Roman"/>
        <family val="1"/>
      </rPr>
      <t>(kg)-sheep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</si>
  <si>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livestock-sheep</t>
    </r>
    <phoneticPr fontId="1" type="noConversion"/>
  </si>
  <si>
    <t>The amount of pig, cattle and sheep, respectively;</t>
    <phoneticPr fontId="1" type="noConversion"/>
  </si>
  <si>
    <t>P content of livestock excrement (kg);</t>
    <phoneticPr fontId="1" type="noConversion"/>
  </si>
  <si>
    <t>P content of the livestock excrement applied to the field of wheat, maize, rice, soybean, peanut, cotton, fruit-vegetable, respectively (t);</t>
    <phoneticPr fontId="1" type="noConversion"/>
  </si>
  <si>
    <t>Proportion of livestock excrement applied to the field (%);</t>
    <phoneticPr fontId="1" type="noConversion"/>
  </si>
  <si>
    <t>Year</t>
    <phoneticPr fontId="1" type="noConversion"/>
  </si>
  <si>
    <t>100966</t>
    <phoneticPr fontId="4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</si>
  <si>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retured straw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</si>
  <si>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grain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</si>
  <si>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grain-straw 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</si>
  <si>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straw  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</si>
  <si>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retured straw </t>
    </r>
    <phoneticPr fontId="1" type="noConversion"/>
  </si>
  <si>
    <t>Harvest of wheat, maize, rice, soybean, peanut, cotton, fruit-vegetable, respectively (t)</t>
  </si>
  <si>
    <t>Grain to straw ratio of wheat, maize, rice, soybean, peanut, cotton, fruit-vegetable, respectively;</t>
  </si>
  <si>
    <t>P-containing rate of straws of wheat, maize, rice, soybean, peanut, cotton, fruit-vegetable, respectively (%)</t>
    <phoneticPr fontId="1" type="noConversion"/>
  </si>
  <si>
    <t>straw return-to-field ratio (%)</t>
  </si>
  <si>
    <t>Maize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</si>
  <si>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</si>
  <si>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</si>
  <si>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</si>
  <si>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</si>
  <si>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r>
      <t>P</t>
    </r>
    <r>
      <rPr>
        <vertAlign val="superscript"/>
        <sz val="10"/>
        <color theme="1"/>
        <rFont val="Times New Roman"/>
        <family val="1"/>
      </rPr>
      <t xml:space="preserve">retured straw </t>
    </r>
    <r>
      <rPr>
        <sz val="10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</si>
  <si>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0"/>
        <color theme="1"/>
        <rFont val="Times New Roman"/>
        <family val="1"/>
      </rPr>
      <t xml:space="preserve">grain </t>
    </r>
    <r>
      <rPr>
        <sz val="10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</si>
  <si>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grain-straw 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</si>
  <si>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straw  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</si>
  <si>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retured straw </t>
    </r>
    <phoneticPr fontId="1" type="noConversion"/>
  </si>
  <si>
    <t>673775</t>
    <phoneticPr fontId="4" type="noConversion"/>
  </si>
  <si>
    <t>85986</t>
    <phoneticPr fontId="4" type="noConversion"/>
  </si>
  <si>
    <t>510039</t>
    <phoneticPr fontId="4" type="noConversion"/>
  </si>
  <si>
    <t>8992</t>
    <phoneticPr fontId="4" type="noConversion"/>
  </si>
  <si>
    <t>16063</t>
    <phoneticPr fontId="4" type="noConversion"/>
  </si>
  <si>
    <t>1395785</t>
    <phoneticPr fontId="4" type="noConversion"/>
  </si>
  <si>
    <t>273450</t>
    <phoneticPr fontId="4" type="noConversion"/>
  </si>
  <si>
    <t>121562</t>
    <phoneticPr fontId="4" type="noConversion"/>
  </si>
  <si>
    <t>66238</t>
    <phoneticPr fontId="4" type="noConversion"/>
  </si>
  <si>
    <t>396320</t>
    <phoneticPr fontId="4" type="noConversion"/>
  </si>
  <si>
    <t>10636</t>
    <phoneticPr fontId="4" type="noConversion"/>
  </si>
  <si>
    <t>45796</t>
    <phoneticPr fontId="4" type="noConversion"/>
  </si>
  <si>
    <t>2046654</t>
    <phoneticPr fontId="4" type="noConversion"/>
  </si>
  <si>
    <t>304490</t>
    <phoneticPr fontId="4" type="noConversion"/>
  </si>
  <si>
    <t>50550</t>
    <phoneticPr fontId="4" type="noConversion"/>
  </si>
  <si>
    <t>26101</t>
    <phoneticPr fontId="4" type="noConversion"/>
  </si>
  <si>
    <t>187346</t>
    <phoneticPr fontId="4" type="noConversion"/>
  </si>
  <si>
    <t>5782</t>
    <phoneticPr fontId="4" type="noConversion"/>
  </si>
  <si>
    <t>107304</t>
    <phoneticPr fontId="4" type="noConversion"/>
  </si>
  <si>
    <t xml:space="preserve"> 2049104</t>
    <phoneticPr fontId="4" type="noConversion"/>
  </si>
  <si>
    <t>261585</t>
    <phoneticPr fontId="4" type="noConversion"/>
  </si>
  <si>
    <t>14053</t>
    <phoneticPr fontId="4" type="noConversion"/>
  </si>
  <si>
    <t>P content of the harvested grains of wheat, maize, rice, soybean, peanut, cotton, and fruit-vegetable, respectively (t)</t>
  </si>
  <si>
    <t>P-containing rate of grains of wheat, maize, rice, soybean, peanut, cotton, fruit-vegetable, respectively (%)</t>
  </si>
  <si>
    <t>Wheat</t>
    <phoneticPr fontId="1" type="noConversion"/>
  </si>
  <si>
    <t>Maize</t>
    <phoneticPr fontId="1" type="noConversion"/>
  </si>
  <si>
    <t>Rice</t>
    <phoneticPr fontId="1" type="noConversion"/>
  </si>
  <si>
    <t>Peanut</t>
    <phoneticPr fontId="1" type="noConversion"/>
  </si>
  <si>
    <r>
      <t>P</t>
    </r>
    <r>
      <rPr>
        <vertAlign val="superscript"/>
        <sz val="10"/>
        <color theme="1"/>
        <rFont val="Times New Roman"/>
        <family val="1"/>
      </rPr>
      <t xml:space="preserve">grain </t>
    </r>
    <r>
      <rPr>
        <sz val="10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</si>
  <si>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0"/>
        <color theme="1"/>
        <rFont val="Times New Roman"/>
        <family val="1"/>
      </rPr>
      <t xml:space="preserve">grain </t>
    </r>
    <r>
      <rPr>
        <sz val="10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</si>
  <si>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grain </t>
    </r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</si>
  <si>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grain </t>
    </r>
    <r>
      <rPr>
        <sz val="11"/>
        <color theme="1"/>
        <rFont val="Times New Roman"/>
        <family val="1"/>
      </rPr>
      <t>(t)</t>
    </r>
    <phoneticPr fontId="1" type="noConversion"/>
  </si>
  <si>
    <r>
      <t>B</t>
    </r>
    <r>
      <rPr>
        <vertAlign val="superscript"/>
        <sz val="11"/>
        <color theme="1"/>
        <rFont val="Times New Roman"/>
        <family val="1"/>
      </rPr>
      <t xml:space="preserve">grain </t>
    </r>
    <r>
      <rPr>
        <sz val="11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</si>
  <si>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 xml:space="preserve">grain </t>
    </r>
    <phoneticPr fontId="1" type="noConversion"/>
  </si>
  <si>
    <t>Year</t>
    <phoneticPr fontId="1" type="noConversion"/>
  </si>
  <si>
    <t>78855</t>
    <phoneticPr fontId="4" type="noConversion"/>
  </si>
  <si>
    <t>31438</t>
    <phoneticPr fontId="4" type="noConversion"/>
  </si>
  <si>
    <t>P loss content per unit of the area of wheat, maize, rice, soybean, peanut, cotton, fruit-vegetable, respectively (kg/ha)</t>
    <phoneticPr fontId="1" type="noConversion"/>
  </si>
  <si>
    <r>
      <t>r</t>
    </r>
    <r>
      <rPr>
        <vertAlign val="superscript"/>
        <sz val="11"/>
        <color theme="1"/>
        <rFont val="Times New Roman"/>
        <family val="1"/>
      </rPr>
      <t>loss</t>
    </r>
    <r>
      <rPr>
        <sz val="11"/>
        <color theme="1"/>
        <rFont val="Times New Roman"/>
        <family val="1"/>
      </rPr>
      <t>(kg/ha)</t>
    </r>
    <phoneticPr fontId="1" type="noConversion"/>
  </si>
  <si>
    <r>
      <t>A</t>
    </r>
    <r>
      <rPr>
        <vertAlign val="superscript"/>
        <sz val="11"/>
        <color theme="1"/>
        <rFont val="Times New Roman"/>
        <family val="1"/>
      </rPr>
      <t>area</t>
    </r>
    <r>
      <rPr>
        <sz val="11"/>
        <color theme="1"/>
        <rFont val="Times New Roman"/>
        <family val="1"/>
      </rPr>
      <t>(ha)</t>
    </r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</si>
  <si>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>loss</t>
    </r>
    <r>
      <rPr>
        <sz val="11"/>
        <color theme="1"/>
        <rFont val="Times New Roman"/>
        <family val="1"/>
      </rPr>
      <t>(t)</t>
    </r>
    <phoneticPr fontId="1" type="noConversion"/>
  </si>
  <si>
    <t>P content from erosion and runoff in the field of wheat, maize, rice, soybean, peanut, cotton, fruit-vegetable, respectively (t)</t>
  </si>
  <si>
    <t>Wheat</t>
    <phoneticPr fontId="1" type="noConversion"/>
  </si>
  <si>
    <t>Rice</t>
    <phoneticPr fontId="1" type="noConversion"/>
  </si>
  <si>
    <t>Soybean</t>
    <phoneticPr fontId="1" type="noConversion"/>
  </si>
  <si>
    <t>Peanut</t>
    <phoneticPr fontId="1" type="noConversion"/>
  </si>
  <si>
    <t>Cotton</t>
    <phoneticPr fontId="1" type="noConversion"/>
  </si>
  <si>
    <r>
      <t>P</t>
    </r>
    <r>
      <rPr>
        <vertAlign val="superscript"/>
        <sz val="11"/>
        <color theme="1"/>
        <rFont val="Times New Roman"/>
        <family val="1"/>
      </rPr>
      <t xml:space="preserve">discarded straw </t>
    </r>
    <r>
      <rPr>
        <sz val="11"/>
        <color theme="1"/>
        <rFont val="Times New Roman"/>
        <family val="1"/>
      </rPr>
      <t>(t)</t>
    </r>
    <phoneticPr fontId="1" type="noConversion"/>
  </si>
  <si>
    <t>P content of the discarded straw of wheat, maize, rice, soybean, peanut, cotton, fruit-vegetable, respectively (t)</t>
  </si>
  <si>
    <r>
      <t>r</t>
    </r>
    <r>
      <rPr>
        <vertAlign val="superscript"/>
        <sz val="10"/>
        <color theme="1"/>
        <rFont val="Times New Roman"/>
        <family val="1"/>
      </rPr>
      <t xml:space="preserve">retured straw 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</si>
  <si>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stub 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</si>
  <si>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stub </t>
    </r>
    <phoneticPr fontId="1" type="noConversion"/>
  </si>
  <si>
    <r>
      <t>P</t>
    </r>
    <r>
      <rPr>
        <vertAlign val="superscript"/>
        <sz val="10"/>
        <color theme="1"/>
        <rFont val="Times New Roman"/>
        <family val="1"/>
      </rPr>
      <t xml:space="preserve">discarded straw </t>
    </r>
    <r>
      <rPr>
        <sz val="10"/>
        <color theme="1"/>
        <rFont val="Times New Roman"/>
        <family val="1"/>
      </rPr>
      <t>(t)</t>
    </r>
    <phoneticPr fontId="1" type="noConversion"/>
  </si>
  <si>
    <r>
      <t>1-r</t>
    </r>
    <r>
      <rPr>
        <vertAlign val="superscript"/>
        <sz val="10"/>
        <color theme="1"/>
        <rFont val="Times New Roman"/>
        <family val="1"/>
      </rPr>
      <t xml:space="preserve">retured straw </t>
    </r>
    <phoneticPr fontId="1" type="noConversion"/>
  </si>
  <si>
    <r>
      <t>B</t>
    </r>
    <r>
      <rPr>
        <vertAlign val="superscript"/>
        <sz val="10"/>
        <color theme="1"/>
        <rFont val="Times New Roman"/>
        <family val="1"/>
      </rPr>
      <t xml:space="preserve">grain </t>
    </r>
    <r>
      <rPr>
        <sz val="10"/>
        <color theme="1"/>
        <rFont val="Times New Roman"/>
        <family val="1"/>
      </rPr>
      <t>(t)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</si>
  <si>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grain-straw 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</si>
  <si>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 xml:space="preserve">straw  </t>
    </r>
    <phoneticPr fontId="1" type="noConversion"/>
  </si>
  <si>
    <t>14855</t>
    <phoneticPr fontId="4" type="noConversion"/>
  </si>
  <si>
    <t>11917</t>
    <phoneticPr fontId="4" type="noConversion"/>
  </si>
  <si>
    <t>4509</t>
    <phoneticPr fontId="4" type="noConversion"/>
  </si>
  <si>
    <t>66377</t>
    <phoneticPr fontId="4" type="noConversion"/>
  </si>
  <si>
    <t>33659</t>
    <phoneticPr fontId="4" type="noConversion"/>
  </si>
  <si>
    <t>7593</t>
    <phoneticPr fontId="4" type="noConversion"/>
  </si>
  <si>
    <t>3180</t>
    <phoneticPr fontId="4" type="noConversion"/>
  </si>
  <si>
    <t>4039</t>
    <phoneticPr fontId="4" type="noConversion"/>
  </si>
  <si>
    <t>1758</t>
    <phoneticPr fontId="4" type="noConversion"/>
  </si>
  <si>
    <t>21554</t>
    <phoneticPr fontId="4" type="noConversion"/>
  </si>
  <si>
    <t>39186</t>
    <phoneticPr fontId="4" type="noConversion"/>
  </si>
  <si>
    <t>98731</t>
    <phoneticPr fontId="4" type="noConversion"/>
  </si>
  <si>
    <t>24886</t>
    <phoneticPr fontId="4" type="noConversion"/>
  </si>
  <si>
    <t>39999</t>
    <phoneticPr fontId="4" type="noConversion"/>
  </si>
  <si>
    <t>35065</t>
    <phoneticPr fontId="4" type="noConversion"/>
  </si>
  <si>
    <r>
      <t>P</t>
    </r>
    <r>
      <rPr>
        <vertAlign val="superscript"/>
        <sz val="10"/>
        <color theme="1"/>
        <rFont val="Times New Roman"/>
        <family val="1"/>
      </rPr>
      <t>loss</t>
    </r>
    <r>
      <rPr>
        <sz val="10"/>
        <color theme="1"/>
        <rFont val="Times New Roman"/>
        <family val="1"/>
      </rPr>
      <t>(t)</t>
    </r>
    <phoneticPr fontId="1" type="noConversion"/>
  </si>
  <si>
    <r>
      <t>A</t>
    </r>
    <r>
      <rPr>
        <vertAlign val="superscript"/>
        <sz val="10"/>
        <color theme="1"/>
        <rFont val="Times New Roman"/>
        <family val="1"/>
      </rPr>
      <t>area</t>
    </r>
    <r>
      <rPr>
        <sz val="10"/>
        <color theme="1"/>
        <rFont val="Times New Roman"/>
        <family val="1"/>
      </rPr>
      <t>(ha)</t>
    </r>
    <phoneticPr fontId="1" type="noConversion"/>
  </si>
  <si>
    <r>
      <t>r</t>
    </r>
    <r>
      <rPr>
        <vertAlign val="superscript"/>
        <sz val="10"/>
        <color theme="1"/>
        <rFont val="Times New Roman"/>
        <family val="1"/>
      </rPr>
      <t>loss</t>
    </r>
    <r>
      <rPr>
        <sz val="10"/>
        <color theme="1"/>
        <rFont val="Times New Roman"/>
        <family val="1"/>
      </rPr>
      <t>(kg/ha)</t>
    </r>
    <phoneticPr fontId="1" type="noConversion"/>
  </si>
  <si>
    <t>P content of the straw return-to-field of wheat, maize, rice, soybean, peanut, cotton, fruit-vegetable, respectively (t)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</si>
</sst>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0_ "/>
    <numFmt numFmtId="178" formatCode="0.00_);[Red]\(0.00\)"/>
  </numFmts>
  <fonts count="1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1"/>
      <color rgb="FFFF0000"/>
      <name val="宋体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000000"/>
      <name val="Times New Roman"/>
      <family val="1"/>
    </font>
    <font>
      <sz val="11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  <font>
      <sz val="11"/>
      <color theme="1"/>
      <name val="宋体"/>
      <family val="2"/>
    </font>
    <font>
      <vertAlign val="subscript"/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43">
    <xf numFmtId="0" fontId="0" fillId="0" borderId="0" xfId="0"/>
    <xf numFmtId="176" fontId="0" fillId="0" borderId="0" xfId="0" applyNumberFormat="1" applyFill="1" applyAlignment="1">
      <alignment horizontal="left"/>
    </xf>
    <xf numFmtId="49" fontId="3" fillId="0" borderId="1" xfId="1" applyNumberFormat="1" applyFont="1" applyFill="1" applyBorder="1" applyAlignment="1" applyProtection="1">
      <alignment horizontal="left"/>
      <protection locked="0"/>
    </xf>
    <xf numFmtId="176" fontId="5" fillId="0" borderId="0" xfId="0" applyNumberFormat="1" applyFont="1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Border="1"/>
    <xf numFmtId="0" fontId="7" fillId="0" borderId="0" xfId="0" applyFont="1" applyBorder="1"/>
    <xf numFmtId="0" fontId="7" fillId="0" borderId="9" xfId="0" applyFont="1" applyBorder="1"/>
    <xf numFmtId="0" fontId="8" fillId="0" borderId="0" xfId="0" applyFont="1"/>
    <xf numFmtId="177" fontId="7" fillId="0" borderId="10" xfId="0" applyNumberFormat="1" applyFont="1" applyBorder="1"/>
    <xf numFmtId="177" fontId="7" fillId="0" borderId="5" xfId="0" applyNumberFormat="1" applyFont="1" applyBorder="1"/>
    <xf numFmtId="177" fontId="7" fillId="0" borderId="0" xfId="0" applyNumberFormat="1" applyFont="1" applyBorder="1"/>
    <xf numFmtId="177" fontId="7" fillId="0" borderId="9" xfId="0" applyNumberFormat="1" applyFont="1" applyBorder="1"/>
    <xf numFmtId="177" fontId="7" fillId="0" borderId="7" xfId="0" applyNumberFormat="1" applyFont="1" applyBorder="1"/>
    <xf numFmtId="0" fontId="9" fillId="0" borderId="0" xfId="0" applyFont="1" applyBorder="1"/>
    <xf numFmtId="0" fontId="9" fillId="0" borderId="0" xfId="0" applyFont="1" applyBorder="1" applyAlignment="1">
      <alignment horizontal="left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4" xfId="0" applyFont="1" applyBorder="1"/>
    <xf numFmtId="0" fontId="9" fillId="0" borderId="9" xfId="0" applyFont="1" applyBorder="1"/>
    <xf numFmtId="0" fontId="9" fillId="0" borderId="5" xfId="0" applyFont="1" applyBorder="1"/>
    <xf numFmtId="176" fontId="9" fillId="0" borderId="0" xfId="0" applyNumberFormat="1" applyFont="1" applyFill="1" applyBorder="1" applyAlignment="1">
      <alignment horizontal="left"/>
    </xf>
    <xf numFmtId="0" fontId="9" fillId="0" borderId="0" xfId="0" applyFont="1" applyFill="1" applyBorder="1"/>
    <xf numFmtId="176" fontId="9" fillId="0" borderId="11" xfId="0" applyNumberFormat="1" applyFont="1" applyFill="1" applyBorder="1" applyAlignment="1">
      <alignment horizontal="left"/>
    </xf>
    <xf numFmtId="176" fontId="9" fillId="0" borderId="9" xfId="0" applyNumberFormat="1" applyFont="1" applyFill="1" applyBorder="1" applyAlignment="1">
      <alignment horizontal="left"/>
    </xf>
    <xf numFmtId="176" fontId="9" fillId="0" borderId="4" xfId="0" applyNumberFormat="1" applyFont="1" applyFill="1" applyBorder="1" applyAlignment="1">
      <alignment horizontal="left"/>
    </xf>
    <xf numFmtId="177" fontId="9" fillId="0" borderId="0" xfId="0" applyNumberFormat="1" applyFont="1" applyBorder="1"/>
    <xf numFmtId="0" fontId="9" fillId="0" borderId="2" xfId="0" applyFont="1" applyBorder="1"/>
    <xf numFmtId="0" fontId="9" fillId="0" borderId="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6" fontId="9" fillId="0" borderId="2" xfId="0" applyNumberFormat="1" applyFont="1" applyFill="1" applyBorder="1" applyAlignment="1">
      <alignment horizontal="left"/>
    </xf>
    <xf numFmtId="0" fontId="9" fillId="0" borderId="0" xfId="0" applyFont="1"/>
    <xf numFmtId="0" fontId="9" fillId="0" borderId="1" xfId="0" applyFont="1" applyBorder="1"/>
    <xf numFmtId="0" fontId="9" fillId="0" borderId="12" xfId="0" applyFont="1" applyBorder="1"/>
    <xf numFmtId="0" fontId="9" fillId="0" borderId="3" xfId="0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6" fillId="0" borderId="0" xfId="0" applyFont="1"/>
    <xf numFmtId="0" fontId="9" fillId="0" borderId="0" xfId="0" applyFont="1" applyFill="1"/>
    <xf numFmtId="10" fontId="7" fillId="0" borderId="0" xfId="0" applyNumberFormat="1" applyFont="1" applyFill="1" applyBorder="1"/>
    <xf numFmtId="0" fontId="7" fillId="0" borderId="7" xfId="0" applyFont="1" applyFill="1" applyBorder="1"/>
    <xf numFmtId="10" fontId="7" fillId="0" borderId="7" xfId="0" applyNumberFormat="1" applyFont="1" applyFill="1" applyBorder="1"/>
    <xf numFmtId="10" fontId="7" fillId="0" borderId="9" xfId="0" applyNumberFormat="1" applyFont="1" applyFill="1" applyBorder="1"/>
    <xf numFmtId="0" fontId="9" fillId="0" borderId="1" xfId="0" applyFont="1" applyFill="1" applyBorder="1"/>
    <xf numFmtId="0" fontId="9" fillId="0" borderId="3" xfId="0" applyFont="1" applyFill="1" applyBorder="1"/>
    <xf numFmtId="176" fontId="9" fillId="0" borderId="6" xfId="0" applyNumberFormat="1" applyFont="1" applyFill="1" applyBorder="1" applyAlignment="1">
      <alignment horizontal="left"/>
    </xf>
    <xf numFmtId="177" fontId="7" fillId="0" borderId="8" xfId="0" applyNumberFormat="1" applyFont="1" applyFill="1" applyBorder="1"/>
    <xf numFmtId="177" fontId="9" fillId="0" borderId="8" xfId="0" applyNumberFormat="1" applyFont="1" applyFill="1" applyBorder="1"/>
    <xf numFmtId="177" fontId="7" fillId="0" borderId="10" xfId="0" applyNumberFormat="1" applyFont="1" applyFill="1" applyBorder="1"/>
    <xf numFmtId="177" fontId="9" fillId="0" borderId="10" xfId="0" applyNumberFormat="1" applyFont="1" applyFill="1" applyBorder="1"/>
    <xf numFmtId="177" fontId="7" fillId="0" borderId="5" xfId="0" applyNumberFormat="1" applyFont="1" applyFill="1" applyBorder="1"/>
    <xf numFmtId="177" fontId="9" fillId="0" borderId="5" xfId="0" applyNumberFormat="1" applyFont="1" applyFill="1" applyBorder="1"/>
    <xf numFmtId="178" fontId="7" fillId="0" borderId="0" xfId="0" applyNumberFormat="1" applyFont="1" applyBorder="1"/>
    <xf numFmtId="178" fontId="7" fillId="0" borderId="18" xfId="0" applyNumberFormat="1" applyFont="1" applyBorder="1"/>
    <xf numFmtId="0" fontId="9" fillId="0" borderId="0" xfId="0" applyFont="1" applyAlignment="1">
      <alignment horizontal="left"/>
    </xf>
    <xf numFmtId="178" fontId="7" fillId="0" borderId="0" xfId="0" applyNumberFormat="1" applyFont="1" applyBorder="1" applyAlignment="1">
      <alignment horizontal="left"/>
    </xf>
    <xf numFmtId="178" fontId="7" fillId="0" borderId="17" xfId="0" applyNumberFormat="1" applyFont="1" applyBorder="1" applyAlignment="1">
      <alignment horizontal="left"/>
    </xf>
    <xf numFmtId="178" fontId="7" fillId="0" borderId="18" xfId="0" applyNumberFormat="1" applyFont="1" applyBorder="1" applyAlignment="1">
      <alignment horizontal="left"/>
    </xf>
    <xf numFmtId="178" fontId="7" fillId="0" borderId="19" xfId="0" applyNumberFormat="1" applyFont="1" applyBorder="1" applyAlignment="1">
      <alignment horizontal="left"/>
    </xf>
    <xf numFmtId="178" fontId="9" fillId="0" borderId="0" xfId="0" applyNumberFormat="1" applyFont="1" applyAlignment="1">
      <alignment horizontal="center"/>
    </xf>
    <xf numFmtId="178" fontId="9" fillId="0" borderId="0" xfId="0" applyNumberFormat="1" applyFont="1" applyAlignment="1">
      <alignment horizontal="left"/>
    </xf>
    <xf numFmtId="178" fontId="9" fillId="0" borderId="0" xfId="0" applyNumberFormat="1" applyFont="1" applyBorder="1" applyAlignment="1">
      <alignment horizontal="left"/>
    </xf>
    <xf numFmtId="178" fontId="9" fillId="0" borderId="0" xfId="0" applyNumberFormat="1" applyFont="1" applyFill="1" applyBorder="1" applyAlignment="1">
      <alignment horizontal="left"/>
    </xf>
    <xf numFmtId="178" fontId="9" fillId="0" borderId="18" xfId="0" applyNumberFormat="1" applyFont="1" applyBorder="1" applyAlignment="1">
      <alignment horizontal="left"/>
    </xf>
    <xf numFmtId="178" fontId="9" fillId="0" borderId="20" xfId="0" applyNumberFormat="1" applyFont="1" applyBorder="1" applyAlignment="1">
      <alignment horizontal="center"/>
    </xf>
    <xf numFmtId="178" fontId="9" fillId="0" borderId="21" xfId="0" applyNumberFormat="1" applyFont="1" applyBorder="1" applyAlignment="1">
      <alignment horizontal="left"/>
    </xf>
    <xf numFmtId="0" fontId="9" fillId="0" borderId="22" xfId="0" applyFont="1" applyBorder="1" applyAlignment="1">
      <alignment horizontal="left"/>
    </xf>
    <xf numFmtId="0" fontId="9" fillId="0" borderId="18" xfId="0" applyFont="1" applyBorder="1" applyAlignment="1">
      <alignment horizontal="left"/>
    </xf>
    <xf numFmtId="0" fontId="9" fillId="0" borderId="19" xfId="0" applyFont="1" applyBorder="1" applyAlignment="1">
      <alignment horizontal="left"/>
    </xf>
    <xf numFmtId="0" fontId="9" fillId="0" borderId="20" xfId="0" applyNumberFormat="1" applyFont="1" applyBorder="1" applyAlignment="1">
      <alignment horizontal="left"/>
    </xf>
    <xf numFmtId="0" fontId="9" fillId="0" borderId="23" xfId="0" applyNumberFormat="1" applyFont="1" applyBorder="1" applyAlignment="1">
      <alignment horizontal="left"/>
    </xf>
    <xf numFmtId="0" fontId="9" fillId="0" borderId="21" xfId="0" applyNumberFormat="1" applyFont="1" applyBorder="1" applyAlignment="1">
      <alignment horizontal="left"/>
    </xf>
    <xf numFmtId="178" fontId="9" fillId="0" borderId="25" xfId="0" applyNumberFormat="1" applyFont="1" applyBorder="1" applyAlignment="1">
      <alignment horizontal="left"/>
    </xf>
    <xf numFmtId="178" fontId="7" fillId="0" borderId="25" xfId="0" applyNumberFormat="1" applyFont="1" applyBorder="1" applyAlignment="1">
      <alignment horizontal="left"/>
    </xf>
    <xf numFmtId="178" fontId="9" fillId="0" borderId="25" xfId="0" applyNumberFormat="1" applyFont="1" applyFill="1" applyBorder="1" applyAlignment="1">
      <alignment horizontal="left"/>
    </xf>
    <xf numFmtId="178" fontId="7" fillId="0" borderId="26" xfId="0" applyNumberFormat="1" applyFont="1" applyBorder="1" applyAlignment="1">
      <alignment horizontal="left"/>
    </xf>
    <xf numFmtId="178" fontId="9" fillId="0" borderId="18" xfId="0" applyNumberFormat="1" applyFont="1" applyFill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178" fontId="9" fillId="0" borderId="24" xfId="0" applyNumberFormat="1" applyFont="1" applyBorder="1" applyAlignment="1">
      <alignment horizontal="left"/>
    </xf>
    <xf numFmtId="178" fontId="9" fillId="0" borderId="16" xfId="0" applyNumberFormat="1" applyFont="1" applyBorder="1" applyAlignment="1">
      <alignment horizontal="left"/>
    </xf>
    <xf numFmtId="178" fontId="9" fillId="0" borderId="22" xfId="0" applyNumberFormat="1" applyFont="1" applyBorder="1" applyAlignment="1">
      <alignment horizontal="left"/>
    </xf>
    <xf numFmtId="177" fontId="9" fillId="0" borderId="0" xfId="0" applyNumberFormat="1" applyFont="1"/>
    <xf numFmtId="0" fontId="9" fillId="0" borderId="24" xfId="0" applyFont="1" applyBorder="1"/>
    <xf numFmtId="0" fontId="9" fillId="0" borderId="22" xfId="0" applyFont="1" applyBorder="1"/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/>
    <xf numFmtId="0" fontId="9" fillId="0" borderId="23" xfId="0" applyFont="1" applyBorder="1"/>
    <xf numFmtId="0" fontId="9" fillId="0" borderId="21" xfId="0" applyFont="1" applyBorder="1"/>
    <xf numFmtId="177" fontId="9" fillId="0" borderId="16" xfId="0" applyNumberFormat="1" applyFont="1" applyBorder="1"/>
    <xf numFmtId="10" fontId="9" fillId="0" borderId="17" xfId="0" applyNumberFormat="1" applyFont="1" applyBorder="1"/>
    <xf numFmtId="177" fontId="9" fillId="0" borderId="22" xfId="0" applyNumberFormat="1" applyFont="1" applyBorder="1"/>
    <xf numFmtId="177" fontId="9" fillId="0" borderId="18" xfId="0" applyNumberFormat="1" applyFont="1" applyBorder="1"/>
    <xf numFmtId="10" fontId="9" fillId="0" borderId="19" xfId="0" applyNumberFormat="1" applyFont="1" applyBorder="1"/>
    <xf numFmtId="0" fontId="0" fillId="0" borderId="0" xfId="0" applyAlignment="1">
      <alignment horizontal="right"/>
    </xf>
    <xf numFmtId="49" fontId="3" fillId="0" borderId="1" xfId="2" applyNumberFormat="1" applyFont="1" applyFill="1" applyBorder="1" applyAlignment="1" applyProtection="1">
      <alignment horizontal="left"/>
      <protection locked="0"/>
    </xf>
    <xf numFmtId="0" fontId="7" fillId="0" borderId="0" xfId="0" applyFont="1"/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9" fillId="0" borderId="13" xfId="0" applyFont="1" applyBorder="1"/>
    <xf numFmtId="0" fontId="9" fillId="0" borderId="25" xfId="0" applyFont="1" applyBorder="1"/>
    <xf numFmtId="0" fontId="9" fillId="0" borderId="26" xfId="0" applyFont="1" applyBorder="1"/>
    <xf numFmtId="0" fontId="9" fillId="0" borderId="16" xfId="0" applyFont="1" applyBorder="1"/>
    <xf numFmtId="178" fontId="12" fillId="0" borderId="16" xfId="0" applyNumberFormat="1" applyFont="1" applyBorder="1"/>
    <xf numFmtId="178" fontId="9" fillId="0" borderId="0" xfId="0" applyNumberFormat="1" applyFont="1" applyBorder="1"/>
    <xf numFmtId="178" fontId="12" fillId="0" borderId="22" xfId="0" applyNumberFormat="1" applyFont="1" applyBorder="1"/>
    <xf numFmtId="178" fontId="9" fillId="0" borderId="18" xfId="0" applyNumberFormat="1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7" xfId="0" applyFont="1" applyBorder="1"/>
    <xf numFmtId="177" fontId="9" fillId="0" borderId="24" xfId="0" applyNumberFormat="1" applyFont="1" applyBorder="1"/>
    <xf numFmtId="177" fontId="9" fillId="0" borderId="25" xfId="0" applyNumberFormat="1" applyFont="1" applyBorder="1"/>
    <xf numFmtId="178" fontId="7" fillId="0" borderId="25" xfId="0" applyNumberFormat="1" applyFont="1" applyBorder="1"/>
    <xf numFmtId="178" fontId="9" fillId="0" borderId="25" xfId="0" applyNumberFormat="1" applyFont="1" applyBorder="1"/>
    <xf numFmtId="178" fontId="9" fillId="0" borderId="25" xfId="0" applyNumberFormat="1" applyFont="1" applyFill="1" applyBorder="1"/>
    <xf numFmtId="178" fontId="9" fillId="0" borderId="26" xfId="0" applyNumberFormat="1" applyFont="1" applyBorder="1"/>
    <xf numFmtId="178" fontId="9" fillId="0" borderId="0" xfId="0" applyNumberFormat="1" applyFont="1" applyFill="1" applyBorder="1"/>
    <xf numFmtId="178" fontId="9" fillId="0" borderId="17" xfId="0" applyNumberFormat="1" applyFont="1" applyBorder="1"/>
    <xf numFmtId="178" fontId="9" fillId="0" borderId="17" xfId="0" applyNumberFormat="1" applyFont="1" applyFill="1" applyBorder="1"/>
    <xf numFmtId="178" fontId="9" fillId="0" borderId="18" xfId="0" applyNumberFormat="1" applyFont="1" applyFill="1" applyBorder="1"/>
    <xf numFmtId="178" fontId="9" fillId="0" borderId="19" xfId="0" applyNumberFormat="1" applyFont="1" applyFill="1" applyBorder="1"/>
    <xf numFmtId="0" fontId="7" fillId="0" borderId="0" xfId="0" applyFont="1" applyFill="1" applyBorder="1" applyAlignment="1">
      <alignment horizontal="center"/>
    </xf>
    <xf numFmtId="177" fontId="7" fillId="0" borderId="0" xfId="0" applyNumberFormat="1" applyFont="1" applyFill="1" applyBorder="1" applyAlignment="1">
      <alignment horizontal="center"/>
    </xf>
    <xf numFmtId="10" fontId="7" fillId="0" borderId="10" xfId="0" applyNumberFormat="1" applyFont="1" applyFill="1" applyBorder="1" applyAlignment="1">
      <alignment horizontal="center"/>
    </xf>
    <xf numFmtId="10" fontId="7" fillId="0" borderId="0" xfId="0" applyNumberFormat="1" applyFont="1" applyFill="1" applyBorder="1" applyAlignment="1">
      <alignment horizontal="center"/>
    </xf>
    <xf numFmtId="176" fontId="7" fillId="0" borderId="0" xfId="0" applyNumberFormat="1" applyFont="1" applyBorder="1" applyAlignment="1">
      <alignment horizontal="center"/>
    </xf>
    <xf numFmtId="176" fontId="7" fillId="0" borderId="11" xfId="0" applyNumberFormat="1" applyFont="1" applyBorder="1" applyAlignment="1">
      <alignment horizontal="center"/>
    </xf>
    <xf numFmtId="177" fontId="7" fillId="0" borderId="0" xfId="0" applyNumberFormat="1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177" fontId="7" fillId="0" borderId="24" xfId="0" applyNumberFormat="1" applyFont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177" fontId="7" fillId="0" borderId="25" xfId="0" applyNumberFormat="1" applyFont="1" applyFill="1" applyBorder="1" applyAlignment="1">
      <alignment horizontal="center"/>
    </xf>
    <xf numFmtId="10" fontId="7" fillId="0" borderId="26" xfId="0" applyNumberFormat="1" applyFont="1" applyBorder="1" applyAlignment="1">
      <alignment horizontal="center"/>
    </xf>
    <xf numFmtId="177" fontId="7" fillId="0" borderId="16" xfId="0" applyNumberFormat="1" applyFont="1" applyBorder="1" applyAlignment="1">
      <alignment horizontal="center"/>
    </xf>
    <xf numFmtId="10" fontId="7" fillId="0" borderId="17" xfId="0" applyNumberFormat="1" applyFont="1" applyBorder="1" applyAlignment="1">
      <alignment horizontal="center"/>
    </xf>
    <xf numFmtId="177" fontId="7" fillId="0" borderId="22" xfId="0" applyNumberFormat="1" applyFont="1" applyBorder="1" applyAlignment="1">
      <alignment horizontal="center"/>
    </xf>
    <xf numFmtId="0" fontId="7" fillId="0" borderId="18" xfId="0" applyFont="1" applyFill="1" applyBorder="1" applyAlignment="1">
      <alignment horizontal="center"/>
    </xf>
    <xf numFmtId="177" fontId="7" fillId="0" borderId="18" xfId="0" applyNumberFormat="1" applyFont="1" applyFill="1" applyBorder="1" applyAlignment="1">
      <alignment horizontal="center"/>
    </xf>
    <xf numFmtId="10" fontId="7" fillId="0" borderId="30" xfId="0" applyNumberFormat="1" applyFont="1" applyFill="1" applyBorder="1" applyAlignment="1">
      <alignment horizontal="center"/>
    </xf>
    <xf numFmtId="10" fontId="7" fillId="0" borderId="19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10" fontId="7" fillId="0" borderId="25" xfId="0" applyNumberFormat="1" applyFont="1" applyFill="1" applyBorder="1" applyAlignment="1">
      <alignment horizontal="center"/>
    </xf>
    <xf numFmtId="10" fontId="7" fillId="0" borderId="18" xfId="0" applyNumberFormat="1" applyFont="1" applyFill="1" applyBorder="1" applyAlignment="1">
      <alignment horizontal="center"/>
    </xf>
    <xf numFmtId="10" fontId="7" fillId="0" borderId="25" xfId="0" applyNumberFormat="1" applyFont="1" applyBorder="1" applyAlignment="1">
      <alignment horizontal="center"/>
    </xf>
    <xf numFmtId="10" fontId="7" fillId="0" borderId="18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176" fontId="7" fillId="0" borderId="25" xfId="0" applyNumberFormat="1" applyFont="1" applyBorder="1" applyAlignment="1">
      <alignment horizontal="center"/>
    </xf>
    <xf numFmtId="176" fontId="7" fillId="0" borderId="18" xfId="0" applyNumberFormat="1" applyFont="1" applyBorder="1" applyAlignment="1">
      <alignment horizontal="center"/>
    </xf>
    <xf numFmtId="176" fontId="7" fillId="0" borderId="24" xfId="0" applyNumberFormat="1" applyFont="1" applyBorder="1" applyAlignment="1">
      <alignment horizontal="center"/>
    </xf>
    <xf numFmtId="176" fontId="7" fillId="0" borderId="16" xfId="0" applyNumberFormat="1" applyFont="1" applyBorder="1" applyAlignment="1">
      <alignment horizontal="center"/>
    </xf>
    <xf numFmtId="176" fontId="7" fillId="0" borderId="22" xfId="0" applyNumberFormat="1" applyFont="1" applyBorder="1" applyAlignment="1">
      <alignment horizontal="center"/>
    </xf>
    <xf numFmtId="0" fontId="0" fillId="0" borderId="0" xfId="0" applyFont="1"/>
    <xf numFmtId="177" fontId="7" fillId="0" borderId="24" xfId="0" applyNumberFormat="1" applyFont="1" applyFill="1" applyBorder="1" applyAlignment="1">
      <alignment horizontal="center"/>
    </xf>
    <xf numFmtId="177" fontId="7" fillId="0" borderId="16" xfId="0" applyNumberFormat="1" applyFont="1" applyFill="1" applyBorder="1" applyAlignment="1">
      <alignment horizontal="center"/>
    </xf>
    <xf numFmtId="177" fontId="7" fillId="0" borderId="22" xfId="0" applyNumberFormat="1" applyFont="1" applyFill="1" applyBorder="1" applyAlignment="1">
      <alignment horizontal="center"/>
    </xf>
    <xf numFmtId="176" fontId="9" fillId="0" borderId="18" xfId="0" applyNumberFormat="1" applyFont="1" applyFill="1" applyBorder="1" applyAlignment="1">
      <alignment horizontal="left"/>
    </xf>
    <xf numFmtId="176" fontId="7" fillId="0" borderId="25" xfId="0" applyNumberFormat="1" applyFont="1" applyFill="1" applyBorder="1" applyAlignment="1">
      <alignment horizontal="left"/>
    </xf>
    <xf numFmtId="176" fontId="7" fillId="0" borderId="0" xfId="0" applyNumberFormat="1" applyFont="1" applyFill="1" applyBorder="1" applyAlignment="1">
      <alignment horizontal="left"/>
    </xf>
    <xf numFmtId="176" fontId="7" fillId="0" borderId="18" xfId="0" applyNumberFormat="1" applyFont="1" applyFill="1" applyBorder="1" applyAlignment="1">
      <alignment horizontal="left"/>
    </xf>
    <xf numFmtId="176" fontId="7" fillId="0" borderId="25" xfId="0" applyNumberFormat="1" applyFont="1" applyFill="1" applyBorder="1" applyAlignment="1">
      <alignment horizontal="center"/>
    </xf>
    <xf numFmtId="10" fontId="7" fillId="0" borderId="26" xfId="0" applyNumberFormat="1" applyFont="1" applyFill="1" applyBorder="1" applyAlignment="1">
      <alignment horizontal="center"/>
    </xf>
    <xf numFmtId="176" fontId="7" fillId="0" borderId="0" xfId="0" applyNumberFormat="1" applyFont="1" applyFill="1" applyBorder="1" applyAlignment="1">
      <alignment horizontal="center"/>
    </xf>
    <xf numFmtId="10" fontId="7" fillId="0" borderId="17" xfId="0" applyNumberFormat="1" applyFont="1" applyFill="1" applyBorder="1" applyAlignment="1">
      <alignment horizontal="center"/>
    </xf>
    <xf numFmtId="176" fontId="7" fillId="0" borderId="18" xfId="0" applyNumberFormat="1" applyFont="1" applyFill="1" applyBorder="1" applyAlignment="1">
      <alignment horizontal="center"/>
    </xf>
    <xf numFmtId="10" fontId="7" fillId="0" borderId="19" xfId="0" applyNumberFormat="1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9" xfId="0" applyFont="1" applyFill="1" applyBorder="1" applyAlignment="1">
      <alignment horizontal="center"/>
    </xf>
    <xf numFmtId="49" fontId="7" fillId="0" borderId="0" xfId="1" applyNumberFormat="1" applyFont="1" applyFill="1" applyBorder="1" applyAlignment="1" applyProtection="1">
      <alignment horizontal="center"/>
      <protection locked="0"/>
    </xf>
    <xf numFmtId="0" fontId="7" fillId="0" borderId="21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177" fontId="7" fillId="0" borderId="18" xfId="0" applyNumberFormat="1" applyFont="1" applyBorder="1" applyAlignment="1">
      <alignment horizontal="center"/>
    </xf>
    <xf numFmtId="0" fontId="0" fillId="0" borderId="26" xfId="0" applyFont="1" applyBorder="1"/>
    <xf numFmtId="0" fontId="0" fillId="0" borderId="17" xfId="0" applyFont="1" applyBorder="1"/>
    <xf numFmtId="0" fontId="0" fillId="0" borderId="19" xfId="0" applyFont="1" applyBorder="1"/>
    <xf numFmtId="176" fontId="7" fillId="0" borderId="31" xfId="0" applyNumberFormat="1" applyFont="1" applyBorder="1" applyAlignment="1">
      <alignment horizontal="center"/>
    </xf>
    <xf numFmtId="177" fontId="7" fillId="0" borderId="11" xfId="0" applyNumberFormat="1" applyFont="1" applyFill="1" applyBorder="1" applyAlignment="1">
      <alignment horizontal="center"/>
    </xf>
    <xf numFmtId="177" fontId="7" fillId="0" borderId="10" xfId="0" applyNumberFormat="1" applyFont="1" applyFill="1" applyBorder="1" applyAlignment="1">
      <alignment horizontal="center"/>
    </xf>
    <xf numFmtId="177" fontId="7" fillId="0" borderId="31" xfId="0" applyNumberFormat="1" applyFont="1" applyFill="1" applyBorder="1" applyAlignment="1">
      <alignment horizontal="center"/>
    </xf>
    <xf numFmtId="177" fontId="7" fillId="0" borderId="3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7" fillId="0" borderId="17" xfId="0" applyFont="1" applyFill="1" applyBorder="1" applyAlignment="1">
      <alignment horizontal="left"/>
    </xf>
    <xf numFmtId="0" fontId="7" fillId="0" borderId="22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177" fontId="7" fillId="0" borderId="24" xfId="0" applyNumberFormat="1" applyFont="1" applyFill="1" applyBorder="1" applyAlignment="1">
      <alignment horizontal="left"/>
    </xf>
    <xf numFmtId="177" fontId="7" fillId="0" borderId="26" xfId="0" applyNumberFormat="1" applyFont="1" applyFill="1" applyBorder="1" applyAlignment="1">
      <alignment horizontal="left"/>
    </xf>
    <xf numFmtId="177" fontId="7" fillId="0" borderId="16" xfId="0" applyNumberFormat="1" applyFont="1" applyFill="1" applyBorder="1" applyAlignment="1">
      <alignment horizontal="left"/>
    </xf>
    <xf numFmtId="177" fontId="7" fillId="0" borderId="17" xfId="0" applyNumberFormat="1" applyFont="1" applyFill="1" applyBorder="1" applyAlignment="1">
      <alignment horizontal="left"/>
    </xf>
    <xf numFmtId="177" fontId="7" fillId="0" borderId="22" xfId="0" applyNumberFormat="1" applyFont="1" applyFill="1" applyBorder="1" applyAlignment="1">
      <alignment horizontal="left"/>
    </xf>
    <xf numFmtId="177" fontId="7" fillId="0" borderId="19" xfId="0" applyNumberFormat="1" applyFont="1" applyFill="1" applyBorder="1" applyAlignment="1">
      <alignment horizontal="left"/>
    </xf>
    <xf numFmtId="0" fontId="9" fillId="0" borderId="0" xfId="0" applyFont="1" applyAlignment="1">
      <alignment horizontal="left" wrapText="1"/>
    </xf>
    <xf numFmtId="0" fontId="9" fillId="0" borderId="2" xfId="0" applyFont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/>
    </xf>
    <xf numFmtId="178" fontId="9" fillId="0" borderId="13" xfId="0" applyNumberFormat="1" applyFont="1" applyBorder="1" applyAlignment="1">
      <alignment horizontal="center"/>
    </xf>
    <xf numFmtId="178" fontId="9" fillId="0" borderId="14" xfId="0" applyNumberFormat="1" applyFont="1" applyBorder="1" applyAlignment="1">
      <alignment horizontal="center"/>
    </xf>
    <xf numFmtId="178" fontId="9" fillId="0" borderId="15" xfId="0" applyNumberFormat="1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7" fillId="0" borderId="26" xfId="0" applyFont="1" applyFill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1" xfId="0" applyFont="1" applyBorder="1" applyAlignment="1">
      <alignment horizontal="center"/>
    </xf>
    <xf numFmtId="0" fontId="7" fillId="0" borderId="20" xfId="0" applyFont="1" applyFill="1" applyBorder="1" applyAlignment="1">
      <alignment horizontal="center"/>
    </xf>
    <xf numFmtId="0" fontId="7" fillId="0" borderId="21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13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5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21" xfId="0" applyFont="1" applyFill="1" applyBorder="1" applyAlignment="1">
      <alignment horizontal="left"/>
    </xf>
  </cellXfs>
  <cellStyles count="3">
    <cellStyle name="常规" xfId="0" builtinId="0"/>
    <cellStyle name="常规_0029_009TIF" xfId="2"/>
    <cellStyle name="常规_0043_009tif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426720</xdr:colOff>
      <xdr:row>0</xdr:row>
      <xdr:rowOff>15240</xdr:rowOff>
    </xdr:from>
    <xdr:to>
      <xdr:col>5</xdr:col>
      <xdr:colOff>267</xdr:colOff>
      <xdr:row>1</xdr:row>
      <xdr:rowOff>60981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6320" y="15240"/>
          <a:ext cx="3078747" cy="2438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15240</xdr:rowOff>
    </xdr:from>
    <xdr:to>
      <xdr:col>4</xdr:col>
      <xdr:colOff>518330</xdr:colOff>
      <xdr:row>1</xdr:row>
      <xdr:rowOff>175291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300" y="15240"/>
          <a:ext cx="1958510" cy="3581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160020</xdr:colOff>
      <xdr:row>0</xdr:row>
      <xdr:rowOff>30480</xdr:rowOff>
    </xdr:from>
    <xdr:to>
      <xdr:col>6</xdr:col>
      <xdr:colOff>167867</xdr:colOff>
      <xdr:row>2</xdr:row>
      <xdr:rowOff>38132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9220" y="30480"/>
          <a:ext cx="2621507" cy="36579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15240</xdr:colOff>
      <xdr:row>0</xdr:row>
      <xdr:rowOff>25642</xdr:rowOff>
    </xdr:from>
    <xdr:to>
      <xdr:col>4</xdr:col>
      <xdr:colOff>76325</xdr:colOff>
      <xdr:row>2</xdr:row>
      <xdr:rowOff>60996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4440" y="25642"/>
          <a:ext cx="1326005" cy="38587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5</xdr:col>
      <xdr:colOff>449908</xdr:colOff>
      <xdr:row>2</xdr:row>
      <xdr:rowOff>175302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60960"/>
          <a:ext cx="3787468" cy="48010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19</xdr:row>
      <xdr:rowOff>0</xdr:rowOff>
    </xdr:from>
    <xdr:to>
      <xdr:col>1</xdr:col>
      <xdr:colOff>30480</xdr:colOff>
      <xdr:row>19</xdr:row>
      <xdr:rowOff>175260</xdr:rowOff>
    </xdr:to>
    <xdr:pic>
      <xdr:nvPicPr>
        <xdr:cNvPr id="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799338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60960</xdr:rowOff>
    </xdr:from>
    <xdr:to>
      <xdr:col>2</xdr:col>
      <xdr:colOff>548783</xdr:colOff>
      <xdr:row>2</xdr:row>
      <xdr:rowOff>137198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60960"/>
          <a:ext cx="1653683" cy="44199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53340</xdr:rowOff>
    </xdr:from>
    <xdr:to>
      <xdr:col>3</xdr:col>
      <xdr:colOff>487914</xdr:colOff>
      <xdr:row>4</xdr:row>
      <xdr:rowOff>22921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53340"/>
          <a:ext cx="2705334" cy="70110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137160</xdr:colOff>
      <xdr:row>0</xdr:row>
      <xdr:rowOff>76200</xdr:rowOff>
    </xdr:from>
    <xdr:to>
      <xdr:col>5</xdr:col>
      <xdr:colOff>327964</xdr:colOff>
      <xdr:row>4</xdr:row>
      <xdr:rowOff>7677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160" y="76200"/>
          <a:ext cx="3513124" cy="662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556419</xdr:colOff>
      <xdr:row>2</xdr:row>
      <xdr:rowOff>137204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6579" cy="50296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1</xdr:row>
      <xdr:rowOff>22860</xdr:rowOff>
    </xdr:from>
    <xdr:to>
      <xdr:col>7</xdr:col>
      <xdr:colOff>335669</xdr:colOff>
      <xdr:row>4</xdr:row>
      <xdr:rowOff>22908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4300" y="2217420"/>
          <a:ext cx="4488569" cy="54868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20</xdr:row>
      <xdr:rowOff>0</xdr:rowOff>
    </xdr:from>
    <xdr:to>
      <xdr:col>1</xdr:col>
      <xdr:colOff>30480</xdr:colOff>
      <xdr:row>20</xdr:row>
      <xdr:rowOff>175260</xdr:rowOff>
    </xdr:to>
    <xdr:pic>
      <xdr:nvPicPr>
        <xdr:cNvPr id="3" name="图片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4175760"/>
          <a:ext cx="30480" cy="175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464966</xdr:colOff>
      <xdr:row>2</xdr:row>
      <xdr:rowOff>152445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1684166" cy="5182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workbookViewId="0">
      <selection activeCell="N2" sqref="N2:O2"/>
    </sheetView>
  </sheetViews>
  <sheetFormatPr defaultRowHeight="14.4" x14ac:dyDescent="0.25"/>
  <cols>
    <col min="1" max="15" width="12.77734375" customWidth="1"/>
  </cols>
  <sheetData>
    <row r="1" spans="1:15" s="27" customFormat="1" ht="13.8" x14ac:dyDescent="0.25">
      <c r="A1" s="203" t="s">
        <v>51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</row>
    <row r="2" spans="1:15" s="29" customFormat="1" ht="16.05" customHeight="1" x14ac:dyDescent="0.25">
      <c r="A2" s="28" t="s">
        <v>44</v>
      </c>
      <c r="B2" s="204" t="s">
        <v>45</v>
      </c>
      <c r="C2" s="205"/>
      <c r="D2" s="204" t="s">
        <v>52</v>
      </c>
      <c r="E2" s="205"/>
      <c r="F2" s="204" t="s">
        <v>46</v>
      </c>
      <c r="G2" s="205"/>
      <c r="H2" s="204" t="s">
        <v>47</v>
      </c>
      <c r="I2" s="205"/>
      <c r="J2" s="204" t="s">
        <v>48</v>
      </c>
      <c r="K2" s="205"/>
      <c r="L2" s="204" t="s">
        <v>49</v>
      </c>
      <c r="M2" s="205"/>
      <c r="N2" s="204" t="s">
        <v>132</v>
      </c>
      <c r="O2" s="205"/>
    </row>
    <row r="3" spans="1:15" s="29" customFormat="1" ht="16.05" customHeight="1" x14ac:dyDescent="0.25">
      <c r="A3" s="30"/>
      <c r="B3" s="31" t="s">
        <v>42</v>
      </c>
      <c r="C3" s="31" t="s">
        <v>50</v>
      </c>
      <c r="D3" s="31" t="s">
        <v>42</v>
      </c>
      <c r="E3" s="31" t="s">
        <v>50</v>
      </c>
      <c r="F3" s="31" t="s">
        <v>42</v>
      </c>
      <c r="G3" s="31" t="s">
        <v>50</v>
      </c>
      <c r="H3" s="31" t="s">
        <v>42</v>
      </c>
      <c r="I3" s="31" t="s">
        <v>50</v>
      </c>
      <c r="J3" s="31" t="s">
        <v>42</v>
      </c>
      <c r="K3" s="31" t="s">
        <v>50</v>
      </c>
      <c r="L3" s="31" t="s">
        <v>42</v>
      </c>
      <c r="M3" s="31" t="s">
        <v>50</v>
      </c>
      <c r="N3" s="31" t="s">
        <v>42</v>
      </c>
      <c r="O3" s="31" t="s">
        <v>50</v>
      </c>
    </row>
    <row r="4" spans="1:15" s="33" customFormat="1" ht="16.05" customHeight="1" x14ac:dyDescent="0.25">
      <c r="A4" s="32">
        <v>1995</v>
      </c>
      <c r="B4" s="32">
        <v>91734</v>
      </c>
      <c r="C4" s="32">
        <v>431030</v>
      </c>
      <c r="D4" s="32">
        <v>45252</v>
      </c>
      <c r="E4" s="32">
        <v>251899</v>
      </c>
      <c r="F4" s="32">
        <v>9523</v>
      </c>
      <c r="G4" s="32">
        <v>61597</v>
      </c>
      <c r="H4" s="32">
        <v>60773</v>
      </c>
      <c r="I4" s="32">
        <v>110064</v>
      </c>
      <c r="J4" s="32">
        <v>3918</v>
      </c>
      <c r="K4" s="32">
        <v>7794</v>
      </c>
      <c r="L4" s="32">
        <v>29294</v>
      </c>
      <c r="M4" s="32">
        <v>19615</v>
      </c>
      <c r="N4" s="32">
        <v>16082</v>
      </c>
      <c r="O4" s="32" t="s">
        <v>0</v>
      </c>
    </row>
    <row r="5" spans="1:15" s="33" customFormat="1" ht="16.05" customHeight="1" x14ac:dyDescent="0.25">
      <c r="A5" s="32">
        <v>1998</v>
      </c>
      <c r="B5" s="32" t="s">
        <v>1</v>
      </c>
      <c r="C5" s="32" t="s">
        <v>2</v>
      </c>
      <c r="D5" s="32" t="s">
        <v>3</v>
      </c>
      <c r="E5" s="32" t="s">
        <v>4</v>
      </c>
      <c r="F5" s="32" t="s">
        <v>5</v>
      </c>
      <c r="G5" s="32" t="s">
        <v>6</v>
      </c>
      <c r="H5" s="32" t="s">
        <v>7</v>
      </c>
      <c r="I5" s="32" t="s">
        <v>8</v>
      </c>
      <c r="J5" s="32" t="s">
        <v>9</v>
      </c>
      <c r="K5" s="32" t="s">
        <v>10</v>
      </c>
      <c r="L5" s="32" t="s">
        <v>11</v>
      </c>
      <c r="M5" s="32" t="s">
        <v>12</v>
      </c>
      <c r="N5" s="32" t="s">
        <v>13</v>
      </c>
      <c r="O5" s="32" t="s">
        <v>14</v>
      </c>
    </row>
    <row r="6" spans="1:15" s="33" customFormat="1" ht="16.05" customHeight="1" x14ac:dyDescent="0.25">
      <c r="A6" s="32">
        <v>2001</v>
      </c>
      <c r="B6" s="32" t="s">
        <v>15</v>
      </c>
      <c r="C6" s="32" t="s">
        <v>16</v>
      </c>
      <c r="D6" s="32" t="s">
        <v>17</v>
      </c>
      <c r="E6" s="32" t="s">
        <v>18</v>
      </c>
      <c r="F6" s="32" t="s">
        <v>19</v>
      </c>
      <c r="G6" s="32" t="s">
        <v>20</v>
      </c>
      <c r="H6" s="32" t="s">
        <v>21</v>
      </c>
      <c r="I6" s="32" t="s">
        <v>22</v>
      </c>
      <c r="J6" s="32" t="s">
        <v>23</v>
      </c>
      <c r="K6" s="32" t="s">
        <v>24</v>
      </c>
      <c r="L6" s="32" t="s">
        <v>25</v>
      </c>
      <c r="M6" s="32" t="s">
        <v>26</v>
      </c>
      <c r="N6" s="32" t="s">
        <v>27</v>
      </c>
      <c r="O6" s="32" t="s">
        <v>28</v>
      </c>
    </row>
    <row r="7" spans="1:15" s="33" customFormat="1" ht="16.05" customHeight="1" x14ac:dyDescent="0.25">
      <c r="A7" s="32">
        <v>2004</v>
      </c>
      <c r="B7" s="32" t="s">
        <v>29</v>
      </c>
      <c r="C7" s="32" t="s">
        <v>30</v>
      </c>
      <c r="D7" s="32" t="s">
        <v>31</v>
      </c>
      <c r="E7" s="32" t="s">
        <v>32</v>
      </c>
      <c r="F7" s="32" t="s">
        <v>33</v>
      </c>
      <c r="G7" s="32" t="s">
        <v>34</v>
      </c>
      <c r="H7" s="32" t="s">
        <v>35</v>
      </c>
      <c r="I7" s="32" t="s">
        <v>36</v>
      </c>
      <c r="J7" s="32" t="s">
        <v>37</v>
      </c>
      <c r="K7" s="32" t="s">
        <v>38</v>
      </c>
      <c r="L7" s="32" t="s">
        <v>39</v>
      </c>
      <c r="M7" s="32" t="s">
        <v>40</v>
      </c>
      <c r="N7" s="32" t="s">
        <v>41</v>
      </c>
      <c r="O7" s="32">
        <v>2049104</v>
      </c>
    </row>
    <row r="8" spans="1:15" s="33" customFormat="1" ht="16.05" customHeight="1" x14ac:dyDescent="0.25">
      <c r="A8" s="32">
        <v>2007</v>
      </c>
      <c r="B8" s="32">
        <v>43831</v>
      </c>
      <c r="C8" s="32">
        <v>283981</v>
      </c>
      <c r="D8" s="32">
        <v>51187</v>
      </c>
      <c r="E8" s="32">
        <v>372404</v>
      </c>
      <c r="F8" s="32">
        <v>5963</v>
      </c>
      <c r="G8" s="32">
        <v>41948</v>
      </c>
      <c r="H8" s="32">
        <v>4378</v>
      </c>
      <c r="I8" s="32">
        <v>9961</v>
      </c>
      <c r="J8" s="32">
        <v>1852</v>
      </c>
      <c r="K8" s="32">
        <v>6231</v>
      </c>
      <c r="L8" s="32">
        <v>113437</v>
      </c>
      <c r="M8" s="32">
        <v>115718</v>
      </c>
      <c r="N8" s="32">
        <v>36321</v>
      </c>
      <c r="O8" s="32">
        <v>2239211</v>
      </c>
    </row>
    <row r="9" spans="1:15" s="33" customFormat="1" ht="16.05" customHeight="1" x14ac:dyDescent="0.25">
      <c r="A9" s="32">
        <v>2010</v>
      </c>
      <c r="B9" s="32">
        <f>79.4*666.67</f>
        <v>52933.597999999998</v>
      </c>
      <c r="C9" s="32">
        <v>329400</v>
      </c>
      <c r="D9" s="32">
        <f>87.08*666.67</f>
        <v>58053.623599999992</v>
      </c>
      <c r="E9" s="32">
        <v>410600</v>
      </c>
      <c r="F9" s="32">
        <v>6479</v>
      </c>
      <c r="G9" s="32">
        <v>44328</v>
      </c>
      <c r="H9" s="32">
        <v>2298</v>
      </c>
      <c r="I9" s="32">
        <v>4929</v>
      </c>
      <c r="J9" s="32">
        <v>1513</v>
      </c>
      <c r="K9" s="32">
        <v>4720</v>
      </c>
      <c r="L9" s="32">
        <f>186.9*666.67</f>
        <v>124600.62299999999</v>
      </c>
      <c r="M9" s="32">
        <v>118100</v>
      </c>
      <c r="N9" s="32">
        <f>46.386*666.67</f>
        <v>30924.154620000001</v>
      </c>
      <c r="O9" s="32">
        <v>1907300</v>
      </c>
    </row>
    <row r="10" spans="1:15" s="33" customFormat="1" ht="16.05" customHeight="1" x14ac:dyDescent="0.25">
      <c r="A10" s="32">
        <v>2013</v>
      </c>
      <c r="B10" s="32">
        <v>52200</v>
      </c>
      <c r="C10" s="32">
        <v>341000</v>
      </c>
      <c r="D10" s="32">
        <f>101.47*666.67</f>
        <v>67647.0049</v>
      </c>
      <c r="E10" s="32">
        <v>347207</v>
      </c>
      <c r="F10" s="32">
        <f>7.74*666.67</f>
        <v>5160.0257999999994</v>
      </c>
      <c r="G10" s="32">
        <v>26349</v>
      </c>
      <c r="H10" s="32">
        <v>2029</v>
      </c>
      <c r="I10" s="32">
        <v>2989</v>
      </c>
      <c r="J10" s="32">
        <v>1024</v>
      </c>
      <c r="K10" s="32">
        <v>2655</v>
      </c>
      <c r="L10" s="32">
        <f>192.14*666.67</f>
        <v>128093.97379999998</v>
      </c>
      <c r="M10" s="32">
        <v>95424</v>
      </c>
      <c r="N10" s="32">
        <v>25618</v>
      </c>
      <c r="O10" s="32">
        <v>1589231</v>
      </c>
    </row>
    <row r="11" spans="1:15" s="33" customFormat="1" ht="16.05" customHeight="1" x14ac:dyDescent="0.25">
      <c r="A11" s="32">
        <v>2016</v>
      </c>
      <c r="B11" s="32">
        <f>122.61*666.67</f>
        <v>81740.4087</v>
      </c>
      <c r="C11" s="32">
        <v>507800</v>
      </c>
      <c r="D11" s="32">
        <v>77599</v>
      </c>
      <c r="E11" s="32">
        <v>459500</v>
      </c>
      <c r="F11" s="32">
        <v>6042</v>
      </c>
      <c r="G11" s="32">
        <v>33685</v>
      </c>
      <c r="H11" s="32">
        <v>757</v>
      </c>
      <c r="I11" s="32">
        <v>1335</v>
      </c>
      <c r="J11" s="32">
        <v>1277</v>
      </c>
      <c r="K11" s="32">
        <v>4115</v>
      </c>
      <c r="L11" s="32">
        <f>84.67*666.67</f>
        <v>56446.948899999996</v>
      </c>
      <c r="M11" s="32">
        <v>71700</v>
      </c>
      <c r="N11" s="32">
        <v>21500</v>
      </c>
      <c r="O11" s="32">
        <v>1209243</v>
      </c>
    </row>
    <row r="12" spans="1:15" s="33" customFormat="1" ht="13.8" x14ac:dyDescent="0.25"/>
    <row r="13" spans="1:15" s="33" customFormat="1" ht="19.95" customHeight="1" x14ac:dyDescent="0.25">
      <c r="A13" s="202" t="s">
        <v>97</v>
      </c>
      <c r="B13" s="202"/>
      <c r="C13" s="202"/>
      <c r="D13" s="202"/>
      <c r="E13" s="202"/>
      <c r="F13" s="202"/>
      <c r="G13" s="202"/>
      <c r="H13" s="202"/>
      <c r="I13" s="202"/>
      <c r="J13" s="202"/>
      <c r="K13" s="202"/>
      <c r="L13" s="202"/>
      <c r="M13" s="202"/>
      <c r="N13" s="202"/>
      <c r="O13" s="202"/>
    </row>
  </sheetData>
  <mergeCells count="9">
    <mergeCell ref="A13:O13"/>
    <mergeCell ref="A1:O1"/>
    <mergeCell ref="B2:C2"/>
    <mergeCell ref="D2:E2"/>
    <mergeCell ref="F2:G2"/>
    <mergeCell ref="H2:I2"/>
    <mergeCell ref="J2:K2"/>
    <mergeCell ref="L2:M2"/>
    <mergeCell ref="N2:O2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5"/>
  <sheetViews>
    <sheetView workbookViewId="0">
      <selection activeCell="B16" sqref="B16:B19"/>
    </sheetView>
  </sheetViews>
  <sheetFormatPr defaultColWidth="12.77734375" defaultRowHeight="14.4" x14ac:dyDescent="0.25"/>
  <sheetData>
    <row r="1" spans="1:36" s="14" customFormat="1" ht="15.6" customHeight="1" x14ac:dyDescent="0.25">
      <c r="A1" s="208" t="s">
        <v>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2" spans="1:36" s="14" customFormat="1" ht="15.6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</row>
    <row r="3" spans="1:36" s="14" customFormat="1" ht="15.6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</row>
    <row r="4" spans="1:36" s="14" customFormat="1" ht="13.8" x14ac:dyDescent="0.25">
      <c r="A4" s="209" t="s">
        <v>53</v>
      </c>
      <c r="B4" s="206" t="s">
        <v>76</v>
      </c>
      <c r="C4" s="207"/>
      <c r="D4" s="207"/>
      <c r="E4" s="207"/>
      <c r="F4" s="16"/>
      <c r="G4" s="207" t="s">
        <v>77</v>
      </c>
      <c r="H4" s="207"/>
      <c r="I4" s="207"/>
      <c r="J4" s="207"/>
      <c r="K4" s="17"/>
      <c r="L4" s="207" t="s">
        <v>78</v>
      </c>
      <c r="M4" s="207"/>
      <c r="N4" s="207"/>
      <c r="O4" s="207"/>
      <c r="P4" s="17"/>
      <c r="Q4" s="206" t="s">
        <v>79</v>
      </c>
      <c r="R4" s="207"/>
      <c r="S4" s="207"/>
      <c r="T4" s="207"/>
      <c r="U4" s="17"/>
      <c r="V4" s="206" t="s">
        <v>80</v>
      </c>
      <c r="W4" s="207"/>
      <c r="X4" s="207"/>
      <c r="Y4" s="207"/>
      <c r="Z4" s="17"/>
      <c r="AA4" s="206" t="s">
        <v>81</v>
      </c>
      <c r="AB4" s="207"/>
      <c r="AC4" s="207"/>
      <c r="AD4" s="207"/>
      <c r="AE4" s="17"/>
      <c r="AF4" s="206" t="s">
        <v>82</v>
      </c>
      <c r="AG4" s="207"/>
      <c r="AH4" s="207"/>
      <c r="AI4" s="207"/>
      <c r="AJ4" s="17"/>
    </row>
    <row r="5" spans="1:36" s="14" customFormat="1" ht="16.8" x14ac:dyDescent="0.25">
      <c r="A5" s="210"/>
      <c r="B5" s="18" t="s">
        <v>95</v>
      </c>
      <c r="C5" s="19" t="s">
        <v>90</v>
      </c>
      <c r="D5" s="19" t="s">
        <v>91</v>
      </c>
      <c r="E5" s="19" t="s">
        <v>92</v>
      </c>
      <c r="F5" s="19" t="s">
        <v>93</v>
      </c>
      <c r="G5" s="19" t="s">
        <v>95</v>
      </c>
      <c r="H5" s="19" t="s">
        <v>90</v>
      </c>
      <c r="I5" s="19" t="s">
        <v>91</v>
      </c>
      <c r="J5" s="14" t="s">
        <v>92</v>
      </c>
      <c r="K5" s="20" t="s">
        <v>93</v>
      </c>
      <c r="L5" s="19" t="s">
        <v>95</v>
      </c>
      <c r="M5" s="19" t="s">
        <v>90</v>
      </c>
      <c r="N5" s="19" t="s">
        <v>91</v>
      </c>
      <c r="O5" s="19" t="s">
        <v>92</v>
      </c>
      <c r="P5" s="20" t="s">
        <v>93</v>
      </c>
      <c r="Q5" s="18" t="s">
        <v>95</v>
      </c>
      <c r="R5" s="19" t="s">
        <v>90</v>
      </c>
      <c r="S5" s="19" t="s">
        <v>91</v>
      </c>
      <c r="T5" s="19" t="s">
        <v>92</v>
      </c>
      <c r="U5" s="20" t="s">
        <v>93</v>
      </c>
      <c r="V5" s="18" t="s">
        <v>95</v>
      </c>
      <c r="W5" s="19" t="s">
        <v>90</v>
      </c>
      <c r="X5" s="19" t="s">
        <v>91</v>
      </c>
      <c r="Y5" s="19" t="s">
        <v>92</v>
      </c>
      <c r="Z5" s="20" t="s">
        <v>93</v>
      </c>
      <c r="AA5" s="18" t="s">
        <v>95</v>
      </c>
      <c r="AB5" s="19" t="s">
        <v>90</v>
      </c>
      <c r="AC5" s="19" t="s">
        <v>91</v>
      </c>
      <c r="AD5" s="19" t="s">
        <v>92</v>
      </c>
      <c r="AE5" s="20" t="s">
        <v>93</v>
      </c>
      <c r="AF5" s="18" t="s">
        <v>95</v>
      </c>
      <c r="AG5" s="19" t="s">
        <v>90</v>
      </c>
      <c r="AH5" s="19" t="s">
        <v>91</v>
      </c>
      <c r="AI5" s="19" t="s">
        <v>92</v>
      </c>
      <c r="AJ5" s="20" t="s">
        <v>93</v>
      </c>
    </row>
    <row r="6" spans="1:36" s="14" customFormat="1" ht="13.8" x14ac:dyDescent="0.25">
      <c r="A6" s="34">
        <v>1995</v>
      </c>
      <c r="B6" s="21">
        <v>91734</v>
      </c>
      <c r="C6" s="6">
        <v>0.05</v>
      </c>
      <c r="D6" s="22">
        <v>533.9</v>
      </c>
      <c r="E6" s="6">
        <v>0.01</v>
      </c>
      <c r="F6" s="9">
        <f>(B6*C6)/1000+(B6*D6*E6)/100000</f>
        <v>9.4843782599999997</v>
      </c>
      <c r="G6" s="23">
        <v>45252</v>
      </c>
      <c r="H6" s="6">
        <v>0.05</v>
      </c>
      <c r="I6" s="22">
        <v>533.9</v>
      </c>
      <c r="J6" s="13">
        <v>0.01</v>
      </c>
      <c r="K6" s="9">
        <f>(G6*H6)/1000+(G6*I6*J6)/100000</f>
        <v>4.6786042800000001</v>
      </c>
      <c r="L6" s="21">
        <v>9523</v>
      </c>
      <c r="M6" s="6">
        <v>0.05</v>
      </c>
      <c r="N6" s="22">
        <v>533.9</v>
      </c>
      <c r="O6" s="6">
        <v>0.01</v>
      </c>
      <c r="P6" s="9">
        <f>(L6*M6)/1000+(L6*N6*O6)/100000</f>
        <v>0.98458297000000017</v>
      </c>
      <c r="Q6" s="21">
        <v>60773</v>
      </c>
      <c r="R6" s="6">
        <v>0.05</v>
      </c>
      <c r="S6" s="22">
        <v>533.9</v>
      </c>
      <c r="T6" s="6">
        <v>0.01</v>
      </c>
      <c r="U6" s="9">
        <f>(Q6*R6)/1000+(Q6*S6*T6)/100000</f>
        <v>6.2833204700000005</v>
      </c>
      <c r="V6" s="21">
        <v>3918</v>
      </c>
      <c r="W6" s="6">
        <v>0.05</v>
      </c>
      <c r="X6" s="22">
        <v>533.9</v>
      </c>
      <c r="Y6" s="6">
        <v>0.01</v>
      </c>
      <c r="Z6" s="9">
        <f>(V6*W6)/1000+(V6*X6*Y6)/100000</f>
        <v>0.40508202000000004</v>
      </c>
      <c r="AA6" s="21">
        <v>29294</v>
      </c>
      <c r="AB6" s="6">
        <v>0.05</v>
      </c>
      <c r="AC6" s="22">
        <v>533.9</v>
      </c>
      <c r="AD6" s="6">
        <v>0.01</v>
      </c>
      <c r="AE6" s="9">
        <f>(AA6*AB6)/1000+(AA6*AC6*AD6)/100000</f>
        <v>3.0287066600000001</v>
      </c>
      <c r="AF6" s="21">
        <v>16082</v>
      </c>
      <c r="AG6" s="6">
        <v>0.05</v>
      </c>
      <c r="AH6" s="22">
        <v>533.9</v>
      </c>
      <c r="AI6" s="6">
        <v>0.01</v>
      </c>
      <c r="AJ6" s="9">
        <f>(AF6*AG6)/1000+(AF6*AH6*AI6)/100000</f>
        <v>1.66271798</v>
      </c>
    </row>
    <row r="7" spans="1:36" s="14" customFormat="1" ht="13.8" x14ac:dyDescent="0.25">
      <c r="A7" s="35">
        <v>1998</v>
      </c>
      <c r="B7" s="21" t="s">
        <v>54</v>
      </c>
      <c r="C7" s="6">
        <v>0.05</v>
      </c>
      <c r="D7" s="22">
        <v>462.1</v>
      </c>
      <c r="E7" s="6">
        <v>0.01</v>
      </c>
      <c r="F7" s="9">
        <f t="shared" ref="F7:F13" si="0">(B7*C7)/1000+(B7*D7*E7)/100000</f>
        <v>9.713938859999999</v>
      </c>
      <c r="G7" s="23" t="s">
        <v>55</v>
      </c>
      <c r="H7" s="6">
        <v>0.05</v>
      </c>
      <c r="I7" s="22">
        <v>462.1</v>
      </c>
      <c r="J7" s="11">
        <v>0.01</v>
      </c>
      <c r="K7" s="9">
        <f t="shared" ref="K7:K13" si="1">(G7*H7)/1000+(G7*I7*J7)/100000</f>
        <v>4.3535025000000003</v>
      </c>
      <c r="L7" s="21" t="s">
        <v>56</v>
      </c>
      <c r="M7" s="6">
        <v>0.05</v>
      </c>
      <c r="N7" s="22">
        <v>462.1</v>
      </c>
      <c r="O7" s="6">
        <v>0.01</v>
      </c>
      <c r="P7" s="9">
        <f t="shared" ref="P7:P13" si="2">(L7*M7)/1000+(L7*N7*O7)/100000</f>
        <v>1.4291995499999999</v>
      </c>
      <c r="Q7" s="21" t="s">
        <v>57</v>
      </c>
      <c r="R7" s="6">
        <v>0.05</v>
      </c>
      <c r="S7" s="22">
        <v>462.1</v>
      </c>
      <c r="T7" s="6">
        <v>0.01</v>
      </c>
      <c r="U7" s="9">
        <f t="shared" ref="U7:U13" si="3">(Q7*R7)/1000+(Q7*S7*T7)/100000</f>
        <v>6.3861311700000005</v>
      </c>
      <c r="V7" s="21" t="s">
        <v>58</v>
      </c>
      <c r="W7" s="6">
        <v>0.05</v>
      </c>
      <c r="X7" s="22">
        <v>462.1</v>
      </c>
      <c r="Y7" s="6">
        <v>0.01</v>
      </c>
      <c r="Z7" s="9">
        <f t="shared" ref="Z7:Z13" si="4">(V7*W7)/1000+(V7*X7*Y7)/100000</f>
        <v>0.30594779999999999</v>
      </c>
      <c r="AA7" s="21" t="s">
        <v>59</v>
      </c>
      <c r="AB7" s="6">
        <v>0.05</v>
      </c>
      <c r="AC7" s="22">
        <v>462.1</v>
      </c>
      <c r="AD7" s="6">
        <v>0.01</v>
      </c>
      <c r="AE7" s="9">
        <f t="shared" ref="AE7:AE13" si="5">(AA7*AB7)/1000+(AA7*AC7*AD7)/100000</f>
        <v>2.0737103399999999</v>
      </c>
      <c r="AF7" s="21" t="s">
        <v>60</v>
      </c>
      <c r="AG7" s="6">
        <v>0.05</v>
      </c>
      <c r="AH7" s="22">
        <v>462.1</v>
      </c>
      <c r="AI7" s="6">
        <v>0.01</v>
      </c>
      <c r="AJ7" s="9">
        <f t="shared" ref="AJ7:AJ13" si="6">(AF7*AG7)/1000+(AF7*AH7*AI7)/100000</f>
        <v>2.3942820600000001</v>
      </c>
    </row>
    <row r="8" spans="1:36" s="14" customFormat="1" ht="13.8" x14ac:dyDescent="0.25">
      <c r="A8" s="35">
        <v>2001</v>
      </c>
      <c r="B8" s="21" t="s">
        <v>61</v>
      </c>
      <c r="C8" s="6">
        <v>0.05</v>
      </c>
      <c r="D8" s="22">
        <v>369.9</v>
      </c>
      <c r="E8" s="6">
        <v>0.01</v>
      </c>
      <c r="F8" s="9">
        <f t="shared" si="0"/>
        <v>6.8595964499999997</v>
      </c>
      <c r="G8" s="23" t="s">
        <v>62</v>
      </c>
      <c r="H8" s="6">
        <v>0.05</v>
      </c>
      <c r="I8" s="22">
        <v>369.9</v>
      </c>
      <c r="J8" s="11">
        <v>0.01</v>
      </c>
      <c r="K8" s="9">
        <f t="shared" si="1"/>
        <v>4.2419803600000003</v>
      </c>
      <c r="L8" s="21" t="s">
        <v>63</v>
      </c>
      <c r="M8" s="6">
        <v>0.05</v>
      </c>
      <c r="N8" s="22">
        <v>369.9</v>
      </c>
      <c r="O8" s="6">
        <v>0.01</v>
      </c>
      <c r="P8" s="9">
        <f t="shared" si="2"/>
        <v>1.0366598300000001</v>
      </c>
      <c r="Q8" s="21" t="s">
        <v>64</v>
      </c>
      <c r="R8" s="6">
        <v>0.05</v>
      </c>
      <c r="S8" s="22">
        <v>369.9</v>
      </c>
      <c r="T8" s="6">
        <v>0.01</v>
      </c>
      <c r="U8" s="9">
        <f t="shared" si="3"/>
        <v>2.92799641</v>
      </c>
      <c r="V8" s="21" t="s">
        <v>65</v>
      </c>
      <c r="W8" s="6">
        <v>0.05</v>
      </c>
      <c r="X8" s="22">
        <v>369.9</v>
      </c>
      <c r="Y8" s="6">
        <v>0.01</v>
      </c>
      <c r="Z8" s="9">
        <f t="shared" si="4"/>
        <v>0.35135261000000001</v>
      </c>
      <c r="AA8" s="21" t="s">
        <v>66</v>
      </c>
      <c r="AB8" s="6">
        <v>0.05</v>
      </c>
      <c r="AC8" s="22">
        <v>369.9</v>
      </c>
      <c r="AD8" s="6">
        <v>0.01</v>
      </c>
      <c r="AE8" s="9">
        <f t="shared" si="5"/>
        <v>3.4087901400000002</v>
      </c>
      <c r="AF8" s="21" t="s">
        <v>67</v>
      </c>
      <c r="AG8" s="6">
        <v>0.05</v>
      </c>
      <c r="AH8" s="22">
        <v>369.9</v>
      </c>
      <c r="AI8" s="6">
        <v>0.01</v>
      </c>
      <c r="AJ8" s="9">
        <f t="shared" si="6"/>
        <v>3.4795130100000002</v>
      </c>
    </row>
    <row r="9" spans="1:36" s="14" customFormat="1" ht="13.8" x14ac:dyDescent="0.25">
      <c r="A9" s="35">
        <v>2004</v>
      </c>
      <c r="B9" s="21" t="s">
        <v>68</v>
      </c>
      <c r="C9" s="6">
        <v>0.05</v>
      </c>
      <c r="D9" s="22">
        <v>639.70000000000005</v>
      </c>
      <c r="E9" s="6">
        <v>0.01</v>
      </c>
      <c r="F9" s="9">
        <f t="shared" si="0"/>
        <v>3.5829888600000004</v>
      </c>
      <c r="G9" s="23" t="s">
        <v>69</v>
      </c>
      <c r="H9" s="6">
        <v>0.05</v>
      </c>
      <c r="I9" s="22">
        <v>639.70000000000005</v>
      </c>
      <c r="J9" s="11">
        <v>0.01</v>
      </c>
      <c r="K9" s="9">
        <f t="shared" si="1"/>
        <v>4.4129184000000006</v>
      </c>
      <c r="L9" s="21" t="s">
        <v>70</v>
      </c>
      <c r="M9" s="6">
        <v>0.05</v>
      </c>
      <c r="N9" s="22">
        <v>639.70000000000005</v>
      </c>
      <c r="O9" s="6">
        <v>0.01</v>
      </c>
      <c r="P9" s="9">
        <f t="shared" si="2"/>
        <v>0.51389073000000007</v>
      </c>
      <c r="Q9" s="21" t="s">
        <v>71</v>
      </c>
      <c r="R9" s="6">
        <v>0.05</v>
      </c>
      <c r="S9" s="22">
        <v>639.70000000000005</v>
      </c>
      <c r="T9" s="6">
        <v>0.01</v>
      </c>
      <c r="U9" s="9">
        <f t="shared" si="3"/>
        <v>0.86537421000000014</v>
      </c>
      <c r="V9" s="21" t="s">
        <v>72</v>
      </c>
      <c r="W9" s="6">
        <v>0.05</v>
      </c>
      <c r="X9" s="22">
        <v>639.70000000000005</v>
      </c>
      <c r="Y9" s="6">
        <v>0.01</v>
      </c>
      <c r="Z9" s="9">
        <f t="shared" si="4"/>
        <v>0.20035926000000004</v>
      </c>
      <c r="AA9" s="21" t="s">
        <v>73</v>
      </c>
      <c r="AB9" s="6">
        <v>0.05</v>
      </c>
      <c r="AC9" s="22">
        <v>639.70000000000005</v>
      </c>
      <c r="AD9" s="6">
        <v>0.01</v>
      </c>
      <c r="AE9" s="9">
        <f t="shared" si="5"/>
        <v>11.25237207</v>
      </c>
      <c r="AF9" s="21" t="s">
        <v>74</v>
      </c>
      <c r="AG9" s="6">
        <v>0.05</v>
      </c>
      <c r="AH9" s="22">
        <v>639.70000000000005</v>
      </c>
      <c r="AI9" s="6">
        <v>0.01</v>
      </c>
      <c r="AJ9" s="9">
        <f t="shared" si="6"/>
        <v>3.99635805</v>
      </c>
    </row>
    <row r="10" spans="1:36" s="14" customFormat="1" ht="13.8" x14ac:dyDescent="0.25">
      <c r="A10" s="35">
        <v>2007</v>
      </c>
      <c r="B10" s="21">
        <v>43831</v>
      </c>
      <c r="C10" s="6">
        <v>0.05</v>
      </c>
      <c r="D10" s="22">
        <v>360.3</v>
      </c>
      <c r="E10" s="6">
        <v>0.01</v>
      </c>
      <c r="F10" s="9">
        <f t="shared" si="0"/>
        <v>3.7707809300000008</v>
      </c>
      <c r="G10" s="23">
        <v>51187</v>
      </c>
      <c r="H10" s="6">
        <v>0.05</v>
      </c>
      <c r="I10" s="22">
        <v>360.3</v>
      </c>
      <c r="J10" s="11">
        <v>0.01</v>
      </c>
      <c r="K10" s="9">
        <f t="shared" si="1"/>
        <v>4.4036176100000004</v>
      </c>
      <c r="L10" s="21">
        <v>5963</v>
      </c>
      <c r="M10" s="6">
        <v>0.05</v>
      </c>
      <c r="N10" s="22">
        <v>360.3</v>
      </c>
      <c r="O10" s="6">
        <v>0.01</v>
      </c>
      <c r="P10" s="9">
        <f t="shared" si="2"/>
        <v>0.51299689000000004</v>
      </c>
      <c r="Q10" s="21">
        <v>4378</v>
      </c>
      <c r="R10" s="6">
        <v>0.05</v>
      </c>
      <c r="S10" s="22">
        <v>360.3</v>
      </c>
      <c r="T10" s="6">
        <v>0.01</v>
      </c>
      <c r="U10" s="9">
        <f t="shared" si="3"/>
        <v>0.37663933999999999</v>
      </c>
      <c r="V10" s="21">
        <v>1852</v>
      </c>
      <c r="W10" s="6">
        <v>0.05</v>
      </c>
      <c r="X10" s="22">
        <v>360.3</v>
      </c>
      <c r="Y10" s="6">
        <v>0.01</v>
      </c>
      <c r="Z10" s="9">
        <f t="shared" si="4"/>
        <v>0.15932756000000001</v>
      </c>
      <c r="AA10" s="21">
        <v>113437</v>
      </c>
      <c r="AB10" s="6">
        <v>0.05</v>
      </c>
      <c r="AC10" s="22">
        <v>360.3</v>
      </c>
      <c r="AD10" s="6">
        <v>0.01</v>
      </c>
      <c r="AE10" s="9">
        <f t="shared" si="5"/>
        <v>9.7589851100000011</v>
      </c>
      <c r="AF10" s="21">
        <v>36321</v>
      </c>
      <c r="AG10" s="6">
        <v>0.05</v>
      </c>
      <c r="AH10" s="22">
        <v>360.3</v>
      </c>
      <c r="AI10" s="6">
        <v>0.01</v>
      </c>
      <c r="AJ10" s="9">
        <f t="shared" si="6"/>
        <v>3.1246956300000002</v>
      </c>
    </row>
    <row r="11" spans="1:36" s="14" customFormat="1" ht="13.8" x14ac:dyDescent="0.25">
      <c r="A11" s="35">
        <v>2010</v>
      </c>
      <c r="B11" s="21">
        <f>79.4*666.67</f>
        <v>52933.597999999998</v>
      </c>
      <c r="C11" s="6">
        <v>0.05</v>
      </c>
      <c r="D11" s="22">
        <v>565</v>
      </c>
      <c r="E11" s="6">
        <v>0.01</v>
      </c>
      <c r="F11" s="9">
        <f t="shared" si="0"/>
        <v>5.6374281869999994</v>
      </c>
      <c r="G11" s="23">
        <f>87.08*666.67</f>
        <v>58053.623599999992</v>
      </c>
      <c r="H11" s="6">
        <v>0.05</v>
      </c>
      <c r="I11" s="22">
        <v>565</v>
      </c>
      <c r="J11" s="11">
        <v>0.01</v>
      </c>
      <c r="K11" s="9">
        <f t="shared" si="1"/>
        <v>6.1827109133999993</v>
      </c>
      <c r="L11" s="21">
        <v>6479</v>
      </c>
      <c r="M11" s="6">
        <v>0.05</v>
      </c>
      <c r="N11" s="22">
        <v>565</v>
      </c>
      <c r="O11" s="6">
        <v>0.01</v>
      </c>
      <c r="P11" s="9">
        <f t="shared" si="2"/>
        <v>0.69001350000000006</v>
      </c>
      <c r="Q11" s="21">
        <v>2298</v>
      </c>
      <c r="R11" s="6">
        <v>0.05</v>
      </c>
      <c r="S11" s="22">
        <v>565</v>
      </c>
      <c r="T11" s="6">
        <v>0.01</v>
      </c>
      <c r="U11" s="9">
        <f t="shared" si="3"/>
        <v>0.24473700000000001</v>
      </c>
      <c r="V11" s="21">
        <v>1513</v>
      </c>
      <c r="W11" s="6">
        <v>0.05</v>
      </c>
      <c r="X11" s="22">
        <v>565</v>
      </c>
      <c r="Y11" s="6">
        <v>0.01</v>
      </c>
      <c r="Z11" s="9">
        <f t="shared" si="4"/>
        <v>0.16113450000000001</v>
      </c>
      <c r="AA11" s="21">
        <f>186.9*666.67</f>
        <v>124600.62299999999</v>
      </c>
      <c r="AB11" s="6">
        <v>0.05</v>
      </c>
      <c r="AC11" s="22">
        <v>565</v>
      </c>
      <c r="AD11" s="6">
        <v>0.01</v>
      </c>
      <c r="AE11" s="9">
        <f t="shared" si="5"/>
        <v>13.269966349499999</v>
      </c>
      <c r="AF11" s="21">
        <f>46.386*666.67</f>
        <v>30924.154620000001</v>
      </c>
      <c r="AG11" s="6">
        <v>0.05</v>
      </c>
      <c r="AH11" s="22">
        <v>565</v>
      </c>
      <c r="AI11" s="6">
        <v>0.01</v>
      </c>
      <c r="AJ11" s="9">
        <f t="shared" si="6"/>
        <v>3.2934224670300001</v>
      </c>
    </row>
    <row r="12" spans="1:36" s="14" customFormat="1" ht="13.8" x14ac:dyDescent="0.25">
      <c r="A12" s="35">
        <v>2013</v>
      </c>
      <c r="B12" s="21">
        <v>52200</v>
      </c>
      <c r="C12" s="6">
        <v>0.05</v>
      </c>
      <c r="D12" s="14">
        <v>319.60000000000002</v>
      </c>
      <c r="E12" s="6">
        <v>0.01</v>
      </c>
      <c r="F12" s="9">
        <f t="shared" si="0"/>
        <v>4.2783119999999997</v>
      </c>
      <c r="G12" s="23">
        <f>101.47*666.67</f>
        <v>67647.0049</v>
      </c>
      <c r="H12" s="6">
        <v>0.05</v>
      </c>
      <c r="I12" s="14">
        <v>319.60000000000002</v>
      </c>
      <c r="J12" s="11">
        <v>0.01</v>
      </c>
      <c r="K12" s="9">
        <f t="shared" si="1"/>
        <v>5.5443485216040003</v>
      </c>
      <c r="L12" s="21">
        <f>7.74*666.67</f>
        <v>5160.0257999999994</v>
      </c>
      <c r="M12" s="6">
        <v>0.05</v>
      </c>
      <c r="N12" s="14">
        <v>319.60000000000002</v>
      </c>
      <c r="O12" s="6">
        <v>0.01</v>
      </c>
      <c r="P12" s="9">
        <f t="shared" si="2"/>
        <v>0.42291571456799998</v>
      </c>
      <c r="Q12" s="21">
        <v>2029</v>
      </c>
      <c r="R12" s="6">
        <v>0.05</v>
      </c>
      <c r="S12" s="14">
        <v>319.60000000000002</v>
      </c>
      <c r="T12" s="6">
        <v>0.01</v>
      </c>
      <c r="U12" s="9">
        <f t="shared" si="3"/>
        <v>0.16629684</v>
      </c>
      <c r="V12" s="21">
        <v>1024</v>
      </c>
      <c r="W12" s="6">
        <v>0.05</v>
      </c>
      <c r="X12" s="14">
        <v>319.60000000000002</v>
      </c>
      <c r="Y12" s="6">
        <v>0.01</v>
      </c>
      <c r="Z12" s="9">
        <f t="shared" si="4"/>
        <v>8.3927040000000008E-2</v>
      </c>
      <c r="AA12" s="21">
        <f>192.14*666.67</f>
        <v>128093.97379999998</v>
      </c>
      <c r="AB12" s="6">
        <v>0.05</v>
      </c>
      <c r="AC12" s="14">
        <v>319.60000000000002</v>
      </c>
      <c r="AD12" s="6">
        <v>0.01</v>
      </c>
      <c r="AE12" s="9">
        <f t="shared" si="5"/>
        <v>10.498582092648</v>
      </c>
      <c r="AF12" s="21">
        <v>25618</v>
      </c>
      <c r="AG12" s="6">
        <v>0.05</v>
      </c>
      <c r="AH12" s="14">
        <v>319.60000000000002</v>
      </c>
      <c r="AI12" s="6">
        <v>0.01</v>
      </c>
      <c r="AJ12" s="9">
        <f t="shared" si="6"/>
        <v>2.0996512800000002</v>
      </c>
    </row>
    <row r="13" spans="1:36" s="14" customFormat="1" ht="13.8" x14ac:dyDescent="0.25">
      <c r="A13" s="36">
        <v>2016</v>
      </c>
      <c r="B13" s="24">
        <f>122.61*666.67</f>
        <v>81740.4087</v>
      </c>
      <c r="C13" s="7">
        <v>0.05</v>
      </c>
      <c r="D13" s="19">
        <v>643.4</v>
      </c>
      <c r="E13" s="7">
        <v>0.01</v>
      </c>
      <c r="F13" s="10">
        <f t="shared" si="0"/>
        <v>9.3461983307579999</v>
      </c>
      <c r="G13" s="25">
        <v>77599</v>
      </c>
      <c r="H13" s="7">
        <v>0.05</v>
      </c>
      <c r="I13" s="19">
        <v>643.4</v>
      </c>
      <c r="J13" s="12">
        <v>0.01</v>
      </c>
      <c r="K13" s="10">
        <f t="shared" si="1"/>
        <v>8.8726696600000015</v>
      </c>
      <c r="L13" s="24">
        <v>6042</v>
      </c>
      <c r="M13" s="7">
        <v>0.05</v>
      </c>
      <c r="N13" s="19">
        <v>643.4</v>
      </c>
      <c r="O13" s="7">
        <v>0.01</v>
      </c>
      <c r="P13" s="10">
        <f t="shared" si="2"/>
        <v>0.69084228000000003</v>
      </c>
      <c r="Q13" s="24">
        <v>757</v>
      </c>
      <c r="R13" s="7">
        <v>0.05</v>
      </c>
      <c r="S13" s="19">
        <v>643.4</v>
      </c>
      <c r="T13" s="7">
        <v>0.01</v>
      </c>
      <c r="U13" s="10">
        <f t="shared" si="3"/>
        <v>8.6555379999999987E-2</v>
      </c>
      <c r="V13" s="24">
        <v>1277</v>
      </c>
      <c r="W13" s="7">
        <v>0.05</v>
      </c>
      <c r="X13" s="19">
        <v>643.4</v>
      </c>
      <c r="Y13" s="7">
        <v>0.01</v>
      </c>
      <c r="Z13" s="10">
        <f t="shared" si="4"/>
        <v>0.14601217999999999</v>
      </c>
      <c r="AA13" s="24">
        <f>84.67*666.67</f>
        <v>56446.948899999996</v>
      </c>
      <c r="AB13" s="7">
        <v>0.05</v>
      </c>
      <c r="AC13" s="19">
        <v>643.4</v>
      </c>
      <c r="AD13" s="7">
        <v>0.01</v>
      </c>
      <c r="AE13" s="10">
        <f t="shared" si="5"/>
        <v>6.4541441372259989</v>
      </c>
      <c r="AF13" s="24">
        <v>21500</v>
      </c>
      <c r="AG13" s="7">
        <v>0.05</v>
      </c>
      <c r="AH13" s="19">
        <v>643.4</v>
      </c>
      <c r="AI13" s="7">
        <v>0.01</v>
      </c>
      <c r="AJ13" s="10">
        <f t="shared" si="6"/>
        <v>2.45831</v>
      </c>
    </row>
    <row r="14" spans="1:36" s="14" customFormat="1" ht="13.8" x14ac:dyDescent="0.25">
      <c r="A14" s="14" t="s">
        <v>96</v>
      </c>
    </row>
    <row r="15" spans="1:36" s="14" customFormat="1" ht="16.8" x14ac:dyDescent="0.25">
      <c r="A15" s="14" t="s">
        <v>93</v>
      </c>
      <c r="B15" s="14" t="s">
        <v>83</v>
      </c>
    </row>
    <row r="16" spans="1:36" s="14" customFormat="1" ht="16.8" x14ac:dyDescent="0.25">
      <c r="A16" s="14" t="s">
        <v>94</v>
      </c>
      <c r="B16" s="14" t="s">
        <v>86</v>
      </c>
    </row>
    <row r="17" spans="1:16" s="14" customFormat="1" ht="16.8" x14ac:dyDescent="0.25">
      <c r="A17" s="14" t="s">
        <v>90</v>
      </c>
      <c r="B17" s="14" t="s">
        <v>87</v>
      </c>
      <c r="I17" s="26"/>
      <c r="J17" s="26"/>
      <c r="K17" s="26"/>
      <c r="L17" s="26"/>
      <c r="M17" s="26"/>
      <c r="N17" s="26"/>
      <c r="O17" s="26"/>
      <c r="P17" s="26"/>
    </row>
    <row r="18" spans="1:16" s="14" customFormat="1" ht="16.8" x14ac:dyDescent="0.25">
      <c r="A18" s="14" t="s">
        <v>91</v>
      </c>
      <c r="B18" s="14" t="s">
        <v>88</v>
      </c>
      <c r="I18" s="26"/>
      <c r="J18" s="26"/>
      <c r="K18" s="26"/>
      <c r="L18" s="26"/>
      <c r="M18" s="26"/>
      <c r="N18" s="26"/>
      <c r="O18" s="26"/>
      <c r="P18" s="26"/>
    </row>
    <row r="19" spans="1:16" s="14" customFormat="1" ht="16.8" x14ac:dyDescent="0.25">
      <c r="A19" s="14" t="s">
        <v>92</v>
      </c>
      <c r="B19" s="14" t="s">
        <v>89</v>
      </c>
      <c r="I19" s="26"/>
      <c r="J19" s="26"/>
      <c r="K19" s="26"/>
      <c r="L19" s="26"/>
      <c r="M19" s="26"/>
      <c r="N19" s="26"/>
      <c r="O19" s="26"/>
      <c r="P19" s="26"/>
    </row>
    <row r="20" spans="1:16" x14ac:dyDescent="0.25">
      <c r="A20" s="5"/>
    </row>
    <row r="21" spans="1:16" x14ac:dyDescent="0.25">
      <c r="A21" s="14"/>
    </row>
    <row r="22" spans="1:16" ht="16.8" x14ac:dyDescent="0.25">
      <c r="A22" s="14" t="s">
        <v>94</v>
      </c>
      <c r="B22" s="14" t="s">
        <v>98</v>
      </c>
    </row>
    <row r="23" spans="1:16" ht="16.8" x14ac:dyDescent="0.25">
      <c r="A23" s="14" t="s">
        <v>90</v>
      </c>
      <c r="B23" s="22" t="s">
        <v>99</v>
      </c>
    </row>
    <row r="24" spans="1:16" ht="16.8" x14ac:dyDescent="0.25">
      <c r="A24" s="14" t="s">
        <v>91</v>
      </c>
      <c r="B24" s="14" t="s">
        <v>98</v>
      </c>
    </row>
    <row r="25" spans="1:16" ht="16.8" x14ac:dyDescent="0.25">
      <c r="A25" s="14" t="s">
        <v>92</v>
      </c>
      <c r="B25" s="22" t="s">
        <v>208</v>
      </c>
    </row>
  </sheetData>
  <mergeCells count="9">
    <mergeCell ref="AA4:AD4"/>
    <mergeCell ref="AF4:AI4"/>
    <mergeCell ref="A1:AJ1"/>
    <mergeCell ref="A4:A5"/>
    <mergeCell ref="B4:E4"/>
    <mergeCell ref="G4:J4"/>
    <mergeCell ref="L4:O4"/>
    <mergeCell ref="Q4:T4"/>
    <mergeCell ref="V4:Y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workbookViewId="0">
      <selection activeCell="B16" sqref="B16:B18"/>
    </sheetView>
  </sheetViews>
  <sheetFormatPr defaultColWidth="10.77734375" defaultRowHeight="14.4" x14ac:dyDescent="0.25"/>
  <sheetData>
    <row r="1" spans="1:43" s="14" customFormat="1" ht="15.6" customHeight="1" x14ac:dyDescent="0.25">
      <c r="A1" s="208" t="s">
        <v>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4" spans="1:43" s="22" customFormat="1" ht="13.8" x14ac:dyDescent="0.25">
      <c r="A4" s="45"/>
      <c r="B4" s="213" t="s">
        <v>126</v>
      </c>
      <c r="C4" s="211"/>
      <c r="D4" s="211"/>
      <c r="E4" s="212"/>
      <c r="F4" s="213" t="s">
        <v>127</v>
      </c>
      <c r="G4" s="211"/>
      <c r="H4" s="211"/>
      <c r="I4" s="212"/>
      <c r="J4" s="213" t="s">
        <v>128</v>
      </c>
      <c r="K4" s="211"/>
      <c r="L4" s="211"/>
      <c r="M4" s="212"/>
      <c r="N4" s="213" t="s">
        <v>129</v>
      </c>
      <c r="O4" s="211"/>
      <c r="P4" s="211"/>
      <c r="Q4" s="212"/>
      <c r="R4" s="213" t="s">
        <v>130</v>
      </c>
      <c r="S4" s="211"/>
      <c r="T4" s="211"/>
      <c r="U4" s="212"/>
      <c r="V4" s="213" t="s">
        <v>131</v>
      </c>
      <c r="W4" s="211"/>
      <c r="X4" s="211"/>
      <c r="Y4" s="212"/>
      <c r="Z4" s="211" t="s">
        <v>155</v>
      </c>
      <c r="AA4" s="211"/>
      <c r="AB4" s="211"/>
      <c r="AC4" s="212"/>
    </row>
    <row r="5" spans="1:43" s="22" customFormat="1" ht="16.8" x14ac:dyDescent="0.25">
      <c r="A5" s="46" t="s">
        <v>100</v>
      </c>
      <c r="B5" s="18" t="s">
        <v>138</v>
      </c>
      <c r="C5" s="33" t="s">
        <v>139</v>
      </c>
      <c r="D5" s="19" t="s">
        <v>140</v>
      </c>
      <c r="E5" s="14" t="s">
        <v>141</v>
      </c>
      <c r="F5" s="18" t="s">
        <v>138</v>
      </c>
      <c r="G5" s="33" t="s">
        <v>139</v>
      </c>
      <c r="H5" s="19" t="s">
        <v>140</v>
      </c>
      <c r="I5" s="14" t="s">
        <v>141</v>
      </c>
      <c r="J5" s="18" t="s">
        <v>138</v>
      </c>
      <c r="K5" s="33" t="s">
        <v>139</v>
      </c>
      <c r="L5" s="19" t="s">
        <v>140</v>
      </c>
      <c r="M5" s="14" t="s">
        <v>141</v>
      </c>
      <c r="N5" s="18" t="s">
        <v>138</v>
      </c>
      <c r="O5" s="33" t="s">
        <v>139</v>
      </c>
      <c r="P5" s="19" t="s">
        <v>140</v>
      </c>
      <c r="Q5" s="14" t="s">
        <v>141</v>
      </c>
      <c r="R5" s="18" t="s">
        <v>138</v>
      </c>
      <c r="S5" s="33" t="s">
        <v>139</v>
      </c>
      <c r="T5" s="19" t="s">
        <v>140</v>
      </c>
      <c r="U5" s="14" t="s">
        <v>141</v>
      </c>
      <c r="V5" s="18" t="s">
        <v>138</v>
      </c>
      <c r="W5" s="33" t="s">
        <v>139</v>
      </c>
      <c r="X5" s="19" t="s">
        <v>140</v>
      </c>
      <c r="Y5" s="14" t="s">
        <v>141</v>
      </c>
      <c r="Z5" s="19" t="s">
        <v>138</v>
      </c>
      <c r="AA5" s="33" t="s">
        <v>139</v>
      </c>
      <c r="AB5" s="19" t="s">
        <v>140</v>
      </c>
      <c r="AC5" s="14" t="s">
        <v>141</v>
      </c>
    </row>
    <row r="6" spans="1:43" s="22" customFormat="1" ht="13.8" x14ac:dyDescent="0.25">
      <c r="A6" s="34">
        <v>1995</v>
      </c>
      <c r="B6" s="47">
        <v>91734</v>
      </c>
      <c r="C6" s="42">
        <v>1.7999999999999999E-2</v>
      </c>
      <c r="D6" s="43">
        <v>5.0000000000000001E-3</v>
      </c>
      <c r="E6" s="48">
        <f>B6*C6*D6*10</f>
        <v>82.560599999999994</v>
      </c>
      <c r="F6" s="47">
        <v>45252</v>
      </c>
      <c r="G6" s="42">
        <v>3.0000000000000001E-3</v>
      </c>
      <c r="H6" s="43">
        <v>4.0000000000000001E-3</v>
      </c>
      <c r="I6" s="48">
        <f>F6*G6*H6*10</f>
        <v>5.4302400000000004</v>
      </c>
      <c r="J6" s="47">
        <v>9523</v>
      </c>
      <c r="K6" s="42">
        <v>5.0000000000000001E-3</v>
      </c>
      <c r="L6" s="43">
        <v>4.0000000000000001E-3</v>
      </c>
      <c r="M6" s="48">
        <f>J6*K6*L6*10</f>
        <v>1.9046000000000003</v>
      </c>
      <c r="N6" s="47">
        <v>60773</v>
      </c>
      <c r="O6" s="42">
        <v>1.2E-2</v>
      </c>
      <c r="P6" s="43">
        <v>6.0000000000000001E-3</v>
      </c>
      <c r="Q6" s="48">
        <f>N6*O6*P6*10</f>
        <v>43.75656</v>
      </c>
      <c r="R6" s="47">
        <v>3918</v>
      </c>
      <c r="S6" s="42">
        <v>1.7000000000000001E-2</v>
      </c>
      <c r="T6" s="43">
        <v>5.0000000000000001E-3</v>
      </c>
      <c r="U6" s="48">
        <f>R6*S6*T6*10</f>
        <v>3.3303000000000003</v>
      </c>
      <c r="V6" s="47">
        <v>29294</v>
      </c>
      <c r="W6" s="42">
        <v>1E-3</v>
      </c>
      <c r="X6" s="43">
        <v>7.7999999999999996E-3</v>
      </c>
      <c r="Y6" s="48">
        <f t="shared" ref="Y6:Y13" si="0">V6*W6*X6*10</f>
        <v>2.284932</v>
      </c>
      <c r="Z6" s="47">
        <v>16082</v>
      </c>
      <c r="AA6" s="42">
        <v>6.0000000000000001E-3</v>
      </c>
      <c r="AB6" s="43">
        <v>1.2999999999999999E-3</v>
      </c>
      <c r="AC6" s="49">
        <f>Z6*AA6*AB6*10</f>
        <v>1.2543960000000001</v>
      </c>
    </row>
    <row r="7" spans="1:43" s="22" customFormat="1" ht="13.8" x14ac:dyDescent="0.25">
      <c r="A7" s="35">
        <v>1998</v>
      </c>
      <c r="B7" s="23" t="s">
        <v>101</v>
      </c>
      <c r="C7" s="37">
        <v>1.7999999999999999E-2</v>
      </c>
      <c r="D7" s="41">
        <v>5.0000000000000001E-3</v>
      </c>
      <c r="E7" s="50">
        <f t="shared" ref="E7:E13" si="1">B7*C7*D7*10</f>
        <v>90.869399999999999</v>
      </c>
      <c r="F7" s="23" t="s">
        <v>102</v>
      </c>
      <c r="G7" s="37">
        <v>3.0000000000000001E-3</v>
      </c>
      <c r="H7" s="41">
        <v>4.0000000000000001E-3</v>
      </c>
      <c r="I7" s="50">
        <f t="shared" ref="I7:I13" si="2">F7*G7*H7*10</f>
        <v>5.4300000000000006</v>
      </c>
      <c r="J7" s="23" t="s">
        <v>103</v>
      </c>
      <c r="K7" s="37">
        <v>5.0000000000000001E-3</v>
      </c>
      <c r="L7" s="41">
        <v>4.0000000000000001E-3</v>
      </c>
      <c r="M7" s="50">
        <f t="shared" ref="M7:M13" si="3">J7*K7*L7*10</f>
        <v>2.9710000000000001</v>
      </c>
      <c r="N7" s="23" t="s">
        <v>104</v>
      </c>
      <c r="O7" s="37">
        <v>1.2E-2</v>
      </c>
      <c r="P7" s="41">
        <v>6.0000000000000001E-3</v>
      </c>
      <c r="Q7" s="50">
        <f t="shared" ref="Q7:Q13" si="4">N7*O7*P7*10</f>
        <v>47.791440000000009</v>
      </c>
      <c r="R7" s="23" t="s">
        <v>105</v>
      </c>
      <c r="S7" s="37">
        <v>1.7000000000000001E-2</v>
      </c>
      <c r="T7" s="41">
        <v>5.0000000000000001E-3</v>
      </c>
      <c r="U7" s="50">
        <f t="shared" ref="U7:U13" si="5">R7*S7*T7*10</f>
        <v>2.7030000000000003</v>
      </c>
      <c r="V7" s="23" t="s">
        <v>106</v>
      </c>
      <c r="W7" s="37">
        <v>1E-3</v>
      </c>
      <c r="X7" s="41">
        <v>7.7999999999999996E-3</v>
      </c>
      <c r="Y7" s="50">
        <f t="shared" si="0"/>
        <v>1.6812119999999999</v>
      </c>
      <c r="Z7" s="23" t="s">
        <v>107</v>
      </c>
      <c r="AA7" s="37">
        <v>6.0000000000000001E-3</v>
      </c>
      <c r="AB7" s="41">
        <v>1.2999999999999999E-3</v>
      </c>
      <c r="AC7" s="51">
        <f t="shared" ref="AC7:AC13" si="6">Z7*AA7*AB7*10</f>
        <v>1.9411080000000001</v>
      </c>
    </row>
    <row r="8" spans="1:43" s="22" customFormat="1" ht="13.8" x14ac:dyDescent="0.25">
      <c r="A8" s="35">
        <v>2001</v>
      </c>
      <c r="B8" s="23" t="s">
        <v>108</v>
      </c>
      <c r="C8" s="37">
        <v>1.7999999999999999E-2</v>
      </c>
      <c r="D8" s="41">
        <v>5.0000000000000001E-3</v>
      </c>
      <c r="E8" s="50">
        <f t="shared" si="1"/>
        <v>70.969499999999996</v>
      </c>
      <c r="F8" s="23" t="s">
        <v>109</v>
      </c>
      <c r="G8" s="37">
        <v>3.0000000000000001E-3</v>
      </c>
      <c r="H8" s="41">
        <v>4.0000000000000001E-3</v>
      </c>
      <c r="I8" s="50">
        <f t="shared" si="2"/>
        <v>5.85168</v>
      </c>
      <c r="J8" s="23" t="s">
        <v>110</v>
      </c>
      <c r="K8" s="37">
        <v>5.0000000000000001E-3</v>
      </c>
      <c r="L8" s="41">
        <v>4.0000000000000001E-3</v>
      </c>
      <c r="M8" s="50">
        <f t="shared" si="3"/>
        <v>2.3834</v>
      </c>
      <c r="N8" s="23" t="s">
        <v>111</v>
      </c>
      <c r="O8" s="37">
        <v>1.2E-2</v>
      </c>
      <c r="P8" s="41">
        <v>6.0000000000000001E-3</v>
      </c>
      <c r="Q8" s="50">
        <f t="shared" si="4"/>
        <v>24.234480000000001</v>
      </c>
      <c r="R8" s="23" t="s">
        <v>112</v>
      </c>
      <c r="S8" s="37">
        <v>1.7000000000000001E-2</v>
      </c>
      <c r="T8" s="41">
        <v>5.0000000000000001E-3</v>
      </c>
      <c r="U8" s="50">
        <f t="shared" si="5"/>
        <v>3.4331500000000004</v>
      </c>
      <c r="V8" s="23" t="s">
        <v>113</v>
      </c>
      <c r="W8" s="37">
        <v>1E-3</v>
      </c>
      <c r="X8" s="41">
        <v>7.7999999999999996E-3</v>
      </c>
      <c r="Y8" s="50">
        <f t="shared" si="0"/>
        <v>3.056508</v>
      </c>
      <c r="Z8" s="23" t="s">
        <v>114</v>
      </c>
      <c r="AA8" s="37">
        <v>6.0000000000000001E-3</v>
      </c>
      <c r="AB8" s="41">
        <v>1.2999999999999999E-3</v>
      </c>
      <c r="AC8" s="51">
        <f t="shared" si="6"/>
        <v>3.1199219999999999</v>
      </c>
    </row>
    <row r="9" spans="1:43" s="22" customFormat="1" ht="13.8" x14ac:dyDescent="0.25">
      <c r="A9" s="35">
        <v>2004</v>
      </c>
      <c r="B9" s="23" t="s">
        <v>115</v>
      </c>
      <c r="C9" s="37">
        <v>1.7999999999999999E-2</v>
      </c>
      <c r="D9" s="41">
        <v>5.0000000000000001E-3</v>
      </c>
      <c r="E9" s="50">
        <f t="shared" si="1"/>
        <v>28.294199999999993</v>
      </c>
      <c r="F9" s="23" t="s">
        <v>116</v>
      </c>
      <c r="G9" s="37">
        <v>3.0000000000000001E-3</v>
      </c>
      <c r="H9" s="41">
        <v>4.0000000000000001E-3</v>
      </c>
      <c r="I9" s="50">
        <f t="shared" si="2"/>
        <v>4.6463999999999999</v>
      </c>
      <c r="J9" s="23" t="s">
        <v>117</v>
      </c>
      <c r="K9" s="37">
        <v>5.0000000000000001E-3</v>
      </c>
      <c r="L9" s="41">
        <v>4.0000000000000001E-3</v>
      </c>
      <c r="M9" s="50">
        <f t="shared" si="3"/>
        <v>0.90180000000000016</v>
      </c>
      <c r="N9" s="23" t="s">
        <v>118</v>
      </c>
      <c r="O9" s="37">
        <v>1.2E-2</v>
      </c>
      <c r="P9" s="41">
        <v>6.0000000000000001E-3</v>
      </c>
      <c r="Q9" s="50">
        <f t="shared" si="4"/>
        <v>5.4669599999999994</v>
      </c>
      <c r="R9" s="23" t="s">
        <v>119</v>
      </c>
      <c r="S9" s="37">
        <v>1.7000000000000001E-2</v>
      </c>
      <c r="T9" s="41">
        <v>5.0000000000000001E-3</v>
      </c>
      <c r="U9" s="50">
        <f t="shared" si="5"/>
        <v>1.4943</v>
      </c>
      <c r="V9" s="23" t="s">
        <v>120</v>
      </c>
      <c r="W9" s="37">
        <v>1E-3</v>
      </c>
      <c r="X9" s="41">
        <v>7.7999999999999996E-3</v>
      </c>
      <c r="Y9" s="50">
        <f t="shared" si="0"/>
        <v>7.7010180000000004</v>
      </c>
      <c r="Z9" s="23" t="s">
        <v>121</v>
      </c>
      <c r="AA9" s="37">
        <v>6.0000000000000001E-3</v>
      </c>
      <c r="AB9" s="41">
        <v>1.2999999999999999E-3</v>
      </c>
      <c r="AC9" s="51">
        <f t="shared" si="6"/>
        <v>2.7350699999999999</v>
      </c>
    </row>
    <row r="10" spans="1:43" s="22" customFormat="1" ht="13.8" x14ac:dyDescent="0.25">
      <c r="A10" s="35">
        <v>2007</v>
      </c>
      <c r="B10" s="23">
        <v>43831</v>
      </c>
      <c r="C10" s="37">
        <v>1.7999999999999999E-2</v>
      </c>
      <c r="D10" s="41">
        <v>5.0000000000000001E-3</v>
      </c>
      <c r="E10" s="50">
        <f t="shared" si="1"/>
        <v>39.447899999999997</v>
      </c>
      <c r="F10" s="23">
        <v>51187</v>
      </c>
      <c r="G10" s="37">
        <v>3.0000000000000001E-3</v>
      </c>
      <c r="H10" s="41">
        <v>4.0000000000000001E-3</v>
      </c>
      <c r="I10" s="50">
        <f t="shared" si="2"/>
        <v>6.1424400000000006</v>
      </c>
      <c r="J10" s="23">
        <v>5963</v>
      </c>
      <c r="K10" s="37">
        <v>5.0000000000000001E-3</v>
      </c>
      <c r="L10" s="41">
        <v>4.0000000000000001E-3</v>
      </c>
      <c r="M10" s="50">
        <f t="shared" si="3"/>
        <v>1.1926000000000001</v>
      </c>
      <c r="N10" s="23">
        <v>4378</v>
      </c>
      <c r="O10" s="37">
        <v>1.2E-2</v>
      </c>
      <c r="P10" s="41">
        <v>6.0000000000000001E-3</v>
      </c>
      <c r="Q10" s="50">
        <f t="shared" si="4"/>
        <v>3.1521599999999999</v>
      </c>
      <c r="R10" s="23">
        <v>1852</v>
      </c>
      <c r="S10" s="37">
        <v>1.7000000000000001E-2</v>
      </c>
      <c r="T10" s="41">
        <v>5.0000000000000001E-3</v>
      </c>
      <c r="U10" s="50">
        <f t="shared" si="5"/>
        <v>1.5742</v>
      </c>
      <c r="V10" s="23">
        <v>113437</v>
      </c>
      <c r="W10" s="37">
        <v>1E-3</v>
      </c>
      <c r="X10" s="41">
        <v>7.7999999999999996E-3</v>
      </c>
      <c r="Y10" s="50">
        <f t="shared" si="0"/>
        <v>8.8480859999999986</v>
      </c>
      <c r="Z10" s="23">
        <v>36321</v>
      </c>
      <c r="AA10" s="37">
        <v>6.0000000000000001E-3</v>
      </c>
      <c r="AB10" s="41">
        <v>1.2999999999999999E-3</v>
      </c>
      <c r="AC10" s="51">
        <f t="shared" si="6"/>
        <v>2.8330380000000002</v>
      </c>
    </row>
    <row r="11" spans="1:43" s="22" customFormat="1" ht="13.8" x14ac:dyDescent="0.25">
      <c r="A11" s="35">
        <v>2010</v>
      </c>
      <c r="B11" s="23">
        <f>79.4*666.67</f>
        <v>52933.597999999998</v>
      </c>
      <c r="C11" s="37">
        <v>1.7999999999999999E-2</v>
      </c>
      <c r="D11" s="41">
        <v>5.0000000000000001E-3</v>
      </c>
      <c r="E11" s="50">
        <f t="shared" si="1"/>
        <v>47.640238199999992</v>
      </c>
      <c r="F11" s="23">
        <f>87.08*666.67</f>
        <v>58053.623599999992</v>
      </c>
      <c r="G11" s="37">
        <v>3.0000000000000001E-3</v>
      </c>
      <c r="H11" s="41">
        <v>4.0000000000000001E-3</v>
      </c>
      <c r="I11" s="50">
        <f t="shared" si="2"/>
        <v>6.9664348319999991</v>
      </c>
      <c r="J11" s="23">
        <v>6479</v>
      </c>
      <c r="K11" s="37">
        <v>5.0000000000000001E-3</v>
      </c>
      <c r="L11" s="41">
        <v>4.0000000000000001E-3</v>
      </c>
      <c r="M11" s="50">
        <f t="shared" si="3"/>
        <v>1.2958000000000003</v>
      </c>
      <c r="N11" s="23">
        <v>2298</v>
      </c>
      <c r="O11" s="37">
        <v>1.2E-2</v>
      </c>
      <c r="P11" s="41">
        <v>6.0000000000000001E-3</v>
      </c>
      <c r="Q11" s="50">
        <f t="shared" si="4"/>
        <v>1.6545600000000003</v>
      </c>
      <c r="R11" s="23">
        <v>1513</v>
      </c>
      <c r="S11" s="37">
        <v>1.7000000000000001E-2</v>
      </c>
      <c r="T11" s="41">
        <v>5.0000000000000001E-3</v>
      </c>
      <c r="U11" s="50">
        <f t="shared" si="5"/>
        <v>1.2860499999999999</v>
      </c>
      <c r="V11" s="23">
        <f>186.9*666.67</f>
        <v>124600.62299999999</v>
      </c>
      <c r="W11" s="37">
        <v>1E-3</v>
      </c>
      <c r="X11" s="41">
        <v>7.7999999999999996E-3</v>
      </c>
      <c r="Y11" s="50">
        <f t="shared" si="0"/>
        <v>9.7188485939999989</v>
      </c>
      <c r="Z11" s="23">
        <f>46.386*666.67</f>
        <v>30924.154620000001</v>
      </c>
      <c r="AA11" s="37">
        <v>6.0000000000000001E-3</v>
      </c>
      <c r="AB11" s="41">
        <v>1.2999999999999999E-3</v>
      </c>
      <c r="AC11" s="51">
        <f t="shared" si="6"/>
        <v>2.4120840603599998</v>
      </c>
    </row>
    <row r="12" spans="1:43" s="22" customFormat="1" ht="13.8" x14ac:dyDescent="0.25">
      <c r="A12" s="35">
        <v>2013</v>
      </c>
      <c r="B12" s="23">
        <v>52200</v>
      </c>
      <c r="C12" s="37">
        <v>1.7999999999999999E-2</v>
      </c>
      <c r="D12" s="41">
        <v>5.0000000000000001E-3</v>
      </c>
      <c r="E12" s="50">
        <f t="shared" si="1"/>
        <v>46.98</v>
      </c>
      <c r="F12" s="23">
        <f>101.47*666.67</f>
        <v>67647.0049</v>
      </c>
      <c r="G12" s="37">
        <v>3.0000000000000001E-3</v>
      </c>
      <c r="H12" s="41">
        <v>4.0000000000000001E-3</v>
      </c>
      <c r="I12" s="50">
        <f t="shared" si="2"/>
        <v>8.1176405880000004</v>
      </c>
      <c r="J12" s="23">
        <f>7.74*666.67</f>
        <v>5160.0257999999994</v>
      </c>
      <c r="K12" s="37">
        <v>5.0000000000000001E-3</v>
      </c>
      <c r="L12" s="41">
        <v>4.0000000000000001E-3</v>
      </c>
      <c r="M12" s="50">
        <f t="shared" si="3"/>
        <v>1.03200516</v>
      </c>
      <c r="N12" s="23">
        <v>2029</v>
      </c>
      <c r="O12" s="37">
        <v>1.2E-2</v>
      </c>
      <c r="P12" s="41">
        <v>6.0000000000000001E-3</v>
      </c>
      <c r="Q12" s="50">
        <f t="shared" si="4"/>
        <v>1.46088</v>
      </c>
      <c r="R12" s="23">
        <v>1024</v>
      </c>
      <c r="S12" s="37">
        <v>1.7000000000000001E-2</v>
      </c>
      <c r="T12" s="41">
        <v>5.0000000000000001E-3</v>
      </c>
      <c r="U12" s="50">
        <f t="shared" si="5"/>
        <v>0.87040000000000006</v>
      </c>
      <c r="V12" s="23">
        <f>192.14*666.67</f>
        <v>128093.97379999998</v>
      </c>
      <c r="W12" s="37">
        <v>1E-3</v>
      </c>
      <c r="X12" s="41">
        <v>7.7999999999999996E-3</v>
      </c>
      <c r="Y12" s="50">
        <f t="shared" si="0"/>
        <v>9.9913299563999978</v>
      </c>
      <c r="Z12" s="23">
        <v>25618</v>
      </c>
      <c r="AA12" s="37">
        <v>6.0000000000000001E-3</v>
      </c>
      <c r="AB12" s="41">
        <v>1.2999999999999999E-3</v>
      </c>
      <c r="AC12" s="51">
        <f t="shared" si="6"/>
        <v>1.9982039999999999</v>
      </c>
    </row>
    <row r="13" spans="1:43" s="22" customFormat="1" ht="13.8" x14ac:dyDescent="0.25">
      <c r="A13" s="36">
        <v>2016</v>
      </c>
      <c r="B13" s="25">
        <f>122.61*666.67</f>
        <v>81740.4087</v>
      </c>
      <c r="C13" s="38">
        <v>1.7999999999999999E-2</v>
      </c>
      <c r="D13" s="44">
        <v>5.0000000000000001E-3</v>
      </c>
      <c r="E13" s="52">
        <f t="shared" si="1"/>
        <v>73.56636782999999</v>
      </c>
      <c r="F13" s="25">
        <v>77599</v>
      </c>
      <c r="G13" s="38">
        <v>3.0000000000000001E-3</v>
      </c>
      <c r="H13" s="44">
        <v>4.0000000000000001E-3</v>
      </c>
      <c r="I13" s="52">
        <f t="shared" si="2"/>
        <v>9.3118800000000004</v>
      </c>
      <c r="J13" s="25">
        <v>6042</v>
      </c>
      <c r="K13" s="38">
        <v>5.0000000000000001E-3</v>
      </c>
      <c r="L13" s="44">
        <v>4.0000000000000001E-3</v>
      </c>
      <c r="M13" s="52">
        <f t="shared" si="3"/>
        <v>1.2084000000000001</v>
      </c>
      <c r="N13" s="25">
        <v>757</v>
      </c>
      <c r="O13" s="38">
        <v>1.2E-2</v>
      </c>
      <c r="P13" s="44">
        <v>6.0000000000000001E-3</v>
      </c>
      <c r="Q13" s="52">
        <f t="shared" si="4"/>
        <v>0.54503999999999997</v>
      </c>
      <c r="R13" s="25">
        <v>1277</v>
      </c>
      <c r="S13" s="38">
        <v>1.7000000000000001E-2</v>
      </c>
      <c r="T13" s="44">
        <v>5.0000000000000001E-3</v>
      </c>
      <c r="U13" s="52">
        <f t="shared" si="5"/>
        <v>1.0854500000000002</v>
      </c>
      <c r="V13" s="25">
        <f>84.67*666.67</f>
        <v>56446.948899999996</v>
      </c>
      <c r="W13" s="38">
        <v>1E-3</v>
      </c>
      <c r="X13" s="44">
        <v>7.7999999999999996E-3</v>
      </c>
      <c r="Y13" s="52">
        <f t="shared" si="0"/>
        <v>4.4028620142000001</v>
      </c>
      <c r="Z13" s="25">
        <v>21500</v>
      </c>
      <c r="AA13" s="38">
        <v>6.0000000000000001E-3</v>
      </c>
      <c r="AB13" s="44">
        <v>1.2999999999999999E-3</v>
      </c>
      <c r="AC13" s="53">
        <f t="shared" si="6"/>
        <v>1.6769999999999998</v>
      </c>
    </row>
    <row r="15" spans="1:43" s="33" customFormat="1" ht="17.399999999999999" x14ac:dyDescent="0.3">
      <c r="A15" s="14" t="s">
        <v>133</v>
      </c>
      <c r="B15" s="8" t="s">
        <v>125</v>
      </c>
    </row>
    <row r="16" spans="1:43" s="33" customFormat="1" ht="17.399999999999999" x14ac:dyDescent="0.3">
      <c r="A16" s="33" t="s">
        <v>134</v>
      </c>
      <c r="B16" s="39" t="s">
        <v>122</v>
      </c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</row>
    <row r="17" spans="1:43" s="33" customFormat="1" ht="16.8" x14ac:dyDescent="0.25">
      <c r="A17" s="33" t="s">
        <v>136</v>
      </c>
      <c r="B17" s="33" t="s">
        <v>123</v>
      </c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</row>
    <row r="18" spans="1:43" s="33" customFormat="1" ht="16.8" x14ac:dyDescent="0.25">
      <c r="A18" s="33" t="s">
        <v>135</v>
      </c>
      <c r="B18" s="33" t="s">
        <v>124</v>
      </c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x14ac:dyDescent="0.25"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</row>
    <row r="20" spans="1:43" ht="16.8" x14ac:dyDescent="0.25">
      <c r="A20" s="33" t="s">
        <v>134</v>
      </c>
      <c r="B20" s="14" t="s">
        <v>98</v>
      </c>
    </row>
    <row r="21" spans="1:43" ht="16.8" x14ac:dyDescent="0.25">
      <c r="A21" s="33" t="s">
        <v>136</v>
      </c>
      <c r="B21" s="22" t="s">
        <v>137</v>
      </c>
    </row>
    <row r="22" spans="1:43" ht="16.8" x14ac:dyDescent="0.25">
      <c r="A22" s="33" t="s">
        <v>135</v>
      </c>
      <c r="B22" s="22" t="s">
        <v>99</v>
      </c>
    </row>
  </sheetData>
  <mergeCells count="8">
    <mergeCell ref="Z4:AC4"/>
    <mergeCell ref="A1:AJ1"/>
    <mergeCell ref="B4:E4"/>
    <mergeCell ref="F4:I4"/>
    <mergeCell ref="J4:M4"/>
    <mergeCell ref="N4:Q4"/>
    <mergeCell ref="R4:U4"/>
    <mergeCell ref="V4:Y4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"/>
  <sheetViews>
    <sheetView workbookViewId="0">
      <selection activeCell="B17" sqref="B17:B20"/>
    </sheetView>
  </sheetViews>
  <sheetFormatPr defaultRowHeight="14.4" x14ac:dyDescent="0.25"/>
  <cols>
    <col min="1" max="2" width="9.5546875" bestFit="1" customWidth="1"/>
    <col min="3" max="3" width="10.5546875" bestFit="1" customWidth="1"/>
    <col min="4" max="4" width="9" bestFit="1" customWidth="1"/>
    <col min="5" max="5" width="9.5546875" bestFit="1" customWidth="1"/>
    <col min="6" max="6" width="9" bestFit="1" customWidth="1"/>
    <col min="7" max="8" width="9.5546875" bestFit="1" customWidth="1"/>
    <col min="9" max="9" width="9" bestFit="1" customWidth="1"/>
    <col min="10" max="10" width="9.5546875" bestFit="1" customWidth="1"/>
    <col min="11" max="16" width="9" bestFit="1" customWidth="1"/>
    <col min="17" max="18" width="9.5546875" bestFit="1" customWidth="1"/>
    <col min="19" max="19" width="9" bestFit="1" customWidth="1"/>
    <col min="20" max="20" width="9.5546875" bestFit="1" customWidth="1"/>
    <col min="21" max="26" width="9" bestFit="1" customWidth="1"/>
    <col min="27" max="27" width="9.5546875" bestFit="1" customWidth="1"/>
    <col min="28" max="28" width="10.5546875" bestFit="1" customWidth="1"/>
    <col min="29" max="29" width="9" bestFit="1" customWidth="1"/>
    <col min="30" max="30" width="10.5546875" bestFit="1" customWidth="1"/>
    <col min="31" max="31" width="9" bestFit="1" customWidth="1"/>
    <col min="32" max="33" width="9.5546875" bestFit="1" customWidth="1"/>
    <col min="34" max="34" width="9" bestFit="1" customWidth="1"/>
    <col min="35" max="35" width="9.5546875" bestFit="1" customWidth="1"/>
    <col min="36" max="36" width="9" bestFit="1" customWidth="1"/>
  </cols>
  <sheetData>
    <row r="1" spans="1:36" x14ac:dyDescent="0.25">
      <c r="A1" s="208" t="s">
        <v>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2" spans="1:36" s="33" customFormat="1" ht="13.8" x14ac:dyDescent="0.25"/>
    <row r="3" spans="1:36" s="33" customFormat="1" thickBot="1" x14ac:dyDescent="0.3"/>
    <row r="4" spans="1:36" s="61" customFormat="1" thickBot="1" x14ac:dyDescent="0.3">
      <c r="A4" s="66" t="s">
        <v>142</v>
      </c>
      <c r="B4" s="214" t="s">
        <v>126</v>
      </c>
      <c r="C4" s="215"/>
      <c r="D4" s="215"/>
      <c r="E4" s="215"/>
      <c r="F4" s="216"/>
      <c r="G4" s="214" t="s">
        <v>150</v>
      </c>
      <c r="H4" s="215"/>
      <c r="I4" s="215"/>
      <c r="J4" s="215"/>
      <c r="K4" s="216"/>
      <c r="L4" s="215" t="s">
        <v>151</v>
      </c>
      <c r="M4" s="215"/>
      <c r="N4" s="215"/>
      <c r="O4" s="215"/>
      <c r="P4" s="216"/>
      <c r="Q4" s="214" t="s">
        <v>152</v>
      </c>
      <c r="R4" s="215"/>
      <c r="S4" s="215"/>
      <c r="T4" s="215"/>
      <c r="U4" s="216"/>
      <c r="V4" s="214" t="s">
        <v>153</v>
      </c>
      <c r="W4" s="215"/>
      <c r="X4" s="215"/>
      <c r="Y4" s="215"/>
      <c r="Z4" s="216"/>
      <c r="AA4" s="214" t="s">
        <v>154</v>
      </c>
      <c r="AB4" s="215"/>
      <c r="AC4" s="215"/>
      <c r="AD4" s="215"/>
      <c r="AE4" s="216"/>
      <c r="AF4" s="214" t="s">
        <v>155</v>
      </c>
      <c r="AG4" s="215"/>
      <c r="AH4" s="215"/>
      <c r="AI4" s="215"/>
      <c r="AJ4" s="216"/>
    </row>
    <row r="5" spans="1:36" s="62" customFormat="1" ht="17.399999999999999" thickBot="1" x14ac:dyDescent="0.3">
      <c r="A5" s="67"/>
      <c r="B5" s="68" t="s">
        <v>147</v>
      </c>
      <c r="C5" s="69" t="s">
        <v>162</v>
      </c>
      <c r="D5" s="69" t="s">
        <v>145</v>
      </c>
      <c r="E5" s="69" t="s">
        <v>163</v>
      </c>
      <c r="F5" s="70" t="s">
        <v>164</v>
      </c>
      <c r="G5" s="68" t="s">
        <v>147</v>
      </c>
      <c r="H5" s="69" t="s">
        <v>162</v>
      </c>
      <c r="I5" s="69" t="s">
        <v>145</v>
      </c>
      <c r="J5" s="69" t="s">
        <v>163</v>
      </c>
      <c r="K5" s="70" t="s">
        <v>164</v>
      </c>
      <c r="L5" s="79" t="s">
        <v>147</v>
      </c>
      <c r="M5" s="80" t="s">
        <v>162</v>
      </c>
      <c r="N5" s="80" t="s">
        <v>145</v>
      </c>
      <c r="O5" s="80" t="s">
        <v>163</v>
      </c>
      <c r="P5" s="81" t="s">
        <v>164</v>
      </c>
      <c r="Q5" s="79" t="s">
        <v>147</v>
      </c>
      <c r="R5" s="80" t="s">
        <v>162</v>
      </c>
      <c r="S5" s="80" t="s">
        <v>145</v>
      </c>
      <c r="T5" s="80" t="s">
        <v>163</v>
      </c>
      <c r="U5" s="81" t="s">
        <v>164</v>
      </c>
      <c r="V5" s="79" t="s">
        <v>147</v>
      </c>
      <c r="W5" s="80" t="s">
        <v>162</v>
      </c>
      <c r="X5" s="80" t="s">
        <v>145</v>
      </c>
      <c r="Y5" s="80" t="s">
        <v>163</v>
      </c>
      <c r="Z5" s="81" t="s">
        <v>164</v>
      </c>
      <c r="AA5" s="79" t="s">
        <v>147</v>
      </c>
      <c r="AB5" s="80" t="s">
        <v>162</v>
      </c>
      <c r="AC5" s="80" t="s">
        <v>145</v>
      </c>
      <c r="AD5" s="80" t="s">
        <v>163</v>
      </c>
      <c r="AE5" s="81" t="s">
        <v>164</v>
      </c>
      <c r="AF5" s="79" t="s">
        <v>147</v>
      </c>
      <c r="AG5" s="80" t="s">
        <v>162</v>
      </c>
      <c r="AH5" s="80" t="s">
        <v>145</v>
      </c>
      <c r="AI5" s="80" t="s">
        <v>163</v>
      </c>
      <c r="AJ5" s="81" t="s">
        <v>164</v>
      </c>
    </row>
    <row r="6" spans="1:36" s="62" customFormat="1" ht="13.8" x14ac:dyDescent="0.25">
      <c r="A6" s="71">
        <v>1995</v>
      </c>
      <c r="B6" s="82">
        <f t="shared" ref="B6:B13" si="0">C6*D6+E6*F6</f>
        <v>2806.1841875990985</v>
      </c>
      <c r="C6" s="74">
        <v>8593.5535047242356</v>
      </c>
      <c r="D6" s="75">
        <v>0.1171</v>
      </c>
      <c r="E6" s="76">
        <v>4122.489858442259</v>
      </c>
      <c r="F6" s="77">
        <v>0.43659999999999999</v>
      </c>
      <c r="G6" s="82">
        <f>H6*I6+J6*K6</f>
        <v>1011.9743774997811</v>
      </c>
      <c r="H6" s="74">
        <v>1059.7910349373765</v>
      </c>
      <c r="I6" s="75">
        <v>0.1171</v>
      </c>
      <c r="J6" s="74">
        <v>2033.6070712519795</v>
      </c>
      <c r="K6" s="77">
        <v>0.43659999999999999</v>
      </c>
      <c r="L6" s="82">
        <f>M6*N6+O6*P6</f>
        <v>239.08005986345123</v>
      </c>
      <c r="M6" s="74">
        <v>446.0527722844796</v>
      </c>
      <c r="N6" s="75">
        <v>0.1171</v>
      </c>
      <c r="O6" s="76">
        <v>427.95987226051005</v>
      </c>
      <c r="P6" s="77">
        <v>0.43659999999999999</v>
      </c>
      <c r="Q6" s="82">
        <f>R6*S6+T6*U6</f>
        <v>2718.14367735323</v>
      </c>
      <c r="R6" s="74">
        <v>2846.5782978100051</v>
      </c>
      <c r="S6" s="75">
        <v>0.1171</v>
      </c>
      <c r="T6" s="76">
        <v>5462.229406045989</v>
      </c>
      <c r="U6" s="77">
        <v>0.43659999999999999</v>
      </c>
      <c r="V6" s="82">
        <f>W6*X6+Y6*Z6</f>
        <v>98.363506725296858</v>
      </c>
      <c r="W6" s="74">
        <v>183.51724895627333</v>
      </c>
      <c r="X6" s="75">
        <v>0.1171</v>
      </c>
      <c r="Y6" s="76">
        <v>176.07337808638857</v>
      </c>
      <c r="Z6" s="77">
        <v>0.43659999999999999</v>
      </c>
      <c r="AA6" s="82">
        <f>AB6*AC6+AD6*AE6</f>
        <v>1470.8833925527545</v>
      </c>
      <c r="AB6" s="74">
        <v>2744.2339412583315</v>
      </c>
      <c r="AC6" s="75">
        <v>0.1171</v>
      </c>
      <c r="AD6" s="76">
        <v>2632.9216629212183</v>
      </c>
      <c r="AE6" s="77">
        <v>0.43659999999999999</v>
      </c>
      <c r="AF6" s="82">
        <f>AG6*AH6+AI6*AJ6</f>
        <v>403.7472984063869</v>
      </c>
      <c r="AG6" s="74">
        <v>753.27320002929753</v>
      </c>
      <c r="AH6" s="75">
        <v>0.1171</v>
      </c>
      <c r="AI6" s="76">
        <v>722.71875099165413</v>
      </c>
      <c r="AJ6" s="77">
        <v>0.43659999999999999</v>
      </c>
    </row>
    <row r="7" spans="1:36" s="62" customFormat="1" ht="13.8" x14ac:dyDescent="0.25">
      <c r="A7" s="72">
        <v>1998</v>
      </c>
      <c r="B7" s="83">
        <f t="shared" si="0"/>
        <v>3522.4687702783945</v>
      </c>
      <c r="C7" s="63">
        <v>11855.696776606723</v>
      </c>
      <c r="D7" s="57">
        <v>0.1171</v>
      </c>
      <c r="E7" s="64">
        <v>4888.150888084625</v>
      </c>
      <c r="F7" s="58">
        <v>0.43659999999999999</v>
      </c>
      <c r="G7" s="83">
        <f t="shared" ref="G7:G13" si="1">H7*I7+J7*K7</f>
        <v>1112.0199828605585</v>
      </c>
      <c r="H7" s="63">
        <v>1328.343895820014</v>
      </c>
      <c r="I7" s="57">
        <v>0.1171</v>
      </c>
      <c r="J7" s="63">
        <v>2190.72586500237</v>
      </c>
      <c r="K7" s="58">
        <v>0.43659999999999999</v>
      </c>
      <c r="L7" s="83">
        <f t="shared" ref="L7:L13" si="2">M7*N7+O7*P7</f>
        <v>416.12681288889223</v>
      </c>
      <c r="M7" s="63">
        <v>872.15684297928442</v>
      </c>
      <c r="N7" s="57">
        <v>0.1171</v>
      </c>
      <c r="O7" s="64">
        <v>719.18746352729738</v>
      </c>
      <c r="P7" s="58">
        <v>0.43659999999999999</v>
      </c>
      <c r="Q7" s="83">
        <f t="shared" ref="Q7:Q13" si="3">R7*S7+T7*U7</f>
        <v>3262.4331669540452</v>
      </c>
      <c r="R7" s="63">
        <v>3897.0821115069648</v>
      </c>
      <c r="S7" s="57">
        <v>0.1171</v>
      </c>
      <c r="T7" s="64">
        <v>6427.1297565198811</v>
      </c>
      <c r="U7" s="58">
        <v>0.43659999999999999</v>
      </c>
      <c r="V7" s="83">
        <f t="shared" ref="V7:V13" si="4">W7*X7+Y7*Z7</f>
        <v>89.079990911253944</v>
      </c>
      <c r="W7" s="63">
        <v>186.70203706995116</v>
      </c>
      <c r="X7" s="57">
        <v>0.1171</v>
      </c>
      <c r="Y7" s="64">
        <v>153.95598344105053</v>
      </c>
      <c r="Z7" s="58">
        <v>0.43659999999999999</v>
      </c>
      <c r="AA7" s="83">
        <f t="shared" ref="AA7:AA13" si="5">AB7*AC7+AD7*AE7</f>
        <v>1207.5661157868976</v>
      </c>
      <c r="AB7" s="63">
        <v>2530.9281176136647</v>
      </c>
      <c r="AC7" s="57">
        <v>0.1171</v>
      </c>
      <c r="AD7" s="64">
        <v>2087.0234384203791</v>
      </c>
      <c r="AE7" s="58">
        <v>0.43659999999999999</v>
      </c>
      <c r="AF7" s="83">
        <f t="shared" ref="AF7:AF13" si="6">AG7*AH7+AI7*AJ7</f>
        <v>697.1209603199577</v>
      </c>
      <c r="AG7" s="63">
        <v>1461.0902184033976</v>
      </c>
      <c r="AH7" s="57">
        <v>0.1171</v>
      </c>
      <c r="AI7" s="64">
        <v>1204.8266050043974</v>
      </c>
      <c r="AJ7" s="58">
        <v>0.43659999999999999</v>
      </c>
    </row>
    <row r="8" spans="1:36" s="62" customFormat="1" ht="13.8" x14ac:dyDescent="0.25">
      <c r="A8" s="72">
        <v>2001</v>
      </c>
      <c r="B8" s="83">
        <f t="shared" si="0"/>
        <v>3263.2541504050946</v>
      </c>
      <c r="C8" s="63">
        <v>11665.236718674123</v>
      </c>
      <c r="D8" s="57">
        <v>0.1171</v>
      </c>
      <c r="E8" s="64">
        <v>4345.5220582875745</v>
      </c>
      <c r="F8" s="58">
        <v>0.43659999999999999</v>
      </c>
      <c r="G8" s="83">
        <f t="shared" si="1"/>
        <v>1384.4478590601839</v>
      </c>
      <c r="H8" s="63">
        <v>1803.4481115637086</v>
      </c>
      <c r="I8" s="57">
        <v>0.1171</v>
      </c>
      <c r="J8" s="63">
        <v>2687.274588172409</v>
      </c>
      <c r="K8" s="58">
        <v>0.43659999999999999</v>
      </c>
      <c r="L8" s="83">
        <f t="shared" si="2"/>
        <v>389.94221494460697</v>
      </c>
      <c r="M8" s="63">
        <v>881.45726952279199</v>
      </c>
      <c r="N8" s="57">
        <v>0.1171</v>
      </c>
      <c r="O8" s="64">
        <v>656.71912204188743</v>
      </c>
      <c r="P8" s="58">
        <v>0.43659999999999999</v>
      </c>
      <c r="Q8" s="83">
        <f t="shared" si="3"/>
        <v>1911.2103391069941</v>
      </c>
      <c r="R8" s="63">
        <v>2489.6341558167037</v>
      </c>
      <c r="S8" s="57">
        <v>0.1171</v>
      </c>
      <c r="T8" s="64">
        <v>3709.7438833276642</v>
      </c>
      <c r="U8" s="58">
        <v>0.43659999999999999</v>
      </c>
      <c r="V8" s="83">
        <f t="shared" si="4"/>
        <v>132.16217220452023</v>
      </c>
      <c r="W8" s="63">
        <v>298.75018138814778</v>
      </c>
      <c r="X8" s="57">
        <v>0.1171</v>
      </c>
      <c r="Y8" s="64">
        <v>222.58022437922153</v>
      </c>
      <c r="Z8" s="58">
        <v>0.43659999999999999</v>
      </c>
      <c r="AA8" s="83">
        <f t="shared" si="5"/>
        <v>2564.4500519962021</v>
      </c>
      <c r="AB8" s="63">
        <v>5796.892601077474</v>
      </c>
      <c r="AC8" s="57">
        <v>0.1171</v>
      </c>
      <c r="AD8" s="64">
        <v>4318.905012391273</v>
      </c>
      <c r="AE8" s="58">
        <v>0.43659999999999999</v>
      </c>
      <c r="AF8" s="83">
        <f t="shared" si="6"/>
        <v>1308.8276122823977</v>
      </c>
      <c r="AG8" s="63">
        <v>2958.5809619570496</v>
      </c>
      <c r="AH8" s="57">
        <v>0.1171</v>
      </c>
      <c r="AI8" s="64">
        <v>2204.2551113999707</v>
      </c>
      <c r="AJ8" s="58">
        <v>0.43659999999999999</v>
      </c>
    </row>
    <row r="9" spans="1:36" s="62" customFormat="1" ht="13.8" x14ac:dyDescent="0.25">
      <c r="A9" s="72">
        <v>2004</v>
      </c>
      <c r="B9" s="83">
        <f t="shared" si="0"/>
        <v>1728.7258253505447</v>
      </c>
      <c r="C9" s="64">
        <v>6754.3919689127051</v>
      </c>
      <c r="D9" s="57">
        <v>0.1171</v>
      </c>
      <c r="E9" s="64">
        <v>2147.9306591636896</v>
      </c>
      <c r="F9" s="58">
        <v>0.43659999999999999</v>
      </c>
      <c r="G9" s="83">
        <f t="shared" si="1"/>
        <v>1398.5427412163638</v>
      </c>
      <c r="H9" s="63">
        <v>2079.7288077827784</v>
      </c>
      <c r="I9" s="57">
        <v>0.1171</v>
      </c>
      <c r="J9" s="63">
        <v>2645.4569350091629</v>
      </c>
      <c r="K9" s="58">
        <v>0.43659999999999999</v>
      </c>
      <c r="L9" s="83">
        <f t="shared" si="2"/>
        <v>191.22247266519219</v>
      </c>
      <c r="M9" s="63">
        <v>484.37485507709442</v>
      </c>
      <c r="N9" s="57">
        <v>0.1171</v>
      </c>
      <c r="O9" s="64">
        <v>308.06728615589657</v>
      </c>
      <c r="P9" s="58">
        <v>0.43659999999999999</v>
      </c>
      <c r="Q9" s="83">
        <f t="shared" si="3"/>
        <v>548.50904101528158</v>
      </c>
      <c r="R9" s="63">
        <v>815.67049780447508</v>
      </c>
      <c r="S9" s="57">
        <v>0.1171</v>
      </c>
      <c r="T9" s="64">
        <v>1037.5493030746163</v>
      </c>
      <c r="U9" s="58">
        <v>0.43659999999999999</v>
      </c>
      <c r="V9" s="83">
        <f t="shared" si="4"/>
        <v>74.555135716435544</v>
      </c>
      <c r="W9" s="63">
        <v>188.85140723564692</v>
      </c>
      <c r="X9" s="57">
        <v>0.1171</v>
      </c>
      <c r="Y9" s="64">
        <v>120.11139699757511</v>
      </c>
      <c r="Z9" s="58">
        <v>0.43659999999999999</v>
      </c>
      <c r="AA9" s="83">
        <f t="shared" si="5"/>
        <v>8374.1787308525581</v>
      </c>
      <c r="AB9" s="63">
        <v>21212.159599297676</v>
      </c>
      <c r="AC9" s="57">
        <v>0.1171</v>
      </c>
      <c r="AD9" s="64">
        <v>13491.147141032525</v>
      </c>
      <c r="AE9" s="58">
        <v>0.43659999999999999</v>
      </c>
      <c r="AF9" s="83">
        <f t="shared" si="6"/>
        <v>1487.0738531836248</v>
      </c>
      <c r="AG9" s="63">
        <v>3766.8228638896244</v>
      </c>
      <c r="AH9" s="57">
        <v>0.1171</v>
      </c>
      <c r="AI9" s="64">
        <v>2395.7372785665366</v>
      </c>
      <c r="AJ9" s="58">
        <v>0.43659999999999999</v>
      </c>
    </row>
    <row r="10" spans="1:36" s="62" customFormat="1" ht="13.8" x14ac:dyDescent="0.25">
      <c r="A10" s="72">
        <v>2007</v>
      </c>
      <c r="B10" s="83">
        <f t="shared" si="0"/>
        <v>2267.2504656292149</v>
      </c>
      <c r="C10" s="64">
        <v>8960.7783843033521</v>
      </c>
      <c r="D10" s="57">
        <v>0.1171</v>
      </c>
      <c r="E10" s="64">
        <v>2789.6090628201841</v>
      </c>
      <c r="F10" s="58">
        <v>0.43659999999999999</v>
      </c>
      <c r="G10" s="83">
        <f t="shared" si="1"/>
        <v>1728.6985424669667</v>
      </c>
      <c r="H10" s="63">
        <v>2616.1584446928869</v>
      </c>
      <c r="I10" s="57">
        <v>0.1171</v>
      </c>
      <c r="J10" s="63">
        <v>3257.7791768058401</v>
      </c>
      <c r="K10" s="58">
        <v>0.43659999999999999</v>
      </c>
      <c r="L10" s="83">
        <f t="shared" si="2"/>
        <v>237.07205544920438</v>
      </c>
      <c r="M10" s="63">
        <v>609.53573390523707</v>
      </c>
      <c r="N10" s="57">
        <v>0.1171</v>
      </c>
      <c r="O10" s="64">
        <v>379.51310354764342</v>
      </c>
      <c r="P10" s="58">
        <v>0.43659999999999999</v>
      </c>
      <c r="Q10" s="83">
        <f t="shared" si="3"/>
        <v>295.70954417802881</v>
      </c>
      <c r="R10" s="63">
        <v>447.51759903356162</v>
      </c>
      <c r="S10" s="57">
        <v>0.1171</v>
      </c>
      <c r="T10" s="64">
        <v>557.27263703893436</v>
      </c>
      <c r="U10" s="58">
        <v>0.43659999999999999</v>
      </c>
      <c r="V10" s="83">
        <f t="shared" si="4"/>
        <v>73.630294598679612</v>
      </c>
      <c r="W10" s="63">
        <v>189.31077967340249</v>
      </c>
      <c r="X10" s="57">
        <v>0.1171</v>
      </c>
      <c r="Y10" s="64">
        <v>117.86990906762294</v>
      </c>
      <c r="Z10" s="58">
        <v>0.43659999999999999</v>
      </c>
      <c r="AA10" s="83">
        <f t="shared" si="5"/>
        <v>9019.8701170522872</v>
      </c>
      <c r="AB10" s="63">
        <v>23190.979388565614</v>
      </c>
      <c r="AC10" s="57">
        <v>0.1171</v>
      </c>
      <c r="AD10" s="64">
        <v>14439.318439421106</v>
      </c>
      <c r="AE10" s="58">
        <v>0.43659999999999999</v>
      </c>
      <c r="AF10" s="83">
        <f t="shared" si="6"/>
        <v>1444.0204806256165</v>
      </c>
      <c r="AG10" s="63">
        <v>3712.7196698259459</v>
      </c>
      <c r="AH10" s="57">
        <v>0.1171</v>
      </c>
      <c r="AI10" s="64">
        <v>2311.637671298668</v>
      </c>
      <c r="AJ10" s="58">
        <v>0.43659999999999999</v>
      </c>
    </row>
    <row r="11" spans="1:36" s="62" customFormat="1" ht="13.8" x14ac:dyDescent="0.25">
      <c r="A11" s="72">
        <v>2010</v>
      </c>
      <c r="B11" s="83">
        <f t="shared" si="0"/>
        <v>2421.1084618690129</v>
      </c>
      <c r="C11" s="64">
        <v>11137.590008698357</v>
      </c>
      <c r="D11" s="57">
        <v>0.1171</v>
      </c>
      <c r="E11" s="64">
        <v>2558.1691980083274</v>
      </c>
      <c r="F11" s="58">
        <v>0.43659999999999999</v>
      </c>
      <c r="G11" s="83">
        <f t="shared" si="1"/>
        <v>1582.5195573481151</v>
      </c>
      <c r="H11" s="63">
        <v>3053.7195779516774</v>
      </c>
      <c r="I11" s="57">
        <v>0.1171</v>
      </c>
      <c r="J11" s="63">
        <v>2805.6092413421297</v>
      </c>
      <c r="K11" s="58">
        <v>0.43659999999999999</v>
      </c>
      <c r="L11" s="83">
        <f t="shared" si="2"/>
        <v>216.52349478839801</v>
      </c>
      <c r="M11" s="63">
        <v>681.61289231044384</v>
      </c>
      <c r="N11" s="57">
        <v>0.1171</v>
      </c>
      <c r="O11" s="64">
        <v>313.11641112882506</v>
      </c>
      <c r="P11" s="58">
        <v>0.43659999999999999</v>
      </c>
      <c r="Q11" s="83">
        <f t="shared" si="3"/>
        <v>125.2852007255571</v>
      </c>
      <c r="R11" s="63">
        <v>241.75743579709831</v>
      </c>
      <c r="S11" s="57">
        <v>0.1171</v>
      </c>
      <c r="T11" s="64">
        <v>222.11499082390495</v>
      </c>
      <c r="U11" s="58">
        <v>0.43659999999999999</v>
      </c>
      <c r="V11" s="83">
        <f t="shared" si="4"/>
        <v>50.563365892089237</v>
      </c>
      <c r="W11" s="63">
        <v>159.17275907789806</v>
      </c>
      <c r="X11" s="57">
        <v>0.1171</v>
      </c>
      <c r="Y11" s="64">
        <v>73.120100329975671</v>
      </c>
      <c r="Z11" s="58">
        <v>0.43659999999999999</v>
      </c>
      <c r="AA11" s="83">
        <f t="shared" si="5"/>
        <v>8328.125434410138</v>
      </c>
      <c r="AB11" s="63">
        <v>26216.82081392598</v>
      </c>
      <c r="AC11" s="57">
        <v>0.1171</v>
      </c>
      <c r="AD11" s="64">
        <v>12043.37085913744</v>
      </c>
      <c r="AE11" s="58">
        <v>0.43659999999999999</v>
      </c>
      <c r="AF11" s="83">
        <f t="shared" si="6"/>
        <v>1033.4628849666899</v>
      </c>
      <c r="AG11" s="63">
        <v>3253.3265122385515</v>
      </c>
      <c r="AH11" s="57">
        <v>0.1171</v>
      </c>
      <c r="AI11" s="64">
        <v>1494.499199229399</v>
      </c>
      <c r="AJ11" s="58">
        <v>0.43659999999999999</v>
      </c>
    </row>
    <row r="12" spans="1:36" s="62" customFormat="1" ht="13.8" x14ac:dyDescent="0.25">
      <c r="A12" s="72">
        <v>2013</v>
      </c>
      <c r="B12" s="83">
        <f t="shared" si="0"/>
        <v>2475.4135808672609</v>
      </c>
      <c r="C12" s="64">
        <v>11865.362934665558</v>
      </c>
      <c r="D12" s="57">
        <v>0.1171</v>
      </c>
      <c r="E12" s="64">
        <v>2487.355889184435</v>
      </c>
      <c r="F12" s="58">
        <v>0.43659999999999999</v>
      </c>
      <c r="G12" s="83">
        <f t="shared" si="1"/>
        <v>1857.4909616393716</v>
      </c>
      <c r="H12" s="63">
        <v>3844.1391981877368</v>
      </c>
      <c r="I12" s="57">
        <v>0.1171</v>
      </c>
      <c r="J12" s="63">
        <v>3223.41333378742</v>
      </c>
      <c r="K12" s="58">
        <v>0.43659999999999999</v>
      </c>
      <c r="L12" s="83">
        <f t="shared" si="2"/>
        <v>176.02376053930209</v>
      </c>
      <c r="M12" s="63">
        <v>586.45190487775847</v>
      </c>
      <c r="N12" s="57">
        <v>0.1171</v>
      </c>
      <c r="O12" s="64">
        <v>245.87778854355602</v>
      </c>
      <c r="P12" s="58">
        <v>0.43659999999999999</v>
      </c>
      <c r="Q12" s="83">
        <f t="shared" si="3"/>
        <v>111.42693358671627</v>
      </c>
      <c r="R12" s="63">
        <v>230.60173749460171</v>
      </c>
      <c r="S12" s="57">
        <v>0.1171</v>
      </c>
      <c r="T12" s="64">
        <v>193.36571261131107</v>
      </c>
      <c r="U12" s="58">
        <v>0.43659999999999999</v>
      </c>
      <c r="V12" s="83">
        <f t="shared" si="4"/>
        <v>34.931672394398753</v>
      </c>
      <c r="W12" s="63">
        <v>116.38057131319475</v>
      </c>
      <c r="X12" s="57">
        <v>0.1171</v>
      </c>
      <c r="Y12" s="64">
        <v>48.794107864460948</v>
      </c>
      <c r="Z12" s="58">
        <v>0.43659999999999999</v>
      </c>
      <c r="AA12" s="83">
        <f t="shared" si="5"/>
        <v>8739.3295478091732</v>
      </c>
      <c r="AB12" s="63">
        <v>29116.503618401166</v>
      </c>
      <c r="AC12" s="57">
        <v>0.1171</v>
      </c>
      <c r="AD12" s="64">
        <v>12207.482762469986</v>
      </c>
      <c r="AE12" s="58">
        <v>0.43659999999999999</v>
      </c>
      <c r="AF12" s="83">
        <f t="shared" si="6"/>
        <v>873.90584316377658</v>
      </c>
      <c r="AG12" s="63">
        <v>2911.5600350599834</v>
      </c>
      <c r="AH12" s="57">
        <v>0.1171</v>
      </c>
      <c r="AI12" s="64">
        <v>1220.7104055388286</v>
      </c>
      <c r="AJ12" s="58">
        <v>0.43659999999999999</v>
      </c>
    </row>
    <row r="13" spans="1:36" s="62" customFormat="1" thickBot="1" x14ac:dyDescent="0.3">
      <c r="A13" s="73">
        <v>2016</v>
      </c>
      <c r="B13" s="84">
        <f t="shared" si="0"/>
        <v>4920.5150792562899</v>
      </c>
      <c r="C13" s="78">
        <v>23114.442317962621</v>
      </c>
      <c r="D13" s="59">
        <v>0.1171</v>
      </c>
      <c r="E13" s="65">
        <v>5070.5769212617197</v>
      </c>
      <c r="F13" s="60">
        <v>0.43659999999999999</v>
      </c>
      <c r="G13" s="84">
        <f t="shared" si="1"/>
        <v>2744.0414558005532</v>
      </c>
      <c r="H13" s="65">
        <v>5485.8350904953986</v>
      </c>
      <c r="I13" s="59">
        <v>0.1171</v>
      </c>
      <c r="J13" s="65">
        <v>4813.6742251569904</v>
      </c>
      <c r="K13" s="60">
        <v>0.43659999999999999</v>
      </c>
      <c r="L13" s="84">
        <f t="shared" si="2"/>
        <v>263.67384431076539</v>
      </c>
      <c r="M13" s="65">
        <v>854.27429778149713</v>
      </c>
      <c r="N13" s="59">
        <v>0.1171</v>
      </c>
      <c r="O13" s="65">
        <v>374.80147512723789</v>
      </c>
      <c r="P13" s="60">
        <v>0.43659999999999999</v>
      </c>
      <c r="Q13" s="84">
        <f t="shared" si="3"/>
        <v>53.53778739522464</v>
      </c>
      <c r="R13" s="65">
        <v>107.03171854031666</v>
      </c>
      <c r="S13" s="59">
        <v>0.1171</v>
      </c>
      <c r="T13" s="65">
        <v>93.917483174882193</v>
      </c>
      <c r="U13" s="60">
        <v>0.43659999999999999</v>
      </c>
      <c r="V13" s="84">
        <f t="shared" si="4"/>
        <v>55.728483810798977</v>
      </c>
      <c r="W13" s="65">
        <v>180.55416720737699</v>
      </c>
      <c r="X13" s="59">
        <v>0.1171</v>
      </c>
      <c r="Y13" s="78">
        <v>79.21573712967276</v>
      </c>
      <c r="Z13" s="60">
        <v>0.43659999999999999</v>
      </c>
      <c r="AA13" s="84">
        <f t="shared" si="5"/>
        <v>4926.7077179994467</v>
      </c>
      <c r="AB13" s="65">
        <v>15961.991934278565</v>
      </c>
      <c r="AC13" s="59">
        <v>0.1171</v>
      </c>
      <c r="AD13" s="78">
        <v>7003.1114578456863</v>
      </c>
      <c r="AE13" s="60">
        <v>0.43659999999999999</v>
      </c>
      <c r="AF13" s="84">
        <f t="shared" si="6"/>
        <v>938.26343142692087</v>
      </c>
      <c r="AG13" s="65">
        <v>3039.870473734225</v>
      </c>
      <c r="AH13" s="59">
        <v>0.1171</v>
      </c>
      <c r="AI13" s="78">
        <v>1333.7027003038093</v>
      </c>
      <c r="AJ13" s="60">
        <v>0.43659999999999999</v>
      </c>
    </row>
    <row r="14" spans="1:36" s="33" customFormat="1" ht="13.8" x14ac:dyDescent="0.25"/>
    <row r="15" spans="1:36" s="33" customFormat="1" ht="13.8" x14ac:dyDescent="0.25"/>
    <row r="16" spans="1:36" s="33" customFormat="1" ht="17.399999999999999" x14ac:dyDescent="0.3">
      <c r="A16" s="14" t="s">
        <v>156</v>
      </c>
      <c r="B16" s="8" t="s">
        <v>143</v>
      </c>
    </row>
    <row r="17" spans="1:2" s="33" customFormat="1" ht="17.399999999999999" x14ac:dyDescent="0.3">
      <c r="A17" s="33" t="s">
        <v>157</v>
      </c>
      <c r="B17" s="8" t="s">
        <v>144</v>
      </c>
    </row>
    <row r="18" spans="1:2" s="33" customFormat="1" ht="17.399999999999999" x14ac:dyDescent="0.3">
      <c r="A18" s="33" t="s">
        <v>158</v>
      </c>
      <c r="B18" s="8" t="s">
        <v>148</v>
      </c>
    </row>
    <row r="19" spans="1:2" s="33" customFormat="1" ht="17.399999999999999" x14ac:dyDescent="0.3">
      <c r="A19" s="33" t="s">
        <v>159</v>
      </c>
      <c r="B19" s="8" t="s">
        <v>146</v>
      </c>
    </row>
    <row r="20" spans="1:2" s="33" customFormat="1" ht="17.399999999999999" x14ac:dyDescent="0.3">
      <c r="A20" s="33" t="s">
        <v>160</v>
      </c>
      <c r="B20" s="8" t="s">
        <v>149</v>
      </c>
    </row>
    <row r="21" spans="1:2" s="33" customFormat="1" ht="13.8" x14ac:dyDescent="0.25"/>
    <row r="22" spans="1:2" s="33" customFormat="1" ht="13.8" x14ac:dyDescent="0.25"/>
    <row r="23" spans="1:2" s="33" customFormat="1" ht="16.8" x14ac:dyDescent="0.25">
      <c r="A23" s="33" t="s">
        <v>157</v>
      </c>
      <c r="B23" s="22" t="s">
        <v>161</v>
      </c>
    </row>
    <row r="24" spans="1:2" s="33" customFormat="1" ht="16.8" x14ac:dyDescent="0.25">
      <c r="A24" s="33" t="s">
        <v>158</v>
      </c>
      <c r="B24" s="33" t="s">
        <v>166</v>
      </c>
    </row>
    <row r="25" spans="1:2" s="33" customFormat="1" ht="16.8" x14ac:dyDescent="0.25">
      <c r="A25" s="33" t="s">
        <v>159</v>
      </c>
      <c r="B25" s="22" t="s">
        <v>161</v>
      </c>
    </row>
    <row r="26" spans="1:2" s="33" customFormat="1" ht="16.8" x14ac:dyDescent="0.25">
      <c r="A26" s="33" t="s">
        <v>160</v>
      </c>
      <c r="B26" s="33" t="s">
        <v>165</v>
      </c>
    </row>
    <row r="27" spans="1:2" s="33" customFormat="1" ht="13.8" x14ac:dyDescent="0.25"/>
  </sheetData>
  <mergeCells count="8">
    <mergeCell ref="AF4:AJ4"/>
    <mergeCell ref="A1:AJ1"/>
    <mergeCell ref="B4:F4"/>
    <mergeCell ref="G4:K4"/>
    <mergeCell ref="L4:P4"/>
    <mergeCell ref="Q4:U4"/>
    <mergeCell ref="V4:Z4"/>
    <mergeCell ref="AA4:AE4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3"/>
  <sheetViews>
    <sheetView workbookViewId="0">
      <selection activeCell="A17" sqref="A17:B18"/>
    </sheetView>
  </sheetViews>
  <sheetFormatPr defaultRowHeight="14.4" x14ac:dyDescent="0.25"/>
  <cols>
    <col min="2" max="2" width="9" bestFit="1" customWidth="1"/>
    <col min="3" max="3" width="9.5546875" bestFit="1" customWidth="1"/>
  </cols>
  <sheetData>
    <row r="1" spans="1:36" s="33" customFormat="1" ht="13.8" x14ac:dyDescent="0.25">
      <c r="A1" s="208" t="s">
        <v>75</v>
      </c>
      <c r="B1" s="208"/>
      <c r="C1" s="208"/>
      <c r="D1" s="208"/>
      <c r="E1" s="208"/>
      <c r="F1" s="208"/>
      <c r="G1" s="208"/>
      <c r="H1" s="208"/>
      <c r="I1" s="208"/>
      <c r="J1" s="208"/>
      <c r="K1" s="208"/>
      <c r="L1" s="208"/>
      <c r="M1" s="208"/>
      <c r="N1" s="208"/>
      <c r="O1" s="208"/>
      <c r="P1" s="208"/>
      <c r="Q1" s="208"/>
      <c r="R1" s="208"/>
      <c r="S1" s="208"/>
      <c r="T1" s="208"/>
      <c r="U1" s="208"/>
      <c r="V1" s="208"/>
      <c r="W1" s="208"/>
      <c r="X1" s="208"/>
      <c r="Y1" s="208"/>
      <c r="Z1" s="208"/>
      <c r="AA1" s="208"/>
      <c r="AB1" s="208"/>
      <c r="AC1" s="208"/>
      <c r="AD1" s="208"/>
      <c r="AE1" s="208"/>
      <c r="AF1" s="208"/>
      <c r="AG1" s="208"/>
      <c r="AH1" s="208"/>
      <c r="AI1" s="208"/>
      <c r="AJ1" s="208"/>
    </row>
    <row r="2" spans="1:36" s="33" customFormat="1" ht="13.8" x14ac:dyDescent="0.25"/>
    <row r="3" spans="1:36" s="33" customFormat="1" thickBot="1" x14ac:dyDescent="0.3"/>
    <row r="4" spans="1:36" s="33" customFormat="1" ht="13.8" x14ac:dyDescent="0.25">
      <c r="A4" s="90" t="s">
        <v>43</v>
      </c>
      <c r="B4" s="217" t="s">
        <v>168</v>
      </c>
      <c r="C4" s="218"/>
      <c r="D4" s="219"/>
      <c r="E4" s="217" t="s">
        <v>169</v>
      </c>
      <c r="F4" s="218"/>
      <c r="G4" s="219"/>
      <c r="H4" s="217" t="s">
        <v>170</v>
      </c>
      <c r="I4" s="218"/>
      <c r="J4" s="219"/>
      <c r="K4" s="217" t="s">
        <v>171</v>
      </c>
      <c r="L4" s="218"/>
      <c r="M4" s="219"/>
      <c r="N4" s="217" t="s">
        <v>153</v>
      </c>
      <c r="O4" s="218"/>
      <c r="P4" s="219"/>
      <c r="Q4" s="217" t="s">
        <v>81</v>
      </c>
      <c r="R4" s="218"/>
      <c r="S4" s="219"/>
      <c r="T4" s="217" t="s">
        <v>155</v>
      </c>
      <c r="U4" s="218"/>
      <c r="V4" s="219"/>
    </row>
    <row r="5" spans="1:36" s="33" customFormat="1" ht="17.399999999999999" thickBot="1" x14ac:dyDescent="0.3">
      <c r="A5" s="92"/>
      <c r="B5" s="87" t="s">
        <v>176</v>
      </c>
      <c r="C5" s="88" t="s">
        <v>177</v>
      </c>
      <c r="D5" s="89" t="s">
        <v>178</v>
      </c>
      <c r="E5" s="87" t="s">
        <v>176</v>
      </c>
      <c r="F5" s="88" t="s">
        <v>177</v>
      </c>
      <c r="G5" s="89" t="s">
        <v>178</v>
      </c>
      <c r="H5" s="87" t="s">
        <v>176</v>
      </c>
      <c r="I5" s="88" t="s">
        <v>177</v>
      </c>
      <c r="J5" s="89" t="s">
        <v>178</v>
      </c>
      <c r="K5" s="87" t="s">
        <v>176</v>
      </c>
      <c r="L5" s="88" t="s">
        <v>177</v>
      </c>
      <c r="M5" s="89" t="s">
        <v>178</v>
      </c>
      <c r="N5" s="87" t="s">
        <v>176</v>
      </c>
      <c r="O5" s="88" t="s">
        <v>177</v>
      </c>
      <c r="P5" s="89" t="s">
        <v>178</v>
      </c>
      <c r="Q5" s="87" t="s">
        <v>176</v>
      </c>
      <c r="R5" s="88" t="s">
        <v>177</v>
      </c>
      <c r="S5" s="89" t="s">
        <v>178</v>
      </c>
      <c r="T5" s="87" t="s">
        <v>176</v>
      </c>
      <c r="U5" s="88" t="s">
        <v>177</v>
      </c>
      <c r="V5" s="89" t="s">
        <v>178</v>
      </c>
    </row>
    <row r="6" spans="1:36" s="33" customFormat="1" ht="13.8" x14ac:dyDescent="0.25">
      <c r="A6" s="90">
        <v>1995</v>
      </c>
      <c r="B6" s="93">
        <v>38.463237871040164</v>
      </c>
      <c r="C6" s="26">
        <v>1165.5526627587928</v>
      </c>
      <c r="D6" s="94">
        <v>3.3000000000000002E-2</v>
      </c>
      <c r="E6" s="93">
        <v>18.973754988775259</v>
      </c>
      <c r="F6" s="26">
        <v>574.96227238712902</v>
      </c>
      <c r="G6" s="94">
        <v>3.3000000000000002E-2</v>
      </c>
      <c r="H6" s="93">
        <v>3.9929079103267653</v>
      </c>
      <c r="I6" s="26">
        <v>120.99720940384137</v>
      </c>
      <c r="J6" s="94">
        <v>3.3000000000000002E-2</v>
      </c>
      <c r="K6" s="93">
        <v>25.481570139062111</v>
      </c>
      <c r="L6" s="26">
        <v>772.16879209279125</v>
      </c>
      <c r="M6" s="94">
        <v>3.3000000000000002E-2</v>
      </c>
      <c r="N6" s="93">
        <v>1.6427820217011724</v>
      </c>
      <c r="O6" s="26">
        <v>49.78127338488401</v>
      </c>
      <c r="P6" s="94">
        <v>3.3000000000000002E-2</v>
      </c>
      <c r="Q6" s="93">
        <v>12.282709684459967</v>
      </c>
      <c r="R6" s="26">
        <v>372.20332377151414</v>
      </c>
      <c r="S6" s="94">
        <v>3.3000000000000002E-2</v>
      </c>
      <c r="T6" s="93">
        <v>6.7430373846345733</v>
      </c>
      <c r="U6" s="26">
        <v>204.33446620104766</v>
      </c>
      <c r="V6" s="94">
        <v>3.3000000000000002E-2</v>
      </c>
    </row>
    <row r="7" spans="1:36" s="33" customFormat="1" ht="13.8" x14ac:dyDescent="0.25">
      <c r="A7" s="91">
        <v>1998</v>
      </c>
      <c r="B7" s="93">
        <v>44.87912243925679</v>
      </c>
      <c r="C7" s="26">
        <v>1359.9734072502056</v>
      </c>
      <c r="D7" s="94">
        <v>3.3000000000000002E-2</v>
      </c>
      <c r="E7" s="93">
        <v>20.113506431634111</v>
      </c>
      <c r="F7" s="26">
        <v>609.50019489800331</v>
      </c>
      <c r="G7" s="94">
        <v>3.3000000000000002E-2</v>
      </c>
      <c r="H7" s="93">
        <v>6.6030085755121481</v>
      </c>
      <c r="I7" s="26">
        <v>200.09116895491357</v>
      </c>
      <c r="J7" s="94">
        <v>3.3000000000000002E-2</v>
      </c>
      <c r="K7" s="93">
        <v>29.504402572653643</v>
      </c>
      <c r="L7" s="26">
        <v>894.07280523192856</v>
      </c>
      <c r="M7" s="94">
        <v>3.3000000000000002E-2</v>
      </c>
      <c r="N7" s="93">
        <v>1.4135016674606955</v>
      </c>
      <c r="O7" s="26">
        <v>42.833383862445316</v>
      </c>
      <c r="P7" s="94">
        <v>3.3000000000000002E-2</v>
      </c>
      <c r="Q7" s="93">
        <v>9.5806965221534064</v>
      </c>
      <c r="R7" s="26">
        <v>290.32413703495172</v>
      </c>
      <c r="S7" s="94">
        <v>3.3000000000000002E-2</v>
      </c>
      <c r="T7" s="93">
        <v>11.061761791329204</v>
      </c>
      <c r="U7" s="26">
        <v>335.20490276755163</v>
      </c>
      <c r="V7" s="94">
        <v>3.3000000000000002E-2</v>
      </c>
    </row>
    <row r="8" spans="1:36" s="33" customFormat="1" ht="13.8" x14ac:dyDescent="0.25">
      <c r="A8" s="91">
        <v>2001</v>
      </c>
      <c r="B8" s="93">
        <v>33.600996279526868</v>
      </c>
      <c r="C8" s="26">
        <v>1018.2120084705111</v>
      </c>
      <c r="D8" s="94">
        <v>3.3000000000000002E-2</v>
      </c>
      <c r="E8" s="93">
        <v>20.778885074818952</v>
      </c>
      <c r="F8" s="26">
        <v>629.6631840854227</v>
      </c>
      <c r="G8" s="94">
        <v>3.3000000000000002E-2</v>
      </c>
      <c r="H8" s="93">
        <v>5.0779668082318397</v>
      </c>
      <c r="I8" s="26">
        <v>153.8777820676315</v>
      </c>
      <c r="J8" s="94">
        <v>3.3000000000000002E-2</v>
      </c>
      <c r="K8" s="93">
        <v>14.342475857873247</v>
      </c>
      <c r="L8" s="26">
        <v>434.62048054161352</v>
      </c>
      <c r="M8" s="94">
        <v>3.3000000000000002E-2</v>
      </c>
      <c r="N8" s="93">
        <v>1.7210630140512211</v>
      </c>
      <c r="O8" s="26">
        <v>52.153424668218818</v>
      </c>
      <c r="P8" s="94">
        <v>3.3000000000000002E-2</v>
      </c>
      <c r="Q8" s="93">
        <v>16.697592292302833</v>
      </c>
      <c r="R8" s="26">
        <v>505.98764522129795</v>
      </c>
      <c r="S8" s="94">
        <v>3.3000000000000002E-2</v>
      </c>
      <c r="T8" s="93">
        <v>17.044020673195046</v>
      </c>
      <c r="U8" s="26">
        <v>516.48547494530442</v>
      </c>
      <c r="V8" s="94">
        <v>3.3000000000000002E-2</v>
      </c>
    </row>
    <row r="9" spans="1:36" s="33" customFormat="1" ht="13.8" x14ac:dyDescent="0.25">
      <c r="A9" s="91">
        <v>2004</v>
      </c>
      <c r="B9" s="93">
        <v>21.371702911658573</v>
      </c>
      <c r="C9" s="26">
        <v>647.62736095935065</v>
      </c>
      <c r="D9" s="94">
        <v>3.3000000000000002E-2</v>
      </c>
      <c r="E9" s="93">
        <v>26.322041374750935</v>
      </c>
      <c r="F9" s="26">
        <v>797.63761741669498</v>
      </c>
      <c r="G9" s="94">
        <v>3.3000000000000002E-2</v>
      </c>
      <c r="H9" s="93">
        <v>3.0652397871578505</v>
      </c>
      <c r="I9" s="26">
        <v>92.886054156298499</v>
      </c>
      <c r="J9" s="94">
        <v>3.3000000000000002E-2</v>
      </c>
      <c r="K9" s="93">
        <v>5.1617577520269586</v>
      </c>
      <c r="L9" s="26">
        <v>156.4169015765745</v>
      </c>
      <c r="M9" s="94">
        <v>3.3000000000000002E-2</v>
      </c>
      <c r="N9" s="93">
        <v>1.1950968165499005</v>
      </c>
      <c r="O9" s="26">
        <v>36.215055046966683</v>
      </c>
      <c r="P9" s="94">
        <v>3.3000000000000002E-2</v>
      </c>
      <c r="Q9" s="93">
        <v>67.117806481677036</v>
      </c>
      <c r="R9" s="26">
        <v>2033.8729236871827</v>
      </c>
      <c r="S9" s="94">
        <v>3.3000000000000002E-2</v>
      </c>
      <c r="T9" s="93">
        <v>23.837354876178761</v>
      </c>
      <c r="U9" s="26">
        <v>722.34408715693212</v>
      </c>
      <c r="V9" s="94">
        <v>3.3000000000000002E-2</v>
      </c>
    </row>
    <row r="10" spans="1:36" s="33" customFormat="1" ht="13.8" x14ac:dyDescent="0.25">
      <c r="A10" s="91">
        <v>2007</v>
      </c>
      <c r="B10" s="93">
        <v>26.596004479139506</v>
      </c>
      <c r="C10" s="26">
        <v>805.9395296708941</v>
      </c>
      <c r="D10" s="94">
        <v>3.3000000000000002E-2</v>
      </c>
      <c r="E10" s="93">
        <v>31.059516809420593</v>
      </c>
      <c r="F10" s="26">
        <v>941.19747907335125</v>
      </c>
      <c r="G10" s="94">
        <v>3.3000000000000002E-2</v>
      </c>
      <c r="H10" s="93">
        <v>3.6182604711074102</v>
      </c>
      <c r="I10" s="26">
        <v>109.64425670022455</v>
      </c>
      <c r="J10" s="94">
        <v>3.3000000000000002E-2</v>
      </c>
      <c r="K10" s="93">
        <v>2.6565058431172632</v>
      </c>
      <c r="L10" s="26">
        <v>80.500177064159487</v>
      </c>
      <c r="M10" s="94">
        <v>3.3000000000000002E-2</v>
      </c>
      <c r="N10" s="93">
        <v>1.123766290875553</v>
      </c>
      <c r="O10" s="26">
        <v>34.053523965925848</v>
      </c>
      <c r="P10" s="94">
        <v>3.3000000000000002E-2</v>
      </c>
      <c r="Q10" s="93">
        <v>68.831898886636125</v>
      </c>
      <c r="R10" s="26">
        <v>2085.8151177768523</v>
      </c>
      <c r="S10" s="94">
        <v>3.3000000000000002E-2</v>
      </c>
      <c r="T10" s="93">
        <v>22.039047219703544</v>
      </c>
      <c r="U10" s="26">
        <v>667.84991574859225</v>
      </c>
      <c r="V10" s="94">
        <v>3.3000000000000002E-2</v>
      </c>
    </row>
    <row r="11" spans="1:36" s="33" customFormat="1" ht="13.8" x14ac:dyDescent="0.25">
      <c r="A11" s="91">
        <v>2010</v>
      </c>
      <c r="B11" s="93">
        <v>39.290291285938778</v>
      </c>
      <c r="C11" s="26">
        <v>1190.6148874526903</v>
      </c>
      <c r="D11" s="94">
        <v>3.3000000000000002E-2</v>
      </c>
      <c r="E11" s="93">
        <v>43.090662029969131</v>
      </c>
      <c r="F11" s="26">
        <v>1305.7776372717917</v>
      </c>
      <c r="G11" s="94">
        <v>3.3000000000000002E-2</v>
      </c>
      <c r="H11" s="93">
        <v>4.8090779176128811</v>
      </c>
      <c r="I11" s="26">
        <v>145.729633867057</v>
      </c>
      <c r="J11" s="94">
        <v>3.3000000000000002E-2</v>
      </c>
      <c r="K11" s="93">
        <v>1.7057047468242632</v>
      </c>
      <c r="L11" s="26">
        <v>51.68802263103828</v>
      </c>
      <c r="M11" s="94">
        <v>3.3000000000000002E-2</v>
      </c>
      <c r="N11" s="93">
        <v>1.1230336300892558</v>
      </c>
      <c r="O11" s="26">
        <v>34.031322123916844</v>
      </c>
      <c r="P11" s="94">
        <v>3.3000000000000002E-2</v>
      </c>
      <c r="Q11" s="93">
        <v>92.485584903551114</v>
      </c>
      <c r="R11" s="26">
        <v>2802.5934819257914</v>
      </c>
      <c r="S11" s="94">
        <v>3.3000000000000002E-2</v>
      </c>
      <c r="T11" s="93">
        <v>22.953645486014569</v>
      </c>
      <c r="U11" s="26">
        <v>695.56501472771413</v>
      </c>
      <c r="V11" s="94">
        <v>3.3000000000000002E-2</v>
      </c>
    </row>
    <row r="12" spans="1:36" s="33" customFormat="1" ht="13.8" x14ac:dyDescent="0.25">
      <c r="A12" s="91">
        <v>2013</v>
      </c>
      <c r="B12" s="93">
        <v>41.149654383070555</v>
      </c>
      <c r="C12" s="26">
        <v>1246.9592237294107</v>
      </c>
      <c r="D12" s="94">
        <v>3.3000000000000002E-2</v>
      </c>
      <c r="E12" s="93">
        <v>53.32664505143449</v>
      </c>
      <c r="F12" s="26">
        <v>1615.9589409525602</v>
      </c>
      <c r="G12" s="94">
        <v>3.3000000000000002E-2</v>
      </c>
      <c r="H12" s="93">
        <v>4.0676873233281059</v>
      </c>
      <c r="I12" s="26">
        <v>123.26325222206381</v>
      </c>
      <c r="J12" s="94">
        <v>3.3000000000000002E-2</v>
      </c>
      <c r="K12" s="93">
        <v>1.5994760295641792</v>
      </c>
      <c r="L12" s="26">
        <v>48.468970592853914</v>
      </c>
      <c r="M12" s="94">
        <v>3.3000000000000002E-2</v>
      </c>
      <c r="N12" s="93">
        <v>0.80722693655678646</v>
      </c>
      <c r="O12" s="26">
        <v>24.461422319902617</v>
      </c>
      <c r="P12" s="94">
        <v>3.3000000000000002E-2</v>
      </c>
      <c r="Q12" s="93">
        <v>100.97744732613207</v>
      </c>
      <c r="R12" s="26">
        <v>3059.9226462464262</v>
      </c>
      <c r="S12" s="94">
        <v>3.3000000000000002E-2</v>
      </c>
      <c r="T12" s="93">
        <v>20.194862949913819</v>
      </c>
      <c r="U12" s="26">
        <v>611.96554393678241</v>
      </c>
      <c r="V12" s="94">
        <v>3.3000000000000002E-2</v>
      </c>
    </row>
    <row r="13" spans="1:36" s="33" customFormat="1" thickBot="1" x14ac:dyDescent="0.3">
      <c r="A13" s="92">
        <v>2016</v>
      </c>
      <c r="B13" s="95">
        <v>54.165826090602017</v>
      </c>
      <c r="C13" s="96">
        <v>1641.3886694121823</v>
      </c>
      <c r="D13" s="97">
        <v>3.3000000000000002E-2</v>
      </c>
      <c r="E13" s="95">
        <v>51.421494040127378</v>
      </c>
      <c r="F13" s="96">
        <v>1558.227092125072</v>
      </c>
      <c r="G13" s="97">
        <v>3.3000000000000002E-2</v>
      </c>
      <c r="H13" s="95">
        <v>4.0037715304378869</v>
      </c>
      <c r="I13" s="96">
        <v>121.3264100132693</v>
      </c>
      <c r="J13" s="97">
        <v>3.3000000000000002E-2</v>
      </c>
      <c r="K13" s="95">
        <v>0.50163109045704746</v>
      </c>
      <c r="L13" s="96">
        <v>15.200942135062043</v>
      </c>
      <c r="M13" s="97">
        <v>3.3000000000000002E-2</v>
      </c>
      <c r="N13" s="95">
        <v>0.84621255285818964</v>
      </c>
      <c r="O13" s="96">
        <v>25.642804632066351</v>
      </c>
      <c r="P13" s="97">
        <v>3.3000000000000002E-2</v>
      </c>
      <c r="Q13" s="95">
        <v>37.4049465385472</v>
      </c>
      <c r="R13" s="96">
        <v>1133.4832284408242</v>
      </c>
      <c r="S13" s="97">
        <v>3.3000000000000002E-2</v>
      </c>
      <c r="T13" s="95">
        <v>14.247118156970302</v>
      </c>
      <c r="U13" s="96">
        <v>431.7308532415243</v>
      </c>
      <c r="V13" s="97">
        <v>3.3000000000000002E-2</v>
      </c>
    </row>
    <row r="14" spans="1:36" s="33" customFormat="1" ht="13.8" x14ac:dyDescent="0.25"/>
    <row r="15" spans="1:36" s="33" customFormat="1" ht="13.8" x14ac:dyDescent="0.25"/>
    <row r="16" spans="1:36" s="33" customFormat="1" ht="17.399999999999999" x14ac:dyDescent="0.3">
      <c r="A16" s="14" t="s">
        <v>176</v>
      </c>
      <c r="B16" s="8" t="s">
        <v>173</v>
      </c>
    </row>
    <row r="17" spans="1:2" s="33" customFormat="1" ht="17.399999999999999" x14ac:dyDescent="0.3">
      <c r="A17" s="33" t="s">
        <v>177</v>
      </c>
      <c r="B17" s="8" t="s">
        <v>174</v>
      </c>
    </row>
    <row r="18" spans="1:2" s="33" customFormat="1" ht="17.399999999999999" x14ac:dyDescent="0.3">
      <c r="A18" s="33" t="s">
        <v>178</v>
      </c>
      <c r="B18" s="8" t="s">
        <v>175</v>
      </c>
    </row>
    <row r="19" spans="1:2" s="33" customFormat="1" ht="13.8" x14ac:dyDescent="0.25"/>
    <row r="20" spans="1:2" s="33" customFormat="1" ht="13.8" x14ac:dyDescent="0.25">
      <c r="A20" s="14"/>
    </row>
    <row r="21" spans="1:2" s="33" customFormat="1" ht="16.8" x14ac:dyDescent="0.25">
      <c r="A21" s="33" t="s">
        <v>177</v>
      </c>
      <c r="B21" s="14" t="s">
        <v>98</v>
      </c>
    </row>
    <row r="22" spans="1:2" s="33" customFormat="1" ht="16.8" x14ac:dyDescent="0.25">
      <c r="A22" s="33" t="s">
        <v>178</v>
      </c>
      <c r="B22" s="22" t="s">
        <v>99</v>
      </c>
    </row>
    <row r="23" spans="1:2" s="33" customFormat="1" ht="13.8" x14ac:dyDescent="0.25"/>
  </sheetData>
  <mergeCells count="8">
    <mergeCell ref="A1:AJ1"/>
    <mergeCell ref="B4:D4"/>
    <mergeCell ref="E4:G4"/>
    <mergeCell ref="H4:J4"/>
    <mergeCell ref="K4:M4"/>
    <mergeCell ref="N4:P4"/>
    <mergeCell ref="Q4:S4"/>
    <mergeCell ref="T4:V4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Q27"/>
  <sheetViews>
    <sheetView workbookViewId="0">
      <selection activeCell="A17" sqref="A17"/>
    </sheetView>
  </sheetViews>
  <sheetFormatPr defaultRowHeight="14.4" x14ac:dyDescent="0.25"/>
  <cols>
    <col min="2" max="2" width="14.6640625" customWidth="1"/>
    <col min="8" max="8" width="13.6640625" customWidth="1"/>
    <col min="14" max="14" width="11.6640625" customWidth="1"/>
    <col min="20" max="20" width="14.109375" customWidth="1"/>
    <col min="26" max="26" width="14.21875" customWidth="1"/>
    <col min="32" max="32" width="15.21875" customWidth="1"/>
    <col min="38" max="38" width="15.5546875" customWidth="1"/>
  </cols>
  <sheetData>
    <row r="4" spans="1:43" ht="15" thickBot="1" x14ac:dyDescent="0.3"/>
    <row r="5" spans="1:43" s="160" customFormat="1" ht="15" thickBot="1" x14ac:dyDescent="0.3">
      <c r="A5" s="220" t="s">
        <v>248</v>
      </c>
      <c r="B5" s="220" t="s">
        <v>126</v>
      </c>
      <c r="C5" s="221"/>
      <c r="D5" s="221"/>
      <c r="E5" s="221"/>
      <c r="F5" s="221"/>
      <c r="G5" s="222"/>
      <c r="H5" s="220" t="s">
        <v>259</v>
      </c>
      <c r="I5" s="221"/>
      <c r="J5" s="221"/>
      <c r="K5" s="221"/>
      <c r="L5" s="221"/>
      <c r="M5" s="222"/>
      <c r="N5" s="220" t="s">
        <v>260</v>
      </c>
      <c r="O5" s="221"/>
      <c r="P5" s="221"/>
      <c r="Q5" s="221"/>
      <c r="R5" s="221"/>
      <c r="S5" s="222"/>
      <c r="T5" s="220" t="s">
        <v>261</v>
      </c>
      <c r="U5" s="221"/>
      <c r="V5" s="221"/>
      <c r="W5" s="221"/>
      <c r="X5" s="221"/>
      <c r="Y5" s="222"/>
      <c r="Z5" s="224" t="s">
        <v>262</v>
      </c>
      <c r="AA5" s="225"/>
      <c r="AB5" s="225"/>
      <c r="AC5" s="225"/>
      <c r="AD5" s="225"/>
      <c r="AE5" s="226"/>
      <c r="AF5" s="220" t="s">
        <v>263</v>
      </c>
      <c r="AG5" s="221"/>
      <c r="AH5" s="221"/>
      <c r="AI5" s="221"/>
      <c r="AJ5" s="221"/>
      <c r="AK5" s="222"/>
      <c r="AL5" s="220" t="s">
        <v>155</v>
      </c>
      <c r="AM5" s="221"/>
      <c r="AN5" s="221"/>
      <c r="AO5" s="221"/>
      <c r="AP5" s="221"/>
      <c r="AQ5" s="222"/>
    </row>
    <row r="6" spans="1:43" s="160" customFormat="1" ht="16.2" thickBot="1" x14ac:dyDescent="0.3">
      <c r="A6" s="223"/>
      <c r="B6" s="135" t="s">
        <v>264</v>
      </c>
      <c r="C6" s="136" t="s">
        <v>265</v>
      </c>
      <c r="D6" s="136" t="s">
        <v>266</v>
      </c>
      <c r="E6" s="136" t="s">
        <v>267</v>
      </c>
      <c r="F6" s="136" t="s">
        <v>318</v>
      </c>
      <c r="G6" s="137" t="s">
        <v>319</v>
      </c>
      <c r="H6" s="135" t="s">
        <v>264</v>
      </c>
      <c r="I6" s="136" t="s">
        <v>265</v>
      </c>
      <c r="J6" s="136" t="s">
        <v>266</v>
      </c>
      <c r="K6" s="136" t="s">
        <v>267</v>
      </c>
      <c r="L6" s="136" t="s">
        <v>268</v>
      </c>
      <c r="M6" s="137" t="s">
        <v>319</v>
      </c>
      <c r="N6" s="135" t="s">
        <v>264</v>
      </c>
      <c r="O6" s="136" t="s">
        <v>265</v>
      </c>
      <c r="P6" s="136" t="s">
        <v>266</v>
      </c>
      <c r="Q6" s="136" t="s">
        <v>267</v>
      </c>
      <c r="R6" s="136" t="s">
        <v>268</v>
      </c>
      <c r="S6" s="137" t="s">
        <v>319</v>
      </c>
      <c r="T6" s="135" t="s">
        <v>264</v>
      </c>
      <c r="U6" s="136" t="s">
        <v>265</v>
      </c>
      <c r="V6" s="136" t="s">
        <v>266</v>
      </c>
      <c r="W6" s="136" t="s">
        <v>267</v>
      </c>
      <c r="X6" s="136" t="s">
        <v>268</v>
      </c>
      <c r="Y6" s="137" t="s">
        <v>319</v>
      </c>
      <c r="Z6" s="135" t="s">
        <v>264</v>
      </c>
      <c r="AA6" s="136" t="s">
        <v>265</v>
      </c>
      <c r="AB6" s="136" t="s">
        <v>266</v>
      </c>
      <c r="AC6" s="136" t="s">
        <v>267</v>
      </c>
      <c r="AD6" s="136" t="s">
        <v>268</v>
      </c>
      <c r="AE6" s="137" t="s">
        <v>320</v>
      </c>
      <c r="AF6" s="135" t="s">
        <v>264</v>
      </c>
      <c r="AG6" s="136" t="s">
        <v>265</v>
      </c>
      <c r="AH6" s="136" t="s">
        <v>266</v>
      </c>
      <c r="AI6" s="136" t="s">
        <v>267</v>
      </c>
      <c r="AJ6" s="136" t="s">
        <v>268</v>
      </c>
      <c r="AK6" s="137" t="s">
        <v>320</v>
      </c>
      <c r="AL6" s="135" t="s">
        <v>264</v>
      </c>
      <c r="AM6" s="136" t="s">
        <v>265</v>
      </c>
      <c r="AN6" s="136" t="s">
        <v>266</v>
      </c>
      <c r="AO6" s="136" t="s">
        <v>267</v>
      </c>
      <c r="AP6" s="136" t="s">
        <v>268</v>
      </c>
      <c r="AQ6" s="137" t="s">
        <v>320</v>
      </c>
    </row>
    <row r="7" spans="1:43" s="160" customFormat="1" x14ac:dyDescent="0.25">
      <c r="A7" s="179">
        <v>1995</v>
      </c>
      <c r="B7" s="138">
        <f>C7*D7*E7*F7*G7</f>
        <v>176.37747600000003</v>
      </c>
      <c r="C7" s="139">
        <v>431030</v>
      </c>
      <c r="D7" s="140">
        <v>1.1000000000000001</v>
      </c>
      <c r="E7" s="150">
        <v>8.0000000000000004E-4</v>
      </c>
      <c r="F7" s="152">
        <f>0.5</f>
        <v>0.5</v>
      </c>
      <c r="G7" s="141">
        <v>0.93</v>
      </c>
      <c r="H7" s="138">
        <f>I7*J7*K7*L7*M7</f>
        <v>226.65242272500004</v>
      </c>
      <c r="I7" s="155">
        <v>251899</v>
      </c>
      <c r="J7" s="140">
        <v>1.29</v>
      </c>
      <c r="K7" s="150">
        <v>1.5E-3</v>
      </c>
      <c r="L7" s="152">
        <f>0.5</f>
        <v>0.5</v>
      </c>
      <c r="M7" s="141">
        <v>0.93</v>
      </c>
      <c r="N7" s="161">
        <f>O7*P7*Q7*R7*S7</f>
        <v>37.235386499999997</v>
      </c>
      <c r="O7" s="139">
        <v>61597</v>
      </c>
      <c r="P7" s="140">
        <v>1</v>
      </c>
      <c r="Q7" s="150">
        <v>1.2999999999999999E-3</v>
      </c>
      <c r="R7" s="152">
        <f>0.5</f>
        <v>0.5</v>
      </c>
      <c r="S7" s="141">
        <v>0.93</v>
      </c>
      <c r="T7" s="161">
        <f>U7*V7*W7*X7*Y7</f>
        <v>34.392798720000009</v>
      </c>
      <c r="U7" s="139">
        <v>110064</v>
      </c>
      <c r="V7" s="140">
        <v>1.05</v>
      </c>
      <c r="W7" s="150">
        <v>2E-3</v>
      </c>
      <c r="X7" s="152">
        <f>0.16</f>
        <v>0.16</v>
      </c>
      <c r="Y7" s="141">
        <v>0.93</v>
      </c>
      <c r="Z7" s="138">
        <f>AA7*AB7*AC7*AD7*AE7</f>
        <v>8.6981040000000007</v>
      </c>
      <c r="AA7" s="139">
        <v>7794</v>
      </c>
      <c r="AB7" s="140">
        <v>1.5</v>
      </c>
      <c r="AC7" s="150">
        <v>1.6000000000000001E-3</v>
      </c>
      <c r="AD7" s="152">
        <f>0.5</f>
        <v>0.5</v>
      </c>
      <c r="AE7" s="141">
        <v>0.93</v>
      </c>
      <c r="AF7" s="138">
        <f>AG7*AH7*AI7*AJ7*AK7</f>
        <v>41.044387499999999</v>
      </c>
      <c r="AG7" s="139">
        <v>19615</v>
      </c>
      <c r="AH7" s="140">
        <v>3</v>
      </c>
      <c r="AI7" s="150">
        <v>1.5E-3</v>
      </c>
      <c r="AJ7" s="152">
        <f>0.5</f>
        <v>0.5</v>
      </c>
      <c r="AK7" s="141">
        <v>0.93</v>
      </c>
      <c r="AL7" s="157">
        <v>0</v>
      </c>
      <c r="AM7" s="155"/>
      <c r="AN7" s="139"/>
      <c r="AO7" s="150">
        <v>0</v>
      </c>
      <c r="AP7" s="140"/>
      <c r="AQ7" s="181"/>
    </row>
    <row r="8" spans="1:43" s="160" customFormat="1" x14ac:dyDescent="0.25">
      <c r="A8" s="178">
        <v>1998</v>
      </c>
      <c r="B8" s="142">
        <f t="shared" ref="B8:B14" si="0">C8*D8*E8*F8*G8</f>
        <v>208.70795880000003</v>
      </c>
      <c r="C8" s="126" t="s">
        <v>179</v>
      </c>
      <c r="D8" s="127">
        <v>1.1000000000000001</v>
      </c>
      <c r="E8" s="129">
        <v>8.0000000000000004E-4</v>
      </c>
      <c r="F8" s="149">
        <f>0.5</f>
        <v>0.5</v>
      </c>
      <c r="G8" s="143">
        <v>0.93</v>
      </c>
      <c r="H8" s="142">
        <f t="shared" ref="H8:H14" si="1">I8*J8*K8*L8*M8</f>
        <v>246.04347375000003</v>
      </c>
      <c r="I8" s="130" t="s">
        <v>180</v>
      </c>
      <c r="J8" s="127">
        <v>1.29</v>
      </c>
      <c r="K8" s="129">
        <v>1.5E-3</v>
      </c>
      <c r="L8" s="149">
        <f>0.5</f>
        <v>0.5</v>
      </c>
      <c r="M8" s="143">
        <v>0.93</v>
      </c>
      <c r="N8" s="162">
        <f t="shared" ref="N8:N14" si="2">O8*P8*Q8*R8*S8</f>
        <v>51.978536999999996</v>
      </c>
      <c r="O8" s="126" t="s">
        <v>181</v>
      </c>
      <c r="P8" s="127">
        <v>1</v>
      </c>
      <c r="Q8" s="129">
        <v>1.2999999999999999E-3</v>
      </c>
      <c r="R8" s="149">
        <f>0.5</f>
        <v>0.5</v>
      </c>
      <c r="S8" s="143">
        <v>0.93</v>
      </c>
      <c r="T8" s="162">
        <f t="shared" ref="T8:T14" si="3">U8*V8*W8*X8*Y8</f>
        <v>37.985693760000004</v>
      </c>
      <c r="U8" s="126" t="s">
        <v>182</v>
      </c>
      <c r="V8" s="127">
        <v>1.05</v>
      </c>
      <c r="W8" s="129">
        <v>2E-3</v>
      </c>
      <c r="X8" s="149">
        <f>0.16</f>
        <v>0.16</v>
      </c>
      <c r="Y8" s="143">
        <v>0.93</v>
      </c>
      <c r="Z8" s="142">
        <f t="shared" ref="Z8:Z14" si="4">AA8*AB8*AC8*AD8*AE8</f>
        <v>10.035072000000001</v>
      </c>
      <c r="AA8" s="126" t="s">
        <v>183</v>
      </c>
      <c r="AB8" s="127">
        <v>1.5</v>
      </c>
      <c r="AC8" s="129">
        <v>1.6000000000000001E-3</v>
      </c>
      <c r="AD8" s="149">
        <f>0.5</f>
        <v>0.5</v>
      </c>
      <c r="AE8" s="143">
        <v>0.93</v>
      </c>
      <c r="AF8" s="142">
        <f t="shared" ref="AF8:AF14" si="5">AG8*AH8*AI8*AJ8*AK8</f>
        <v>33.611827500000004</v>
      </c>
      <c r="AG8" s="126" t="s">
        <v>184</v>
      </c>
      <c r="AH8" s="127">
        <v>3</v>
      </c>
      <c r="AI8" s="129">
        <v>1.5E-3</v>
      </c>
      <c r="AJ8" s="149">
        <f>0.5</f>
        <v>0.5</v>
      </c>
      <c r="AK8" s="143">
        <v>0.93</v>
      </c>
      <c r="AL8" s="158">
        <v>0</v>
      </c>
      <c r="AM8" s="130"/>
      <c r="AN8" s="126"/>
      <c r="AO8" s="129">
        <v>0</v>
      </c>
      <c r="AP8" s="127"/>
      <c r="AQ8" s="182"/>
    </row>
    <row r="9" spans="1:43" s="160" customFormat="1" x14ac:dyDescent="0.25">
      <c r="A9" s="178">
        <v>2001</v>
      </c>
      <c r="B9" s="142">
        <f t="shared" si="0"/>
        <v>275.69604480000004</v>
      </c>
      <c r="C9" s="126" t="s">
        <v>185</v>
      </c>
      <c r="D9" s="127">
        <v>1.1000000000000001</v>
      </c>
      <c r="E9" s="129">
        <v>8.0000000000000004E-4</v>
      </c>
      <c r="F9" s="149">
        <f t="shared" ref="F9:F14" si="6">0.85</f>
        <v>0.85</v>
      </c>
      <c r="G9" s="143">
        <v>0.93</v>
      </c>
      <c r="H9" s="142">
        <f t="shared" si="1"/>
        <v>465.75323257500003</v>
      </c>
      <c r="I9" s="130" t="s">
        <v>186</v>
      </c>
      <c r="J9" s="127">
        <v>1.29</v>
      </c>
      <c r="K9" s="129">
        <v>1.5E-3</v>
      </c>
      <c r="L9" s="149">
        <f t="shared" ref="L9:L14" si="7">0.85</f>
        <v>0.85</v>
      </c>
      <c r="M9" s="143">
        <v>0.93</v>
      </c>
      <c r="N9" s="162">
        <f t="shared" si="2"/>
        <v>68.0694807</v>
      </c>
      <c r="O9" s="126" t="s">
        <v>187</v>
      </c>
      <c r="P9" s="127">
        <v>1</v>
      </c>
      <c r="Q9" s="129">
        <v>1.2999999999999999E-3</v>
      </c>
      <c r="R9" s="149">
        <f t="shared" ref="R9:R14" si="8">0.85</f>
        <v>0.85</v>
      </c>
      <c r="S9" s="143">
        <v>0.93</v>
      </c>
      <c r="T9" s="162">
        <f t="shared" si="3"/>
        <v>55.285524000000002</v>
      </c>
      <c r="U9" s="126" t="s">
        <v>188</v>
      </c>
      <c r="V9" s="127">
        <v>1.05</v>
      </c>
      <c r="W9" s="129">
        <v>2E-3</v>
      </c>
      <c r="X9" s="149">
        <f t="shared" ref="X9:X14" si="9">0.56</f>
        <v>0.56000000000000005</v>
      </c>
      <c r="Y9" s="143">
        <v>0.93</v>
      </c>
      <c r="Z9" s="142">
        <f t="shared" si="4"/>
        <v>20.1786192</v>
      </c>
      <c r="AA9" s="126" t="s">
        <v>189</v>
      </c>
      <c r="AB9" s="127">
        <v>1.5</v>
      </c>
      <c r="AC9" s="129">
        <v>1.6000000000000001E-3</v>
      </c>
      <c r="AD9" s="149">
        <f t="shared" ref="AD9:AD14" si="10">0.85</f>
        <v>0.85</v>
      </c>
      <c r="AE9" s="143">
        <v>0.93</v>
      </c>
      <c r="AF9" s="142">
        <f t="shared" si="5"/>
        <v>162.90782099999998</v>
      </c>
      <c r="AG9" s="126" t="s">
        <v>190</v>
      </c>
      <c r="AH9" s="127">
        <v>3</v>
      </c>
      <c r="AI9" s="129">
        <v>1.5E-3</v>
      </c>
      <c r="AJ9" s="149">
        <f t="shared" ref="AJ9:AJ14" si="11">0.85</f>
        <v>0.85</v>
      </c>
      <c r="AK9" s="143">
        <v>0.93</v>
      </c>
      <c r="AL9" s="158">
        <v>0</v>
      </c>
      <c r="AM9" s="130"/>
      <c r="AN9" s="126"/>
      <c r="AO9" s="129">
        <v>0</v>
      </c>
      <c r="AP9" s="127"/>
      <c r="AQ9" s="182"/>
    </row>
    <row r="10" spans="1:43" s="160" customFormat="1" x14ac:dyDescent="0.25">
      <c r="A10" s="178">
        <v>2004</v>
      </c>
      <c r="B10" s="142">
        <f t="shared" si="0"/>
        <v>130.32537144000003</v>
      </c>
      <c r="C10" s="126" t="s">
        <v>191</v>
      </c>
      <c r="D10" s="127">
        <v>1.1000000000000001</v>
      </c>
      <c r="E10" s="129">
        <v>8.0000000000000004E-4</v>
      </c>
      <c r="F10" s="149">
        <f t="shared" si="6"/>
        <v>0.85</v>
      </c>
      <c r="G10" s="143">
        <v>0.93</v>
      </c>
      <c r="H10" s="142">
        <f t="shared" si="1"/>
        <v>400.12499373750001</v>
      </c>
      <c r="I10" s="130" t="s">
        <v>192</v>
      </c>
      <c r="J10" s="127">
        <v>1.29</v>
      </c>
      <c r="K10" s="129">
        <v>1.5E-3</v>
      </c>
      <c r="L10" s="149">
        <f t="shared" si="7"/>
        <v>0.85</v>
      </c>
      <c r="M10" s="143">
        <v>0.93</v>
      </c>
      <c r="N10" s="162">
        <f t="shared" si="2"/>
        <v>26.82269265</v>
      </c>
      <c r="O10" s="126" t="s">
        <v>193</v>
      </c>
      <c r="P10" s="127">
        <v>1</v>
      </c>
      <c r="Q10" s="129">
        <v>1.2999999999999999E-3</v>
      </c>
      <c r="R10" s="149">
        <f t="shared" si="8"/>
        <v>0.85</v>
      </c>
      <c r="S10" s="143">
        <v>0.93</v>
      </c>
      <c r="T10" s="162">
        <f t="shared" si="3"/>
        <v>15.369485040000004</v>
      </c>
      <c r="U10" s="126" t="s">
        <v>194</v>
      </c>
      <c r="V10" s="127">
        <v>1.05</v>
      </c>
      <c r="W10" s="129">
        <v>2E-3</v>
      </c>
      <c r="X10" s="149">
        <f t="shared" si="9"/>
        <v>0.56000000000000005</v>
      </c>
      <c r="Y10" s="143">
        <v>0.93</v>
      </c>
      <c r="Z10" s="142">
        <f t="shared" si="4"/>
        <v>10.969610400000001</v>
      </c>
      <c r="AA10" s="126" t="s">
        <v>195</v>
      </c>
      <c r="AB10" s="127">
        <v>1.5</v>
      </c>
      <c r="AC10" s="129">
        <v>1.6000000000000001E-3</v>
      </c>
      <c r="AD10" s="149">
        <f t="shared" si="10"/>
        <v>0.85</v>
      </c>
      <c r="AE10" s="143">
        <v>0.93</v>
      </c>
      <c r="AF10" s="142">
        <f t="shared" si="5"/>
        <v>381.707154</v>
      </c>
      <c r="AG10" s="126" t="s">
        <v>196</v>
      </c>
      <c r="AH10" s="127">
        <v>3</v>
      </c>
      <c r="AI10" s="129">
        <v>1.5E-3</v>
      </c>
      <c r="AJ10" s="149">
        <f t="shared" si="11"/>
        <v>0.85</v>
      </c>
      <c r="AK10" s="143">
        <v>0.93</v>
      </c>
      <c r="AL10" s="158">
        <v>0</v>
      </c>
      <c r="AM10" s="130"/>
      <c r="AN10" s="126"/>
      <c r="AO10" s="129">
        <v>0</v>
      </c>
      <c r="AP10" s="127"/>
      <c r="AQ10" s="182"/>
    </row>
    <row r="11" spans="1:43" s="160" customFormat="1" x14ac:dyDescent="0.25">
      <c r="A11" s="178">
        <v>2007</v>
      </c>
      <c r="B11" s="142">
        <f t="shared" si="0"/>
        <v>197.54854284000004</v>
      </c>
      <c r="C11" s="126">
        <v>283981</v>
      </c>
      <c r="D11" s="127">
        <v>1.1000000000000001</v>
      </c>
      <c r="E11" s="129">
        <v>8.0000000000000004E-4</v>
      </c>
      <c r="F11" s="149">
        <f t="shared" si="6"/>
        <v>0.85</v>
      </c>
      <c r="G11" s="143">
        <v>0.93</v>
      </c>
      <c r="H11" s="142">
        <f t="shared" si="1"/>
        <v>569.63567547000002</v>
      </c>
      <c r="I11" s="130">
        <v>372404</v>
      </c>
      <c r="J11" s="127">
        <v>1.29</v>
      </c>
      <c r="K11" s="129">
        <v>1.5E-3</v>
      </c>
      <c r="L11" s="149">
        <f t="shared" si="7"/>
        <v>0.85</v>
      </c>
      <c r="M11" s="143">
        <v>0.93</v>
      </c>
      <c r="N11" s="162">
        <f t="shared" si="2"/>
        <v>43.1078622</v>
      </c>
      <c r="O11" s="126">
        <v>41948</v>
      </c>
      <c r="P11" s="127">
        <v>1</v>
      </c>
      <c r="Q11" s="129">
        <v>1.2999999999999999E-3</v>
      </c>
      <c r="R11" s="149">
        <f t="shared" si="8"/>
        <v>0.85</v>
      </c>
      <c r="S11" s="143">
        <v>0.93</v>
      </c>
      <c r="T11" s="162">
        <f t="shared" si="3"/>
        <v>10.894146480000003</v>
      </c>
      <c r="U11" s="126">
        <v>9961</v>
      </c>
      <c r="V11" s="127">
        <v>1.05</v>
      </c>
      <c r="W11" s="129">
        <v>2E-3</v>
      </c>
      <c r="X11" s="149">
        <f t="shared" si="9"/>
        <v>0.56000000000000005</v>
      </c>
      <c r="Y11" s="143">
        <v>0.93</v>
      </c>
      <c r="Z11" s="142">
        <f t="shared" si="4"/>
        <v>11.821453200000001</v>
      </c>
      <c r="AA11" s="126">
        <v>6231</v>
      </c>
      <c r="AB11" s="127">
        <v>1.5</v>
      </c>
      <c r="AC11" s="129">
        <v>1.6000000000000001E-3</v>
      </c>
      <c r="AD11" s="149">
        <f t="shared" si="10"/>
        <v>0.85</v>
      </c>
      <c r="AE11" s="143">
        <v>0.93</v>
      </c>
      <c r="AF11" s="142">
        <f t="shared" si="5"/>
        <v>411.6378555</v>
      </c>
      <c r="AG11" s="126">
        <v>115718</v>
      </c>
      <c r="AH11" s="127">
        <v>3</v>
      </c>
      <c r="AI11" s="129">
        <v>1.5E-3</v>
      </c>
      <c r="AJ11" s="149">
        <f t="shared" si="11"/>
        <v>0.85</v>
      </c>
      <c r="AK11" s="143">
        <v>0.93</v>
      </c>
      <c r="AL11" s="158">
        <v>0</v>
      </c>
      <c r="AM11" s="130"/>
      <c r="AN11" s="126"/>
      <c r="AO11" s="129">
        <v>0</v>
      </c>
      <c r="AP11" s="127"/>
      <c r="AQ11" s="182"/>
    </row>
    <row r="12" spans="1:43" s="160" customFormat="1" x14ac:dyDescent="0.25">
      <c r="A12" s="154">
        <v>2010</v>
      </c>
      <c r="B12" s="142">
        <f t="shared" si="0"/>
        <v>229.14381600000007</v>
      </c>
      <c r="C12" s="126">
        <v>329400</v>
      </c>
      <c r="D12" s="127">
        <v>1.1000000000000001</v>
      </c>
      <c r="E12" s="129">
        <v>8.0000000000000004E-4</v>
      </c>
      <c r="F12" s="149">
        <f t="shared" si="6"/>
        <v>0.85</v>
      </c>
      <c r="G12" s="143">
        <v>0.93</v>
      </c>
      <c r="H12" s="142">
        <f t="shared" si="1"/>
        <v>628.0609455</v>
      </c>
      <c r="I12" s="130">
        <v>410600</v>
      </c>
      <c r="J12" s="127">
        <v>1.29</v>
      </c>
      <c r="K12" s="129">
        <v>1.5E-3</v>
      </c>
      <c r="L12" s="149">
        <f t="shared" si="7"/>
        <v>0.85</v>
      </c>
      <c r="M12" s="143">
        <v>0.93</v>
      </c>
      <c r="N12" s="162">
        <f t="shared" si="2"/>
        <v>45.553669200000002</v>
      </c>
      <c r="O12" s="126">
        <v>44328</v>
      </c>
      <c r="P12" s="127">
        <v>1</v>
      </c>
      <c r="Q12" s="129">
        <v>1.2999999999999999E-3</v>
      </c>
      <c r="R12" s="149">
        <f t="shared" si="8"/>
        <v>0.85</v>
      </c>
      <c r="S12" s="143">
        <v>0.93</v>
      </c>
      <c r="T12" s="162">
        <f t="shared" si="3"/>
        <v>5.3907487200000004</v>
      </c>
      <c r="U12" s="126">
        <v>4929</v>
      </c>
      <c r="V12" s="127">
        <v>1.05</v>
      </c>
      <c r="W12" s="129">
        <v>2E-3</v>
      </c>
      <c r="X12" s="149">
        <f t="shared" si="9"/>
        <v>0.56000000000000005</v>
      </c>
      <c r="Y12" s="143">
        <v>0.93</v>
      </c>
      <c r="Z12" s="142">
        <f t="shared" si="4"/>
        <v>8.9547840000000001</v>
      </c>
      <c r="AA12" s="126">
        <v>4720</v>
      </c>
      <c r="AB12" s="127">
        <v>1.5</v>
      </c>
      <c r="AC12" s="129">
        <v>1.6000000000000001E-3</v>
      </c>
      <c r="AD12" s="149">
        <f t="shared" si="10"/>
        <v>0.85</v>
      </c>
      <c r="AE12" s="143">
        <v>0.93</v>
      </c>
      <c r="AF12" s="142">
        <f t="shared" si="5"/>
        <v>420.11122500000005</v>
      </c>
      <c r="AG12" s="126">
        <v>118100</v>
      </c>
      <c r="AH12" s="127">
        <v>3</v>
      </c>
      <c r="AI12" s="129">
        <v>1.5E-3</v>
      </c>
      <c r="AJ12" s="149">
        <f t="shared" si="11"/>
        <v>0.85</v>
      </c>
      <c r="AK12" s="143">
        <v>0.93</v>
      </c>
      <c r="AL12" s="158">
        <v>0</v>
      </c>
      <c r="AM12" s="130"/>
      <c r="AN12" s="126"/>
      <c r="AO12" s="129">
        <v>0</v>
      </c>
      <c r="AP12" s="127"/>
      <c r="AQ12" s="182"/>
    </row>
    <row r="13" spans="1:43" s="160" customFormat="1" x14ac:dyDescent="0.25">
      <c r="A13" s="154">
        <v>2013</v>
      </c>
      <c r="B13" s="142">
        <f t="shared" si="0"/>
        <v>237.21324000000004</v>
      </c>
      <c r="C13" s="126">
        <v>341000</v>
      </c>
      <c r="D13" s="127">
        <v>1.1000000000000001</v>
      </c>
      <c r="E13" s="129">
        <v>8.0000000000000004E-4</v>
      </c>
      <c r="F13" s="149">
        <f t="shared" si="6"/>
        <v>0.85</v>
      </c>
      <c r="G13" s="143">
        <v>0.93</v>
      </c>
      <c r="H13" s="142">
        <f t="shared" si="1"/>
        <v>531.09390332249995</v>
      </c>
      <c r="I13" s="130">
        <v>347207</v>
      </c>
      <c r="J13" s="127">
        <v>1.29</v>
      </c>
      <c r="K13" s="129">
        <v>1.5E-3</v>
      </c>
      <c r="L13" s="149">
        <f t="shared" si="7"/>
        <v>0.85</v>
      </c>
      <c r="M13" s="143">
        <v>0.93</v>
      </c>
      <c r="N13" s="162">
        <f t="shared" si="2"/>
        <v>27.077549849999997</v>
      </c>
      <c r="O13" s="126">
        <v>26349</v>
      </c>
      <c r="P13" s="127">
        <v>1</v>
      </c>
      <c r="Q13" s="129">
        <v>1.2999999999999999E-3</v>
      </c>
      <c r="R13" s="149">
        <f t="shared" si="8"/>
        <v>0.85</v>
      </c>
      <c r="S13" s="143">
        <v>0.93</v>
      </c>
      <c r="T13" s="162">
        <f t="shared" si="3"/>
        <v>3.2690095200000009</v>
      </c>
      <c r="U13" s="126">
        <v>2989</v>
      </c>
      <c r="V13" s="127">
        <v>1.05</v>
      </c>
      <c r="W13" s="129">
        <v>2E-3</v>
      </c>
      <c r="X13" s="149">
        <f t="shared" si="9"/>
        <v>0.56000000000000005</v>
      </c>
      <c r="Y13" s="143">
        <v>0.93</v>
      </c>
      <c r="Z13" s="142">
        <f t="shared" si="4"/>
        <v>5.0370660000000003</v>
      </c>
      <c r="AA13" s="126">
        <v>2655</v>
      </c>
      <c r="AB13" s="127">
        <v>1.5</v>
      </c>
      <c r="AC13" s="129">
        <v>1.6000000000000001E-3</v>
      </c>
      <c r="AD13" s="149">
        <f t="shared" si="10"/>
        <v>0.85</v>
      </c>
      <c r="AE13" s="143">
        <v>0.93</v>
      </c>
      <c r="AF13" s="142">
        <f t="shared" si="5"/>
        <v>339.447024</v>
      </c>
      <c r="AG13" s="126">
        <v>95424</v>
      </c>
      <c r="AH13" s="127">
        <v>3</v>
      </c>
      <c r="AI13" s="129">
        <v>1.5E-3</v>
      </c>
      <c r="AJ13" s="149">
        <f t="shared" si="11"/>
        <v>0.85</v>
      </c>
      <c r="AK13" s="143">
        <v>0.93</v>
      </c>
      <c r="AL13" s="158">
        <v>0</v>
      </c>
      <c r="AM13" s="130"/>
      <c r="AN13" s="126"/>
      <c r="AO13" s="129">
        <v>0</v>
      </c>
      <c r="AP13" s="127"/>
      <c r="AQ13" s="182"/>
    </row>
    <row r="14" spans="1:43" s="160" customFormat="1" ht="15" thickBot="1" x14ac:dyDescent="0.3">
      <c r="A14" s="135">
        <v>2016</v>
      </c>
      <c r="B14" s="144">
        <f t="shared" si="0"/>
        <v>353.24599200000006</v>
      </c>
      <c r="C14" s="145">
        <v>507800</v>
      </c>
      <c r="D14" s="146">
        <v>1.1000000000000001</v>
      </c>
      <c r="E14" s="151">
        <v>8.0000000000000004E-4</v>
      </c>
      <c r="F14" s="153">
        <f t="shared" si="6"/>
        <v>0.85</v>
      </c>
      <c r="G14" s="148">
        <v>0.93</v>
      </c>
      <c r="H14" s="144">
        <f t="shared" si="1"/>
        <v>702.85924125000008</v>
      </c>
      <c r="I14" s="156">
        <v>459500</v>
      </c>
      <c r="J14" s="146">
        <v>1.29</v>
      </c>
      <c r="K14" s="151">
        <v>1.5E-3</v>
      </c>
      <c r="L14" s="153">
        <f t="shared" si="7"/>
        <v>0.85</v>
      </c>
      <c r="M14" s="148">
        <v>0.93</v>
      </c>
      <c r="N14" s="163">
        <f t="shared" si="2"/>
        <v>34.616390250000002</v>
      </c>
      <c r="O14" s="145">
        <v>33685</v>
      </c>
      <c r="P14" s="146">
        <v>1</v>
      </c>
      <c r="Q14" s="151">
        <v>1.2999999999999999E-3</v>
      </c>
      <c r="R14" s="153">
        <f t="shared" si="8"/>
        <v>0.85</v>
      </c>
      <c r="S14" s="148">
        <v>0.93</v>
      </c>
      <c r="T14" s="163">
        <f t="shared" si="3"/>
        <v>1.4600628000000002</v>
      </c>
      <c r="U14" s="145">
        <v>1335</v>
      </c>
      <c r="V14" s="146">
        <v>1.05</v>
      </c>
      <c r="W14" s="151">
        <v>2E-3</v>
      </c>
      <c r="X14" s="153">
        <f t="shared" si="9"/>
        <v>0.56000000000000005</v>
      </c>
      <c r="Y14" s="148">
        <v>0.93</v>
      </c>
      <c r="Z14" s="144">
        <f t="shared" si="4"/>
        <v>7.8069780000000009</v>
      </c>
      <c r="AA14" s="145">
        <v>4115</v>
      </c>
      <c r="AB14" s="146">
        <v>1.5</v>
      </c>
      <c r="AC14" s="151">
        <v>1.6000000000000001E-3</v>
      </c>
      <c r="AD14" s="153">
        <f t="shared" si="10"/>
        <v>0.85</v>
      </c>
      <c r="AE14" s="148">
        <v>0.93</v>
      </c>
      <c r="AF14" s="144">
        <f t="shared" si="5"/>
        <v>255.05482500000002</v>
      </c>
      <c r="AG14" s="145">
        <v>71700</v>
      </c>
      <c r="AH14" s="146">
        <v>3</v>
      </c>
      <c r="AI14" s="151">
        <v>1.5E-3</v>
      </c>
      <c r="AJ14" s="153">
        <f t="shared" si="11"/>
        <v>0.85</v>
      </c>
      <c r="AK14" s="148">
        <v>0.93</v>
      </c>
      <c r="AL14" s="159">
        <v>0</v>
      </c>
      <c r="AM14" s="156"/>
      <c r="AN14" s="145"/>
      <c r="AO14" s="151">
        <v>0</v>
      </c>
      <c r="AP14" s="146"/>
      <c r="AQ14" s="183"/>
    </row>
    <row r="15" spans="1:43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</row>
    <row r="17" spans="1:2" ht="17.399999999999999" x14ac:dyDescent="0.3">
      <c r="A17" s="14" t="s">
        <v>250</v>
      </c>
      <c r="B17" s="8" t="s">
        <v>344</v>
      </c>
    </row>
    <row r="18" spans="1:2" ht="17.399999999999999" x14ac:dyDescent="0.3">
      <c r="A18" s="33" t="s">
        <v>251</v>
      </c>
      <c r="B18" s="8" t="s">
        <v>255</v>
      </c>
    </row>
    <row r="19" spans="1:2" ht="17.399999999999999" x14ac:dyDescent="0.3">
      <c r="A19" s="33" t="s">
        <v>252</v>
      </c>
      <c r="B19" s="8" t="s">
        <v>256</v>
      </c>
    </row>
    <row r="20" spans="1:2" ht="17.399999999999999" x14ac:dyDescent="0.3">
      <c r="A20" s="33" t="s">
        <v>253</v>
      </c>
      <c r="B20" s="8" t="s">
        <v>257</v>
      </c>
    </row>
    <row r="21" spans="1:2" ht="17.399999999999999" x14ac:dyDescent="0.3">
      <c r="A21" s="33" t="s">
        <v>254</v>
      </c>
      <c r="B21" s="8" t="s">
        <v>258</v>
      </c>
    </row>
    <row r="23" spans="1:2" x14ac:dyDescent="0.25">
      <c r="A23" s="14"/>
    </row>
    <row r="24" spans="1:2" ht="16.8" x14ac:dyDescent="0.25">
      <c r="A24" s="33" t="s">
        <v>251</v>
      </c>
      <c r="B24" s="14" t="s">
        <v>98</v>
      </c>
    </row>
    <row r="25" spans="1:2" ht="16.8" x14ac:dyDescent="0.25">
      <c r="A25" s="33" t="s">
        <v>252</v>
      </c>
      <c r="B25" s="14" t="s">
        <v>209</v>
      </c>
    </row>
    <row r="26" spans="1:2" ht="16.8" x14ac:dyDescent="0.25">
      <c r="A26" s="33" t="s">
        <v>253</v>
      </c>
      <c r="B26" s="14" t="s">
        <v>209</v>
      </c>
    </row>
    <row r="27" spans="1:2" ht="16.8" x14ac:dyDescent="0.25">
      <c r="A27" s="33" t="s">
        <v>254</v>
      </c>
      <c r="B27" s="100" t="s">
        <v>229</v>
      </c>
    </row>
  </sheetData>
  <mergeCells count="8">
    <mergeCell ref="AL5:AQ5"/>
    <mergeCell ref="A5:A6"/>
    <mergeCell ref="B5:G5"/>
    <mergeCell ref="H5:M5"/>
    <mergeCell ref="N5:S5"/>
    <mergeCell ref="T5:Y5"/>
    <mergeCell ref="Z5:AE5"/>
    <mergeCell ref="AF5:AK5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22"/>
  <sheetViews>
    <sheetView workbookViewId="0">
      <selection activeCell="B21" sqref="B21:B22"/>
    </sheetView>
  </sheetViews>
  <sheetFormatPr defaultRowHeight="14.4" x14ac:dyDescent="0.25"/>
  <cols>
    <col min="2" max="2" width="9" bestFit="1" customWidth="1"/>
    <col min="3" max="3" width="10.5546875" bestFit="1" customWidth="1"/>
    <col min="6" max="6" width="13.44140625" customWidth="1"/>
    <col min="12" max="12" width="12.44140625" customWidth="1"/>
    <col min="18" max="18" width="15.33203125" customWidth="1"/>
    <col min="21" max="21" width="12.44140625" customWidth="1"/>
  </cols>
  <sheetData>
    <row r="3" spans="1:22" ht="15" thickBot="1" x14ac:dyDescent="0.3"/>
    <row r="4" spans="1:22" s="33" customFormat="1" ht="15" thickBot="1" x14ac:dyDescent="0.3">
      <c r="A4" s="104"/>
      <c r="B4" s="227" t="s">
        <v>203</v>
      </c>
      <c r="C4" s="228"/>
      <c r="D4" s="229"/>
      <c r="E4" s="227" t="s">
        <v>204</v>
      </c>
      <c r="F4" s="228"/>
      <c r="G4" s="229"/>
      <c r="H4" s="227" t="s">
        <v>205</v>
      </c>
      <c r="I4" s="228"/>
      <c r="J4" s="229"/>
      <c r="K4" s="227" t="s">
        <v>129</v>
      </c>
      <c r="L4" s="228"/>
      <c r="M4" s="229"/>
      <c r="N4" s="227" t="s">
        <v>206</v>
      </c>
      <c r="O4" s="228"/>
      <c r="P4" s="229"/>
      <c r="Q4" s="227" t="s">
        <v>207</v>
      </c>
      <c r="R4" s="228"/>
      <c r="S4" s="229"/>
      <c r="T4" s="227" t="s">
        <v>155</v>
      </c>
      <c r="U4" s="228"/>
      <c r="V4" s="229"/>
    </row>
    <row r="5" spans="1:22" s="33" customFormat="1" ht="17.399999999999999" thickBot="1" x14ac:dyDescent="0.3">
      <c r="A5" s="86" t="s">
        <v>53</v>
      </c>
      <c r="B5" s="104" t="s">
        <v>197</v>
      </c>
      <c r="C5" s="112" t="s">
        <v>198</v>
      </c>
      <c r="D5" s="113" t="s">
        <v>199</v>
      </c>
      <c r="E5" s="104" t="s">
        <v>197</v>
      </c>
      <c r="F5" s="112" t="s">
        <v>198</v>
      </c>
      <c r="G5" s="113" t="s">
        <v>199</v>
      </c>
      <c r="H5" s="104" t="s">
        <v>197</v>
      </c>
      <c r="I5" s="112" t="s">
        <v>198</v>
      </c>
      <c r="J5" s="113" t="s">
        <v>199</v>
      </c>
      <c r="K5" s="104" t="s">
        <v>197</v>
      </c>
      <c r="L5" s="112" t="s">
        <v>198</v>
      </c>
      <c r="M5" s="113" t="s">
        <v>199</v>
      </c>
      <c r="N5" s="104" t="s">
        <v>197</v>
      </c>
      <c r="O5" s="112" t="s">
        <v>198</v>
      </c>
      <c r="P5" s="113" t="s">
        <v>199</v>
      </c>
      <c r="Q5" s="104" t="s">
        <v>197</v>
      </c>
      <c r="R5" s="112" t="s">
        <v>198</v>
      </c>
      <c r="S5" s="113" t="s">
        <v>199</v>
      </c>
      <c r="T5" s="104" t="s">
        <v>197</v>
      </c>
      <c r="U5" s="112" t="s">
        <v>198</v>
      </c>
      <c r="V5" s="113" t="s">
        <v>199</v>
      </c>
    </row>
    <row r="6" spans="1:22" s="33" customFormat="1" ht="13.8" x14ac:dyDescent="0.25">
      <c r="A6" s="107">
        <v>1995</v>
      </c>
      <c r="B6" s="108">
        <f t="shared" ref="B6:B13" si="0">C6*D6/1000</f>
        <v>23.275836403248942</v>
      </c>
      <c r="C6" s="109">
        <v>51724.080896108753</v>
      </c>
      <c r="D6" s="6">
        <v>0.45</v>
      </c>
      <c r="E6" s="108">
        <f>F6*G6/1000</f>
        <v>11.481873121414317</v>
      </c>
      <c r="F6" s="109">
        <v>25515.273603142927</v>
      </c>
      <c r="G6" s="6">
        <v>0.45</v>
      </c>
      <c r="H6" s="108">
        <f>I6*J6/1000</f>
        <v>2.4162882907988279</v>
      </c>
      <c r="I6" s="109">
        <v>5369.529535108506</v>
      </c>
      <c r="J6" s="6">
        <v>0.45</v>
      </c>
      <c r="K6" s="108">
        <f>L6*M6/1000</f>
        <v>15.420044974978175</v>
      </c>
      <c r="L6" s="109">
        <v>34266.766611062609</v>
      </c>
      <c r="M6" s="6">
        <v>0.45</v>
      </c>
      <c r="N6" s="108">
        <f>O6*P6/1000</f>
        <v>0.99412134026565224</v>
      </c>
      <c r="O6" s="109">
        <v>2209.1585339236717</v>
      </c>
      <c r="P6" s="6">
        <v>0.45</v>
      </c>
      <c r="Q6" s="108">
        <f>R6*S6/1000</f>
        <v>7.4328204547580441</v>
      </c>
      <c r="R6" s="109">
        <v>16517.378788351209</v>
      </c>
      <c r="S6" s="6">
        <v>0.45</v>
      </c>
      <c r="T6" s="108">
        <f>U6*V6/1000</f>
        <v>4.0805154145360438</v>
      </c>
      <c r="U6" s="109">
        <v>9067.8120323023195</v>
      </c>
      <c r="V6" s="101">
        <v>0.45</v>
      </c>
    </row>
    <row r="7" spans="1:22" s="33" customFormat="1" ht="13.8" x14ac:dyDescent="0.25">
      <c r="A7" s="107">
        <v>1998</v>
      </c>
      <c r="B7" s="108">
        <f t="shared" si="0"/>
        <v>23.895738533500804</v>
      </c>
      <c r="C7" s="109">
        <v>53101.641185557339</v>
      </c>
      <c r="D7" s="6">
        <v>0.45</v>
      </c>
      <c r="E7" s="108">
        <f t="shared" ref="E7:E13" si="1">F7*G7/1000</f>
        <v>10.709369180129066</v>
      </c>
      <c r="F7" s="109">
        <v>23798.598178064589</v>
      </c>
      <c r="G7" s="6">
        <v>0.45</v>
      </c>
      <c r="H7" s="108">
        <f t="shared" ref="H7:H13" si="2">I7*J7/1000</f>
        <v>3.5157498159296634</v>
      </c>
      <c r="I7" s="109">
        <v>7812.7773687325853</v>
      </c>
      <c r="J7" s="6">
        <v>0.45</v>
      </c>
      <c r="K7" s="108">
        <f t="shared" ref="K7:K13" si="3">L7*M7/1000</f>
        <v>15.709520399324354</v>
      </c>
      <c r="L7" s="109">
        <v>34910.045331831898</v>
      </c>
      <c r="M7" s="6">
        <v>0.45</v>
      </c>
      <c r="N7" s="108">
        <f t="shared" ref="N7:N13" si="4">O7*P7/1000</f>
        <v>0.7526142318853134</v>
      </c>
      <c r="O7" s="109">
        <v>1672.4760708562519</v>
      </c>
      <c r="P7" s="6">
        <v>0.45</v>
      </c>
      <c r="Q7" s="108">
        <f t="shared" ref="Q7:Q13" si="5">R7*S7/1000</f>
        <v>5.1012097968729702</v>
      </c>
      <c r="R7" s="109">
        <v>11336.021770828822</v>
      </c>
      <c r="S7" s="6">
        <v>0.45</v>
      </c>
      <c r="T7" s="108">
        <f t="shared" ref="T7:T13" si="6">U7*V7/1000</f>
        <v>5.8897980423578327</v>
      </c>
      <c r="U7" s="109">
        <v>13088.440094128517</v>
      </c>
      <c r="V7" s="101">
        <v>0.45</v>
      </c>
    </row>
    <row r="8" spans="1:22" s="33" customFormat="1" ht="13.8" x14ac:dyDescent="0.25">
      <c r="A8" s="107">
        <v>2001</v>
      </c>
      <c r="B8" s="108">
        <f t="shared" si="0"/>
        <v>19.630026587343369</v>
      </c>
      <c r="C8" s="109">
        <v>43622.281305207493</v>
      </c>
      <c r="D8" s="6">
        <v>0.45</v>
      </c>
      <c r="E8" s="108">
        <f t="shared" si="1"/>
        <v>12.139225369414902</v>
      </c>
      <c r="F8" s="109">
        <v>26976.056376477562</v>
      </c>
      <c r="G8" s="6">
        <v>0.45</v>
      </c>
      <c r="H8" s="108">
        <f t="shared" si="2"/>
        <v>2.9665972587834752</v>
      </c>
      <c r="I8" s="109">
        <v>6592.4383528521676</v>
      </c>
      <c r="J8" s="6">
        <v>0.45</v>
      </c>
      <c r="K8" s="108">
        <f t="shared" si="3"/>
        <v>8.379012933908955</v>
      </c>
      <c r="L8" s="109">
        <v>18620.028742019898</v>
      </c>
      <c r="M8" s="6">
        <v>0.45</v>
      </c>
      <c r="N8" s="108">
        <f t="shared" si="4"/>
        <v>1.0054616370081781</v>
      </c>
      <c r="O8" s="109">
        <v>2234.3591933515067</v>
      </c>
      <c r="P8" s="6">
        <v>0.45</v>
      </c>
      <c r="Q8" s="108">
        <f t="shared" si="5"/>
        <v>9.7548947035906082</v>
      </c>
      <c r="R8" s="109">
        <v>21677.543785756905</v>
      </c>
      <c r="S8" s="6">
        <v>0.45</v>
      </c>
      <c r="T8" s="108">
        <f t="shared" si="6"/>
        <v>9.9572815099505121</v>
      </c>
      <c r="U8" s="109">
        <v>22127.292244334469</v>
      </c>
      <c r="V8" s="101">
        <v>0.45</v>
      </c>
    </row>
    <row r="9" spans="1:22" s="33" customFormat="1" ht="13.8" x14ac:dyDescent="0.25">
      <c r="A9" s="107">
        <v>2004</v>
      </c>
      <c r="B9" s="108">
        <f t="shared" si="0"/>
        <v>9.4535264262168663</v>
      </c>
      <c r="C9" s="109">
        <v>21007.836502704144</v>
      </c>
      <c r="D9" s="6">
        <v>0.45</v>
      </c>
      <c r="E9" s="108">
        <f t="shared" si="1"/>
        <v>11.643251581624689</v>
      </c>
      <c r="F9" s="109">
        <v>25873.892403610418</v>
      </c>
      <c r="G9" s="6">
        <v>0.45</v>
      </c>
      <c r="H9" s="108">
        <f t="shared" si="2"/>
        <v>1.3558734860936394</v>
      </c>
      <c r="I9" s="109">
        <v>3013.0521913191988</v>
      </c>
      <c r="J9" s="6">
        <v>0.45</v>
      </c>
      <c r="K9" s="108">
        <f t="shared" si="3"/>
        <v>2.2832440407870935</v>
      </c>
      <c r="L9" s="109">
        <v>5073.8756461935409</v>
      </c>
      <c r="M9" s="6">
        <v>0.45</v>
      </c>
      <c r="N9" s="108">
        <f t="shared" si="4"/>
        <v>0.5286373006326498</v>
      </c>
      <c r="O9" s="109">
        <v>1174.7495569614441</v>
      </c>
      <c r="P9" s="6">
        <v>0.45</v>
      </c>
      <c r="Q9" s="108">
        <f t="shared" si="5"/>
        <v>29.688788014085414</v>
      </c>
      <c r="R9" s="109">
        <v>65975.08447574536</v>
      </c>
      <c r="S9" s="6">
        <v>0.45</v>
      </c>
      <c r="T9" s="108">
        <f t="shared" si="6"/>
        <v>10.544179150559652</v>
      </c>
      <c r="U9" s="109">
        <v>23431.509223465891</v>
      </c>
      <c r="V9" s="101">
        <v>0.45</v>
      </c>
    </row>
    <row r="10" spans="1:22" s="33" customFormat="1" ht="13.8" x14ac:dyDescent="0.25">
      <c r="A10" s="107">
        <v>2007</v>
      </c>
      <c r="B10" s="108">
        <f t="shared" si="0"/>
        <v>12.971021058960421</v>
      </c>
      <c r="C10" s="109">
        <v>28824.491242134267</v>
      </c>
      <c r="D10" s="6">
        <v>0.45</v>
      </c>
      <c r="E10" s="108">
        <f t="shared" si="1"/>
        <v>15.147901141771962</v>
      </c>
      <c r="F10" s="109">
        <v>33662.00253727103</v>
      </c>
      <c r="G10" s="6">
        <v>0.45</v>
      </c>
      <c r="H10" s="108">
        <f t="shared" si="2"/>
        <v>1.7646459942638997</v>
      </c>
      <c r="I10" s="109">
        <v>3921.4355428086656</v>
      </c>
      <c r="J10" s="6">
        <v>0.45</v>
      </c>
      <c r="K10" s="108">
        <f t="shared" si="3"/>
        <v>1.2955928497211726</v>
      </c>
      <c r="L10" s="109">
        <v>2879.0952216026058</v>
      </c>
      <c r="M10" s="6">
        <v>0.45</v>
      </c>
      <c r="N10" s="108">
        <f t="shared" si="4"/>
        <v>0.54806714428588665</v>
      </c>
      <c r="O10" s="109">
        <v>1217.9269873019703</v>
      </c>
      <c r="P10" s="6">
        <v>0.45</v>
      </c>
      <c r="Q10" s="108">
        <f t="shared" si="5"/>
        <v>33.569704452677172</v>
      </c>
      <c r="R10" s="109">
        <v>74599.343228171492</v>
      </c>
      <c r="S10" s="6">
        <v>0.45</v>
      </c>
      <c r="T10" s="108">
        <f t="shared" si="6"/>
        <v>10.748567358319486</v>
      </c>
      <c r="U10" s="109">
        <v>23885.705240709969</v>
      </c>
      <c r="V10" s="101">
        <v>0.45</v>
      </c>
    </row>
    <row r="11" spans="1:22" s="33" customFormat="1" ht="13.8" x14ac:dyDescent="0.25">
      <c r="A11" s="107">
        <v>2010</v>
      </c>
      <c r="B11" s="108">
        <f t="shared" si="0"/>
        <v>14.250661968033166</v>
      </c>
      <c r="C11" s="109">
        <v>31668.137706740366</v>
      </c>
      <c r="D11" s="6">
        <v>0.45</v>
      </c>
      <c r="E11" s="108">
        <f t="shared" si="1"/>
        <v>15.629063528669116</v>
      </c>
      <c r="F11" s="109">
        <v>34731.252285931369</v>
      </c>
      <c r="G11" s="6">
        <v>0.45</v>
      </c>
      <c r="H11" s="108">
        <f t="shared" si="2"/>
        <v>1.7442615348173931</v>
      </c>
      <c r="I11" s="109">
        <v>3876.1367440386512</v>
      </c>
      <c r="J11" s="6">
        <v>0.45</v>
      </c>
      <c r="K11" s="108">
        <f t="shared" si="3"/>
        <v>0.61866229464583566</v>
      </c>
      <c r="L11" s="109">
        <v>1374.8050992129681</v>
      </c>
      <c r="M11" s="6">
        <v>0.45</v>
      </c>
      <c r="N11" s="108">
        <f t="shared" si="4"/>
        <v>0.40732639329815029</v>
      </c>
      <c r="O11" s="109">
        <v>905.16976288477838</v>
      </c>
      <c r="P11" s="6">
        <v>0.45</v>
      </c>
      <c r="Q11" s="108">
        <f t="shared" si="5"/>
        <v>33.544694229539026</v>
      </c>
      <c r="R11" s="109">
        <v>74543.764954531172</v>
      </c>
      <c r="S11" s="6">
        <v>0.45</v>
      </c>
      <c r="T11" s="108">
        <f t="shared" si="6"/>
        <v>8.3253300509973123</v>
      </c>
      <c r="U11" s="109">
        <v>18500.733446660692</v>
      </c>
      <c r="V11" s="101">
        <v>0.45</v>
      </c>
    </row>
    <row r="12" spans="1:22" s="33" customFormat="1" ht="13.8" x14ac:dyDescent="0.25">
      <c r="A12" s="107">
        <v>2013</v>
      </c>
      <c r="B12" s="108">
        <f t="shared" si="0"/>
        <v>15.478430185920052</v>
      </c>
      <c r="C12" s="109">
        <v>34396.511524266782</v>
      </c>
      <c r="D12" s="6">
        <v>0.45</v>
      </c>
      <c r="E12" s="108">
        <f t="shared" si="1"/>
        <v>20.058801582973974</v>
      </c>
      <c r="F12" s="109">
        <v>44575.114628831056</v>
      </c>
      <c r="G12" s="6">
        <v>0.45</v>
      </c>
      <c r="H12" s="108">
        <f t="shared" si="2"/>
        <v>1.5300593697863267</v>
      </c>
      <c r="I12" s="109">
        <v>3400.1319328585037</v>
      </c>
      <c r="J12" s="6">
        <v>0.45</v>
      </c>
      <c r="K12" s="108">
        <f t="shared" si="3"/>
        <v>0.60164243002359741</v>
      </c>
      <c r="L12" s="109">
        <v>1336.9831778302164</v>
      </c>
      <c r="M12" s="6">
        <v>0.45</v>
      </c>
      <c r="N12" s="108">
        <f t="shared" si="4"/>
        <v>0.30363817069697568</v>
      </c>
      <c r="O12" s="109">
        <v>674.75149043772376</v>
      </c>
      <c r="P12" s="6">
        <v>0.45</v>
      </c>
      <c r="Q12" s="108">
        <f t="shared" si="5"/>
        <v>37.982636603455397</v>
      </c>
      <c r="R12" s="109">
        <v>84405.859118789769</v>
      </c>
      <c r="S12" s="6">
        <v>0.45</v>
      </c>
      <c r="T12" s="108">
        <f t="shared" si="6"/>
        <v>7.5962916571436763</v>
      </c>
      <c r="U12" s="109">
        <v>16880.648126985947</v>
      </c>
      <c r="V12" s="101">
        <v>0.45</v>
      </c>
    </row>
    <row r="13" spans="1:22" s="33" customFormat="1" thickBot="1" x14ac:dyDescent="0.3">
      <c r="A13" s="87">
        <v>2016</v>
      </c>
      <c r="B13" s="110">
        <f t="shared" si="0"/>
        <v>28.470114672951158</v>
      </c>
      <c r="C13" s="111">
        <v>63266.921495447023</v>
      </c>
      <c r="D13" s="102">
        <v>0.45</v>
      </c>
      <c r="E13" s="110">
        <f t="shared" si="1"/>
        <v>27.027665552965818</v>
      </c>
      <c r="F13" s="111">
        <v>60061.4790065907</v>
      </c>
      <c r="G13" s="102">
        <v>0.45</v>
      </c>
      <c r="H13" s="110">
        <f t="shared" si="2"/>
        <v>2.1044234496709944</v>
      </c>
      <c r="I13" s="111">
        <v>4676.4965548244309</v>
      </c>
      <c r="J13" s="102">
        <v>0.45</v>
      </c>
      <c r="K13" s="110">
        <f t="shared" si="3"/>
        <v>0.26366245471713712</v>
      </c>
      <c r="L13" s="111">
        <v>585.91656603808246</v>
      </c>
      <c r="M13" s="102">
        <v>0.45</v>
      </c>
      <c r="N13" s="110">
        <f t="shared" si="4"/>
        <v>0.4447780114581032</v>
      </c>
      <c r="O13" s="111">
        <v>988.39558101800708</v>
      </c>
      <c r="P13" s="102">
        <v>0.45</v>
      </c>
      <c r="Q13" s="110">
        <f t="shared" si="5"/>
        <v>19.660424185293</v>
      </c>
      <c r="R13" s="111">
        <v>43689.831522873334</v>
      </c>
      <c r="S13" s="102">
        <v>0.45</v>
      </c>
      <c r="T13" s="110">
        <f t="shared" si="6"/>
        <v>7.4884316729437899</v>
      </c>
      <c r="U13" s="111">
        <v>16640.95927320842</v>
      </c>
      <c r="V13" s="103">
        <v>0.45</v>
      </c>
    </row>
    <row r="16" spans="1:22" ht="17.399999999999999" x14ac:dyDescent="0.3">
      <c r="A16" s="14" t="s">
        <v>197</v>
      </c>
      <c r="B16" s="8" t="s">
        <v>200</v>
      </c>
    </row>
    <row r="17" spans="1:2" ht="17.399999999999999" x14ac:dyDescent="0.3">
      <c r="A17" s="33" t="s">
        <v>198</v>
      </c>
      <c r="B17" s="8" t="s">
        <v>201</v>
      </c>
    </row>
    <row r="18" spans="1:2" ht="17.399999999999999" x14ac:dyDescent="0.3">
      <c r="A18" s="33" t="s">
        <v>199</v>
      </c>
      <c r="B18" s="8" t="s">
        <v>202</v>
      </c>
    </row>
    <row r="21" spans="1:2" ht="16.8" x14ac:dyDescent="0.25">
      <c r="A21" s="33" t="s">
        <v>198</v>
      </c>
      <c r="B21" s="14" t="s">
        <v>98</v>
      </c>
    </row>
    <row r="22" spans="1:2" ht="16.8" x14ac:dyDescent="0.25">
      <c r="A22" s="33" t="s">
        <v>199</v>
      </c>
      <c r="B22" s="14" t="s">
        <v>209</v>
      </c>
    </row>
  </sheetData>
  <mergeCells count="7">
    <mergeCell ref="T4:V4"/>
    <mergeCell ref="B4:D4"/>
    <mergeCell ref="E4:G4"/>
    <mergeCell ref="H4:J4"/>
    <mergeCell ref="K4:M4"/>
    <mergeCell ref="N4:P4"/>
    <mergeCell ref="Q4:S4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C31"/>
  <sheetViews>
    <sheetView workbookViewId="0">
      <selection activeCell="E3" sqref="E3"/>
    </sheetView>
  </sheetViews>
  <sheetFormatPr defaultColWidth="10.77734375" defaultRowHeight="14.4" x14ac:dyDescent="0.25"/>
  <sheetData>
    <row r="5" spans="1:29" ht="15" thickBot="1" x14ac:dyDescent="0.3"/>
    <row r="6" spans="1:29" s="33" customFormat="1" ht="13.8" x14ac:dyDescent="0.25">
      <c r="A6" s="230" t="s">
        <v>43</v>
      </c>
      <c r="B6" s="217" t="s">
        <v>210</v>
      </c>
      <c r="C6" s="218"/>
      <c r="D6" s="218"/>
      <c r="E6" s="219"/>
      <c r="F6" s="217" t="s">
        <v>211</v>
      </c>
      <c r="G6" s="218"/>
      <c r="H6" s="218"/>
      <c r="I6" s="219"/>
      <c r="J6" s="217" t="s">
        <v>212</v>
      </c>
      <c r="K6" s="218"/>
      <c r="L6" s="218"/>
      <c r="M6" s="219"/>
      <c r="N6" s="217" t="s">
        <v>213</v>
      </c>
      <c r="O6" s="218"/>
      <c r="P6" s="218"/>
      <c r="Q6" s="219"/>
      <c r="R6" s="217" t="s">
        <v>214</v>
      </c>
      <c r="S6" s="218"/>
      <c r="T6" s="218"/>
      <c r="U6" s="219"/>
      <c r="V6" s="217" t="s">
        <v>215</v>
      </c>
      <c r="W6" s="218"/>
      <c r="X6" s="218"/>
      <c r="Y6" s="219"/>
      <c r="Z6" s="217" t="s">
        <v>216</v>
      </c>
      <c r="AA6" s="218"/>
      <c r="AB6" s="218"/>
      <c r="AC6" s="219"/>
    </row>
    <row r="7" spans="1:29" s="33" customFormat="1" ht="18.600000000000001" thickBot="1" x14ac:dyDescent="0.4">
      <c r="A7" s="231"/>
      <c r="B7" s="87" t="s">
        <v>222</v>
      </c>
      <c r="C7" s="88" t="s">
        <v>223</v>
      </c>
      <c r="D7" s="88" t="s">
        <v>224</v>
      </c>
      <c r="E7" s="89" t="s">
        <v>225</v>
      </c>
      <c r="F7" s="87" t="s">
        <v>222</v>
      </c>
      <c r="G7" s="88" t="s">
        <v>223</v>
      </c>
      <c r="H7" s="88" t="s">
        <v>224</v>
      </c>
      <c r="I7" s="89" t="s">
        <v>225</v>
      </c>
      <c r="J7" s="87" t="s">
        <v>222</v>
      </c>
      <c r="K7" s="88" t="s">
        <v>223</v>
      </c>
      <c r="L7" s="88" t="s">
        <v>224</v>
      </c>
      <c r="M7" s="89" t="s">
        <v>225</v>
      </c>
      <c r="N7" s="87" t="s">
        <v>222</v>
      </c>
      <c r="O7" s="88" t="s">
        <v>223</v>
      </c>
      <c r="P7" s="88" t="s">
        <v>224</v>
      </c>
      <c r="Q7" s="89" t="s">
        <v>225</v>
      </c>
      <c r="R7" s="87" t="s">
        <v>222</v>
      </c>
      <c r="S7" s="88" t="s">
        <v>223</v>
      </c>
      <c r="T7" s="88" t="s">
        <v>224</v>
      </c>
      <c r="U7" s="89" t="s">
        <v>225</v>
      </c>
      <c r="V7" s="87" t="s">
        <v>222</v>
      </c>
      <c r="W7" s="88" t="s">
        <v>223</v>
      </c>
      <c r="X7" s="88" t="s">
        <v>224</v>
      </c>
      <c r="Y7" s="89" t="s">
        <v>225</v>
      </c>
      <c r="Z7" s="87" t="s">
        <v>222</v>
      </c>
      <c r="AA7" s="88" t="s">
        <v>223</v>
      </c>
      <c r="AB7" s="88" t="s">
        <v>224</v>
      </c>
      <c r="AC7" s="89" t="s">
        <v>225</v>
      </c>
    </row>
    <row r="8" spans="1:29" s="33" customFormat="1" ht="13.8" x14ac:dyDescent="0.25">
      <c r="A8" s="91">
        <v>1995</v>
      </c>
      <c r="B8" s="115">
        <v>242.36550074688796</v>
      </c>
      <c r="C8" s="116">
        <v>349.48161607337846</v>
      </c>
      <c r="D8" s="105">
        <v>0.73</v>
      </c>
      <c r="E8" s="106">
        <v>0.95</v>
      </c>
      <c r="F8" s="115">
        <v>65.407076141078832</v>
      </c>
      <c r="G8" s="116">
        <v>94.314457305088453</v>
      </c>
      <c r="H8" s="105">
        <v>0.73</v>
      </c>
      <c r="I8" s="106">
        <v>0.95</v>
      </c>
      <c r="J8" s="115">
        <v>151.37380867219917</v>
      </c>
      <c r="K8" s="116">
        <v>218.27513867656694</v>
      </c>
      <c r="L8" s="105">
        <v>0.73</v>
      </c>
      <c r="M8" s="106">
        <v>0.95</v>
      </c>
      <c r="N8" s="115">
        <v>162.63247145228215</v>
      </c>
      <c r="O8" s="116">
        <v>234.50969207250492</v>
      </c>
      <c r="P8" s="105">
        <v>0.73</v>
      </c>
      <c r="Q8" s="106">
        <v>0.95</v>
      </c>
      <c r="R8" s="115">
        <v>10.787830954356846</v>
      </c>
      <c r="S8" s="116">
        <v>15.555632234112252</v>
      </c>
      <c r="T8" s="105">
        <v>0.73</v>
      </c>
      <c r="U8" s="106">
        <v>0.95</v>
      </c>
      <c r="V8" s="115">
        <v>80.16256008298754</v>
      </c>
      <c r="W8" s="116">
        <v>115.59129067481983</v>
      </c>
      <c r="X8" s="105">
        <v>0.73</v>
      </c>
      <c r="Y8" s="106">
        <v>0.95</v>
      </c>
      <c r="Z8" s="26">
        <v>43.740551950207468</v>
      </c>
      <c r="AA8" s="26">
        <v>63.072172963529155</v>
      </c>
      <c r="AB8" s="14">
        <v>0.73</v>
      </c>
      <c r="AC8" s="114">
        <v>0.95</v>
      </c>
    </row>
    <row r="9" spans="1:29" s="33" customFormat="1" ht="13.8" x14ac:dyDescent="0.25">
      <c r="A9" s="91">
        <v>1998</v>
      </c>
      <c r="B9" s="93">
        <v>265.10061475522252</v>
      </c>
      <c r="C9" s="26">
        <v>382.26476532836705</v>
      </c>
      <c r="D9" s="14">
        <v>0.73</v>
      </c>
      <c r="E9" s="114">
        <v>0.95</v>
      </c>
      <c r="F9" s="93">
        <v>118.81032048089278</v>
      </c>
      <c r="G9" s="26">
        <v>171.31985649732195</v>
      </c>
      <c r="H9" s="14">
        <v>0.73</v>
      </c>
      <c r="I9" s="114">
        <v>0.95</v>
      </c>
      <c r="J9" s="93">
        <v>39.003918469473199</v>
      </c>
      <c r="K9" s="26">
        <v>56.242131895419178</v>
      </c>
      <c r="L9" s="14">
        <v>0.73</v>
      </c>
      <c r="M9" s="114">
        <v>0.95</v>
      </c>
      <c r="N9" s="93">
        <v>174.28226834387226</v>
      </c>
      <c r="O9" s="26">
        <v>251.30824562923181</v>
      </c>
      <c r="P9" s="14">
        <v>0.73</v>
      </c>
      <c r="Q9" s="114">
        <v>0.95</v>
      </c>
      <c r="R9" s="93">
        <v>8.3495429641820778</v>
      </c>
      <c r="S9" s="26">
        <v>12.039715882021742</v>
      </c>
      <c r="T9" s="14">
        <v>0.73</v>
      </c>
      <c r="U9" s="114">
        <v>0.95</v>
      </c>
      <c r="V9" s="93">
        <v>56.593097185528464</v>
      </c>
      <c r="W9" s="26">
        <v>81.6050428053763</v>
      </c>
      <c r="X9" s="14">
        <v>0.73</v>
      </c>
      <c r="Y9" s="114">
        <v>0.95</v>
      </c>
      <c r="Z9" s="26">
        <v>65.341737800828682</v>
      </c>
      <c r="AA9" s="26">
        <v>94.220241962261966</v>
      </c>
      <c r="AB9" s="14">
        <v>0.73</v>
      </c>
      <c r="AC9" s="114">
        <v>0.95</v>
      </c>
    </row>
    <row r="10" spans="1:29" s="33" customFormat="1" ht="13.8" x14ac:dyDescent="0.25">
      <c r="A10" s="91">
        <v>2001</v>
      </c>
      <c r="B10" s="93">
        <v>224.93365762579995</v>
      </c>
      <c r="C10" s="26">
        <v>324.34557696582544</v>
      </c>
      <c r="D10" s="14">
        <v>0.73</v>
      </c>
      <c r="E10" s="114">
        <v>0.95</v>
      </c>
      <c r="F10" s="93">
        <v>139.09916784559644</v>
      </c>
      <c r="G10" s="26">
        <v>200.57558449256879</v>
      </c>
      <c r="H10" s="14">
        <v>0.73</v>
      </c>
      <c r="I10" s="114">
        <v>0.95</v>
      </c>
      <c r="J10" s="93">
        <v>33.993207760150376</v>
      </c>
      <c r="K10" s="26">
        <v>49.016882134319218</v>
      </c>
      <c r="L10" s="14">
        <v>0.73</v>
      </c>
      <c r="M10" s="114">
        <v>0.95</v>
      </c>
      <c r="N10" s="93">
        <v>96.012199378946178</v>
      </c>
      <c r="O10" s="26">
        <v>138.44585346639678</v>
      </c>
      <c r="P10" s="14">
        <v>0.73</v>
      </c>
      <c r="Q10" s="114">
        <v>0.95</v>
      </c>
      <c r="R10" s="93">
        <v>11.521235725706752</v>
      </c>
      <c r="S10" s="26">
        <v>16.613173360788398</v>
      </c>
      <c r="T10" s="14">
        <v>0.73</v>
      </c>
      <c r="U10" s="114">
        <v>0.95</v>
      </c>
      <c r="V10" s="93">
        <v>111.77795076690883</v>
      </c>
      <c r="W10" s="26">
        <v>161.17945316064723</v>
      </c>
      <c r="X10" s="14">
        <v>0.73</v>
      </c>
      <c r="Y10" s="114">
        <v>0.95</v>
      </c>
      <c r="Z10" s="26">
        <v>114.09703089689141</v>
      </c>
      <c r="AA10" s="26">
        <v>164.52347641945408</v>
      </c>
      <c r="AB10" s="14">
        <v>0.73</v>
      </c>
      <c r="AC10" s="114">
        <v>0.95</v>
      </c>
    </row>
    <row r="11" spans="1:29" s="33" customFormat="1" ht="13.8" x14ac:dyDescent="0.25">
      <c r="A11" s="91">
        <v>2004</v>
      </c>
      <c r="B11" s="93">
        <v>107.24257331576483</v>
      </c>
      <c r="C11" s="26">
        <v>154.63961545171568</v>
      </c>
      <c r="D11" s="14">
        <v>0.73</v>
      </c>
      <c r="E11" s="114">
        <v>0.95</v>
      </c>
      <c r="F11" s="93">
        <v>132.08322535741505</v>
      </c>
      <c r="G11" s="26">
        <v>190.45886857594095</v>
      </c>
      <c r="H11" s="14">
        <v>0.73</v>
      </c>
      <c r="I11" s="114">
        <v>0.95</v>
      </c>
      <c r="J11" s="93">
        <v>15.381282622329143</v>
      </c>
      <c r="K11" s="26">
        <v>22.17921070270965</v>
      </c>
      <c r="L11" s="14">
        <v>0.73</v>
      </c>
      <c r="M11" s="114">
        <v>0.95</v>
      </c>
      <c r="N11" s="93">
        <v>25.901547782511685</v>
      </c>
      <c r="O11" s="26">
        <v>37.349023478747924</v>
      </c>
      <c r="P11" s="14">
        <v>0.73</v>
      </c>
      <c r="Q11" s="114">
        <v>0.95</v>
      </c>
      <c r="R11" s="93">
        <v>5.9969604901429658</v>
      </c>
      <c r="S11" s="26">
        <v>8.6473835474303762</v>
      </c>
      <c r="T11" s="14">
        <v>0.73</v>
      </c>
      <c r="U11" s="114">
        <v>0.95</v>
      </c>
      <c r="V11" s="93">
        <v>336.79516845978685</v>
      </c>
      <c r="W11" s="26">
        <v>485.64552048995932</v>
      </c>
      <c r="X11" s="14">
        <v>0.73</v>
      </c>
      <c r="Y11" s="114">
        <v>0.95</v>
      </c>
      <c r="Z11" s="26">
        <v>119.61514197204954</v>
      </c>
      <c r="AA11" s="26">
        <v>172.4803777534961</v>
      </c>
      <c r="AB11" s="14">
        <v>0.73</v>
      </c>
      <c r="AC11" s="114">
        <v>0.95</v>
      </c>
    </row>
    <row r="12" spans="1:29" s="33" customFormat="1" ht="13.8" x14ac:dyDescent="0.25">
      <c r="A12" s="91">
        <v>2007</v>
      </c>
      <c r="B12" s="93">
        <v>129.17240586218571</v>
      </c>
      <c r="C12" s="26">
        <v>186.26158019060665</v>
      </c>
      <c r="D12" s="14">
        <v>0.73</v>
      </c>
      <c r="E12" s="114">
        <v>0.95</v>
      </c>
      <c r="F12" s="93">
        <v>150.85094884596975</v>
      </c>
      <c r="G12" s="26">
        <v>217.52119516361896</v>
      </c>
      <c r="H12" s="14">
        <v>0.73</v>
      </c>
      <c r="I12" s="114">
        <v>0.95</v>
      </c>
      <c r="J12" s="93">
        <v>17.573294156104431</v>
      </c>
      <c r="K12" s="26">
        <v>25.340005992940782</v>
      </c>
      <c r="L12" s="14">
        <v>0.73</v>
      </c>
      <c r="M12" s="114">
        <v>0.95</v>
      </c>
      <c r="N12" s="93">
        <v>12.902210601278753</v>
      </c>
      <c r="O12" s="26">
        <v>18.604485365939084</v>
      </c>
      <c r="P12" s="14">
        <v>0.73</v>
      </c>
      <c r="Q12" s="114">
        <v>0.95</v>
      </c>
      <c r="R12" s="93">
        <v>5.4579474722631911</v>
      </c>
      <c r="S12" s="26">
        <v>7.8701477610139747</v>
      </c>
      <c r="T12" s="14">
        <v>0.73</v>
      </c>
      <c r="U12" s="114">
        <v>0.95</v>
      </c>
      <c r="V12" s="93">
        <v>334.30517678786157</v>
      </c>
      <c r="W12" s="26">
        <v>482.05504944176147</v>
      </c>
      <c r="X12" s="14">
        <v>0.73</v>
      </c>
      <c r="Y12" s="114">
        <v>0.95</v>
      </c>
      <c r="Z12" s="26">
        <v>107.04001627433659</v>
      </c>
      <c r="AA12" s="26">
        <v>154.3475360841191</v>
      </c>
      <c r="AB12" s="14">
        <v>0.73</v>
      </c>
      <c r="AC12" s="114">
        <v>0.95</v>
      </c>
    </row>
    <row r="13" spans="1:29" s="33" customFormat="1" ht="13.8" x14ac:dyDescent="0.25">
      <c r="A13" s="91">
        <v>2010</v>
      </c>
      <c r="B13" s="93">
        <v>82.505871682910552</v>
      </c>
      <c r="C13" s="26">
        <v>213.24856987053644</v>
      </c>
      <c r="D13" s="14">
        <v>0.73</v>
      </c>
      <c r="E13" s="114">
        <v>0.53</v>
      </c>
      <c r="F13" s="93">
        <v>90.486288490527073</v>
      </c>
      <c r="G13" s="26">
        <v>233.87513179252281</v>
      </c>
      <c r="H13" s="14">
        <v>0.73</v>
      </c>
      <c r="I13" s="114">
        <v>0.53</v>
      </c>
      <c r="J13" s="93">
        <v>5.9837240119346049</v>
      </c>
      <c r="K13" s="26">
        <v>15.465815487036974</v>
      </c>
      <c r="L13" s="14">
        <v>0.73</v>
      </c>
      <c r="M13" s="114">
        <v>0.53</v>
      </c>
      <c r="N13" s="93">
        <v>2.763517237082588</v>
      </c>
      <c r="O13" s="26">
        <v>7.1427170769774824</v>
      </c>
      <c r="P13" s="14">
        <v>0.73</v>
      </c>
      <c r="Q13" s="114">
        <v>0.53</v>
      </c>
      <c r="R13" s="93">
        <v>1.5165833455619617</v>
      </c>
      <c r="S13" s="26">
        <v>3.9198328910880376</v>
      </c>
      <c r="T13" s="14">
        <v>0.73</v>
      </c>
      <c r="U13" s="114">
        <v>0.53</v>
      </c>
      <c r="V13" s="93">
        <v>194.21092465410555</v>
      </c>
      <c r="W13" s="26">
        <v>501.96672177334079</v>
      </c>
      <c r="X13" s="14">
        <v>0.73</v>
      </c>
      <c r="Y13" s="114">
        <v>0.53</v>
      </c>
      <c r="Z13" s="26">
        <v>48.200470577877695</v>
      </c>
      <c r="AA13" s="26">
        <v>124.58121110849753</v>
      </c>
      <c r="AB13" s="14">
        <v>0.73</v>
      </c>
      <c r="AC13" s="114">
        <v>0.53</v>
      </c>
    </row>
    <row r="14" spans="1:29" s="33" customFormat="1" ht="13.8" x14ac:dyDescent="0.25">
      <c r="A14" s="91">
        <v>2013</v>
      </c>
      <c r="B14" s="93">
        <v>95.556235594853078</v>
      </c>
      <c r="C14" s="26">
        <v>246.97915635785236</v>
      </c>
      <c r="D14" s="14">
        <v>0.73</v>
      </c>
      <c r="E14" s="114">
        <v>0.53</v>
      </c>
      <c r="F14" s="93">
        <v>103.36925732418493</v>
      </c>
      <c r="G14" s="26">
        <v>267.17306106018333</v>
      </c>
      <c r="H14" s="14">
        <v>0.73</v>
      </c>
      <c r="I14" s="114">
        <v>0.53</v>
      </c>
      <c r="J14" s="93">
        <v>7.8848728854754242</v>
      </c>
      <c r="K14" s="26">
        <v>20.379614591562227</v>
      </c>
      <c r="L14" s="14">
        <v>0.73</v>
      </c>
      <c r="M14" s="114">
        <v>0.53</v>
      </c>
      <c r="N14" s="93">
        <v>3.0969009782745855</v>
      </c>
      <c r="O14" s="26">
        <v>8.0043964287272829</v>
      </c>
      <c r="P14" s="14">
        <v>0.73</v>
      </c>
      <c r="Q14" s="114">
        <v>0.53</v>
      </c>
      <c r="R14" s="93">
        <v>1.5647421442595957</v>
      </c>
      <c r="S14" s="26">
        <v>4.0443063950881255</v>
      </c>
      <c r="T14" s="14">
        <v>0.73</v>
      </c>
      <c r="U14" s="114">
        <v>0.53</v>
      </c>
      <c r="V14" s="93">
        <v>195.73636643607855</v>
      </c>
      <c r="W14" s="26">
        <v>505.90945059725652</v>
      </c>
      <c r="X14" s="14">
        <v>0.73</v>
      </c>
      <c r="Y14" s="114">
        <v>0.53</v>
      </c>
      <c r="Z14" s="26">
        <v>33.006444636873866</v>
      </c>
      <c r="AA14" s="26">
        <v>85.310014569330235</v>
      </c>
      <c r="AB14" s="14">
        <v>0.73</v>
      </c>
      <c r="AC14" s="114">
        <v>0.53</v>
      </c>
    </row>
    <row r="15" spans="1:29" s="33" customFormat="1" thickBot="1" x14ac:dyDescent="0.3">
      <c r="A15" s="92">
        <v>2016</v>
      </c>
      <c r="B15" s="95">
        <v>152.01580944805823</v>
      </c>
      <c r="C15" s="96">
        <v>392.90723558557312</v>
      </c>
      <c r="D15" s="88">
        <v>0.73</v>
      </c>
      <c r="E15" s="89">
        <v>0.53</v>
      </c>
      <c r="F15" s="95">
        <v>144.31645232651479</v>
      </c>
      <c r="G15" s="96">
        <v>373.00711379300799</v>
      </c>
      <c r="H15" s="88">
        <v>0.73</v>
      </c>
      <c r="I15" s="89">
        <v>0.53</v>
      </c>
      <c r="J15" s="95">
        <v>12.609092097600131</v>
      </c>
      <c r="K15" s="96">
        <v>32.590054529853013</v>
      </c>
      <c r="L15" s="88">
        <v>0.73</v>
      </c>
      <c r="M15" s="89">
        <v>0.53</v>
      </c>
      <c r="N15" s="95">
        <v>1.9217397002242091</v>
      </c>
      <c r="O15" s="96">
        <v>4.9670191269687489</v>
      </c>
      <c r="P15" s="88">
        <v>0.73</v>
      </c>
      <c r="Q15" s="89">
        <v>0.53</v>
      </c>
      <c r="R15" s="95">
        <v>1.9961296241038557</v>
      </c>
      <c r="S15" s="96">
        <v>5.1592908351094744</v>
      </c>
      <c r="T15" s="88">
        <v>0.73</v>
      </c>
      <c r="U15" s="89">
        <v>0.53</v>
      </c>
      <c r="V15" s="95">
        <v>104.97658091482823</v>
      </c>
      <c r="W15" s="96">
        <v>271.32742547125417</v>
      </c>
      <c r="X15" s="88">
        <v>0.73</v>
      </c>
      <c r="Y15" s="89">
        <v>0.53</v>
      </c>
      <c r="Z15" s="96">
        <v>30.078325888670523</v>
      </c>
      <c r="AA15" s="96">
        <v>77.741860658233449</v>
      </c>
      <c r="AB15" s="88">
        <v>0.73</v>
      </c>
      <c r="AC15" s="89">
        <v>0.53</v>
      </c>
    </row>
    <row r="16" spans="1:29" s="33" customFormat="1" ht="13.8" x14ac:dyDescent="0.25">
      <c r="F16" s="85"/>
      <c r="G16" s="85"/>
      <c r="V16" s="85"/>
      <c r="W16" s="85"/>
    </row>
    <row r="17" spans="1:2" s="33" customFormat="1" ht="13.8" x14ac:dyDescent="0.25"/>
    <row r="18" spans="1:2" s="33" customFormat="1" ht="17.399999999999999" x14ac:dyDescent="0.3">
      <c r="A18" s="14" t="s">
        <v>222</v>
      </c>
      <c r="B18" s="8" t="s">
        <v>221</v>
      </c>
    </row>
    <row r="19" spans="1:2" s="33" customFormat="1" ht="17.399999999999999" x14ac:dyDescent="0.3">
      <c r="A19" s="33" t="s">
        <v>226</v>
      </c>
      <c r="B19" s="8" t="s">
        <v>220</v>
      </c>
    </row>
    <row r="20" spans="1:2" s="33" customFormat="1" ht="17.399999999999999" x14ac:dyDescent="0.3">
      <c r="A20" s="33" t="s">
        <v>224</v>
      </c>
      <c r="B20" s="8" t="s">
        <v>219</v>
      </c>
    </row>
    <row r="21" spans="1:2" s="33" customFormat="1" ht="17.399999999999999" x14ac:dyDescent="0.3">
      <c r="A21" s="33" t="s">
        <v>225</v>
      </c>
      <c r="B21" s="8" t="s">
        <v>218</v>
      </c>
    </row>
    <row r="22" spans="1:2" s="33" customFormat="1" ht="18" x14ac:dyDescent="0.35">
      <c r="A22" s="33" t="s">
        <v>227</v>
      </c>
      <c r="B22" s="8" t="s">
        <v>84</v>
      </c>
    </row>
    <row r="23" spans="1:2" s="33" customFormat="1" ht="17.399999999999999" x14ac:dyDescent="0.3">
      <c r="A23" s="33" t="s">
        <v>228</v>
      </c>
      <c r="B23" s="8" t="s">
        <v>217</v>
      </c>
    </row>
    <row r="24" spans="1:2" s="33" customFormat="1" ht="13.8" x14ac:dyDescent="0.25"/>
    <row r="26" spans="1:2" x14ac:dyDescent="0.25">
      <c r="A26" s="14"/>
    </row>
    <row r="27" spans="1:2" ht="16.8" x14ac:dyDescent="0.25">
      <c r="A27" s="33" t="s">
        <v>226</v>
      </c>
      <c r="B27" s="14" t="s">
        <v>98</v>
      </c>
    </row>
    <row r="28" spans="1:2" ht="16.8" x14ac:dyDescent="0.25">
      <c r="A28" s="33" t="s">
        <v>224</v>
      </c>
      <c r="B28" s="22" t="s">
        <v>99</v>
      </c>
    </row>
    <row r="29" spans="1:2" ht="16.8" x14ac:dyDescent="0.25">
      <c r="A29" s="33" t="s">
        <v>225</v>
      </c>
      <c r="B29" s="100" t="s">
        <v>229</v>
      </c>
    </row>
    <row r="30" spans="1:2" ht="18" x14ac:dyDescent="0.35">
      <c r="A30" s="33" t="s">
        <v>227</v>
      </c>
      <c r="B30" s="14" t="s">
        <v>98</v>
      </c>
    </row>
    <row r="31" spans="1:2" ht="16.8" x14ac:dyDescent="0.25">
      <c r="A31" s="33" t="s">
        <v>228</v>
      </c>
      <c r="B31" s="14" t="s">
        <v>98</v>
      </c>
    </row>
  </sheetData>
  <mergeCells count="8">
    <mergeCell ref="Z6:AC6"/>
    <mergeCell ref="A6:A7"/>
    <mergeCell ref="B6:E6"/>
    <mergeCell ref="F6:I6"/>
    <mergeCell ref="J6:M6"/>
    <mergeCell ref="N6:Q6"/>
    <mergeCell ref="R6:U6"/>
    <mergeCell ref="V6:Y6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BS31"/>
  <sheetViews>
    <sheetView workbookViewId="0">
      <selection activeCell="A19" sqref="A19:C21"/>
    </sheetView>
  </sheetViews>
  <sheetFormatPr defaultRowHeight="14.4" x14ac:dyDescent="0.25"/>
  <cols>
    <col min="1" max="2" width="9" bestFit="1" customWidth="1"/>
    <col min="3" max="3" width="12.44140625" customWidth="1"/>
    <col min="4" max="5" width="9" bestFit="1" customWidth="1"/>
    <col min="6" max="6" width="13.77734375" customWidth="1"/>
    <col min="7" max="8" width="9" bestFit="1" customWidth="1"/>
    <col min="9" max="9" width="15.33203125" customWidth="1"/>
    <col min="10" max="12" width="9" bestFit="1" customWidth="1"/>
    <col min="13" max="13" width="10.88671875" customWidth="1"/>
    <col min="14" max="22" width="9" bestFit="1" customWidth="1"/>
    <col min="23" max="23" width="9.6640625" bestFit="1" customWidth="1"/>
    <col min="24" max="32" width="9" bestFit="1" customWidth="1"/>
    <col min="33" max="33" width="9.77734375" bestFit="1" customWidth="1"/>
    <col min="34" max="35" width="9" bestFit="1" customWidth="1"/>
    <col min="36" max="36" width="9.77734375" bestFit="1" customWidth="1"/>
    <col min="37" max="38" width="9" bestFit="1" customWidth="1"/>
    <col min="39" max="39" width="10.77734375" bestFit="1" customWidth="1"/>
    <col min="40" max="42" width="9" bestFit="1" customWidth="1"/>
    <col min="43" max="43" width="9.6640625" bestFit="1" customWidth="1"/>
    <col min="44" max="48" width="9" bestFit="1" customWidth="1"/>
    <col min="49" max="49" width="9.77734375" bestFit="1" customWidth="1"/>
    <col min="50" max="52" width="9" bestFit="1" customWidth="1"/>
    <col min="53" max="53" width="11.77734375" bestFit="1" customWidth="1"/>
    <col min="54" max="55" width="9" bestFit="1" customWidth="1"/>
    <col min="56" max="56" width="11.77734375" bestFit="1" customWidth="1"/>
    <col min="57" max="58" width="9" bestFit="1" customWidth="1"/>
    <col min="59" max="59" width="11.77734375" bestFit="1" customWidth="1"/>
    <col min="60" max="62" width="9" bestFit="1" customWidth="1"/>
    <col min="63" max="63" width="10.6640625" bestFit="1" customWidth="1"/>
    <col min="64" max="65" width="9" bestFit="1" customWidth="1"/>
    <col min="66" max="66" width="10.6640625" bestFit="1" customWidth="1"/>
    <col min="67" max="68" width="9" bestFit="1" customWidth="1"/>
    <col min="69" max="69" width="10.77734375" bestFit="1" customWidth="1"/>
    <col min="70" max="71" width="9" bestFit="1" customWidth="1"/>
  </cols>
  <sheetData>
    <row r="5" spans="1:71" ht="15" thickBot="1" x14ac:dyDescent="0.3"/>
    <row r="6" spans="1:71" s="33" customFormat="1" ht="14.4" customHeight="1" x14ac:dyDescent="0.25">
      <c r="A6" s="230" t="s">
        <v>43</v>
      </c>
      <c r="B6" s="217" t="s">
        <v>45</v>
      </c>
      <c r="C6" s="218"/>
      <c r="D6" s="218"/>
      <c r="E6" s="218"/>
      <c r="F6" s="218"/>
      <c r="G6" s="218"/>
      <c r="H6" s="218"/>
      <c r="I6" s="218"/>
      <c r="J6" s="218"/>
      <c r="K6" s="219"/>
      <c r="L6" s="217" t="s">
        <v>211</v>
      </c>
      <c r="M6" s="218"/>
      <c r="N6" s="218"/>
      <c r="O6" s="218"/>
      <c r="P6" s="218"/>
      <c r="Q6" s="218"/>
      <c r="R6" s="218"/>
      <c r="S6" s="218"/>
      <c r="T6" s="218"/>
      <c r="U6" s="219"/>
      <c r="V6" s="217" t="s">
        <v>212</v>
      </c>
      <c r="W6" s="218"/>
      <c r="X6" s="218"/>
      <c r="Y6" s="218"/>
      <c r="Z6" s="218"/>
      <c r="AA6" s="218"/>
      <c r="AB6" s="218"/>
      <c r="AC6" s="218"/>
      <c r="AD6" s="218"/>
      <c r="AE6" s="219"/>
      <c r="AF6" s="217" t="s">
        <v>213</v>
      </c>
      <c r="AG6" s="218"/>
      <c r="AH6" s="218"/>
      <c r="AI6" s="218"/>
      <c r="AJ6" s="218"/>
      <c r="AK6" s="218"/>
      <c r="AL6" s="218"/>
      <c r="AM6" s="218"/>
      <c r="AN6" s="218"/>
      <c r="AO6" s="219"/>
      <c r="AP6" s="217" t="s">
        <v>214</v>
      </c>
      <c r="AQ6" s="218"/>
      <c r="AR6" s="218"/>
      <c r="AS6" s="218"/>
      <c r="AT6" s="218"/>
      <c r="AU6" s="218"/>
      <c r="AV6" s="218"/>
      <c r="AW6" s="218"/>
      <c r="AX6" s="218"/>
      <c r="AY6" s="219"/>
      <c r="AZ6" s="217" t="s">
        <v>215</v>
      </c>
      <c r="BA6" s="218"/>
      <c r="BB6" s="218"/>
      <c r="BC6" s="218"/>
      <c r="BD6" s="218"/>
      <c r="BE6" s="218"/>
      <c r="BF6" s="218"/>
      <c r="BG6" s="218"/>
      <c r="BH6" s="218"/>
      <c r="BI6" s="219"/>
      <c r="BJ6" s="217" t="s">
        <v>155</v>
      </c>
      <c r="BK6" s="218"/>
      <c r="BL6" s="218"/>
      <c r="BM6" s="218"/>
      <c r="BN6" s="218"/>
      <c r="BO6" s="218"/>
      <c r="BP6" s="218"/>
      <c r="BQ6" s="218"/>
      <c r="BR6" s="218"/>
      <c r="BS6" s="219"/>
    </row>
    <row r="7" spans="1:71" s="33" customFormat="1" ht="18.600000000000001" thickBot="1" x14ac:dyDescent="0.4">
      <c r="A7" s="232"/>
      <c r="B7" s="87" t="s">
        <v>234</v>
      </c>
      <c r="C7" s="88" t="s">
        <v>235</v>
      </c>
      <c r="D7" s="88" t="s">
        <v>236</v>
      </c>
      <c r="E7" s="88" t="s">
        <v>237</v>
      </c>
      <c r="F7" s="88" t="s">
        <v>238</v>
      </c>
      <c r="G7" s="88" t="s">
        <v>239</v>
      </c>
      <c r="H7" s="88" t="s">
        <v>240</v>
      </c>
      <c r="I7" s="88" t="s">
        <v>241</v>
      </c>
      <c r="J7" s="88" t="s">
        <v>242</v>
      </c>
      <c r="K7" s="89" t="s">
        <v>243</v>
      </c>
      <c r="L7" s="87" t="s">
        <v>234</v>
      </c>
      <c r="M7" s="88" t="s">
        <v>235</v>
      </c>
      <c r="N7" s="88" t="s">
        <v>236</v>
      </c>
      <c r="O7" s="88" t="s">
        <v>237</v>
      </c>
      <c r="P7" s="88" t="s">
        <v>238</v>
      </c>
      <c r="Q7" s="88" t="s">
        <v>239</v>
      </c>
      <c r="R7" s="88" t="s">
        <v>240</v>
      </c>
      <c r="S7" s="88" t="s">
        <v>241</v>
      </c>
      <c r="T7" s="88" t="s">
        <v>242</v>
      </c>
      <c r="U7" s="89" t="s">
        <v>243</v>
      </c>
      <c r="V7" s="87" t="s">
        <v>234</v>
      </c>
      <c r="W7" s="88" t="s">
        <v>235</v>
      </c>
      <c r="X7" s="88" t="s">
        <v>236</v>
      </c>
      <c r="Y7" s="88" t="s">
        <v>237</v>
      </c>
      <c r="Z7" s="88" t="s">
        <v>238</v>
      </c>
      <c r="AA7" s="88" t="s">
        <v>239</v>
      </c>
      <c r="AB7" s="88" t="s">
        <v>240</v>
      </c>
      <c r="AC7" s="88" t="s">
        <v>241</v>
      </c>
      <c r="AD7" s="88" t="s">
        <v>242</v>
      </c>
      <c r="AE7" s="89" t="s">
        <v>243</v>
      </c>
      <c r="AF7" s="87" t="s">
        <v>234</v>
      </c>
      <c r="AG7" s="88" t="s">
        <v>235</v>
      </c>
      <c r="AH7" s="88" t="s">
        <v>236</v>
      </c>
      <c r="AI7" s="88" t="s">
        <v>237</v>
      </c>
      <c r="AJ7" s="88" t="s">
        <v>238</v>
      </c>
      <c r="AK7" s="88" t="s">
        <v>239</v>
      </c>
      <c r="AL7" s="88" t="s">
        <v>240</v>
      </c>
      <c r="AM7" s="88" t="s">
        <v>241</v>
      </c>
      <c r="AN7" s="88" t="s">
        <v>242</v>
      </c>
      <c r="AO7" s="89" t="s">
        <v>243</v>
      </c>
      <c r="AP7" s="87" t="s">
        <v>234</v>
      </c>
      <c r="AQ7" s="88" t="s">
        <v>235</v>
      </c>
      <c r="AR7" s="88" t="s">
        <v>236</v>
      </c>
      <c r="AS7" s="88" t="s">
        <v>237</v>
      </c>
      <c r="AT7" s="88" t="s">
        <v>238</v>
      </c>
      <c r="AU7" s="88" t="s">
        <v>239</v>
      </c>
      <c r="AV7" s="88" t="s">
        <v>240</v>
      </c>
      <c r="AW7" s="88" t="s">
        <v>241</v>
      </c>
      <c r="AX7" s="88" t="s">
        <v>242</v>
      </c>
      <c r="AY7" s="89" t="s">
        <v>243</v>
      </c>
      <c r="AZ7" s="87" t="s">
        <v>234</v>
      </c>
      <c r="BA7" s="88" t="s">
        <v>235</v>
      </c>
      <c r="BB7" s="88" t="s">
        <v>236</v>
      </c>
      <c r="BC7" s="88" t="s">
        <v>237</v>
      </c>
      <c r="BD7" s="88" t="s">
        <v>238</v>
      </c>
      <c r="BE7" s="88" t="s">
        <v>239</v>
      </c>
      <c r="BF7" s="88" t="s">
        <v>240</v>
      </c>
      <c r="BG7" s="88" t="s">
        <v>241</v>
      </c>
      <c r="BH7" s="88" t="s">
        <v>242</v>
      </c>
      <c r="BI7" s="89" t="s">
        <v>243</v>
      </c>
      <c r="BJ7" s="87" t="s">
        <v>234</v>
      </c>
      <c r="BK7" s="88" t="s">
        <v>235</v>
      </c>
      <c r="BL7" s="88" t="s">
        <v>236</v>
      </c>
      <c r="BM7" s="88" t="s">
        <v>237</v>
      </c>
      <c r="BN7" s="88" t="s">
        <v>238</v>
      </c>
      <c r="BO7" s="88" t="s">
        <v>239</v>
      </c>
      <c r="BP7" s="88" t="s">
        <v>240</v>
      </c>
      <c r="BQ7" s="88" t="s">
        <v>241</v>
      </c>
      <c r="BR7" s="88" t="s">
        <v>242</v>
      </c>
      <c r="BS7" s="89" t="s">
        <v>243</v>
      </c>
    </row>
    <row r="8" spans="1:71" s="33" customFormat="1" ht="13.8" x14ac:dyDescent="0.25">
      <c r="A8" s="90">
        <v>1995</v>
      </c>
      <c r="B8" s="115">
        <f>(C8*D8*E8/1000)+(F8*G8*H8/1000)+(I8*J8*K8/1000)</f>
        <v>1733.8338690179808</v>
      </c>
      <c r="C8" s="116">
        <v>121652.15403654364</v>
      </c>
      <c r="D8" s="117">
        <v>1.02</v>
      </c>
      <c r="E8" s="118">
        <v>0.95</v>
      </c>
      <c r="F8" s="118">
        <v>96853.9535560894</v>
      </c>
      <c r="G8" s="119">
        <v>12.31</v>
      </c>
      <c r="H8" s="118">
        <v>0.95</v>
      </c>
      <c r="I8" s="118">
        <v>310201.77913663827</v>
      </c>
      <c r="J8" s="117">
        <v>1.64</v>
      </c>
      <c r="K8" s="120">
        <v>0.95</v>
      </c>
      <c r="L8" s="115">
        <f>(M8*N8*O8/1000)+(P8*Q8*R8/1000)+(S8*T8*U8/1000)</f>
        <v>467.90901979598885</v>
      </c>
      <c r="M8" s="116">
        <v>32830.215840430952</v>
      </c>
      <c r="N8" s="105">
        <v>1.02</v>
      </c>
      <c r="O8" s="105">
        <v>0.95</v>
      </c>
      <c r="P8" s="105">
        <v>26137.935866637548</v>
      </c>
      <c r="Q8" s="105">
        <v>12.31</v>
      </c>
      <c r="R8" s="105">
        <v>0.95</v>
      </c>
      <c r="S8" s="105">
        <v>83714.024168304575</v>
      </c>
      <c r="T8" s="105">
        <v>1.64</v>
      </c>
      <c r="U8" s="106">
        <v>0.95</v>
      </c>
      <c r="V8" s="115">
        <f>(W8*X8*Y8/1000)+(Z8*AA8*AB8/1000)+(AC8*AD8*AE8/1000)</f>
        <v>1082.8976712828494</v>
      </c>
      <c r="W8" s="116">
        <v>75980.078983766463</v>
      </c>
      <c r="X8" s="105">
        <v>1.02</v>
      </c>
      <c r="Y8" s="105">
        <v>0.95</v>
      </c>
      <c r="Z8" s="105">
        <v>60491.909077673437</v>
      </c>
      <c r="AA8" s="105">
        <v>12.31</v>
      </c>
      <c r="AB8" s="105">
        <v>0.95</v>
      </c>
      <c r="AC8" s="105">
        <v>193742.19771420251</v>
      </c>
      <c r="AD8" s="105">
        <v>1.64</v>
      </c>
      <c r="AE8" s="106">
        <v>0.95</v>
      </c>
      <c r="AF8" s="115">
        <f>(AG8*AH8*AI8/1000)+(AJ8*AK8*AL8/1000)+(AM8*AN8*AO8/1000)</f>
        <v>1163.4398721645921</v>
      </c>
      <c r="AG8" s="116">
        <v>81631.215694838756</v>
      </c>
      <c r="AH8" s="105">
        <v>1.02</v>
      </c>
      <c r="AI8" s="105">
        <v>0.95</v>
      </c>
      <c r="AJ8" s="116">
        <v>64991.089029628012</v>
      </c>
      <c r="AK8" s="105">
        <v>12.31</v>
      </c>
      <c r="AL8" s="105">
        <v>0.95</v>
      </c>
      <c r="AM8" s="116">
        <v>208152.07541675767</v>
      </c>
      <c r="AN8" s="105">
        <v>1.64</v>
      </c>
      <c r="AO8" s="106">
        <v>0.95</v>
      </c>
      <c r="AP8" s="115">
        <f>(AQ8*AR8*AS8/1000)+(AT8*AU8*AV8/1000)+(AW8*AX8*AY8/1000)</f>
        <v>77.173965041493773</v>
      </c>
      <c r="AQ8" s="116">
        <v>5414.808910242411</v>
      </c>
      <c r="AR8" s="105">
        <v>1.02</v>
      </c>
      <c r="AS8" s="105">
        <v>0.95</v>
      </c>
      <c r="AT8" s="116">
        <v>4311.0264249836209</v>
      </c>
      <c r="AU8" s="105">
        <v>12.31</v>
      </c>
      <c r="AV8" s="105">
        <v>0.95</v>
      </c>
      <c r="AW8" s="116">
        <v>13807.263594671325</v>
      </c>
      <c r="AX8" s="105">
        <v>1.64</v>
      </c>
      <c r="AY8" s="106">
        <v>0.95</v>
      </c>
      <c r="AZ8" s="115">
        <f>(BA8*BB8*BC8/1000)+(BD8*BE8*BF8/1000)+(BG8*BH8*BI8/1000)</f>
        <v>573.46677340940528</v>
      </c>
      <c r="BA8" s="116">
        <v>40236.535633690037</v>
      </c>
      <c r="BB8" s="105">
        <v>1.02</v>
      </c>
      <c r="BC8" s="105">
        <v>0.95</v>
      </c>
      <c r="BD8" s="116">
        <v>32034.513358084008</v>
      </c>
      <c r="BE8" s="105">
        <v>12.31</v>
      </c>
      <c r="BF8" s="105">
        <v>0.95</v>
      </c>
      <c r="BG8" s="116">
        <v>102599.45694110796</v>
      </c>
      <c r="BH8" s="105">
        <v>1.64</v>
      </c>
      <c r="BI8" s="106">
        <v>0.95</v>
      </c>
      <c r="BJ8" s="26">
        <f>(BK8*BL8*BM8/1000)+(BN8*BO8*BP8/1000)+(BQ8*BR8*BS8/1000)</f>
        <v>312.9110792876902</v>
      </c>
      <c r="BK8" s="26">
        <v>21954.990900487734</v>
      </c>
      <c r="BL8" s="14">
        <v>1.02</v>
      </c>
      <c r="BM8" s="14">
        <v>0.95</v>
      </c>
      <c r="BN8" s="26">
        <v>17479.572686903983</v>
      </c>
      <c r="BO8" s="14">
        <v>12.31</v>
      </c>
      <c r="BP8" s="14">
        <v>0.95</v>
      </c>
      <c r="BQ8" s="26">
        <v>55983.203028317679</v>
      </c>
      <c r="BR8" s="14">
        <v>1.64</v>
      </c>
      <c r="BS8" s="114">
        <v>0.95</v>
      </c>
    </row>
    <row r="9" spans="1:71" s="33" customFormat="1" ht="13.8" x14ac:dyDescent="0.25">
      <c r="A9" s="91">
        <v>1998</v>
      </c>
      <c r="B9" s="93">
        <f t="shared" ref="B9:B15" si="0">(C9*D9*E9/1000)+(F9*G9*H9/1000)+(I9*J9*K9/1000)</f>
        <v>1147.4459681298454</v>
      </c>
      <c r="C9" s="26">
        <v>66723.239782291712</v>
      </c>
      <c r="D9" s="54">
        <v>1.02</v>
      </c>
      <c r="E9" s="109">
        <v>0.95</v>
      </c>
      <c r="F9" s="109">
        <v>69674.950553654693</v>
      </c>
      <c r="G9" s="121">
        <v>12.31</v>
      </c>
      <c r="H9" s="109">
        <v>0.95</v>
      </c>
      <c r="I9" s="109">
        <v>172000.92396090491</v>
      </c>
      <c r="J9" s="54">
        <v>1.64</v>
      </c>
      <c r="K9" s="122">
        <v>0.95</v>
      </c>
      <c r="L9" s="93">
        <f t="shared" ref="L9:L15" si="1">(M9*N9*O9/1000)+(P9*Q9*R9/1000)+(S9*T9*U9/1000)</f>
        <v>514.25162983455323</v>
      </c>
      <c r="M9" s="26">
        <v>29903.399165547809</v>
      </c>
      <c r="N9" s="14">
        <v>1.02</v>
      </c>
      <c r="O9" s="14">
        <v>0.95</v>
      </c>
      <c r="P9" s="14">
        <v>31226.269363477557</v>
      </c>
      <c r="Q9" s="14">
        <v>12.31</v>
      </c>
      <c r="R9" s="14">
        <v>0.95</v>
      </c>
      <c r="S9" s="14">
        <v>77085.769558375556</v>
      </c>
      <c r="T9" s="14">
        <v>1.64</v>
      </c>
      <c r="U9" s="114">
        <v>0.95</v>
      </c>
      <c r="V9" s="93">
        <f t="shared" ref="V9:V15" si="2">(W9*X9*Y9/1000)+(Z9*AA9*AB9/1000)+(AC9*AD9*AE9/1000)</f>
        <v>168.82227538546493</v>
      </c>
      <c r="W9" s="26">
        <v>9816.9059581041474</v>
      </c>
      <c r="X9" s="14">
        <v>1.02</v>
      </c>
      <c r="Y9" s="14">
        <v>0.95</v>
      </c>
      <c r="Z9" s="14">
        <v>10251.187434131692</v>
      </c>
      <c r="AA9" s="14">
        <v>12.31</v>
      </c>
      <c r="AB9" s="14">
        <v>0.95</v>
      </c>
      <c r="AC9" s="14">
        <v>25306.278603086608</v>
      </c>
      <c r="AD9" s="14">
        <v>1.64</v>
      </c>
      <c r="AE9" s="114">
        <v>0.95</v>
      </c>
      <c r="AF9" s="93">
        <f t="shared" ref="AF9:AF15" si="3">(AG9*AH9*AI9/1000)+(AJ9*AK9*AL9/1000)+(AM9*AN9*AO9/1000)</f>
        <v>754.35315875200308</v>
      </c>
      <c r="AG9" s="26">
        <v>43865.147545006999</v>
      </c>
      <c r="AH9" s="14">
        <v>1.02</v>
      </c>
      <c r="AI9" s="14">
        <v>0.95</v>
      </c>
      <c r="AJ9" s="26">
        <v>45805.659260542539</v>
      </c>
      <c r="AK9" s="14">
        <v>12.31</v>
      </c>
      <c r="AL9" s="14">
        <v>0.95</v>
      </c>
      <c r="AM9" s="26">
        <v>113076.73206577447</v>
      </c>
      <c r="AN9" s="14">
        <v>1.64</v>
      </c>
      <c r="AO9" s="114">
        <v>0.95</v>
      </c>
      <c r="AP9" s="93">
        <f t="shared" ref="AP9:AP15" si="4">(AQ9*AR9*AS9/1000)+(AT9*AU9*AV9/1000)+(AW9*AX9*AY9/1000)</f>
        <v>36.139672549698986</v>
      </c>
      <c r="AQ9" s="26">
        <v>2101.4985490926415</v>
      </c>
      <c r="AR9" s="14">
        <v>1.02</v>
      </c>
      <c r="AS9" s="14">
        <v>0.95</v>
      </c>
      <c r="AT9" s="26">
        <v>2194.464896704058</v>
      </c>
      <c r="AU9" s="14">
        <v>12.31</v>
      </c>
      <c r="AV9" s="14">
        <v>0.95</v>
      </c>
      <c r="AW9" s="26">
        <v>5417.2982805665033</v>
      </c>
      <c r="AX9" s="14">
        <v>1.64</v>
      </c>
      <c r="AY9" s="114">
        <v>0.95</v>
      </c>
      <c r="AZ9" s="93">
        <f t="shared" ref="AZ9:AZ15" si="5">(BA9*BB9*BC9/1000)+(BD9*BE9*BF9/1000)+(BG9*BH9*BI9/1000)</f>
        <v>244.95424595478366</v>
      </c>
      <c r="BA9" s="26">
        <v>14243.930731805911</v>
      </c>
      <c r="BB9" s="14">
        <v>1.02</v>
      </c>
      <c r="BC9" s="14">
        <v>0.95</v>
      </c>
      <c r="BD9" s="26">
        <v>14874.055466528072</v>
      </c>
      <c r="BE9" s="14">
        <v>12.31</v>
      </c>
      <c r="BF9" s="14">
        <v>0.95</v>
      </c>
      <c r="BG9" s="26">
        <v>36718.379603563022</v>
      </c>
      <c r="BH9" s="14">
        <v>1.64</v>
      </c>
      <c r="BI9" s="114">
        <v>0.95</v>
      </c>
      <c r="BJ9" s="26">
        <f t="shared" ref="BJ9:BJ15" si="6">(BK9*BL9*BM9/1000)+(BN9*BO9*BP9/1000)+(BQ9*BR9*BS9/1000)</f>
        <v>282.82134939365062</v>
      </c>
      <c r="BK9" s="26">
        <v>16445.87826815078</v>
      </c>
      <c r="BL9" s="14">
        <v>1.02</v>
      </c>
      <c r="BM9" s="14">
        <v>0.95</v>
      </c>
      <c r="BN9" s="26">
        <v>17173.413024961381</v>
      </c>
      <c r="BO9" s="14">
        <v>12.31</v>
      </c>
      <c r="BP9" s="14">
        <v>0.95</v>
      </c>
      <c r="BQ9" s="26">
        <v>42394.617927728934</v>
      </c>
      <c r="BR9" s="14">
        <v>1.64</v>
      </c>
      <c r="BS9" s="114">
        <v>0.95</v>
      </c>
    </row>
    <row r="10" spans="1:71" s="33" customFormat="1" ht="13.8" x14ac:dyDescent="0.25">
      <c r="A10" s="91">
        <v>2001</v>
      </c>
      <c r="B10" s="93">
        <f t="shared" si="0"/>
        <v>1286.6876221292102</v>
      </c>
      <c r="C10" s="26">
        <v>97423.607454985788</v>
      </c>
      <c r="D10" s="54">
        <v>1.02</v>
      </c>
      <c r="E10" s="109">
        <v>0.95</v>
      </c>
      <c r="F10" s="109">
        <v>71868.361938857881</v>
      </c>
      <c r="G10" s="121">
        <v>12.31</v>
      </c>
      <c r="H10" s="109">
        <v>0.95</v>
      </c>
      <c r="I10" s="109">
        <v>225814.88306248756</v>
      </c>
      <c r="J10" s="54">
        <v>1.64</v>
      </c>
      <c r="K10" s="122">
        <v>0.95</v>
      </c>
      <c r="L10" s="93">
        <f t="shared" si="1"/>
        <v>795.68873508983336</v>
      </c>
      <c r="M10" s="26">
        <v>60246.842862658385</v>
      </c>
      <c r="N10" s="14">
        <v>1.02</v>
      </c>
      <c r="O10" s="14">
        <v>0.95</v>
      </c>
      <c r="P10" s="14">
        <v>44443.456998116366</v>
      </c>
      <c r="Q10" s="14">
        <v>12.31</v>
      </c>
      <c r="R10" s="14">
        <v>0.95</v>
      </c>
      <c r="S10" s="14">
        <v>139644.11841556203</v>
      </c>
      <c r="T10" s="14">
        <v>1.64</v>
      </c>
      <c r="U10" s="114">
        <v>0.95</v>
      </c>
      <c r="V10" s="93">
        <f t="shared" si="2"/>
        <v>194.4512889850206</v>
      </c>
      <c r="W10" s="26">
        <v>14723.189779228529</v>
      </c>
      <c r="X10" s="14">
        <v>1.02</v>
      </c>
      <c r="Y10" s="14">
        <v>0.95</v>
      </c>
      <c r="Z10" s="14">
        <v>10861.140945093772</v>
      </c>
      <c r="AA10" s="14">
        <v>12.31</v>
      </c>
      <c r="AB10" s="14">
        <v>0.95</v>
      </c>
      <c r="AC10" s="14">
        <v>34126.383380326733</v>
      </c>
      <c r="AD10" s="14">
        <v>1.64</v>
      </c>
      <c r="AE10" s="114">
        <v>0.95</v>
      </c>
      <c r="AF10" s="93">
        <f t="shared" si="3"/>
        <v>549.21842208163207</v>
      </c>
      <c r="AG10" s="26">
        <v>41584.949633217504</v>
      </c>
      <c r="AH10" s="14">
        <v>1.02</v>
      </c>
      <c r="AI10" s="14">
        <v>0.95</v>
      </c>
      <c r="AJ10" s="26">
        <v>30676.776291928447</v>
      </c>
      <c r="AK10" s="14">
        <v>12.31</v>
      </c>
      <c r="AL10" s="14">
        <v>0.95</v>
      </c>
      <c r="AM10" s="26">
        <v>96388.347587347278</v>
      </c>
      <c r="AN10" s="14">
        <v>1.64</v>
      </c>
      <c r="AO10" s="114">
        <v>0.95</v>
      </c>
      <c r="AP10" s="93">
        <f t="shared" si="4"/>
        <v>65.904905279054987</v>
      </c>
      <c r="AQ10" s="26">
        <v>4990.0951177564848</v>
      </c>
      <c r="AR10" s="14">
        <v>1.02</v>
      </c>
      <c r="AS10" s="14">
        <v>0.95</v>
      </c>
      <c r="AT10" s="26">
        <v>3681.1402431177098</v>
      </c>
      <c r="AU10" s="14">
        <v>12.31</v>
      </c>
      <c r="AV10" s="14">
        <v>0.95</v>
      </c>
      <c r="AW10" s="26">
        <v>11566.37261669377</v>
      </c>
      <c r="AX10" s="14">
        <v>1.64</v>
      </c>
      <c r="AY10" s="114">
        <v>0.95</v>
      </c>
      <c r="AZ10" s="93">
        <f t="shared" si="5"/>
        <v>639.40322314064088</v>
      </c>
      <c r="BA10" s="26">
        <v>48413.435821838473</v>
      </c>
      <c r="BB10" s="14">
        <v>1.02</v>
      </c>
      <c r="BC10" s="14">
        <v>0.95</v>
      </c>
      <c r="BD10" s="26">
        <v>35714.07812993577</v>
      </c>
      <c r="BE10" s="14">
        <v>12.31</v>
      </c>
      <c r="BF10" s="14">
        <v>0.95</v>
      </c>
      <c r="BG10" s="26">
        <v>112215.86465901513</v>
      </c>
      <c r="BH10" s="14">
        <v>1.64</v>
      </c>
      <c r="BI10" s="114">
        <v>0.95</v>
      </c>
      <c r="BJ10" s="26">
        <f t="shared" si="6"/>
        <v>652.66905329460769</v>
      </c>
      <c r="BK10" s="26">
        <v>49417.879330314834</v>
      </c>
      <c r="BL10" s="14">
        <v>1.02</v>
      </c>
      <c r="BM10" s="14">
        <v>0.95</v>
      </c>
      <c r="BN10" s="26">
        <v>36455.045452950057</v>
      </c>
      <c r="BO10" s="14">
        <v>12.31</v>
      </c>
      <c r="BP10" s="14">
        <v>0.95</v>
      </c>
      <c r="BQ10" s="26">
        <v>114544.0302785675</v>
      </c>
      <c r="BR10" s="14">
        <v>1.64</v>
      </c>
      <c r="BS10" s="114">
        <v>0.95</v>
      </c>
    </row>
    <row r="11" spans="1:71" s="33" customFormat="1" ht="13.8" x14ac:dyDescent="0.25">
      <c r="A11" s="91">
        <v>2004</v>
      </c>
      <c r="B11" s="93">
        <f t="shared" si="0"/>
        <v>703.58336085191945</v>
      </c>
      <c r="C11" s="26">
        <v>63911.164571606969</v>
      </c>
      <c r="D11" s="54">
        <v>1.02</v>
      </c>
      <c r="E11" s="109">
        <v>0.95</v>
      </c>
      <c r="F11" s="109">
        <v>35708.27035911374</v>
      </c>
      <c r="G11" s="121">
        <v>12.31</v>
      </c>
      <c r="H11" s="109">
        <v>0.95</v>
      </c>
      <c r="I11" s="109">
        <v>143814.55370178225</v>
      </c>
      <c r="J11" s="54">
        <v>1.64</v>
      </c>
      <c r="K11" s="122">
        <v>0.95</v>
      </c>
      <c r="L11" s="93">
        <f t="shared" si="1"/>
        <v>866.55473414931998</v>
      </c>
      <c r="M11" s="26">
        <v>78714.940270138744</v>
      </c>
      <c r="N11" s="14">
        <v>1.02</v>
      </c>
      <c r="O11" s="14">
        <v>0.95</v>
      </c>
      <c r="P11" s="14">
        <v>43979.395263848972</v>
      </c>
      <c r="Q11" s="14">
        <v>12.31</v>
      </c>
      <c r="R11" s="14">
        <v>0.95</v>
      </c>
      <c r="S11" s="14">
        <v>177126.39224292286</v>
      </c>
      <c r="T11" s="14">
        <v>1.64</v>
      </c>
      <c r="U11" s="114">
        <v>0.95</v>
      </c>
      <c r="V11" s="93">
        <f t="shared" si="2"/>
        <v>100.91155207332861</v>
      </c>
      <c r="W11" s="26">
        <v>9166.4686383795342</v>
      </c>
      <c r="X11" s="14">
        <v>1.02</v>
      </c>
      <c r="Y11" s="14">
        <v>0.95</v>
      </c>
      <c r="Z11" s="14">
        <v>5121.4641850386106</v>
      </c>
      <c r="AA11" s="14">
        <v>12.31</v>
      </c>
      <c r="AB11" s="14">
        <v>0.95</v>
      </c>
      <c r="AC11" s="14">
        <v>20626.624551222601</v>
      </c>
      <c r="AD11" s="14">
        <v>1.64</v>
      </c>
      <c r="AE11" s="114">
        <v>0.95</v>
      </c>
      <c r="AF11" s="93">
        <f t="shared" si="3"/>
        <v>169.93156240691599</v>
      </c>
      <c r="AG11" s="26">
        <v>15436.016050391618</v>
      </c>
      <c r="AH11" s="14">
        <v>1.02</v>
      </c>
      <c r="AI11" s="14">
        <v>0.95</v>
      </c>
      <c r="AJ11" s="26">
        <v>8624.3684978926976</v>
      </c>
      <c r="AK11" s="14">
        <v>12.31</v>
      </c>
      <c r="AL11" s="14">
        <v>0.95</v>
      </c>
      <c r="AM11" s="26">
        <v>34734.522115199208</v>
      </c>
      <c r="AN11" s="14">
        <v>1.64</v>
      </c>
      <c r="AO11" s="114">
        <v>0.95</v>
      </c>
      <c r="AP11" s="93">
        <f t="shared" si="4"/>
        <v>39.344091493659732</v>
      </c>
      <c r="AQ11" s="26">
        <v>3573.8859761080553</v>
      </c>
      <c r="AR11" s="14">
        <v>1.02</v>
      </c>
      <c r="AS11" s="14">
        <v>0.95</v>
      </c>
      <c r="AT11" s="26">
        <v>1996.7917581055397</v>
      </c>
      <c r="AU11" s="14">
        <v>12.31</v>
      </c>
      <c r="AV11" s="14">
        <v>0.95</v>
      </c>
      <c r="AW11" s="26">
        <v>8042.0505568971694</v>
      </c>
      <c r="AX11" s="14">
        <v>1.64</v>
      </c>
      <c r="AY11" s="114">
        <v>0.95</v>
      </c>
      <c r="AZ11" s="93">
        <f t="shared" si="5"/>
        <v>2209.6026719343108</v>
      </c>
      <c r="BA11" s="26">
        <v>200712.93305297181</v>
      </c>
      <c r="BB11" s="14">
        <v>1.02</v>
      </c>
      <c r="BC11" s="14">
        <v>0.95</v>
      </c>
      <c r="BD11" s="26">
        <v>112141.77876536861</v>
      </c>
      <c r="BE11" s="14">
        <v>12.31</v>
      </c>
      <c r="BF11" s="14">
        <v>0.95</v>
      </c>
      <c r="BG11" s="26">
        <v>451649.42749318224</v>
      </c>
      <c r="BH11" s="14">
        <v>1.64</v>
      </c>
      <c r="BI11" s="114">
        <v>0.95</v>
      </c>
      <c r="BJ11" s="26">
        <f t="shared" si="6"/>
        <v>784.75572709054518</v>
      </c>
      <c r="BK11" s="26">
        <v>71284.591440403281</v>
      </c>
      <c r="BL11" s="14">
        <v>1.02</v>
      </c>
      <c r="BM11" s="14">
        <v>0.95</v>
      </c>
      <c r="BN11" s="26">
        <v>39827.931170631826</v>
      </c>
      <c r="BO11" s="14">
        <v>12.31</v>
      </c>
      <c r="BP11" s="14">
        <v>0.95</v>
      </c>
      <c r="BQ11" s="26">
        <v>160406.42933879365</v>
      </c>
      <c r="BR11" s="14">
        <v>1.64</v>
      </c>
      <c r="BS11" s="114">
        <v>0.95</v>
      </c>
    </row>
    <row r="12" spans="1:71" s="33" customFormat="1" ht="13.8" x14ac:dyDescent="0.25">
      <c r="A12" s="91">
        <v>2007</v>
      </c>
      <c r="B12" s="93">
        <f t="shared" si="0"/>
        <v>716.5967065358077</v>
      </c>
      <c r="C12" s="26">
        <v>72747.769186166421</v>
      </c>
      <c r="D12" s="54">
        <v>1.02</v>
      </c>
      <c r="E12" s="109">
        <v>0.95</v>
      </c>
      <c r="F12" s="109">
        <v>32919.858037350808</v>
      </c>
      <c r="G12" s="121">
        <v>12.31</v>
      </c>
      <c r="H12" s="109">
        <v>0.95</v>
      </c>
      <c r="I12" s="109">
        <v>167601.30832902022</v>
      </c>
      <c r="J12" s="54">
        <v>1.64</v>
      </c>
      <c r="K12" s="122">
        <v>0.95</v>
      </c>
      <c r="L12" s="93">
        <f t="shared" si="1"/>
        <v>836.86056940175661</v>
      </c>
      <c r="M12" s="26">
        <v>84956.76715868451</v>
      </c>
      <c r="N12" s="14">
        <v>1.02</v>
      </c>
      <c r="O12" s="14">
        <v>0.95</v>
      </c>
      <c r="P12" s="14">
        <v>38444.680097599325</v>
      </c>
      <c r="Q12" s="14">
        <v>12.31</v>
      </c>
      <c r="R12" s="14">
        <v>0.95</v>
      </c>
      <c r="S12" s="14">
        <v>195729.23660052379</v>
      </c>
      <c r="T12" s="14">
        <v>1.64</v>
      </c>
      <c r="U12" s="114">
        <v>0.95</v>
      </c>
      <c r="V12" s="93">
        <f t="shared" si="2"/>
        <v>97.489588671785313</v>
      </c>
      <c r="W12" s="26">
        <v>9896.9895201366708</v>
      </c>
      <c r="X12" s="14">
        <v>1.02</v>
      </c>
      <c r="Y12" s="14">
        <v>0.95</v>
      </c>
      <c r="Z12" s="14">
        <v>4478.5908027816586</v>
      </c>
      <c r="AA12" s="14">
        <v>12.31</v>
      </c>
      <c r="AB12" s="14">
        <v>0.95</v>
      </c>
      <c r="AC12" s="14">
        <v>22801.36436690807</v>
      </c>
      <c r="AD12" s="14">
        <v>1.64</v>
      </c>
      <c r="AE12" s="114">
        <v>0.95</v>
      </c>
      <c r="AF12" s="93">
        <f t="shared" si="3"/>
        <v>71.576290324513849</v>
      </c>
      <c r="AG12" s="26">
        <v>7266.3122789130202</v>
      </c>
      <c r="AH12" s="14">
        <v>1.02</v>
      </c>
      <c r="AI12" s="14">
        <v>0.95</v>
      </c>
      <c r="AJ12" s="26">
        <v>3288.1553806101124</v>
      </c>
      <c r="AK12" s="14">
        <v>12.31</v>
      </c>
      <c r="AL12" s="14">
        <v>0.95</v>
      </c>
      <c r="AM12" s="26">
        <v>16740.629414442988</v>
      </c>
      <c r="AN12" s="14">
        <v>1.64</v>
      </c>
      <c r="AO12" s="114">
        <v>0.95</v>
      </c>
      <c r="AP12" s="93">
        <f t="shared" si="4"/>
        <v>30.278503810187217</v>
      </c>
      <c r="AQ12" s="26">
        <v>3073.8260257073812</v>
      </c>
      <c r="AR12" s="14">
        <v>1.02</v>
      </c>
      <c r="AS12" s="14">
        <v>0.95</v>
      </c>
      <c r="AT12" s="26">
        <v>1390.9693387140082</v>
      </c>
      <c r="AU12" s="14">
        <v>12.31</v>
      </c>
      <c r="AV12" s="14">
        <v>0.95</v>
      </c>
      <c r="AW12" s="26">
        <v>7081.6915659087281</v>
      </c>
      <c r="AX12" s="14">
        <v>1.64</v>
      </c>
      <c r="AY12" s="114">
        <v>0.95</v>
      </c>
      <c r="AZ12" s="93">
        <f t="shared" si="5"/>
        <v>1854.5910565422287</v>
      </c>
      <c r="BA12" s="26">
        <v>188275.16354112752</v>
      </c>
      <c r="BB12" s="14">
        <v>1.02</v>
      </c>
      <c r="BC12" s="14">
        <v>0.95</v>
      </c>
      <c r="BD12" s="26">
        <v>85198.374122948677</v>
      </c>
      <c r="BE12" s="14">
        <v>12.31</v>
      </c>
      <c r="BF12" s="14">
        <v>0.95</v>
      </c>
      <c r="BG12" s="26">
        <v>433761.25602699158</v>
      </c>
      <c r="BH12" s="14">
        <v>1.64</v>
      </c>
      <c r="BI12" s="114">
        <v>0.95</v>
      </c>
      <c r="BJ12" s="26">
        <f t="shared" si="6"/>
        <v>593.81508471372035</v>
      </c>
      <c r="BK12" s="26">
        <v>60283.172289264461</v>
      </c>
      <c r="BL12" s="14">
        <v>1.02</v>
      </c>
      <c r="BM12" s="14">
        <v>0.95</v>
      </c>
      <c r="BN12" s="26">
        <v>27279.372219995406</v>
      </c>
      <c r="BO12" s="14">
        <v>12.31</v>
      </c>
      <c r="BP12" s="14">
        <v>0.95</v>
      </c>
      <c r="BQ12" s="26">
        <v>138884.51369620461</v>
      </c>
      <c r="BR12" s="14">
        <v>1.64</v>
      </c>
      <c r="BS12" s="114">
        <v>0.95</v>
      </c>
    </row>
    <row r="13" spans="1:71" s="33" customFormat="1" ht="13.8" x14ac:dyDescent="0.25">
      <c r="A13" s="91">
        <v>2010</v>
      </c>
      <c r="B13" s="93">
        <f t="shared" si="0"/>
        <v>605.2707076388557</v>
      </c>
      <c r="C13" s="26">
        <v>132713.4119163391</v>
      </c>
      <c r="D13" s="54">
        <v>1.02</v>
      </c>
      <c r="E13" s="109">
        <v>0.59</v>
      </c>
      <c r="F13" s="109">
        <v>50375.661979051452</v>
      </c>
      <c r="G13" s="121">
        <v>12.31</v>
      </c>
      <c r="H13" s="121">
        <v>0.5</v>
      </c>
      <c r="I13" s="109">
        <v>222552.27042842202</v>
      </c>
      <c r="J13" s="54">
        <v>1.64</v>
      </c>
      <c r="K13" s="123">
        <v>0.59</v>
      </c>
      <c r="L13" s="93">
        <f t="shared" si="1"/>
        <v>663.81578364221093</v>
      </c>
      <c r="M13" s="26">
        <v>145550.17518482124</v>
      </c>
      <c r="N13" s="14">
        <v>1.02</v>
      </c>
      <c r="O13" s="14">
        <v>0.59</v>
      </c>
      <c r="P13" s="14">
        <v>55248.270089871541</v>
      </c>
      <c r="Q13" s="14">
        <v>12.31</v>
      </c>
      <c r="R13" s="14">
        <v>0.5</v>
      </c>
      <c r="S13" s="14">
        <v>244078.73688799731</v>
      </c>
      <c r="T13" s="14">
        <v>1.64</v>
      </c>
      <c r="U13" s="114">
        <v>0.59</v>
      </c>
      <c r="V13" s="93">
        <f t="shared" si="2"/>
        <v>43.897152931594924</v>
      </c>
      <c r="W13" s="26">
        <v>9625.0171459500234</v>
      </c>
      <c r="X13" s="14">
        <v>1.02</v>
      </c>
      <c r="Y13" s="14">
        <v>0.59</v>
      </c>
      <c r="Z13" s="14">
        <v>3653.4861344127517</v>
      </c>
      <c r="AA13" s="14">
        <v>12.31</v>
      </c>
      <c r="AB13" s="14">
        <v>0.5</v>
      </c>
      <c r="AC13" s="14">
        <v>16140.564753877343</v>
      </c>
      <c r="AD13" s="14">
        <v>1.64</v>
      </c>
      <c r="AE13" s="114">
        <v>0.59</v>
      </c>
      <c r="AF13" s="93">
        <f t="shared" si="3"/>
        <v>20.273418116102579</v>
      </c>
      <c r="AG13" s="26">
        <v>4445.2084917346683</v>
      </c>
      <c r="AH13" s="14">
        <v>1.02</v>
      </c>
      <c r="AI13" s="14">
        <v>0.59</v>
      </c>
      <c r="AJ13" s="26">
        <v>1687.3224580134952</v>
      </c>
      <c r="AK13" s="14">
        <v>12.31</v>
      </c>
      <c r="AL13" s="14">
        <v>0.5</v>
      </c>
      <c r="AM13" s="26">
        <v>7454.342617510948</v>
      </c>
      <c r="AN13" s="14">
        <v>1.64</v>
      </c>
      <c r="AO13" s="114">
        <v>0.59</v>
      </c>
      <c r="AP13" s="93">
        <f t="shared" si="4"/>
        <v>11.125795728690248</v>
      </c>
      <c r="AQ13" s="26">
        <v>2439.4742597054892</v>
      </c>
      <c r="AR13" s="14">
        <v>1.02</v>
      </c>
      <c r="AS13" s="14">
        <v>0.59</v>
      </c>
      <c r="AT13" s="26">
        <v>925.98124740390915</v>
      </c>
      <c r="AU13" s="14">
        <v>12.31</v>
      </c>
      <c r="AV13" s="14">
        <v>0.5</v>
      </c>
      <c r="AW13" s="26">
        <v>4090.8490506701364</v>
      </c>
      <c r="AX13" s="14">
        <v>1.64</v>
      </c>
      <c r="AY13" s="114">
        <v>0.59</v>
      </c>
      <c r="AZ13" s="93">
        <f t="shared" si="5"/>
        <v>1424.7493105504045</v>
      </c>
      <c r="BA13" s="26">
        <v>312394.66860407777</v>
      </c>
      <c r="BB13" s="14">
        <v>1.02</v>
      </c>
      <c r="BC13" s="14">
        <v>0.59</v>
      </c>
      <c r="BD13" s="26">
        <v>118579.48644691079</v>
      </c>
      <c r="BE13" s="14">
        <v>12.31</v>
      </c>
      <c r="BF13" s="14">
        <v>0.5</v>
      </c>
      <c r="BG13" s="26">
        <v>523866.74235607154</v>
      </c>
      <c r="BH13" s="14">
        <v>1.64</v>
      </c>
      <c r="BI13" s="114">
        <v>0.59</v>
      </c>
      <c r="BJ13" s="26">
        <f t="shared" si="6"/>
        <v>353.60311139214059</v>
      </c>
      <c r="BK13" s="26">
        <v>77532.044397371603</v>
      </c>
      <c r="BL13" s="14">
        <v>1.02</v>
      </c>
      <c r="BM13" s="14">
        <v>0.59</v>
      </c>
      <c r="BN13" s="26">
        <v>29429.791644336034</v>
      </c>
      <c r="BO13" s="14">
        <v>12.31</v>
      </c>
      <c r="BP13" s="14">
        <v>0.5</v>
      </c>
      <c r="BQ13" s="26">
        <v>130016.49390545068</v>
      </c>
      <c r="BR13" s="14">
        <v>1.64</v>
      </c>
      <c r="BS13" s="114">
        <v>0.59</v>
      </c>
    </row>
    <row r="14" spans="1:71" s="33" customFormat="1" ht="13.8" x14ac:dyDescent="0.25">
      <c r="A14" s="91">
        <v>2013</v>
      </c>
      <c r="B14" s="93">
        <f t="shared" si="0"/>
        <v>588.74316932549937</v>
      </c>
      <c r="C14" s="26">
        <v>157308.66111138655</v>
      </c>
      <c r="D14" s="54">
        <v>1.02</v>
      </c>
      <c r="E14" s="109">
        <v>0.59</v>
      </c>
      <c r="F14" s="109">
        <v>49144.033221495672</v>
      </c>
      <c r="G14" s="121">
        <v>12.31</v>
      </c>
      <c r="H14" s="121">
        <v>0.5</v>
      </c>
      <c r="I14" s="109">
        <v>198008.77696399449</v>
      </c>
      <c r="J14" s="54">
        <v>1.64</v>
      </c>
      <c r="K14" s="123">
        <v>0.59</v>
      </c>
      <c r="L14" s="93">
        <f t="shared" si="1"/>
        <v>636.8809297374803</v>
      </c>
      <c r="M14" s="26">
        <v>170170.78339806193</v>
      </c>
      <c r="N14" s="14">
        <v>1.02</v>
      </c>
      <c r="O14" s="14">
        <v>0.59</v>
      </c>
      <c r="P14" s="14">
        <v>53162.226247166036</v>
      </c>
      <c r="Q14" s="14">
        <v>12.31</v>
      </c>
      <c r="R14" s="14">
        <v>0.5</v>
      </c>
      <c r="S14" s="14">
        <v>214198.68720258327</v>
      </c>
      <c r="T14" s="14">
        <v>1.64</v>
      </c>
      <c r="U14" s="114">
        <v>0.59</v>
      </c>
      <c r="V14" s="93">
        <f t="shared" si="2"/>
        <v>48.580451327171545</v>
      </c>
      <c r="W14" s="26">
        <v>12980.40665714989</v>
      </c>
      <c r="X14" s="14">
        <v>1.02</v>
      </c>
      <c r="Y14" s="14">
        <v>0.59</v>
      </c>
      <c r="Z14" s="14">
        <v>4055.1456701790189</v>
      </c>
      <c r="AA14" s="14">
        <v>12.31</v>
      </c>
      <c r="AB14" s="14">
        <v>0.5</v>
      </c>
      <c r="AC14" s="14">
        <v>16338.798058026947</v>
      </c>
      <c r="AD14" s="14">
        <v>1.64</v>
      </c>
      <c r="AE14" s="114">
        <v>0.59</v>
      </c>
      <c r="AF14" s="93">
        <f t="shared" si="3"/>
        <v>19.08069406131802</v>
      </c>
      <c r="AG14" s="26">
        <v>5098.2475759348408</v>
      </c>
      <c r="AH14" s="14">
        <v>1.02</v>
      </c>
      <c r="AI14" s="14">
        <v>0.59</v>
      </c>
      <c r="AJ14" s="26">
        <v>1592.7187128351702</v>
      </c>
      <c r="AK14" s="14">
        <v>12.31</v>
      </c>
      <c r="AL14" s="14">
        <v>0.5</v>
      </c>
      <c r="AM14" s="26">
        <v>6417.305697209551</v>
      </c>
      <c r="AN14" s="14">
        <v>1.64</v>
      </c>
      <c r="AO14" s="114">
        <v>0.59</v>
      </c>
      <c r="AP14" s="93">
        <f t="shared" si="4"/>
        <v>9.6407235326272325</v>
      </c>
      <c r="AQ14" s="26">
        <v>2575.9437902270738</v>
      </c>
      <c r="AR14" s="14">
        <v>1.02</v>
      </c>
      <c r="AS14" s="14">
        <v>0.59</v>
      </c>
      <c r="AT14" s="26">
        <v>804.73806279482471</v>
      </c>
      <c r="AU14" s="14">
        <v>12.31</v>
      </c>
      <c r="AV14" s="14">
        <v>0.5</v>
      </c>
      <c r="AW14" s="26">
        <v>3242.4119296883355</v>
      </c>
      <c r="AX14" s="14">
        <v>1.64</v>
      </c>
      <c r="AY14" s="114">
        <v>0.59</v>
      </c>
      <c r="AZ14" s="93">
        <f t="shared" si="5"/>
        <v>1205.9751832044883</v>
      </c>
      <c r="BA14" s="26">
        <v>322229.37146056583</v>
      </c>
      <c r="BB14" s="14">
        <v>1.02</v>
      </c>
      <c r="BC14" s="14">
        <v>0.59</v>
      </c>
      <c r="BD14" s="26">
        <v>100666.10969873342</v>
      </c>
      <c r="BE14" s="14">
        <v>12.31</v>
      </c>
      <c r="BF14" s="14">
        <v>0.5</v>
      </c>
      <c r="BG14" s="26">
        <v>405599.05153350101</v>
      </c>
      <c r="BH14" s="14">
        <v>1.64</v>
      </c>
      <c r="BI14" s="114">
        <v>0.59</v>
      </c>
      <c r="BJ14" s="26">
        <f t="shared" si="6"/>
        <v>203.36002881141573</v>
      </c>
      <c r="BK14" s="26">
        <v>54336.586006673948</v>
      </c>
      <c r="BL14" s="14">
        <v>1.02</v>
      </c>
      <c r="BM14" s="14">
        <v>0.59</v>
      </c>
      <c r="BN14" s="26">
        <v>16975.02838679589</v>
      </c>
      <c r="BO14" s="14">
        <v>12.31</v>
      </c>
      <c r="BP14" s="14">
        <v>0.5</v>
      </c>
      <c r="BQ14" s="26">
        <v>68394.968614996527</v>
      </c>
      <c r="BR14" s="14">
        <v>1.64</v>
      </c>
      <c r="BS14" s="114">
        <v>0.59</v>
      </c>
    </row>
    <row r="15" spans="1:71" s="33" customFormat="1" thickBot="1" x14ac:dyDescent="0.3">
      <c r="A15" s="92">
        <v>2016</v>
      </c>
      <c r="B15" s="95">
        <f t="shared" si="0"/>
        <v>585.3063642998311</v>
      </c>
      <c r="C15" s="96">
        <v>187680.4882774656</v>
      </c>
      <c r="D15" s="55">
        <v>1.02</v>
      </c>
      <c r="E15" s="111">
        <v>0.59</v>
      </c>
      <c r="F15" s="111">
        <v>37230.650206216953</v>
      </c>
      <c r="G15" s="124">
        <v>12.31</v>
      </c>
      <c r="H15" s="124">
        <v>0.5</v>
      </c>
      <c r="I15" s="111">
        <v>251349.31214880836</v>
      </c>
      <c r="J15" s="55">
        <v>1.64</v>
      </c>
      <c r="K15" s="125">
        <v>0.59</v>
      </c>
      <c r="L15" s="95">
        <f t="shared" si="1"/>
        <v>555.6615349849144</v>
      </c>
      <c r="M15" s="96">
        <v>178174.77233094361</v>
      </c>
      <c r="N15" s="88">
        <v>1.02</v>
      </c>
      <c r="O15" s="88">
        <v>0.59</v>
      </c>
      <c r="P15" s="88">
        <v>35344.977440695322</v>
      </c>
      <c r="Q15" s="88">
        <v>12.31</v>
      </c>
      <c r="R15" s="88">
        <v>0.5</v>
      </c>
      <c r="S15" s="88">
        <v>238618.87231156754</v>
      </c>
      <c r="T15" s="88">
        <v>1.64</v>
      </c>
      <c r="U15" s="89">
        <v>0.59</v>
      </c>
      <c r="V15" s="95">
        <f t="shared" si="2"/>
        <v>48.548778443269569</v>
      </c>
      <c r="W15" s="96">
        <v>15567.331912420072</v>
      </c>
      <c r="X15" s="88">
        <v>1.02</v>
      </c>
      <c r="Y15" s="88">
        <v>0.59</v>
      </c>
      <c r="Z15" s="88">
        <v>3088.1307609267301</v>
      </c>
      <c r="AA15" s="88">
        <v>12.31</v>
      </c>
      <c r="AB15" s="88">
        <v>0.5</v>
      </c>
      <c r="AC15" s="88">
        <v>20848.401472582827</v>
      </c>
      <c r="AD15" s="88">
        <v>1.64</v>
      </c>
      <c r="AE15" s="89">
        <v>0.59</v>
      </c>
      <c r="AF15" s="95">
        <f t="shared" si="3"/>
        <v>7.3992730174108008</v>
      </c>
      <c r="AG15" s="96">
        <v>2372.6022088742493</v>
      </c>
      <c r="AH15" s="88">
        <v>1.02</v>
      </c>
      <c r="AI15" s="88">
        <v>0.59</v>
      </c>
      <c r="AJ15" s="96">
        <v>470.6590638580563</v>
      </c>
      <c r="AK15" s="88">
        <v>12.31</v>
      </c>
      <c r="AL15" s="88">
        <v>0.5</v>
      </c>
      <c r="AM15" s="96">
        <v>3177.4849835303235</v>
      </c>
      <c r="AN15" s="88">
        <v>1.64</v>
      </c>
      <c r="AO15" s="89">
        <v>0.59</v>
      </c>
      <c r="AP15" s="95">
        <f t="shared" si="4"/>
        <v>7.6856964890525079</v>
      </c>
      <c r="AQ15" s="96">
        <v>2464.44487502422</v>
      </c>
      <c r="AR15" s="88">
        <v>1.02</v>
      </c>
      <c r="AS15" s="88">
        <v>0.59</v>
      </c>
      <c r="AT15" s="96">
        <v>488.87812439449715</v>
      </c>
      <c r="AU15" s="88">
        <v>12.31</v>
      </c>
      <c r="AV15" s="88">
        <v>0.5</v>
      </c>
      <c r="AW15" s="96">
        <v>3300.4844022476263</v>
      </c>
      <c r="AX15" s="88">
        <v>1.64</v>
      </c>
      <c r="AY15" s="89">
        <v>0.59</v>
      </c>
      <c r="AZ15" s="95">
        <f t="shared" si="5"/>
        <v>404.19125573172414</v>
      </c>
      <c r="BA15" s="96">
        <v>129605.30904863396</v>
      </c>
      <c r="BB15" s="88">
        <v>1.02</v>
      </c>
      <c r="BC15" s="88">
        <v>0.59</v>
      </c>
      <c r="BD15" s="96">
        <v>25710.1309270075</v>
      </c>
      <c r="BE15" s="88">
        <v>12.31</v>
      </c>
      <c r="BF15" s="88">
        <v>0.5</v>
      </c>
      <c r="BG15" s="96">
        <v>173572.67971323384</v>
      </c>
      <c r="BH15" s="88">
        <v>1.64</v>
      </c>
      <c r="BI15" s="89">
        <v>0.59</v>
      </c>
      <c r="BJ15" s="96">
        <f t="shared" si="6"/>
        <v>115.81055703379744</v>
      </c>
      <c r="BK15" s="96">
        <v>37135.051346638247</v>
      </c>
      <c r="BL15" s="88">
        <v>1.02</v>
      </c>
      <c r="BM15" s="88">
        <v>0.59</v>
      </c>
      <c r="BN15" s="96">
        <v>7366.5734769009323</v>
      </c>
      <c r="BO15" s="88">
        <v>12.31</v>
      </c>
      <c r="BP15" s="88">
        <v>0.5</v>
      </c>
      <c r="BQ15" s="96">
        <v>49732.764968029442</v>
      </c>
      <c r="BR15" s="88">
        <v>1.64</v>
      </c>
      <c r="BS15" s="89">
        <v>0.59</v>
      </c>
    </row>
    <row r="16" spans="1:71" s="33" customFormat="1" ht="13.8" x14ac:dyDescent="0.25">
      <c r="L16" s="85"/>
      <c r="M16" s="85"/>
      <c r="AZ16" s="85"/>
      <c r="BA16" s="85"/>
    </row>
    <row r="17" spans="1:2" s="33" customFormat="1" ht="13.8" x14ac:dyDescent="0.25"/>
    <row r="18" spans="1:2" s="33" customFormat="1" ht="17.399999999999999" x14ac:dyDescent="0.3">
      <c r="A18" s="14" t="s">
        <v>230</v>
      </c>
      <c r="B18" s="8" t="s">
        <v>246</v>
      </c>
    </row>
    <row r="19" spans="1:2" s="33" customFormat="1" ht="17.399999999999999" x14ac:dyDescent="0.3">
      <c r="A19" s="33" t="s">
        <v>231</v>
      </c>
      <c r="B19" s="8" t="s">
        <v>244</v>
      </c>
    </row>
    <row r="20" spans="1:2" s="33" customFormat="1" ht="17.399999999999999" x14ac:dyDescent="0.3">
      <c r="A20" s="33" t="s">
        <v>232</v>
      </c>
      <c r="B20" s="8" t="s">
        <v>245</v>
      </c>
    </row>
    <row r="21" spans="1:2" s="33" customFormat="1" ht="17.399999999999999" x14ac:dyDescent="0.3">
      <c r="A21" s="33" t="s">
        <v>233</v>
      </c>
      <c r="B21" s="8" t="s">
        <v>247</v>
      </c>
    </row>
    <row r="22" spans="1:2" s="33" customFormat="1" ht="18" x14ac:dyDescent="0.35">
      <c r="A22" s="33" t="s">
        <v>227</v>
      </c>
      <c r="B22" s="8" t="s">
        <v>84</v>
      </c>
    </row>
    <row r="23" spans="1:2" s="33" customFormat="1" ht="17.399999999999999" x14ac:dyDescent="0.3">
      <c r="A23" s="33" t="s">
        <v>228</v>
      </c>
      <c r="B23" s="8" t="s">
        <v>217</v>
      </c>
    </row>
    <row r="24" spans="1:2" s="33" customFormat="1" ht="13.8" x14ac:dyDescent="0.25"/>
    <row r="26" spans="1:2" x14ac:dyDescent="0.25">
      <c r="A26" s="14"/>
    </row>
    <row r="27" spans="1:2" ht="16.8" x14ac:dyDescent="0.25">
      <c r="A27" s="33" t="s">
        <v>231</v>
      </c>
      <c r="B27" s="14" t="s">
        <v>98</v>
      </c>
    </row>
    <row r="28" spans="1:2" ht="16.8" x14ac:dyDescent="0.25">
      <c r="A28" s="33" t="s">
        <v>232</v>
      </c>
      <c r="B28" s="22" t="s">
        <v>99</v>
      </c>
    </row>
    <row r="29" spans="1:2" ht="16.8" x14ac:dyDescent="0.25">
      <c r="A29" s="33" t="s">
        <v>233</v>
      </c>
      <c r="B29" s="100" t="s">
        <v>229</v>
      </c>
    </row>
    <row r="30" spans="1:2" ht="18" x14ac:dyDescent="0.35">
      <c r="A30" s="33" t="s">
        <v>227</v>
      </c>
      <c r="B30" s="14" t="s">
        <v>98</v>
      </c>
    </row>
    <row r="31" spans="1:2" ht="16.8" x14ac:dyDescent="0.25">
      <c r="A31" s="33" t="s">
        <v>228</v>
      </c>
      <c r="B31" s="14" t="s">
        <v>98</v>
      </c>
    </row>
  </sheetData>
  <mergeCells count="8">
    <mergeCell ref="A6:A7"/>
    <mergeCell ref="BJ6:BS6"/>
    <mergeCell ref="B6:K6"/>
    <mergeCell ref="L6:U6"/>
    <mergeCell ref="V6:AE6"/>
    <mergeCell ref="AF6:AO6"/>
    <mergeCell ref="AP6:AY6"/>
    <mergeCell ref="AZ6:BI6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Z25"/>
  <sheetViews>
    <sheetView workbookViewId="0">
      <selection activeCell="A19" sqref="A19:B20"/>
    </sheetView>
  </sheetViews>
  <sheetFormatPr defaultRowHeight="14.4" x14ac:dyDescent="0.25"/>
  <cols>
    <col min="1" max="1" width="9" bestFit="1" customWidth="1"/>
    <col min="2" max="2" width="9.6640625" bestFit="1" customWidth="1"/>
    <col min="3" max="4" width="9" bestFit="1" customWidth="1"/>
    <col min="5" max="5" width="9.5546875" bestFit="1" customWidth="1"/>
    <col min="6" max="7" width="9" bestFit="1" customWidth="1"/>
    <col min="8" max="8" width="13.33203125" customWidth="1"/>
    <col min="9" max="10" width="9" bestFit="1" customWidth="1"/>
    <col min="11" max="11" width="13.6640625" customWidth="1"/>
    <col min="12" max="20" width="9" bestFit="1" customWidth="1"/>
    <col min="21" max="21" width="9.5546875" bestFit="1" customWidth="1"/>
    <col min="22" max="22" width="9" bestFit="1" customWidth="1"/>
  </cols>
  <sheetData>
    <row r="6" spans="1:26" s="4" customFormat="1" ht="15" thickBot="1" x14ac:dyDescent="0.3"/>
    <row r="7" spans="1:26" s="126" customFormat="1" ht="13.2" x14ac:dyDescent="0.25">
      <c r="A7" s="233" t="s">
        <v>53</v>
      </c>
      <c r="B7" s="220" t="s">
        <v>293</v>
      </c>
      <c r="C7" s="221"/>
      <c r="D7" s="222"/>
      <c r="E7" s="220" t="s">
        <v>294</v>
      </c>
      <c r="F7" s="221"/>
      <c r="G7" s="222"/>
      <c r="H7" s="220" t="s">
        <v>295</v>
      </c>
      <c r="I7" s="221"/>
      <c r="J7" s="222"/>
      <c r="K7" s="220" t="s">
        <v>79</v>
      </c>
      <c r="L7" s="221"/>
      <c r="M7" s="222"/>
      <c r="N7" s="220" t="s">
        <v>296</v>
      </c>
      <c r="O7" s="221"/>
      <c r="P7" s="222"/>
      <c r="Q7" s="220" t="s">
        <v>131</v>
      </c>
      <c r="R7" s="221"/>
      <c r="S7" s="222"/>
      <c r="T7" s="220" t="s">
        <v>155</v>
      </c>
      <c r="U7" s="221"/>
      <c r="V7" s="222"/>
    </row>
    <row r="8" spans="1:26" s="126" customFormat="1" ht="16.2" thickBot="1" x14ac:dyDescent="0.3">
      <c r="A8" s="234"/>
      <c r="B8" s="174" t="s">
        <v>297</v>
      </c>
      <c r="C8" s="145" t="s">
        <v>298</v>
      </c>
      <c r="D8" s="175" t="s">
        <v>299</v>
      </c>
      <c r="E8" s="174" t="s">
        <v>297</v>
      </c>
      <c r="F8" s="145" t="s">
        <v>298</v>
      </c>
      <c r="G8" s="175" t="s">
        <v>299</v>
      </c>
      <c r="H8" s="174" t="s">
        <v>297</v>
      </c>
      <c r="I8" s="145" t="s">
        <v>298</v>
      </c>
      <c r="J8" s="175" t="s">
        <v>299</v>
      </c>
      <c r="K8" s="174" t="s">
        <v>297</v>
      </c>
      <c r="L8" s="145" t="s">
        <v>298</v>
      </c>
      <c r="M8" s="175" t="s">
        <v>299</v>
      </c>
      <c r="N8" s="174" t="s">
        <v>297</v>
      </c>
      <c r="O8" s="145" t="s">
        <v>298</v>
      </c>
      <c r="P8" s="175" t="s">
        <v>299</v>
      </c>
      <c r="Q8" s="174" t="s">
        <v>297</v>
      </c>
      <c r="R8" s="145" t="s">
        <v>298</v>
      </c>
      <c r="S8" s="175" t="s">
        <v>299</v>
      </c>
      <c r="T8" s="174" t="s">
        <v>297</v>
      </c>
      <c r="U8" s="145" t="s">
        <v>298</v>
      </c>
      <c r="V8" s="175" t="s">
        <v>299</v>
      </c>
    </row>
    <row r="9" spans="1:26" s="126" customFormat="1" ht="13.2" x14ac:dyDescent="0.25">
      <c r="A9" s="133">
        <v>1995</v>
      </c>
      <c r="B9" s="161">
        <f>C9*D9</f>
        <v>2155.15</v>
      </c>
      <c r="C9" s="168">
        <v>431030</v>
      </c>
      <c r="D9" s="169">
        <v>5.0000000000000001E-3</v>
      </c>
      <c r="E9" s="161">
        <f>F9*G9</f>
        <v>1007.596</v>
      </c>
      <c r="F9" s="168">
        <v>251899</v>
      </c>
      <c r="G9" s="169">
        <v>4.0000000000000001E-3</v>
      </c>
      <c r="H9" s="161">
        <f>I9*J9</f>
        <v>246.38800000000001</v>
      </c>
      <c r="I9" s="168">
        <v>61597</v>
      </c>
      <c r="J9" s="169">
        <v>4.0000000000000001E-3</v>
      </c>
      <c r="K9" s="161">
        <f>L9*M9</f>
        <v>660.38400000000001</v>
      </c>
      <c r="L9" s="168">
        <v>110064</v>
      </c>
      <c r="M9" s="169">
        <v>6.0000000000000001E-3</v>
      </c>
      <c r="N9" s="127">
        <f>O9*P9</f>
        <v>38.97</v>
      </c>
      <c r="O9" s="170">
        <v>7794</v>
      </c>
      <c r="P9" s="129">
        <v>5.0000000000000001E-3</v>
      </c>
      <c r="Q9" s="161">
        <f>R9*S9</f>
        <v>152.99699999999999</v>
      </c>
      <c r="R9" s="168">
        <v>19615</v>
      </c>
      <c r="S9" s="169">
        <v>7.7999999999999996E-3</v>
      </c>
      <c r="T9" s="127">
        <f>U9*V9</f>
        <v>336.88749999999999</v>
      </c>
      <c r="U9" s="176" t="s">
        <v>269</v>
      </c>
      <c r="V9" s="171">
        <v>5.0000000000000001E-4</v>
      </c>
      <c r="W9" s="170"/>
      <c r="X9" s="129"/>
      <c r="Y9" s="170"/>
      <c r="Z9" s="129"/>
    </row>
    <row r="10" spans="1:26" s="126" customFormat="1" ht="13.2" x14ac:dyDescent="0.25">
      <c r="A10" s="134">
        <v>1998</v>
      </c>
      <c r="B10" s="162">
        <f t="shared" ref="B10:B16" si="0">C10*D10</f>
        <v>2550.1950000000002</v>
      </c>
      <c r="C10" s="170" t="s">
        <v>271</v>
      </c>
      <c r="D10" s="171">
        <v>5.0000000000000001E-3</v>
      </c>
      <c r="E10" s="162">
        <f t="shared" ref="E10:E16" si="1">F10*G10</f>
        <v>1093.8</v>
      </c>
      <c r="F10" s="170" t="s">
        <v>275</v>
      </c>
      <c r="G10" s="171">
        <v>4.0000000000000001E-3</v>
      </c>
      <c r="H10" s="162">
        <f t="shared" ref="H10:H16" si="2">I10*J10</f>
        <v>343.94400000000002</v>
      </c>
      <c r="I10" s="170" t="s">
        <v>270</v>
      </c>
      <c r="J10" s="171">
        <v>4.0000000000000001E-3</v>
      </c>
      <c r="K10" s="162">
        <f t="shared" ref="K10:K16" si="3">L10*M10</f>
        <v>729.37200000000007</v>
      </c>
      <c r="L10" s="170" t="s">
        <v>276</v>
      </c>
      <c r="M10" s="171">
        <v>6.0000000000000001E-3</v>
      </c>
      <c r="N10" s="127">
        <f t="shared" ref="N10:N16" si="4">O10*P10</f>
        <v>44.96</v>
      </c>
      <c r="O10" s="170" t="s">
        <v>272</v>
      </c>
      <c r="P10" s="129">
        <v>5.0000000000000001E-3</v>
      </c>
      <c r="Q10" s="162">
        <f t="shared" ref="Q10:Q16" si="5">R10*S10</f>
        <v>125.2914</v>
      </c>
      <c r="R10" s="170" t="s">
        <v>273</v>
      </c>
      <c r="S10" s="171">
        <v>7.7999999999999996E-3</v>
      </c>
      <c r="T10" s="127">
        <f t="shared" ref="T10:T16" si="6">U10*V10</f>
        <v>697.89250000000004</v>
      </c>
      <c r="U10" s="170" t="s">
        <v>274</v>
      </c>
      <c r="V10" s="171">
        <v>5.0000000000000001E-4</v>
      </c>
      <c r="W10" s="170"/>
      <c r="X10" s="129"/>
      <c r="Y10" s="170"/>
      <c r="Z10" s="129"/>
    </row>
    <row r="11" spans="1:26" s="126" customFormat="1" ht="13.2" x14ac:dyDescent="0.25">
      <c r="A11" s="134">
        <v>2001</v>
      </c>
      <c r="B11" s="162">
        <f t="shared" si="0"/>
        <v>1981.6000000000001</v>
      </c>
      <c r="C11" s="170" t="s">
        <v>278</v>
      </c>
      <c r="D11" s="171">
        <v>5.0000000000000001E-3</v>
      </c>
      <c r="E11" s="162">
        <f t="shared" si="1"/>
        <v>1217.96</v>
      </c>
      <c r="F11" s="170" t="s">
        <v>282</v>
      </c>
      <c r="G11" s="171">
        <v>4.0000000000000001E-3</v>
      </c>
      <c r="H11" s="162">
        <f t="shared" si="2"/>
        <v>264.952</v>
      </c>
      <c r="I11" s="170" t="s">
        <v>277</v>
      </c>
      <c r="J11" s="171">
        <v>4.0000000000000001E-3</v>
      </c>
      <c r="K11" s="162">
        <f t="shared" si="3"/>
        <v>303.3</v>
      </c>
      <c r="L11" s="170" t="s">
        <v>283</v>
      </c>
      <c r="M11" s="171">
        <v>6.0000000000000001E-3</v>
      </c>
      <c r="N11" s="127">
        <f t="shared" si="4"/>
        <v>53.18</v>
      </c>
      <c r="O11" s="170" t="s">
        <v>279</v>
      </c>
      <c r="P11" s="129">
        <v>5.0000000000000001E-3</v>
      </c>
      <c r="Q11" s="162">
        <f t="shared" si="5"/>
        <v>357.2088</v>
      </c>
      <c r="R11" s="170" t="s">
        <v>280</v>
      </c>
      <c r="S11" s="171">
        <v>7.7999999999999996E-3</v>
      </c>
      <c r="T11" s="127">
        <f t="shared" si="6"/>
        <v>1023.327</v>
      </c>
      <c r="U11" s="170" t="s">
        <v>281</v>
      </c>
      <c r="V11" s="171">
        <v>5.0000000000000001E-4</v>
      </c>
      <c r="W11" s="170"/>
      <c r="X11" s="129"/>
      <c r="Y11" s="170"/>
      <c r="Z11" s="129"/>
    </row>
    <row r="12" spans="1:26" s="126" customFormat="1" ht="13.2" x14ac:dyDescent="0.25">
      <c r="A12" s="134">
        <v>2004</v>
      </c>
      <c r="B12" s="162">
        <f t="shared" si="0"/>
        <v>936.73</v>
      </c>
      <c r="C12" s="170" t="s">
        <v>285</v>
      </c>
      <c r="D12" s="171">
        <v>5.0000000000000001E-3</v>
      </c>
      <c r="E12" s="162">
        <f t="shared" si="1"/>
        <v>1046.3399999999999</v>
      </c>
      <c r="F12" s="170" t="s">
        <v>289</v>
      </c>
      <c r="G12" s="171">
        <v>4.0000000000000001E-3</v>
      </c>
      <c r="H12" s="162">
        <f t="shared" si="2"/>
        <v>104.404</v>
      </c>
      <c r="I12" s="170" t="s">
        <v>284</v>
      </c>
      <c r="J12" s="171">
        <v>4.0000000000000001E-3</v>
      </c>
      <c r="K12" s="162">
        <f t="shared" si="3"/>
        <v>84.317999999999998</v>
      </c>
      <c r="L12" s="170" t="s">
        <v>290</v>
      </c>
      <c r="M12" s="171">
        <v>6.0000000000000001E-3</v>
      </c>
      <c r="N12" s="127">
        <f t="shared" si="4"/>
        <v>28.91</v>
      </c>
      <c r="O12" s="170" t="s">
        <v>286</v>
      </c>
      <c r="P12" s="129">
        <v>5.0000000000000001E-3</v>
      </c>
      <c r="Q12" s="162">
        <f t="shared" si="5"/>
        <v>836.97119999999995</v>
      </c>
      <c r="R12" s="170" t="s">
        <v>287</v>
      </c>
      <c r="S12" s="171">
        <v>7.7999999999999996E-3</v>
      </c>
      <c r="T12" s="127">
        <f t="shared" si="6"/>
        <v>1024.5520000000001</v>
      </c>
      <c r="U12" s="170" t="s">
        <v>288</v>
      </c>
      <c r="V12" s="171">
        <v>5.0000000000000001E-4</v>
      </c>
      <c r="W12" s="170"/>
      <c r="X12" s="129"/>
      <c r="Y12" s="170"/>
      <c r="Z12" s="129"/>
    </row>
    <row r="13" spans="1:26" s="126" customFormat="1" ht="13.2" x14ac:dyDescent="0.25">
      <c r="A13" s="134">
        <v>2007</v>
      </c>
      <c r="B13" s="162">
        <f t="shared" si="0"/>
        <v>1419.905</v>
      </c>
      <c r="C13" s="170">
        <v>283981</v>
      </c>
      <c r="D13" s="171">
        <v>5.0000000000000001E-3</v>
      </c>
      <c r="E13" s="162">
        <f t="shared" si="1"/>
        <v>1489.616</v>
      </c>
      <c r="F13" s="170">
        <v>372404</v>
      </c>
      <c r="G13" s="171">
        <v>4.0000000000000001E-3</v>
      </c>
      <c r="H13" s="162">
        <f t="shared" si="2"/>
        <v>167.792</v>
      </c>
      <c r="I13" s="170">
        <v>41948</v>
      </c>
      <c r="J13" s="171">
        <v>4.0000000000000001E-3</v>
      </c>
      <c r="K13" s="162">
        <f t="shared" si="3"/>
        <v>59.765999999999998</v>
      </c>
      <c r="L13" s="170">
        <v>9961</v>
      </c>
      <c r="M13" s="171">
        <v>6.0000000000000001E-3</v>
      </c>
      <c r="N13" s="127">
        <f t="shared" si="4"/>
        <v>31.155000000000001</v>
      </c>
      <c r="O13" s="170">
        <v>6231</v>
      </c>
      <c r="P13" s="129">
        <v>5.0000000000000001E-3</v>
      </c>
      <c r="Q13" s="162">
        <f t="shared" si="5"/>
        <v>902.60039999999992</v>
      </c>
      <c r="R13" s="170">
        <v>115718</v>
      </c>
      <c r="S13" s="171">
        <v>7.7999999999999996E-3</v>
      </c>
      <c r="T13" s="127">
        <f t="shared" si="6"/>
        <v>1119.6055000000001</v>
      </c>
      <c r="U13" s="170">
        <v>2239211</v>
      </c>
      <c r="V13" s="171">
        <v>5.0000000000000001E-4</v>
      </c>
      <c r="W13" s="170"/>
      <c r="X13" s="129"/>
      <c r="Y13" s="170"/>
      <c r="Z13" s="129"/>
    </row>
    <row r="14" spans="1:26" s="126" customFormat="1" ht="13.2" x14ac:dyDescent="0.25">
      <c r="A14" s="134">
        <v>2010</v>
      </c>
      <c r="B14" s="162">
        <f t="shared" si="0"/>
        <v>1647</v>
      </c>
      <c r="C14" s="170">
        <v>329400</v>
      </c>
      <c r="D14" s="171">
        <v>5.0000000000000001E-3</v>
      </c>
      <c r="E14" s="162">
        <f t="shared" si="1"/>
        <v>1642.4</v>
      </c>
      <c r="F14" s="170">
        <v>410600</v>
      </c>
      <c r="G14" s="171">
        <v>4.0000000000000001E-3</v>
      </c>
      <c r="H14" s="162">
        <f t="shared" si="2"/>
        <v>177.31200000000001</v>
      </c>
      <c r="I14" s="170">
        <v>44328</v>
      </c>
      <c r="J14" s="171">
        <v>4.0000000000000001E-3</v>
      </c>
      <c r="K14" s="162">
        <f t="shared" si="3"/>
        <v>29.574000000000002</v>
      </c>
      <c r="L14" s="170">
        <v>4929</v>
      </c>
      <c r="M14" s="171">
        <v>6.0000000000000001E-3</v>
      </c>
      <c r="N14" s="127">
        <f t="shared" si="4"/>
        <v>23.6</v>
      </c>
      <c r="O14" s="170">
        <v>4720</v>
      </c>
      <c r="P14" s="129">
        <v>5.0000000000000001E-3</v>
      </c>
      <c r="Q14" s="162">
        <f t="shared" si="5"/>
        <v>921.18</v>
      </c>
      <c r="R14" s="170">
        <v>118100</v>
      </c>
      <c r="S14" s="171">
        <v>7.7999999999999996E-3</v>
      </c>
      <c r="T14" s="127">
        <f t="shared" si="6"/>
        <v>953.65</v>
      </c>
      <c r="U14" s="170">
        <v>1907300</v>
      </c>
      <c r="V14" s="171">
        <v>5.0000000000000001E-4</v>
      </c>
      <c r="W14" s="170"/>
      <c r="X14" s="129"/>
      <c r="Y14" s="170"/>
      <c r="Z14" s="129"/>
    </row>
    <row r="15" spans="1:26" s="126" customFormat="1" ht="13.2" x14ac:dyDescent="0.25">
      <c r="A15" s="134">
        <v>2013</v>
      </c>
      <c r="B15" s="162">
        <f t="shared" si="0"/>
        <v>1705</v>
      </c>
      <c r="C15" s="170">
        <v>341000</v>
      </c>
      <c r="D15" s="171">
        <v>5.0000000000000001E-3</v>
      </c>
      <c r="E15" s="162">
        <f t="shared" si="1"/>
        <v>1388.828</v>
      </c>
      <c r="F15" s="170">
        <v>347207</v>
      </c>
      <c r="G15" s="171">
        <v>4.0000000000000001E-3</v>
      </c>
      <c r="H15" s="162">
        <f t="shared" si="2"/>
        <v>105.396</v>
      </c>
      <c r="I15" s="170">
        <v>26349</v>
      </c>
      <c r="J15" s="171">
        <v>4.0000000000000001E-3</v>
      </c>
      <c r="K15" s="162">
        <f t="shared" si="3"/>
        <v>17.934000000000001</v>
      </c>
      <c r="L15" s="170">
        <v>2989</v>
      </c>
      <c r="M15" s="171">
        <v>6.0000000000000001E-3</v>
      </c>
      <c r="N15" s="127">
        <f t="shared" si="4"/>
        <v>13.275</v>
      </c>
      <c r="O15" s="170">
        <v>2655</v>
      </c>
      <c r="P15" s="129">
        <v>5.0000000000000001E-3</v>
      </c>
      <c r="Q15" s="162">
        <f t="shared" si="5"/>
        <v>744.30719999999997</v>
      </c>
      <c r="R15" s="170">
        <v>95424</v>
      </c>
      <c r="S15" s="171">
        <v>7.7999999999999996E-3</v>
      </c>
      <c r="T15" s="127">
        <f t="shared" si="6"/>
        <v>794.6155</v>
      </c>
      <c r="U15" s="170">
        <v>1589231</v>
      </c>
      <c r="V15" s="171">
        <v>5.0000000000000001E-4</v>
      </c>
      <c r="W15" s="170"/>
      <c r="X15" s="129"/>
      <c r="Y15" s="170"/>
      <c r="Z15" s="129"/>
    </row>
    <row r="16" spans="1:26" s="126" customFormat="1" ht="13.8" thickBot="1" x14ac:dyDescent="0.3">
      <c r="A16" s="177">
        <v>2016</v>
      </c>
      <c r="B16" s="163">
        <f t="shared" si="0"/>
        <v>2539</v>
      </c>
      <c r="C16" s="172">
        <v>507800</v>
      </c>
      <c r="D16" s="173">
        <v>5.0000000000000001E-3</v>
      </c>
      <c r="E16" s="163">
        <f t="shared" si="1"/>
        <v>1838</v>
      </c>
      <c r="F16" s="172">
        <v>459500</v>
      </c>
      <c r="G16" s="173">
        <v>4.0000000000000001E-3</v>
      </c>
      <c r="H16" s="163">
        <f t="shared" si="2"/>
        <v>134.74</v>
      </c>
      <c r="I16" s="172">
        <v>33685</v>
      </c>
      <c r="J16" s="173">
        <v>4.0000000000000001E-3</v>
      </c>
      <c r="K16" s="163">
        <f t="shared" si="3"/>
        <v>8.01</v>
      </c>
      <c r="L16" s="172">
        <v>1335</v>
      </c>
      <c r="M16" s="173">
        <v>6.0000000000000001E-3</v>
      </c>
      <c r="N16" s="146">
        <f t="shared" si="4"/>
        <v>20.574999999999999</v>
      </c>
      <c r="O16" s="172">
        <v>4115</v>
      </c>
      <c r="P16" s="151">
        <v>5.0000000000000001E-3</v>
      </c>
      <c r="Q16" s="163">
        <f t="shared" si="5"/>
        <v>559.26</v>
      </c>
      <c r="R16" s="172">
        <v>71700</v>
      </c>
      <c r="S16" s="173">
        <v>7.7999999999999996E-3</v>
      </c>
      <c r="T16" s="146">
        <f t="shared" si="6"/>
        <v>604.62149999999997</v>
      </c>
      <c r="U16" s="172">
        <v>1209243</v>
      </c>
      <c r="V16" s="171">
        <v>5.0000000000000001E-4</v>
      </c>
      <c r="W16" s="170"/>
      <c r="X16" s="129"/>
      <c r="Y16" s="170"/>
      <c r="Z16" s="129"/>
    </row>
    <row r="17" spans="1:12" s="37" customFormat="1" ht="13.2" x14ac:dyDescent="0.25"/>
    <row r="18" spans="1:12" ht="17.399999999999999" x14ac:dyDescent="0.3">
      <c r="A18" s="40" t="s">
        <v>300</v>
      </c>
      <c r="B18" s="8" t="s">
        <v>291</v>
      </c>
      <c r="C18" s="8"/>
      <c r="D18" s="8"/>
      <c r="E18" s="8"/>
      <c r="F18" s="8"/>
      <c r="G18" s="8"/>
      <c r="H18" s="8"/>
      <c r="I18" s="8"/>
      <c r="J18" s="8"/>
      <c r="K18" s="8"/>
      <c r="L18" s="8"/>
    </row>
    <row r="19" spans="1:12" ht="17.399999999999999" x14ac:dyDescent="0.3">
      <c r="A19" s="40" t="s">
        <v>301</v>
      </c>
      <c r="B19" s="8" t="s">
        <v>255</v>
      </c>
      <c r="C19" s="8"/>
      <c r="D19" s="8"/>
      <c r="E19" s="8"/>
      <c r="F19" s="8"/>
      <c r="G19" s="8"/>
      <c r="H19" s="8"/>
      <c r="I19" s="8"/>
      <c r="J19" s="8"/>
      <c r="K19" s="8"/>
      <c r="L19" s="8"/>
    </row>
    <row r="20" spans="1:12" ht="17.399999999999999" x14ac:dyDescent="0.3">
      <c r="A20" s="40" t="s">
        <v>302</v>
      </c>
      <c r="B20" s="8" t="s">
        <v>292</v>
      </c>
      <c r="C20" s="8"/>
      <c r="D20" s="8"/>
      <c r="E20" s="8"/>
      <c r="F20" s="8"/>
      <c r="G20" s="8"/>
      <c r="H20" s="8"/>
      <c r="I20" s="8"/>
      <c r="J20" s="8"/>
      <c r="K20" s="8"/>
      <c r="L20" s="8"/>
    </row>
    <row r="21" spans="1:12" x14ac:dyDescent="0.25"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</row>
    <row r="23" spans="1:12" x14ac:dyDescent="0.25">
      <c r="A23" s="40"/>
    </row>
    <row r="24" spans="1:12" ht="16.8" x14ac:dyDescent="0.25">
      <c r="A24" s="40" t="s">
        <v>301</v>
      </c>
      <c r="B24" s="14" t="s">
        <v>98</v>
      </c>
    </row>
    <row r="25" spans="1:12" ht="16.8" x14ac:dyDescent="0.25">
      <c r="A25" s="40" t="s">
        <v>302</v>
      </c>
      <c r="B25" s="22" t="s">
        <v>99</v>
      </c>
    </row>
  </sheetData>
  <mergeCells count="8">
    <mergeCell ref="Q7:S7"/>
    <mergeCell ref="T7:V7"/>
    <mergeCell ref="B7:D7"/>
    <mergeCell ref="A7:A8"/>
    <mergeCell ref="E7:G7"/>
    <mergeCell ref="H7:J7"/>
    <mergeCell ref="K7:M7"/>
    <mergeCell ref="N7:P7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AJ29"/>
  <sheetViews>
    <sheetView tabSelected="1" workbookViewId="0">
      <selection activeCell="A19" sqref="A19:B22"/>
    </sheetView>
  </sheetViews>
  <sheetFormatPr defaultRowHeight="14.4" x14ac:dyDescent="0.25"/>
  <sheetData>
    <row r="5" spans="1:36" ht="15" thickBot="1" x14ac:dyDescent="0.3"/>
    <row r="6" spans="1:36" s="139" customFormat="1" ht="14.4" customHeight="1" x14ac:dyDescent="0.25">
      <c r="A6" s="233" t="s">
        <v>167</v>
      </c>
      <c r="B6" s="235" t="s">
        <v>293</v>
      </c>
      <c r="C6" s="236"/>
      <c r="D6" s="236"/>
      <c r="E6" s="236"/>
      <c r="F6" s="237"/>
      <c r="G6" s="235" t="s">
        <v>150</v>
      </c>
      <c r="H6" s="236"/>
      <c r="I6" s="236"/>
      <c r="J6" s="236"/>
      <c r="K6" s="237"/>
      <c r="L6" s="235" t="s">
        <v>212</v>
      </c>
      <c r="M6" s="236"/>
      <c r="N6" s="236"/>
      <c r="O6" s="236"/>
      <c r="P6" s="237"/>
      <c r="Q6" s="235" t="s">
        <v>79</v>
      </c>
      <c r="R6" s="236"/>
      <c r="S6" s="236"/>
      <c r="T6" s="236"/>
      <c r="U6" s="237"/>
      <c r="V6" s="220" t="s">
        <v>296</v>
      </c>
      <c r="W6" s="221"/>
      <c r="X6" s="221"/>
      <c r="Y6" s="221"/>
      <c r="Z6" s="222"/>
      <c r="AA6" s="220" t="s">
        <v>81</v>
      </c>
      <c r="AB6" s="221"/>
      <c r="AC6" s="221"/>
      <c r="AD6" s="221"/>
      <c r="AE6" s="222"/>
      <c r="AF6" s="220" t="s">
        <v>172</v>
      </c>
      <c r="AG6" s="221"/>
      <c r="AH6" s="221"/>
      <c r="AI6" s="221"/>
      <c r="AJ6" s="222"/>
    </row>
    <row r="7" spans="1:36" s="126" customFormat="1" ht="16.2" thickBot="1" x14ac:dyDescent="0.3">
      <c r="A7" s="234"/>
      <c r="B7" s="135" t="s">
        <v>321</v>
      </c>
      <c r="C7" s="136" t="s">
        <v>322</v>
      </c>
      <c r="D7" s="136" t="s">
        <v>323</v>
      </c>
      <c r="E7" s="136" t="s">
        <v>324</v>
      </c>
      <c r="F7" s="137" t="s">
        <v>325</v>
      </c>
      <c r="G7" s="135" t="s">
        <v>321</v>
      </c>
      <c r="H7" s="136" t="s">
        <v>322</v>
      </c>
      <c r="I7" s="136" t="s">
        <v>323</v>
      </c>
      <c r="J7" s="136" t="s">
        <v>324</v>
      </c>
      <c r="K7" s="137" t="s">
        <v>325</v>
      </c>
      <c r="L7" s="135" t="s">
        <v>321</v>
      </c>
      <c r="M7" s="136" t="s">
        <v>322</v>
      </c>
      <c r="N7" s="136" t="s">
        <v>323</v>
      </c>
      <c r="O7" s="136" t="s">
        <v>324</v>
      </c>
      <c r="P7" s="137" t="s">
        <v>325</v>
      </c>
      <c r="Q7" s="135" t="s">
        <v>321</v>
      </c>
      <c r="R7" s="136" t="s">
        <v>322</v>
      </c>
      <c r="S7" s="136" t="s">
        <v>323</v>
      </c>
      <c r="T7" s="136" t="s">
        <v>324</v>
      </c>
      <c r="U7" s="137" t="s">
        <v>325</v>
      </c>
      <c r="V7" s="135" t="s">
        <v>321</v>
      </c>
      <c r="W7" s="136" t="s">
        <v>322</v>
      </c>
      <c r="X7" s="136" t="s">
        <v>323</v>
      </c>
      <c r="Y7" s="136" t="s">
        <v>324</v>
      </c>
      <c r="Z7" s="137" t="s">
        <v>325</v>
      </c>
      <c r="AA7" s="135" t="s">
        <v>321</v>
      </c>
      <c r="AB7" s="136" t="s">
        <v>322</v>
      </c>
      <c r="AC7" s="136" t="s">
        <v>323</v>
      </c>
      <c r="AD7" s="136" t="s">
        <v>324</v>
      </c>
      <c r="AE7" s="137" t="s">
        <v>325</v>
      </c>
      <c r="AF7" s="135" t="s">
        <v>321</v>
      </c>
      <c r="AG7" s="136" t="s">
        <v>322</v>
      </c>
      <c r="AH7" s="136" t="s">
        <v>323</v>
      </c>
      <c r="AI7" s="136" t="s">
        <v>324</v>
      </c>
      <c r="AJ7" s="137" t="s">
        <v>325</v>
      </c>
    </row>
    <row r="8" spans="1:36" s="126" customFormat="1" ht="13.2" x14ac:dyDescent="0.25">
      <c r="A8" s="178">
        <v>1995</v>
      </c>
      <c r="B8" s="185">
        <f>D8*E8*F8*(1-0.5)</f>
        <v>189.65320000000003</v>
      </c>
      <c r="C8" s="132">
        <f>1-0.5</f>
        <v>0.5</v>
      </c>
      <c r="D8" s="126">
        <v>431030</v>
      </c>
      <c r="E8" s="127">
        <v>1.1000000000000001</v>
      </c>
      <c r="F8" s="128">
        <v>8.0000000000000004E-4</v>
      </c>
      <c r="G8" s="185">
        <f>I8*J8*K8*(1-0.5)</f>
        <v>243.71228250000001</v>
      </c>
      <c r="H8" s="132">
        <f>1-0.5</f>
        <v>0.5</v>
      </c>
      <c r="I8" s="130">
        <v>251899</v>
      </c>
      <c r="J8" s="127">
        <v>1.29</v>
      </c>
      <c r="K8" s="128">
        <v>1.5E-3</v>
      </c>
      <c r="L8" s="185">
        <f>N8*O8*P8*(1-0.5)</f>
        <v>40.038049999999998</v>
      </c>
      <c r="M8" s="132">
        <f>1-0.5</f>
        <v>0.5</v>
      </c>
      <c r="N8" s="126">
        <v>61597</v>
      </c>
      <c r="O8" s="127">
        <v>1</v>
      </c>
      <c r="P8" s="128">
        <v>1.2999999999999999E-3</v>
      </c>
      <c r="Q8" s="185">
        <f>S8*T8*U8*(1-0.16)</f>
        <v>194.15289600000003</v>
      </c>
      <c r="R8" s="132">
        <f>1-0.16</f>
        <v>0.84</v>
      </c>
      <c r="S8" s="126">
        <v>110064</v>
      </c>
      <c r="T8" s="127">
        <v>1.05</v>
      </c>
      <c r="U8" s="128">
        <v>2E-3</v>
      </c>
      <c r="V8" s="185">
        <f>X8*Y8*Z8*(1-0.5)</f>
        <v>9.3528000000000002</v>
      </c>
      <c r="W8" s="132">
        <f>1-0.5</f>
        <v>0.5</v>
      </c>
      <c r="X8" s="126">
        <v>7794</v>
      </c>
      <c r="Y8" s="127">
        <v>1.5</v>
      </c>
      <c r="Z8" s="128">
        <v>1.6000000000000001E-3</v>
      </c>
      <c r="AA8" s="185">
        <f>AC8*AD8*AE8*(1-0.5)</f>
        <v>44.133749999999999</v>
      </c>
      <c r="AB8" s="132">
        <f>1-0.5</f>
        <v>0.5</v>
      </c>
      <c r="AC8" s="126">
        <v>19615</v>
      </c>
      <c r="AD8" s="127">
        <v>3</v>
      </c>
      <c r="AE8" s="128">
        <v>1.5E-3</v>
      </c>
      <c r="AF8" s="131">
        <v>0</v>
      </c>
      <c r="AG8" s="130"/>
      <c r="AI8" s="129">
        <v>0</v>
      </c>
      <c r="AJ8" s="186"/>
    </row>
    <row r="9" spans="1:36" s="126" customFormat="1" ht="13.2" x14ac:dyDescent="0.25">
      <c r="A9" s="178">
        <v>1998</v>
      </c>
      <c r="B9" s="185">
        <f>D9*E9*F9*(1-0.5)</f>
        <v>224.41716000000002</v>
      </c>
      <c r="C9" s="132">
        <f>1-0.5</f>
        <v>0.5</v>
      </c>
      <c r="D9" s="126" t="s">
        <v>179</v>
      </c>
      <c r="E9" s="127">
        <v>1.1000000000000001</v>
      </c>
      <c r="F9" s="128">
        <v>8.0000000000000004E-4</v>
      </c>
      <c r="G9" s="185">
        <f>I9*J9*K9*(1-0.5)</f>
        <v>264.56287500000002</v>
      </c>
      <c r="H9" s="132">
        <f>1-0.5</f>
        <v>0.5</v>
      </c>
      <c r="I9" s="130" t="s">
        <v>180</v>
      </c>
      <c r="J9" s="127">
        <v>1.29</v>
      </c>
      <c r="K9" s="128">
        <v>1.5E-3</v>
      </c>
      <c r="L9" s="185">
        <f>N9*O9*P9*(1-0.5)</f>
        <v>55.890899999999995</v>
      </c>
      <c r="M9" s="132">
        <f>1-0.5</f>
        <v>0.5</v>
      </c>
      <c r="N9" s="126" t="s">
        <v>181</v>
      </c>
      <c r="O9" s="127">
        <v>1</v>
      </c>
      <c r="P9" s="128">
        <v>1.2999999999999999E-3</v>
      </c>
      <c r="Q9" s="185">
        <f>S9*T9*U9*(1-0.16)</f>
        <v>214.43536800000001</v>
      </c>
      <c r="R9" s="132">
        <f>1-0.16</f>
        <v>0.84</v>
      </c>
      <c r="S9" s="126" t="s">
        <v>182</v>
      </c>
      <c r="T9" s="127">
        <v>1.05</v>
      </c>
      <c r="U9" s="128">
        <v>2E-3</v>
      </c>
      <c r="V9" s="185">
        <f>X9*Y9*Z9*(1-0.5)</f>
        <v>10.7904</v>
      </c>
      <c r="W9" s="132">
        <f>1-0.5</f>
        <v>0.5</v>
      </c>
      <c r="X9" s="126" t="s">
        <v>183</v>
      </c>
      <c r="Y9" s="127">
        <v>1.5</v>
      </c>
      <c r="Z9" s="128">
        <v>1.6000000000000001E-3</v>
      </c>
      <c r="AA9" s="185">
        <f>AC9*AD9*AE9*(1-0.5)</f>
        <v>36.141750000000002</v>
      </c>
      <c r="AB9" s="132">
        <f>1-0.5</f>
        <v>0.5</v>
      </c>
      <c r="AC9" s="126" t="s">
        <v>184</v>
      </c>
      <c r="AD9" s="127">
        <v>3</v>
      </c>
      <c r="AE9" s="128">
        <v>1.5E-3</v>
      </c>
      <c r="AF9" s="131">
        <v>0</v>
      </c>
      <c r="AG9" s="130"/>
      <c r="AI9" s="129">
        <v>0</v>
      </c>
      <c r="AJ9" s="186"/>
    </row>
    <row r="10" spans="1:36" s="126" customFormat="1" ht="13.2" x14ac:dyDescent="0.25">
      <c r="A10" s="178">
        <v>2001</v>
      </c>
      <c r="B10" s="185">
        <f>D10*E10*F10*(1-0.85)</f>
        <v>52.314240000000012</v>
      </c>
      <c r="C10" s="132">
        <f>1-0.85</f>
        <v>0.15000000000000002</v>
      </c>
      <c r="D10" s="126" t="s">
        <v>185</v>
      </c>
      <c r="E10" s="127">
        <v>1.1000000000000001</v>
      </c>
      <c r="F10" s="128">
        <v>8.0000000000000004E-4</v>
      </c>
      <c r="G10" s="185">
        <f>I10*J10*K10*(1-0.85)</f>
        <v>88.378222500000021</v>
      </c>
      <c r="H10" s="132">
        <f>1-0.85</f>
        <v>0.15000000000000002</v>
      </c>
      <c r="I10" s="130" t="s">
        <v>186</v>
      </c>
      <c r="J10" s="127">
        <v>1.29</v>
      </c>
      <c r="K10" s="128">
        <v>1.5E-3</v>
      </c>
      <c r="L10" s="185">
        <f>N10*O10*P10*(1-0.85)</f>
        <v>12.916410000000001</v>
      </c>
      <c r="M10" s="132">
        <f>1-0.85</f>
        <v>0.15000000000000002</v>
      </c>
      <c r="N10" s="126" t="s">
        <v>187</v>
      </c>
      <c r="O10" s="127">
        <v>1</v>
      </c>
      <c r="P10" s="128">
        <v>1.2999999999999999E-3</v>
      </c>
      <c r="Q10" s="185">
        <f>S10*T10*U10*(1-0.56)</f>
        <v>46.708199999999998</v>
      </c>
      <c r="R10" s="132">
        <f>1-0.56</f>
        <v>0.43999999999999995</v>
      </c>
      <c r="S10" s="126" t="s">
        <v>188</v>
      </c>
      <c r="T10" s="127">
        <v>1.05</v>
      </c>
      <c r="U10" s="128">
        <v>2E-3</v>
      </c>
      <c r="V10" s="185">
        <f>X10*Y10*Z10*(1-0.85)</f>
        <v>3.8289600000000008</v>
      </c>
      <c r="W10" s="132">
        <f>1-0.85</f>
        <v>0.15000000000000002</v>
      </c>
      <c r="X10" s="126" t="s">
        <v>189</v>
      </c>
      <c r="Y10" s="127">
        <v>1.5</v>
      </c>
      <c r="Z10" s="128">
        <v>1.6000000000000001E-3</v>
      </c>
      <c r="AA10" s="185">
        <f>AC10*AD10*AE10*(1-0.85)</f>
        <v>30.912300000000002</v>
      </c>
      <c r="AB10" s="132">
        <f>1-0.85</f>
        <v>0.15000000000000002</v>
      </c>
      <c r="AC10" s="126" t="s">
        <v>190</v>
      </c>
      <c r="AD10" s="127">
        <v>3</v>
      </c>
      <c r="AE10" s="128">
        <v>1.5E-3</v>
      </c>
      <c r="AF10" s="131">
        <v>0</v>
      </c>
      <c r="AG10" s="130"/>
      <c r="AI10" s="129">
        <v>0</v>
      </c>
      <c r="AJ10" s="186"/>
    </row>
    <row r="11" spans="1:36" s="126" customFormat="1" ht="13.2" x14ac:dyDescent="0.25">
      <c r="A11" s="178">
        <v>2004</v>
      </c>
      <c r="B11" s="185">
        <f t="shared" ref="B11:B15" si="0">D11*E11*F11*(1-0.85)</f>
        <v>24.729672000000004</v>
      </c>
      <c r="C11" s="132">
        <f t="shared" ref="C11:C15" si="1">1-0.85</f>
        <v>0.15000000000000002</v>
      </c>
      <c r="D11" s="126" t="s">
        <v>191</v>
      </c>
      <c r="E11" s="127">
        <v>1.1000000000000001</v>
      </c>
      <c r="F11" s="128">
        <v>8.0000000000000004E-4</v>
      </c>
      <c r="G11" s="185">
        <f t="shared" ref="G11:G15" si="2">I11*J11*K11*(1-0.85)</f>
        <v>75.925046250000022</v>
      </c>
      <c r="H11" s="132">
        <f t="shared" ref="H11:H15" si="3">1-0.85</f>
        <v>0.15000000000000002</v>
      </c>
      <c r="I11" s="130" t="s">
        <v>192</v>
      </c>
      <c r="J11" s="127">
        <v>1.29</v>
      </c>
      <c r="K11" s="128">
        <v>1.5E-3</v>
      </c>
      <c r="L11" s="185">
        <f t="shared" ref="L11:L15" si="4">N11*O11*P11*(1-0.85)</f>
        <v>5.0896950000000007</v>
      </c>
      <c r="M11" s="132">
        <f t="shared" ref="M11:M15" si="5">1-0.85</f>
        <v>0.15000000000000002</v>
      </c>
      <c r="N11" s="126" t="s">
        <v>193</v>
      </c>
      <c r="O11" s="127">
        <v>1</v>
      </c>
      <c r="P11" s="128">
        <v>1.2999999999999999E-3</v>
      </c>
      <c r="Q11" s="185">
        <f t="shared" ref="Q11:Q15" si="6">S11*T11*U11*(1-0.56)</f>
        <v>12.984971999999999</v>
      </c>
      <c r="R11" s="132">
        <f t="shared" ref="R11:R15" si="7">1-0.56</f>
        <v>0.43999999999999995</v>
      </c>
      <c r="S11" s="126" t="s">
        <v>194</v>
      </c>
      <c r="T11" s="127">
        <v>1.05</v>
      </c>
      <c r="U11" s="128">
        <v>2E-3</v>
      </c>
      <c r="V11" s="185">
        <f t="shared" ref="V11:V15" si="8">X11*Y11*Z11*(1-0.85)</f>
        <v>2.0815200000000003</v>
      </c>
      <c r="W11" s="132">
        <f t="shared" ref="W11:W15" si="9">1-0.85</f>
        <v>0.15000000000000002</v>
      </c>
      <c r="X11" s="126" t="s">
        <v>195</v>
      </c>
      <c r="Y11" s="127">
        <v>1.5</v>
      </c>
      <c r="Z11" s="128">
        <v>1.6000000000000001E-3</v>
      </c>
      <c r="AA11" s="185">
        <f t="shared" ref="AA11:AA15" si="10">AC11*AD11*AE11*(1-0.85)</f>
        <v>72.430200000000013</v>
      </c>
      <c r="AB11" s="132">
        <f t="shared" ref="AB11:AB15" si="11">1-0.85</f>
        <v>0.15000000000000002</v>
      </c>
      <c r="AC11" s="126" t="s">
        <v>196</v>
      </c>
      <c r="AD11" s="127">
        <v>3</v>
      </c>
      <c r="AE11" s="128">
        <v>1.5E-3</v>
      </c>
      <c r="AF11" s="131">
        <v>0</v>
      </c>
      <c r="AG11" s="130"/>
      <c r="AI11" s="129">
        <v>0</v>
      </c>
      <c r="AJ11" s="186"/>
    </row>
    <row r="12" spans="1:36" s="126" customFormat="1" ht="13.2" x14ac:dyDescent="0.25">
      <c r="A12" s="178">
        <v>2007</v>
      </c>
      <c r="B12" s="185">
        <f t="shared" si="0"/>
        <v>37.485492000000015</v>
      </c>
      <c r="C12" s="132">
        <f t="shared" si="1"/>
        <v>0.15000000000000002</v>
      </c>
      <c r="D12" s="126">
        <v>283981</v>
      </c>
      <c r="E12" s="127">
        <v>1.1000000000000001</v>
      </c>
      <c r="F12" s="128">
        <v>8.0000000000000004E-4</v>
      </c>
      <c r="G12" s="185">
        <f t="shared" si="2"/>
        <v>108.09026100000003</v>
      </c>
      <c r="H12" s="132">
        <f t="shared" si="3"/>
        <v>0.15000000000000002</v>
      </c>
      <c r="I12" s="130">
        <v>372404</v>
      </c>
      <c r="J12" s="127">
        <v>1.29</v>
      </c>
      <c r="K12" s="128">
        <v>1.5E-3</v>
      </c>
      <c r="L12" s="185">
        <f t="shared" si="4"/>
        <v>8.1798599999999997</v>
      </c>
      <c r="M12" s="132">
        <f t="shared" si="5"/>
        <v>0.15000000000000002</v>
      </c>
      <c r="N12" s="126">
        <v>41948</v>
      </c>
      <c r="O12" s="127">
        <v>1</v>
      </c>
      <c r="P12" s="128">
        <v>1.2999999999999999E-3</v>
      </c>
      <c r="Q12" s="185">
        <f t="shared" si="6"/>
        <v>9.2039639999999991</v>
      </c>
      <c r="R12" s="132">
        <f t="shared" si="7"/>
        <v>0.43999999999999995</v>
      </c>
      <c r="S12" s="126">
        <v>9961</v>
      </c>
      <c r="T12" s="127">
        <v>1.05</v>
      </c>
      <c r="U12" s="128">
        <v>2E-3</v>
      </c>
      <c r="V12" s="185">
        <f t="shared" si="8"/>
        <v>2.2431600000000005</v>
      </c>
      <c r="W12" s="132">
        <f t="shared" si="9"/>
        <v>0.15000000000000002</v>
      </c>
      <c r="X12" s="126">
        <v>6231</v>
      </c>
      <c r="Y12" s="127">
        <v>1.5</v>
      </c>
      <c r="Z12" s="128">
        <v>1.6000000000000001E-3</v>
      </c>
      <c r="AA12" s="185">
        <f t="shared" si="10"/>
        <v>78.109650000000016</v>
      </c>
      <c r="AB12" s="132">
        <f t="shared" si="11"/>
        <v>0.15000000000000002</v>
      </c>
      <c r="AC12" s="126">
        <v>115718</v>
      </c>
      <c r="AD12" s="127">
        <v>3</v>
      </c>
      <c r="AE12" s="128">
        <v>1.5E-3</v>
      </c>
      <c r="AF12" s="131">
        <v>0</v>
      </c>
      <c r="AG12" s="130"/>
      <c r="AI12" s="129">
        <v>0</v>
      </c>
      <c r="AJ12" s="186"/>
    </row>
    <row r="13" spans="1:36" s="126" customFormat="1" ht="13.2" x14ac:dyDescent="0.25">
      <c r="A13" s="154">
        <v>2010</v>
      </c>
      <c r="B13" s="185">
        <f t="shared" si="0"/>
        <v>43.480800000000016</v>
      </c>
      <c r="C13" s="132">
        <f t="shared" si="1"/>
        <v>0.15000000000000002</v>
      </c>
      <c r="D13" s="126">
        <v>329400</v>
      </c>
      <c r="E13" s="127">
        <v>1.1000000000000001</v>
      </c>
      <c r="F13" s="128">
        <v>8.0000000000000004E-4</v>
      </c>
      <c r="G13" s="185">
        <f t="shared" si="2"/>
        <v>119.17665000000001</v>
      </c>
      <c r="H13" s="132">
        <f t="shared" si="3"/>
        <v>0.15000000000000002</v>
      </c>
      <c r="I13" s="130">
        <v>410600</v>
      </c>
      <c r="J13" s="127">
        <v>1.29</v>
      </c>
      <c r="K13" s="128">
        <v>1.5E-3</v>
      </c>
      <c r="L13" s="185">
        <f t="shared" si="4"/>
        <v>8.6439600000000016</v>
      </c>
      <c r="M13" s="132">
        <f t="shared" si="5"/>
        <v>0.15000000000000002</v>
      </c>
      <c r="N13" s="126">
        <v>44328</v>
      </c>
      <c r="O13" s="127">
        <v>1</v>
      </c>
      <c r="P13" s="128">
        <v>1.2999999999999999E-3</v>
      </c>
      <c r="Q13" s="185">
        <f t="shared" si="6"/>
        <v>4.5543959999999988</v>
      </c>
      <c r="R13" s="132">
        <f t="shared" si="7"/>
        <v>0.43999999999999995</v>
      </c>
      <c r="S13" s="126">
        <v>4929</v>
      </c>
      <c r="T13" s="127">
        <v>1.05</v>
      </c>
      <c r="U13" s="128">
        <v>2E-3</v>
      </c>
      <c r="V13" s="185">
        <f t="shared" si="8"/>
        <v>1.6992000000000005</v>
      </c>
      <c r="W13" s="132">
        <f t="shared" si="9"/>
        <v>0.15000000000000002</v>
      </c>
      <c r="X13" s="126">
        <v>4720</v>
      </c>
      <c r="Y13" s="127">
        <v>1.5</v>
      </c>
      <c r="Z13" s="128">
        <v>1.6000000000000001E-3</v>
      </c>
      <c r="AA13" s="185">
        <f t="shared" si="10"/>
        <v>79.717500000000015</v>
      </c>
      <c r="AB13" s="132">
        <f t="shared" si="11"/>
        <v>0.15000000000000002</v>
      </c>
      <c r="AC13" s="126">
        <v>118100</v>
      </c>
      <c r="AD13" s="127">
        <v>3</v>
      </c>
      <c r="AE13" s="128">
        <v>1.5E-3</v>
      </c>
      <c r="AF13" s="131">
        <v>0</v>
      </c>
      <c r="AG13" s="130"/>
      <c r="AI13" s="129">
        <v>0</v>
      </c>
      <c r="AJ13" s="186"/>
    </row>
    <row r="14" spans="1:36" s="126" customFormat="1" ht="13.2" x14ac:dyDescent="0.25">
      <c r="A14" s="154">
        <v>2013</v>
      </c>
      <c r="B14" s="185">
        <f t="shared" si="0"/>
        <v>45.012000000000015</v>
      </c>
      <c r="C14" s="132">
        <f t="shared" si="1"/>
        <v>0.15000000000000002</v>
      </c>
      <c r="D14" s="126">
        <v>341000</v>
      </c>
      <c r="E14" s="127">
        <v>1.1000000000000001</v>
      </c>
      <c r="F14" s="128">
        <v>8.0000000000000004E-4</v>
      </c>
      <c r="G14" s="185">
        <f t="shared" si="2"/>
        <v>100.77683175000001</v>
      </c>
      <c r="H14" s="132">
        <f t="shared" si="3"/>
        <v>0.15000000000000002</v>
      </c>
      <c r="I14" s="130">
        <v>347207</v>
      </c>
      <c r="J14" s="127">
        <v>1.29</v>
      </c>
      <c r="K14" s="128">
        <v>1.5E-3</v>
      </c>
      <c r="L14" s="185">
        <f t="shared" si="4"/>
        <v>5.1380549999999996</v>
      </c>
      <c r="M14" s="132">
        <f t="shared" si="5"/>
        <v>0.15000000000000002</v>
      </c>
      <c r="N14" s="126">
        <v>26349</v>
      </c>
      <c r="O14" s="127">
        <v>1</v>
      </c>
      <c r="P14" s="128">
        <v>1.2999999999999999E-3</v>
      </c>
      <c r="Q14" s="185">
        <f t="shared" si="6"/>
        <v>2.7618359999999997</v>
      </c>
      <c r="R14" s="132">
        <f t="shared" si="7"/>
        <v>0.43999999999999995</v>
      </c>
      <c r="S14" s="126">
        <v>2989</v>
      </c>
      <c r="T14" s="127">
        <v>1.05</v>
      </c>
      <c r="U14" s="128">
        <v>2E-3</v>
      </c>
      <c r="V14" s="185">
        <f t="shared" si="8"/>
        <v>0.95580000000000009</v>
      </c>
      <c r="W14" s="132">
        <f t="shared" si="9"/>
        <v>0.15000000000000002</v>
      </c>
      <c r="X14" s="126">
        <v>2655</v>
      </c>
      <c r="Y14" s="127">
        <v>1.5</v>
      </c>
      <c r="Z14" s="128">
        <v>1.6000000000000001E-3</v>
      </c>
      <c r="AA14" s="185">
        <f t="shared" si="10"/>
        <v>64.411200000000008</v>
      </c>
      <c r="AB14" s="132">
        <f t="shared" si="11"/>
        <v>0.15000000000000002</v>
      </c>
      <c r="AC14" s="126">
        <v>95424</v>
      </c>
      <c r="AD14" s="127">
        <v>3</v>
      </c>
      <c r="AE14" s="128">
        <v>1.5E-3</v>
      </c>
      <c r="AF14" s="131">
        <v>0</v>
      </c>
      <c r="AG14" s="130"/>
      <c r="AI14" s="129">
        <v>0</v>
      </c>
      <c r="AJ14" s="186"/>
    </row>
    <row r="15" spans="1:36" s="145" customFormat="1" ht="13.8" thickBot="1" x14ac:dyDescent="0.3">
      <c r="A15" s="135">
        <v>2016</v>
      </c>
      <c r="B15" s="187">
        <f t="shared" si="0"/>
        <v>67.029600000000016</v>
      </c>
      <c r="C15" s="180">
        <f t="shared" si="1"/>
        <v>0.15000000000000002</v>
      </c>
      <c r="D15" s="145">
        <v>507800</v>
      </c>
      <c r="E15" s="146">
        <v>1.1000000000000001</v>
      </c>
      <c r="F15" s="147">
        <v>8.0000000000000004E-4</v>
      </c>
      <c r="G15" s="187">
        <f t="shared" si="2"/>
        <v>133.36987500000004</v>
      </c>
      <c r="H15" s="180">
        <f t="shared" si="3"/>
        <v>0.15000000000000002</v>
      </c>
      <c r="I15" s="156">
        <v>459500</v>
      </c>
      <c r="J15" s="146">
        <v>1.29</v>
      </c>
      <c r="K15" s="147">
        <v>1.5E-3</v>
      </c>
      <c r="L15" s="187">
        <f t="shared" si="4"/>
        <v>6.5685750000000009</v>
      </c>
      <c r="M15" s="180">
        <f t="shared" si="5"/>
        <v>0.15000000000000002</v>
      </c>
      <c r="N15" s="145">
        <v>33685</v>
      </c>
      <c r="O15" s="146">
        <v>1</v>
      </c>
      <c r="P15" s="147">
        <v>1.2999999999999999E-3</v>
      </c>
      <c r="Q15" s="187">
        <f t="shared" si="6"/>
        <v>1.2335399999999999</v>
      </c>
      <c r="R15" s="180">
        <f t="shared" si="7"/>
        <v>0.43999999999999995</v>
      </c>
      <c r="S15" s="145">
        <v>1335</v>
      </c>
      <c r="T15" s="146">
        <v>1.05</v>
      </c>
      <c r="U15" s="147">
        <v>2E-3</v>
      </c>
      <c r="V15" s="187">
        <f t="shared" si="8"/>
        <v>1.4814000000000005</v>
      </c>
      <c r="W15" s="180">
        <f t="shared" si="9"/>
        <v>0.15000000000000002</v>
      </c>
      <c r="X15" s="145">
        <v>4115</v>
      </c>
      <c r="Y15" s="146">
        <v>1.5</v>
      </c>
      <c r="Z15" s="147">
        <v>1.6000000000000001E-3</v>
      </c>
      <c r="AA15" s="187">
        <f t="shared" si="10"/>
        <v>48.397500000000015</v>
      </c>
      <c r="AB15" s="180">
        <f t="shared" si="11"/>
        <v>0.15000000000000002</v>
      </c>
      <c r="AC15" s="145">
        <v>71700</v>
      </c>
      <c r="AD15" s="146">
        <v>3</v>
      </c>
      <c r="AE15" s="147">
        <v>1.5E-3</v>
      </c>
      <c r="AF15" s="184">
        <v>0</v>
      </c>
      <c r="AG15" s="156"/>
      <c r="AI15" s="151">
        <v>0</v>
      </c>
      <c r="AJ15" s="188"/>
    </row>
    <row r="18" spans="1:21" ht="17.399999999999999" x14ac:dyDescent="0.3">
      <c r="A18" s="14" t="s">
        <v>316</v>
      </c>
      <c r="B18" s="8" t="s">
        <v>317</v>
      </c>
    </row>
    <row r="19" spans="1:21" ht="17.399999999999999" x14ac:dyDescent="0.3">
      <c r="A19" s="33" t="s">
        <v>251</v>
      </c>
      <c r="B19" s="8" t="s">
        <v>255</v>
      </c>
    </row>
    <row r="20" spans="1:21" ht="17.399999999999999" x14ac:dyDescent="0.3">
      <c r="A20" s="33" t="s">
        <v>252</v>
      </c>
      <c r="B20" s="8" t="s">
        <v>256</v>
      </c>
    </row>
    <row r="21" spans="1:21" ht="17.399999999999999" x14ac:dyDescent="0.3">
      <c r="A21" s="33" t="s">
        <v>253</v>
      </c>
      <c r="B21" s="8" t="s">
        <v>257</v>
      </c>
    </row>
    <row r="22" spans="1:21" ht="17.399999999999999" x14ac:dyDescent="0.3">
      <c r="A22" s="33" t="s">
        <v>254</v>
      </c>
      <c r="B22" s="8" t="s">
        <v>258</v>
      </c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2"/>
    </row>
    <row r="23" spans="1:2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T23" s="98"/>
    </row>
    <row r="24" spans="1:21" x14ac:dyDescent="0.25"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T24" s="98"/>
    </row>
    <row r="25" spans="1:21" x14ac:dyDescent="0.2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T25" s="98"/>
    </row>
    <row r="26" spans="1:21" x14ac:dyDescent="0.25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T26" s="98"/>
    </row>
    <row r="27" spans="1:2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T27" s="98"/>
    </row>
    <row r="28" spans="1:21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3"/>
      <c r="N28" s="1"/>
      <c r="O28" s="1"/>
      <c r="T28" s="98"/>
      <c r="U28" s="99"/>
    </row>
    <row r="29" spans="1:21" x14ac:dyDescent="0.2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T29" s="98"/>
    </row>
  </sheetData>
  <mergeCells count="8">
    <mergeCell ref="AF6:AJ6"/>
    <mergeCell ref="L6:P6"/>
    <mergeCell ref="Q6:U6"/>
    <mergeCell ref="A6:A7"/>
    <mergeCell ref="B6:F6"/>
    <mergeCell ref="G6:K6"/>
    <mergeCell ref="V6:Z6"/>
    <mergeCell ref="AA6:AE6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V33"/>
  <sheetViews>
    <sheetView topLeftCell="A4" workbookViewId="0">
      <selection activeCell="A19" sqref="A19:C19"/>
    </sheetView>
  </sheetViews>
  <sheetFormatPr defaultRowHeight="14.4" x14ac:dyDescent="0.25"/>
  <sheetData>
    <row r="5" spans="1:22" ht="15" thickBot="1" x14ac:dyDescent="0.3"/>
    <row r="6" spans="1:22" s="189" customFormat="1" ht="15" customHeight="1" thickBot="1" x14ac:dyDescent="0.3">
      <c r="A6" s="241" t="s">
        <v>303</v>
      </c>
      <c r="B6" s="238" t="s">
        <v>311</v>
      </c>
      <c r="C6" s="239"/>
      <c r="D6" s="240"/>
      <c r="E6" s="238" t="s">
        <v>294</v>
      </c>
      <c r="F6" s="239"/>
      <c r="G6" s="240"/>
      <c r="H6" s="238" t="s">
        <v>312</v>
      </c>
      <c r="I6" s="239"/>
      <c r="J6" s="240"/>
      <c r="K6" s="238" t="s">
        <v>313</v>
      </c>
      <c r="L6" s="239"/>
      <c r="M6" s="240"/>
      <c r="N6" s="238" t="s">
        <v>314</v>
      </c>
      <c r="O6" s="239"/>
      <c r="P6" s="240"/>
      <c r="Q6" s="238" t="s">
        <v>315</v>
      </c>
      <c r="R6" s="239"/>
      <c r="S6" s="240"/>
      <c r="T6" s="238" t="s">
        <v>216</v>
      </c>
      <c r="U6" s="239"/>
      <c r="V6" s="240"/>
    </row>
    <row r="7" spans="1:22" s="189" customFormat="1" ht="16.2" thickBot="1" x14ac:dyDescent="0.3">
      <c r="A7" s="242"/>
      <c r="B7" s="190" t="s">
        <v>341</v>
      </c>
      <c r="C7" s="189" t="s">
        <v>342</v>
      </c>
      <c r="D7" s="191" t="s">
        <v>343</v>
      </c>
      <c r="E7" s="192" t="s">
        <v>341</v>
      </c>
      <c r="F7" s="193" t="s">
        <v>342</v>
      </c>
      <c r="G7" s="194" t="s">
        <v>343</v>
      </c>
      <c r="H7" s="192" t="s">
        <v>341</v>
      </c>
      <c r="I7" s="193" t="s">
        <v>342</v>
      </c>
      <c r="J7" s="194" t="s">
        <v>343</v>
      </c>
      <c r="K7" s="192" t="s">
        <v>341</v>
      </c>
      <c r="L7" s="193" t="s">
        <v>342</v>
      </c>
      <c r="M7" s="194" t="s">
        <v>343</v>
      </c>
      <c r="N7" s="192" t="s">
        <v>341</v>
      </c>
      <c r="O7" s="193" t="s">
        <v>342</v>
      </c>
      <c r="P7" s="194" t="s">
        <v>343</v>
      </c>
      <c r="Q7" s="192" t="s">
        <v>341</v>
      </c>
      <c r="R7" s="193" t="s">
        <v>342</v>
      </c>
      <c r="S7" s="194" t="s">
        <v>343</v>
      </c>
      <c r="T7" s="192" t="s">
        <v>341</v>
      </c>
      <c r="U7" s="193" t="s">
        <v>342</v>
      </c>
      <c r="V7" s="194" t="s">
        <v>343</v>
      </c>
    </row>
    <row r="8" spans="1:22" s="189" customFormat="1" ht="13.8" x14ac:dyDescent="0.25">
      <c r="A8" s="195">
        <v>1995</v>
      </c>
      <c r="B8" s="196">
        <f>C8*D8/1000</f>
        <v>129.4</v>
      </c>
      <c r="C8" s="165">
        <v>91734</v>
      </c>
      <c r="D8" s="197">
        <v>1.4106002136612379</v>
      </c>
      <c r="E8" s="196">
        <f>F8*G8/1000</f>
        <v>34.92</v>
      </c>
      <c r="F8" s="21">
        <v>45252</v>
      </c>
      <c r="G8" s="197">
        <v>0.77167859984089104</v>
      </c>
      <c r="H8" s="196">
        <f>I8*J8/1000</f>
        <v>22.02</v>
      </c>
      <c r="I8" s="21">
        <v>9523</v>
      </c>
      <c r="J8" s="197">
        <v>2.3122965452063426</v>
      </c>
      <c r="K8" s="196">
        <f>L8*M8/1000</f>
        <v>86.83</v>
      </c>
      <c r="L8" s="21">
        <v>60773</v>
      </c>
      <c r="M8" s="197">
        <v>1.4287594820068121</v>
      </c>
      <c r="N8" s="196">
        <f>O8*P8/1000</f>
        <v>5.76</v>
      </c>
      <c r="O8" s="21">
        <v>3918</v>
      </c>
      <c r="P8" s="197">
        <v>1.4701378254211332</v>
      </c>
      <c r="Q8" s="196">
        <f>R8*S8/1000</f>
        <v>42.8</v>
      </c>
      <c r="R8" s="21">
        <v>29294</v>
      </c>
      <c r="S8" s="197">
        <v>1.4610500443776884</v>
      </c>
      <c r="T8" s="196">
        <f>U8*V8/1000</f>
        <v>23.35</v>
      </c>
      <c r="U8" s="21">
        <v>16082</v>
      </c>
      <c r="V8" s="197">
        <v>1.451933839074742</v>
      </c>
    </row>
    <row r="9" spans="1:22" s="189" customFormat="1" ht="13.8" x14ac:dyDescent="0.25">
      <c r="A9" s="190">
        <v>1998</v>
      </c>
      <c r="B9" s="198">
        <f t="shared" ref="B9:B15" si="0">C9*D9/1000</f>
        <v>153.47</v>
      </c>
      <c r="C9" s="166" t="s">
        <v>249</v>
      </c>
      <c r="D9" s="199">
        <v>1.520016639264703</v>
      </c>
      <c r="E9" s="198">
        <f t="shared" ref="E9:E15" si="1">F9*G9/1000</f>
        <v>68.78</v>
      </c>
      <c r="F9" s="21" t="s">
        <v>3</v>
      </c>
      <c r="G9" s="199">
        <v>1.52</v>
      </c>
      <c r="H9" s="198">
        <f t="shared" ref="H9:H15" si="2">I9*J9/1000</f>
        <v>22.58</v>
      </c>
      <c r="I9" s="21" t="s">
        <v>326</v>
      </c>
      <c r="J9" s="199">
        <v>1.5200269269606193</v>
      </c>
      <c r="K9" s="198">
        <f t="shared" ref="K9:K15" si="3">L9*M9/1000</f>
        <v>100.89</v>
      </c>
      <c r="L9" s="21" t="s">
        <v>329</v>
      </c>
      <c r="M9" s="199">
        <v>1.5199542010033595</v>
      </c>
      <c r="N9" s="198">
        <f t="shared" ref="N9:N15" si="4">O9*P9/1000</f>
        <v>4.83</v>
      </c>
      <c r="O9" s="21" t="s">
        <v>332</v>
      </c>
      <c r="P9" s="199">
        <v>1.5188679245283019</v>
      </c>
      <c r="Q9" s="198">
        <f t="shared" ref="Q9:Q15" si="5">R9*S9/1000</f>
        <v>32.76</v>
      </c>
      <c r="R9" s="21" t="s">
        <v>335</v>
      </c>
      <c r="S9" s="199">
        <v>1.519903498190591</v>
      </c>
      <c r="T9" s="198">
        <f t="shared" ref="T9:T15" si="6">U9*V9/1000</f>
        <v>37.83</v>
      </c>
      <c r="U9" s="21" t="s">
        <v>338</v>
      </c>
      <c r="V9" s="199">
        <v>1.5201318010126175</v>
      </c>
    </row>
    <row r="10" spans="1:22" s="189" customFormat="1" ht="13.8" x14ac:dyDescent="0.25">
      <c r="A10" s="190">
        <v>2001</v>
      </c>
      <c r="B10" s="198">
        <f t="shared" si="0"/>
        <v>123.01000000000002</v>
      </c>
      <c r="C10" s="166" t="s">
        <v>304</v>
      </c>
      <c r="D10" s="199">
        <v>1.5599518102846999</v>
      </c>
      <c r="E10" s="198">
        <f t="shared" si="1"/>
        <v>76.069999999999993</v>
      </c>
      <c r="F10" s="21" t="s">
        <v>17</v>
      </c>
      <c r="G10" s="199">
        <v>1.5599622672463294</v>
      </c>
      <c r="H10" s="198">
        <f t="shared" si="2"/>
        <v>18.59</v>
      </c>
      <c r="I10" s="21" t="s">
        <v>327</v>
      </c>
      <c r="J10" s="199">
        <v>1.559956364856927</v>
      </c>
      <c r="K10" s="198">
        <f t="shared" si="3"/>
        <v>52.51</v>
      </c>
      <c r="L10" s="21" t="s">
        <v>330</v>
      </c>
      <c r="M10" s="199">
        <v>1.5600582310823257</v>
      </c>
      <c r="N10" s="198">
        <f t="shared" si="4"/>
        <v>6.3</v>
      </c>
      <c r="O10" s="21" t="s">
        <v>333</v>
      </c>
      <c r="P10" s="199">
        <v>1.559792027729636</v>
      </c>
      <c r="Q10" s="198">
        <f t="shared" si="5"/>
        <v>61.13</v>
      </c>
      <c r="R10" s="21" t="s">
        <v>336</v>
      </c>
      <c r="S10" s="199">
        <v>1.5599959169091002</v>
      </c>
      <c r="T10" s="198">
        <f t="shared" si="6"/>
        <v>62.4</v>
      </c>
      <c r="U10" s="21" t="s">
        <v>339</v>
      </c>
      <c r="V10" s="199">
        <v>1.5600390009750245</v>
      </c>
    </row>
    <row r="11" spans="1:22" s="189" customFormat="1" ht="13.8" x14ac:dyDescent="0.25">
      <c r="A11" s="190">
        <v>2004</v>
      </c>
      <c r="B11" s="198">
        <f t="shared" si="0"/>
        <v>57.22</v>
      </c>
      <c r="C11" s="166" t="s">
        <v>305</v>
      </c>
      <c r="D11" s="199">
        <v>1.8200903365354031</v>
      </c>
      <c r="E11" s="198">
        <f t="shared" si="1"/>
        <v>70.47</v>
      </c>
      <c r="F11" s="21" t="s">
        <v>31</v>
      </c>
      <c r="G11" s="199">
        <v>1.8199896694214877</v>
      </c>
      <c r="H11" s="198">
        <f t="shared" si="2"/>
        <v>8.2100000000000009</v>
      </c>
      <c r="I11" s="21" t="s">
        <v>328</v>
      </c>
      <c r="J11" s="199">
        <v>1.8208028387669106</v>
      </c>
      <c r="K11" s="198">
        <f t="shared" si="3"/>
        <v>13.82</v>
      </c>
      <c r="L11" s="21" t="s">
        <v>331</v>
      </c>
      <c r="M11" s="199">
        <v>1.8200974581851705</v>
      </c>
      <c r="N11" s="198">
        <f t="shared" si="4"/>
        <v>3.2</v>
      </c>
      <c r="O11" s="21" t="s">
        <v>334</v>
      </c>
      <c r="P11" s="199">
        <v>1.8202502844141069</v>
      </c>
      <c r="Q11" s="198">
        <f t="shared" si="5"/>
        <v>179.69</v>
      </c>
      <c r="R11" s="21" t="s">
        <v>337</v>
      </c>
      <c r="S11" s="199">
        <v>1.8199957460169551</v>
      </c>
      <c r="T11" s="198">
        <f t="shared" si="6"/>
        <v>63.82</v>
      </c>
      <c r="U11" s="21" t="s">
        <v>340</v>
      </c>
      <c r="V11" s="199">
        <v>1.8200484813917011</v>
      </c>
    </row>
    <row r="12" spans="1:22" s="189" customFormat="1" ht="13.8" x14ac:dyDescent="0.25">
      <c r="A12" s="190">
        <v>2007</v>
      </c>
      <c r="B12" s="198">
        <f t="shared" si="0"/>
        <v>90.73</v>
      </c>
      <c r="C12" s="166">
        <v>43831</v>
      </c>
      <c r="D12" s="199">
        <v>2.0699961214665419</v>
      </c>
      <c r="E12" s="198">
        <f t="shared" si="1"/>
        <v>105.96</v>
      </c>
      <c r="F12" s="21">
        <v>51187</v>
      </c>
      <c r="G12" s="199">
        <v>2.0700568503721648</v>
      </c>
      <c r="H12" s="198">
        <f t="shared" si="2"/>
        <v>12.34</v>
      </c>
      <c r="I12" s="21">
        <v>5963</v>
      </c>
      <c r="J12" s="199">
        <v>2.0694281401978869</v>
      </c>
      <c r="K12" s="198">
        <f t="shared" si="3"/>
        <v>9.06</v>
      </c>
      <c r="L12" s="21">
        <v>4378</v>
      </c>
      <c r="M12" s="199">
        <v>2.0694380995888535</v>
      </c>
      <c r="N12" s="198">
        <f t="shared" si="4"/>
        <v>3.83</v>
      </c>
      <c r="O12" s="21">
        <v>1852</v>
      </c>
      <c r="P12" s="199">
        <v>2.0680345572354213</v>
      </c>
      <c r="Q12" s="198">
        <f t="shared" si="5"/>
        <v>234.80999999999997</v>
      </c>
      <c r="R12" s="21">
        <v>113437</v>
      </c>
      <c r="S12" s="199">
        <v>2.0699595370117332</v>
      </c>
      <c r="T12" s="198">
        <f t="shared" si="6"/>
        <v>75.179999999999978</v>
      </c>
      <c r="U12" s="21">
        <v>36321</v>
      </c>
      <c r="V12" s="199">
        <v>2.069876930701247</v>
      </c>
    </row>
    <row r="13" spans="1:22" s="189" customFormat="1" ht="13.8" x14ac:dyDescent="0.25">
      <c r="A13" s="190">
        <v>2010</v>
      </c>
      <c r="B13" s="198">
        <f t="shared" si="0"/>
        <v>116.45</v>
      </c>
      <c r="C13" s="166">
        <f>79.4*666.67</f>
        <v>52933.597999999998</v>
      </c>
      <c r="D13" s="199">
        <v>2.1999260280776682</v>
      </c>
      <c r="E13" s="198">
        <f t="shared" si="1"/>
        <v>127.72</v>
      </c>
      <c r="F13" s="21">
        <f>87.08*666.67</f>
        <v>58053.623599999992</v>
      </c>
      <c r="G13" s="199">
        <v>2.2000349345979502</v>
      </c>
      <c r="H13" s="198">
        <f t="shared" si="2"/>
        <v>8.4499999999999993</v>
      </c>
      <c r="I13" s="21">
        <v>6479</v>
      </c>
      <c r="J13" s="199">
        <v>1.3042136132119153</v>
      </c>
      <c r="K13" s="198">
        <f t="shared" si="3"/>
        <v>3.9</v>
      </c>
      <c r="L13" s="21">
        <v>2298</v>
      </c>
      <c r="M13" s="199">
        <v>1.6971279373368147</v>
      </c>
      <c r="N13" s="198">
        <f t="shared" si="4"/>
        <v>2.14</v>
      </c>
      <c r="O13" s="21">
        <v>1513</v>
      </c>
      <c r="P13" s="199">
        <v>1.4144084600132187</v>
      </c>
      <c r="Q13" s="198">
        <f t="shared" si="5"/>
        <v>274.12</v>
      </c>
      <c r="R13" s="21">
        <f>186.9*666.67</f>
        <v>124600.62299999999</v>
      </c>
      <c r="S13" s="199">
        <v>2.199989000055</v>
      </c>
      <c r="T13" s="198">
        <f t="shared" si="6"/>
        <v>68.03</v>
      </c>
      <c r="U13" s="21">
        <f>46.386*666.67</f>
        <v>30924.154620000001</v>
      </c>
      <c r="V13" s="199">
        <v>2.1998984559468613</v>
      </c>
    </row>
    <row r="14" spans="1:22" s="189" customFormat="1" ht="13.8" x14ac:dyDescent="0.25">
      <c r="A14" s="190">
        <v>2013</v>
      </c>
      <c r="B14" s="198">
        <f t="shared" si="0"/>
        <v>142.58000000000001</v>
      </c>
      <c r="C14" s="166">
        <v>52200</v>
      </c>
      <c r="D14" s="199">
        <v>2.7314176245210726</v>
      </c>
      <c r="E14" s="198">
        <f t="shared" si="1"/>
        <v>154.24</v>
      </c>
      <c r="F14" s="21">
        <f>101.47*666.67</f>
        <v>67647.0049</v>
      </c>
      <c r="G14" s="199">
        <v>2.2800713827316841</v>
      </c>
      <c r="H14" s="198">
        <f t="shared" si="2"/>
        <v>11.760000000000002</v>
      </c>
      <c r="I14" s="21">
        <f>7.74*666.67</f>
        <v>5160.0257999999994</v>
      </c>
      <c r="J14" s="199">
        <v>2.2790583721500002</v>
      </c>
      <c r="K14" s="198">
        <f t="shared" si="3"/>
        <v>4.62</v>
      </c>
      <c r="L14" s="21">
        <v>2029</v>
      </c>
      <c r="M14" s="199">
        <v>2.2769837358304583</v>
      </c>
      <c r="N14" s="198">
        <f t="shared" si="4"/>
        <v>2.33</v>
      </c>
      <c r="O14" s="21">
        <v>1024</v>
      </c>
      <c r="P14" s="199">
        <v>2.275390625</v>
      </c>
      <c r="Q14" s="198">
        <f t="shared" si="5"/>
        <v>292.05</v>
      </c>
      <c r="R14" s="21">
        <f>192.14*666.67</f>
        <v>128093.97379999998</v>
      </c>
      <c r="S14" s="199">
        <v>2.2799667411051936</v>
      </c>
      <c r="T14" s="198">
        <f t="shared" si="6"/>
        <v>49.25</v>
      </c>
      <c r="U14" s="21">
        <v>25618</v>
      </c>
      <c r="V14" s="199">
        <v>1.9224763837926457</v>
      </c>
    </row>
    <row r="15" spans="1:22" s="193" customFormat="1" thickBot="1" x14ac:dyDescent="0.3">
      <c r="A15" s="192">
        <v>2016</v>
      </c>
      <c r="B15" s="200">
        <f t="shared" si="0"/>
        <v>202.72</v>
      </c>
      <c r="C15" s="167">
        <f>122.61*666.67</f>
        <v>81740.4087</v>
      </c>
      <c r="D15" s="201">
        <v>2.4800463225479321</v>
      </c>
      <c r="E15" s="200">
        <f t="shared" si="1"/>
        <v>192.45</v>
      </c>
      <c r="F15" s="164">
        <v>77599</v>
      </c>
      <c r="G15" s="201">
        <v>2.4800577327027411</v>
      </c>
      <c r="H15" s="200">
        <f t="shared" si="2"/>
        <v>16.809999999999999</v>
      </c>
      <c r="I15" s="164">
        <v>6042</v>
      </c>
      <c r="J15" s="201">
        <v>2.7821913273750414</v>
      </c>
      <c r="K15" s="200">
        <f t="shared" si="3"/>
        <v>2.56</v>
      </c>
      <c r="L15" s="164">
        <v>757</v>
      </c>
      <c r="M15" s="201">
        <v>3.3817701453104361</v>
      </c>
      <c r="N15" s="200">
        <f t="shared" si="4"/>
        <v>2.6599999999999997</v>
      </c>
      <c r="O15" s="164">
        <v>1277</v>
      </c>
      <c r="P15" s="201">
        <v>2.0830070477682066</v>
      </c>
      <c r="Q15" s="200">
        <f t="shared" si="5"/>
        <v>139.99</v>
      </c>
      <c r="R15" s="164">
        <f>84.67*666.67</f>
        <v>56446.948899999996</v>
      </c>
      <c r="S15" s="201">
        <v>2.4800277557605956</v>
      </c>
      <c r="T15" s="200">
        <f t="shared" si="6"/>
        <v>40.11</v>
      </c>
      <c r="U15" s="164">
        <v>21500</v>
      </c>
      <c r="V15" s="201">
        <v>1.8655813953488372</v>
      </c>
    </row>
    <row r="16" spans="1:22" s="56" customFormat="1" ht="13.8" x14ac:dyDescent="0.25"/>
    <row r="17" spans="1:2" ht="17.399999999999999" x14ac:dyDescent="0.3">
      <c r="A17" s="33" t="s">
        <v>309</v>
      </c>
      <c r="B17" s="8" t="s">
        <v>310</v>
      </c>
    </row>
    <row r="18" spans="1:2" ht="17.399999999999999" x14ac:dyDescent="0.3">
      <c r="A18" s="33" t="s">
        <v>308</v>
      </c>
      <c r="B18" s="8" t="s">
        <v>85</v>
      </c>
    </row>
    <row r="19" spans="1:2" ht="17.399999999999999" x14ac:dyDescent="0.3">
      <c r="A19" s="33" t="s">
        <v>307</v>
      </c>
      <c r="B19" s="8" t="s">
        <v>306</v>
      </c>
    </row>
    <row r="20" spans="1:2" x14ac:dyDescent="0.25">
      <c r="B20" s="33"/>
    </row>
    <row r="33" spans="2:2" x14ac:dyDescent="0.25">
      <c r="B33" t="e">
        <f>B23*1000/#REF!</f>
        <v>#REF!</v>
      </c>
    </row>
  </sheetData>
  <mergeCells count="8">
    <mergeCell ref="Q6:S6"/>
    <mergeCell ref="T6:V6"/>
    <mergeCell ref="A6:A7"/>
    <mergeCell ref="B6:D6"/>
    <mergeCell ref="E6:G6"/>
    <mergeCell ref="H6:J6"/>
    <mergeCell ref="K6:M6"/>
    <mergeCell ref="N6:P6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area and harvest information</vt:lpstr>
      <vt:lpstr>P input-atmospheric deposition</vt:lpstr>
      <vt:lpstr>P input-seeds</vt:lpstr>
      <vt:lpstr>P input-chemical fertilizers</vt:lpstr>
      <vt:lpstr>P input-pesticides</vt:lpstr>
      <vt:lpstr>P input-straws return to filed</vt:lpstr>
      <vt:lpstr>P input-irrigation</vt:lpstr>
      <vt:lpstr>P input-Residents' excrement</vt:lpstr>
      <vt:lpstr>P input-livestocks' excrement</vt:lpstr>
      <vt:lpstr>P output-Harvest grains</vt:lpstr>
      <vt:lpstr>P output-Discarded straw</vt:lpstr>
      <vt:lpstr>P 0utput-Erosion and runoff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2022-02-12T14:00:29Z</dcterms:modified>
</cp:coreProperties>
</file>