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faguz\OneDrive\Documentos\Fabián\Manuscritos y paper\MS-LACO-latitudinal_variation\MS-Laco-Biochemical-PeerJ\Resubmitted\"/>
    </mc:Choice>
  </mc:AlternateContent>
  <xr:revisionPtr revIDLastSave="0" documentId="13_ncr:1_{092108BE-521F-4A47-8822-0B8D8D696B49}" xr6:coauthVersionLast="47" xr6:coauthVersionMax="47" xr10:uidLastSave="{00000000-0000-0000-0000-000000000000}"/>
  <bookViews>
    <workbookView xWindow="-110" yWindow="-110" windowWidth="19420" windowHeight="10420" tabRatio="656" xr2:uid="{00000000-000D-0000-FFFF-FFFF00000000}"/>
  </bookViews>
  <sheets>
    <sheet name="TDW + CL" sheetId="10" r:id="rId1"/>
    <sheet name="Lipids" sheetId="11" r:id="rId2"/>
    <sheet name="Protein" sheetId="1" r:id="rId3"/>
    <sheet name="Glucose" sheetId="2" r:id="rId4"/>
    <sheet name="Energy" sheetId="4" r:id="rId5"/>
    <sheet name="ratio" sheetId="12" r:id="rId6"/>
    <sheet name="Codebook" sheetId="13" r:id="rId7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9" i="1" l="1"/>
  <c r="Y9" i="1"/>
  <c r="Z9" i="1"/>
  <c r="AA9" i="1"/>
  <c r="AB9" i="1"/>
  <c r="N4" i="4"/>
  <c r="S4" i="2"/>
  <c r="T4" i="2"/>
  <c r="U4" i="2"/>
  <c r="V4" i="2"/>
  <c r="W4" i="2"/>
  <c r="O4" i="4"/>
  <c r="S3" i="11"/>
  <c r="T3" i="11"/>
  <c r="U3" i="11"/>
  <c r="V3" i="11"/>
  <c r="P4" i="4"/>
  <c r="Q4" i="4"/>
  <c r="W20" i="1"/>
  <c r="Y20" i="1"/>
  <c r="Z20" i="1"/>
  <c r="AA20" i="1"/>
  <c r="AB20" i="1"/>
  <c r="N5" i="4"/>
  <c r="T5" i="2"/>
  <c r="U5" i="2"/>
  <c r="V5" i="2"/>
  <c r="W5" i="2"/>
  <c r="O5" i="4"/>
  <c r="T4" i="11"/>
  <c r="U4" i="11"/>
  <c r="V4" i="11"/>
  <c r="P5" i="4"/>
  <c r="Q5" i="4"/>
  <c r="W25" i="1"/>
  <c r="Y25" i="1"/>
  <c r="Z25" i="1"/>
  <c r="AA25" i="1"/>
  <c r="AB25" i="1"/>
  <c r="N6" i="4"/>
  <c r="T6" i="2"/>
  <c r="U6" i="2"/>
  <c r="V6" i="2"/>
  <c r="W6" i="2"/>
  <c r="O6" i="4"/>
  <c r="T5" i="11"/>
  <c r="U5" i="11"/>
  <c r="V5" i="11"/>
  <c r="P6" i="4"/>
  <c r="Q6" i="4"/>
  <c r="W8" i="1"/>
  <c r="Y8" i="1"/>
  <c r="Z8" i="1"/>
  <c r="AA8" i="1"/>
  <c r="AB8" i="1"/>
  <c r="N7" i="4"/>
  <c r="T7" i="2"/>
  <c r="U7" i="2"/>
  <c r="V7" i="2"/>
  <c r="W7" i="2"/>
  <c r="O7" i="4"/>
  <c r="T6" i="11"/>
  <c r="U6" i="11"/>
  <c r="V6" i="11"/>
  <c r="P7" i="4"/>
  <c r="Q7" i="4"/>
  <c r="W5" i="1"/>
  <c r="Y5" i="1"/>
  <c r="Z5" i="1"/>
  <c r="AA5" i="1"/>
  <c r="AB5" i="1"/>
  <c r="N8" i="4"/>
  <c r="T8" i="2"/>
  <c r="U8" i="2"/>
  <c r="V8" i="2"/>
  <c r="W8" i="2"/>
  <c r="O8" i="4"/>
  <c r="T7" i="11"/>
  <c r="U7" i="11"/>
  <c r="V7" i="11"/>
  <c r="P8" i="4"/>
  <c r="Q8" i="4"/>
  <c r="W10" i="1"/>
  <c r="Y10" i="1"/>
  <c r="Z10" i="1"/>
  <c r="AA10" i="1"/>
  <c r="AB10" i="1"/>
  <c r="N9" i="4"/>
  <c r="T9" i="2"/>
  <c r="U9" i="2"/>
  <c r="V9" i="2"/>
  <c r="W9" i="2"/>
  <c r="O9" i="4"/>
  <c r="S8" i="11"/>
  <c r="T8" i="11"/>
  <c r="U8" i="11"/>
  <c r="V8" i="11"/>
  <c r="P9" i="4"/>
  <c r="Q9" i="4"/>
  <c r="W11" i="1"/>
  <c r="Y11" i="1"/>
  <c r="Z11" i="1"/>
  <c r="AA11" i="1"/>
  <c r="AB11" i="1"/>
  <c r="N10" i="4"/>
  <c r="S10" i="2"/>
  <c r="T10" i="2"/>
  <c r="U10" i="2"/>
  <c r="V10" i="2"/>
  <c r="W10" i="2"/>
  <c r="O10" i="4"/>
  <c r="S9" i="11"/>
  <c r="T9" i="11"/>
  <c r="U9" i="11"/>
  <c r="V9" i="11"/>
  <c r="P10" i="4"/>
  <c r="Q10" i="4"/>
  <c r="W24" i="1"/>
  <c r="Y24" i="1"/>
  <c r="Z24" i="1"/>
  <c r="AA24" i="1"/>
  <c r="AB24" i="1"/>
  <c r="N11" i="4"/>
  <c r="S11" i="2"/>
  <c r="T11" i="2"/>
  <c r="U11" i="2"/>
  <c r="V11" i="2"/>
  <c r="W11" i="2"/>
  <c r="O11" i="4"/>
  <c r="T10" i="11"/>
  <c r="U10" i="11"/>
  <c r="V10" i="11"/>
  <c r="P11" i="4"/>
  <c r="Q11" i="4"/>
  <c r="W13" i="1"/>
  <c r="Y13" i="1"/>
  <c r="Z13" i="1"/>
  <c r="AA13" i="1"/>
  <c r="AB13" i="1"/>
  <c r="N12" i="4"/>
  <c r="T12" i="2"/>
  <c r="U12" i="2"/>
  <c r="V12" i="2"/>
  <c r="W12" i="2"/>
  <c r="O12" i="4"/>
  <c r="T11" i="11"/>
  <c r="U11" i="11"/>
  <c r="V11" i="11"/>
  <c r="P12" i="4"/>
  <c r="Q12" i="4"/>
  <c r="W14" i="1"/>
  <c r="Y14" i="1"/>
  <c r="Z14" i="1"/>
  <c r="AA14" i="1"/>
  <c r="AB14" i="1"/>
  <c r="N13" i="4"/>
  <c r="S13" i="2"/>
  <c r="T13" i="2"/>
  <c r="U13" i="2"/>
  <c r="V13" i="2"/>
  <c r="W13" i="2"/>
  <c r="O13" i="4"/>
  <c r="T12" i="11"/>
  <c r="U12" i="11"/>
  <c r="V12" i="11"/>
  <c r="P13" i="4"/>
  <c r="Q13" i="4"/>
  <c r="W30" i="1"/>
  <c r="Y30" i="1"/>
  <c r="Z30" i="1"/>
  <c r="AA30" i="1"/>
  <c r="AB30" i="1"/>
  <c r="N14" i="4"/>
  <c r="T14" i="2"/>
  <c r="U14" i="2"/>
  <c r="V14" i="2"/>
  <c r="W14" i="2"/>
  <c r="O14" i="4"/>
  <c r="T13" i="11"/>
  <c r="U13" i="11"/>
  <c r="V13" i="11"/>
  <c r="P14" i="4"/>
  <c r="Q14" i="4"/>
  <c r="W16" i="1"/>
  <c r="Y16" i="1"/>
  <c r="Z16" i="1"/>
  <c r="AA16" i="1"/>
  <c r="AB16" i="1"/>
  <c r="N15" i="4"/>
  <c r="T15" i="2"/>
  <c r="U15" i="2"/>
  <c r="V15" i="2"/>
  <c r="W15" i="2"/>
  <c r="O15" i="4"/>
  <c r="S14" i="11"/>
  <c r="T14" i="11"/>
  <c r="U14" i="11"/>
  <c r="V14" i="11"/>
  <c r="P15" i="4"/>
  <c r="Q15" i="4"/>
  <c r="W17" i="1"/>
  <c r="Y17" i="1"/>
  <c r="Z17" i="1"/>
  <c r="AA17" i="1"/>
  <c r="AB17" i="1"/>
  <c r="N16" i="4"/>
  <c r="T16" i="2"/>
  <c r="U16" i="2"/>
  <c r="V16" i="2"/>
  <c r="W16" i="2"/>
  <c r="O16" i="4"/>
  <c r="T15" i="11"/>
  <c r="U15" i="11"/>
  <c r="V15" i="11"/>
  <c r="P16" i="4"/>
  <c r="Q16" i="4"/>
  <c r="W18" i="1"/>
  <c r="Y18" i="1"/>
  <c r="Z18" i="1"/>
  <c r="AA18" i="1"/>
  <c r="AB18" i="1"/>
  <c r="N17" i="4"/>
  <c r="T17" i="2"/>
  <c r="U17" i="2"/>
  <c r="V17" i="2"/>
  <c r="W17" i="2"/>
  <c r="O17" i="4"/>
  <c r="T16" i="11"/>
  <c r="U16" i="11"/>
  <c r="V16" i="11"/>
  <c r="P17" i="4"/>
  <c r="Q17" i="4"/>
  <c r="W19" i="1"/>
  <c r="Y19" i="1"/>
  <c r="Z19" i="1"/>
  <c r="AA19" i="1"/>
  <c r="AB19" i="1"/>
  <c r="N18" i="4"/>
  <c r="S18" i="2"/>
  <c r="T18" i="2"/>
  <c r="U18" i="2"/>
  <c r="V18" i="2"/>
  <c r="W18" i="2"/>
  <c r="O18" i="4"/>
  <c r="T17" i="11"/>
  <c r="U17" i="11"/>
  <c r="V17" i="11"/>
  <c r="P18" i="4"/>
  <c r="Q18" i="4"/>
  <c r="W6" i="1"/>
  <c r="Y6" i="1"/>
  <c r="Z6" i="1"/>
  <c r="AA6" i="1"/>
  <c r="AB6" i="1"/>
  <c r="N19" i="4"/>
  <c r="T19" i="2"/>
  <c r="U19" i="2"/>
  <c r="V19" i="2"/>
  <c r="W19" i="2"/>
  <c r="O19" i="4"/>
  <c r="S18" i="11"/>
  <c r="T18" i="11"/>
  <c r="U18" i="11"/>
  <c r="V18" i="11"/>
  <c r="P19" i="4"/>
  <c r="Q19" i="4"/>
  <c r="W21" i="1"/>
  <c r="Y21" i="1"/>
  <c r="Z21" i="1"/>
  <c r="AA21" i="1"/>
  <c r="AB21" i="1"/>
  <c r="N20" i="4"/>
  <c r="T20" i="2"/>
  <c r="U20" i="2"/>
  <c r="V20" i="2"/>
  <c r="W20" i="2"/>
  <c r="O20" i="4"/>
  <c r="S19" i="11"/>
  <c r="T19" i="11"/>
  <c r="U19" i="11"/>
  <c r="V19" i="11"/>
  <c r="P20" i="4"/>
  <c r="Q20" i="4"/>
  <c r="W22" i="1"/>
  <c r="Y22" i="1"/>
  <c r="Z22" i="1"/>
  <c r="AA22" i="1"/>
  <c r="AB22" i="1"/>
  <c r="N21" i="4"/>
  <c r="S21" i="2"/>
  <c r="T21" i="2"/>
  <c r="U21" i="2"/>
  <c r="V21" i="2"/>
  <c r="W21" i="2"/>
  <c r="O21" i="4"/>
  <c r="T20" i="11"/>
  <c r="U20" i="11"/>
  <c r="V20" i="11"/>
  <c r="P21" i="4"/>
  <c r="Q21" i="4"/>
  <c r="W23" i="1"/>
  <c r="Y23" i="1"/>
  <c r="Z23" i="1"/>
  <c r="AA23" i="1"/>
  <c r="AB23" i="1"/>
  <c r="N22" i="4"/>
  <c r="T22" i="2"/>
  <c r="U22" i="2"/>
  <c r="V22" i="2"/>
  <c r="W22" i="2"/>
  <c r="O22" i="4"/>
  <c r="S21" i="11"/>
  <c r="T21" i="11"/>
  <c r="U21" i="11"/>
  <c r="V21" i="11"/>
  <c r="P22" i="4"/>
  <c r="Q22" i="4"/>
  <c r="W12" i="1"/>
  <c r="Y12" i="1"/>
  <c r="Z12" i="1"/>
  <c r="AA12" i="1"/>
  <c r="AB12" i="1"/>
  <c r="N23" i="4"/>
  <c r="T23" i="2"/>
  <c r="U23" i="2"/>
  <c r="V23" i="2"/>
  <c r="W23" i="2"/>
  <c r="O23" i="4"/>
  <c r="S22" i="11"/>
  <c r="T22" i="11"/>
  <c r="U22" i="11"/>
  <c r="V22" i="11"/>
  <c r="P23" i="4"/>
  <c r="Q23" i="4"/>
  <c r="W7" i="1"/>
  <c r="Y7" i="1"/>
  <c r="Z7" i="1"/>
  <c r="AA7" i="1"/>
  <c r="AB7" i="1"/>
  <c r="N24" i="4"/>
  <c r="T24" i="2"/>
  <c r="U24" i="2"/>
  <c r="V24" i="2"/>
  <c r="W24" i="2"/>
  <c r="O24" i="4"/>
  <c r="T23" i="11"/>
  <c r="U23" i="11"/>
  <c r="V23" i="11"/>
  <c r="P24" i="4"/>
  <c r="Q24" i="4"/>
  <c r="W26" i="1"/>
  <c r="Y26" i="1"/>
  <c r="Z26" i="1"/>
  <c r="AA26" i="1"/>
  <c r="AB26" i="1"/>
  <c r="N25" i="4"/>
  <c r="S25" i="2"/>
  <c r="T25" i="2"/>
  <c r="U25" i="2"/>
  <c r="V25" i="2"/>
  <c r="W25" i="2"/>
  <c r="O25" i="4"/>
  <c r="T24" i="11"/>
  <c r="U24" i="11"/>
  <c r="V24" i="11"/>
  <c r="P25" i="4"/>
  <c r="Q25" i="4"/>
  <c r="W27" i="1"/>
  <c r="Y27" i="1"/>
  <c r="Z27" i="1"/>
  <c r="AA27" i="1"/>
  <c r="AB27" i="1"/>
  <c r="N26" i="4"/>
  <c r="T26" i="2"/>
  <c r="U26" i="2"/>
  <c r="V26" i="2"/>
  <c r="W26" i="2"/>
  <c r="O26" i="4"/>
  <c r="T25" i="11"/>
  <c r="U25" i="11"/>
  <c r="V25" i="11"/>
  <c r="P26" i="4"/>
  <c r="Q26" i="4"/>
  <c r="W28" i="1"/>
  <c r="Y28" i="1"/>
  <c r="Z28" i="1"/>
  <c r="AA28" i="1"/>
  <c r="AB28" i="1"/>
  <c r="N27" i="4"/>
  <c r="T27" i="2"/>
  <c r="U27" i="2"/>
  <c r="V27" i="2"/>
  <c r="W27" i="2"/>
  <c r="O27" i="4"/>
  <c r="S26" i="11"/>
  <c r="T26" i="11"/>
  <c r="U26" i="11"/>
  <c r="V26" i="11"/>
  <c r="P27" i="4"/>
  <c r="Q27" i="4"/>
  <c r="W29" i="1"/>
  <c r="Y29" i="1"/>
  <c r="Z29" i="1"/>
  <c r="AA29" i="1"/>
  <c r="AB29" i="1"/>
  <c r="N28" i="4"/>
  <c r="T28" i="2"/>
  <c r="U28" i="2"/>
  <c r="V28" i="2"/>
  <c r="W28" i="2"/>
  <c r="O28" i="4"/>
  <c r="T27" i="11"/>
  <c r="U27" i="11"/>
  <c r="V27" i="11"/>
  <c r="P28" i="4"/>
  <c r="Q28" i="4"/>
  <c r="W15" i="1"/>
  <c r="Y15" i="1"/>
  <c r="Z15" i="1"/>
  <c r="AA15" i="1"/>
  <c r="AB15" i="1"/>
  <c r="N29" i="4"/>
  <c r="T29" i="2"/>
  <c r="U29" i="2"/>
  <c r="V29" i="2"/>
  <c r="W29" i="2"/>
  <c r="O29" i="4"/>
  <c r="T28" i="11"/>
  <c r="U28" i="11"/>
  <c r="V28" i="11"/>
  <c r="P29" i="4"/>
  <c r="Q29" i="4"/>
  <c r="W31" i="1"/>
  <c r="Y31" i="1"/>
  <c r="Z31" i="1"/>
  <c r="AA31" i="1"/>
  <c r="AB31" i="1"/>
  <c r="N30" i="4"/>
  <c r="T30" i="2"/>
  <c r="U30" i="2"/>
  <c r="V30" i="2"/>
  <c r="W30" i="2"/>
  <c r="O30" i="4"/>
  <c r="S29" i="11"/>
  <c r="T29" i="11"/>
  <c r="U29" i="11"/>
  <c r="V29" i="11"/>
  <c r="P30" i="4"/>
  <c r="Q30" i="4"/>
  <c r="W32" i="1"/>
  <c r="Y32" i="1"/>
  <c r="Z32" i="1"/>
  <c r="AA32" i="1"/>
  <c r="AB32" i="1"/>
  <c r="N31" i="4"/>
  <c r="T31" i="2"/>
  <c r="U31" i="2"/>
  <c r="V31" i="2"/>
  <c r="W31" i="2"/>
  <c r="O31" i="4"/>
  <c r="S30" i="11"/>
  <c r="T30" i="11"/>
  <c r="U30" i="11"/>
  <c r="V30" i="11"/>
  <c r="P31" i="4"/>
  <c r="Q31" i="4"/>
  <c r="W33" i="1"/>
  <c r="Y33" i="1"/>
  <c r="Z33" i="1"/>
  <c r="AA33" i="1"/>
  <c r="AB33" i="1"/>
  <c r="N32" i="4"/>
  <c r="T32" i="2"/>
  <c r="U32" i="2"/>
  <c r="V32" i="2"/>
  <c r="W32" i="2"/>
  <c r="O32" i="4"/>
  <c r="S31" i="11"/>
  <c r="T31" i="11"/>
  <c r="U31" i="11"/>
  <c r="V31" i="11"/>
  <c r="P32" i="4"/>
  <c r="Q32" i="4"/>
  <c r="W34" i="1"/>
  <c r="Y34" i="1"/>
  <c r="Z34" i="1"/>
  <c r="AA34" i="1"/>
  <c r="AB34" i="1"/>
  <c r="N33" i="4"/>
  <c r="T33" i="2"/>
  <c r="U33" i="2"/>
  <c r="V33" i="2"/>
  <c r="W33" i="2"/>
  <c r="O33" i="4"/>
  <c r="S32" i="11"/>
  <c r="T32" i="11"/>
  <c r="U32" i="11"/>
  <c r="V32" i="11"/>
  <c r="P33" i="4"/>
  <c r="Q33" i="4"/>
  <c r="K3" i="11"/>
  <c r="L3" i="11"/>
  <c r="M3" i="11"/>
  <c r="N4" i="12"/>
  <c r="M5" i="1"/>
  <c r="O5" i="1"/>
  <c r="P5" i="1"/>
  <c r="Q5" i="1"/>
  <c r="O4" i="12"/>
  <c r="P4" i="12"/>
  <c r="K4" i="11"/>
  <c r="L4" i="11"/>
  <c r="M4" i="11"/>
  <c r="N5" i="12"/>
  <c r="M6" i="1"/>
  <c r="O6" i="1"/>
  <c r="P6" i="1"/>
  <c r="Q6" i="1"/>
  <c r="O5" i="12"/>
  <c r="P5" i="12"/>
  <c r="L5" i="11"/>
  <c r="M5" i="11"/>
  <c r="N6" i="12"/>
  <c r="M7" i="1"/>
  <c r="O7" i="1"/>
  <c r="P7" i="1"/>
  <c r="Q7" i="1"/>
  <c r="O6" i="12"/>
  <c r="P6" i="12"/>
  <c r="K6" i="11"/>
  <c r="L6" i="11"/>
  <c r="M6" i="11"/>
  <c r="N7" i="12"/>
  <c r="M8" i="1"/>
  <c r="O8" i="1"/>
  <c r="P8" i="1"/>
  <c r="Q8" i="1"/>
  <c r="O7" i="12"/>
  <c r="P7" i="12"/>
  <c r="L7" i="11"/>
  <c r="M7" i="11"/>
  <c r="N8" i="12"/>
  <c r="M9" i="1"/>
  <c r="O9" i="1"/>
  <c r="P9" i="1"/>
  <c r="Q9" i="1"/>
  <c r="O8" i="12"/>
  <c r="P8" i="12"/>
  <c r="K8" i="11"/>
  <c r="L8" i="11"/>
  <c r="M8" i="11"/>
  <c r="N9" i="12"/>
  <c r="M10" i="1"/>
  <c r="O10" i="1"/>
  <c r="P10" i="1"/>
  <c r="Q10" i="1"/>
  <c r="O9" i="12"/>
  <c r="P9" i="12"/>
  <c r="L9" i="11"/>
  <c r="M9" i="11"/>
  <c r="N10" i="12"/>
  <c r="M11" i="1"/>
  <c r="O11" i="1"/>
  <c r="P11" i="1"/>
  <c r="Q11" i="1"/>
  <c r="O10" i="12"/>
  <c r="P10" i="12"/>
  <c r="K10" i="11"/>
  <c r="L10" i="11"/>
  <c r="M10" i="11"/>
  <c r="N11" i="12"/>
  <c r="M12" i="1"/>
  <c r="O12" i="1"/>
  <c r="P12" i="1"/>
  <c r="Q12" i="1"/>
  <c r="O11" i="12"/>
  <c r="P11" i="12"/>
  <c r="L11" i="11"/>
  <c r="M11" i="11"/>
  <c r="N12" i="12"/>
  <c r="M13" i="1"/>
  <c r="O13" i="1"/>
  <c r="P13" i="1"/>
  <c r="Q13" i="1"/>
  <c r="O12" i="12"/>
  <c r="P12" i="12"/>
  <c r="L12" i="11"/>
  <c r="M12" i="11"/>
  <c r="N13" i="12"/>
  <c r="M14" i="1"/>
  <c r="O14" i="1"/>
  <c r="P14" i="1"/>
  <c r="Q14" i="1"/>
  <c r="O13" i="12"/>
  <c r="P13" i="12"/>
  <c r="L13" i="11"/>
  <c r="M13" i="11"/>
  <c r="N14" i="12"/>
  <c r="M15" i="1"/>
  <c r="O15" i="1"/>
  <c r="P15" i="1"/>
  <c r="Q15" i="1"/>
  <c r="O14" i="12"/>
  <c r="P14" i="12"/>
  <c r="L14" i="11"/>
  <c r="M14" i="11"/>
  <c r="N15" i="12"/>
  <c r="M16" i="1"/>
  <c r="O16" i="1"/>
  <c r="P16" i="1"/>
  <c r="Q16" i="1"/>
  <c r="O15" i="12"/>
  <c r="P15" i="12"/>
  <c r="K15" i="11"/>
  <c r="L15" i="11"/>
  <c r="M15" i="11"/>
  <c r="N16" i="12"/>
  <c r="M17" i="1"/>
  <c r="O17" i="1"/>
  <c r="P17" i="1"/>
  <c r="Q17" i="1"/>
  <c r="O16" i="12"/>
  <c r="P16" i="12"/>
  <c r="K16" i="11"/>
  <c r="L16" i="11"/>
  <c r="M16" i="11"/>
  <c r="N17" i="12"/>
  <c r="M18" i="1"/>
  <c r="O18" i="1"/>
  <c r="P18" i="1"/>
  <c r="Q18" i="1"/>
  <c r="O17" i="12"/>
  <c r="P17" i="12"/>
  <c r="L17" i="11"/>
  <c r="M17" i="11"/>
  <c r="N18" i="12"/>
  <c r="M19" i="1"/>
  <c r="O19" i="1"/>
  <c r="P19" i="1"/>
  <c r="Q19" i="1"/>
  <c r="O18" i="12"/>
  <c r="P18" i="12"/>
  <c r="K18" i="11"/>
  <c r="L18" i="11"/>
  <c r="M18" i="11"/>
  <c r="N19" i="12"/>
  <c r="M20" i="1"/>
  <c r="O20" i="1"/>
  <c r="P20" i="1"/>
  <c r="Q20" i="1"/>
  <c r="O19" i="12"/>
  <c r="P19" i="12"/>
  <c r="K19" i="11"/>
  <c r="L19" i="11"/>
  <c r="M19" i="11"/>
  <c r="N20" i="12"/>
  <c r="M21" i="1"/>
  <c r="O21" i="1"/>
  <c r="P21" i="1"/>
  <c r="Q21" i="1"/>
  <c r="O20" i="12"/>
  <c r="P20" i="12"/>
  <c r="L20" i="11"/>
  <c r="M20" i="11"/>
  <c r="N21" i="12"/>
  <c r="M22" i="1"/>
  <c r="O22" i="1"/>
  <c r="P22" i="1"/>
  <c r="Q22" i="1"/>
  <c r="O21" i="12"/>
  <c r="P21" i="12"/>
  <c r="K21" i="11"/>
  <c r="L21" i="11"/>
  <c r="M21" i="11"/>
  <c r="N22" i="12"/>
  <c r="M23" i="1"/>
  <c r="O23" i="1"/>
  <c r="P23" i="1"/>
  <c r="Q23" i="1"/>
  <c r="O22" i="12"/>
  <c r="P22" i="12"/>
  <c r="L22" i="11"/>
  <c r="M22" i="11"/>
  <c r="N23" i="12"/>
  <c r="M24" i="1"/>
  <c r="O24" i="1"/>
  <c r="P24" i="1"/>
  <c r="Q24" i="1"/>
  <c r="O23" i="12"/>
  <c r="P23" i="12"/>
  <c r="K23" i="11"/>
  <c r="L23" i="11"/>
  <c r="M23" i="11"/>
  <c r="N24" i="12"/>
  <c r="M25" i="1"/>
  <c r="O25" i="1"/>
  <c r="P25" i="1"/>
  <c r="Q25" i="1"/>
  <c r="O24" i="12"/>
  <c r="P24" i="12"/>
  <c r="K24" i="11"/>
  <c r="L24" i="11"/>
  <c r="M24" i="11"/>
  <c r="N25" i="12"/>
  <c r="M26" i="1"/>
  <c r="O26" i="1"/>
  <c r="P26" i="1"/>
  <c r="Q26" i="1"/>
  <c r="O25" i="12"/>
  <c r="P25" i="12"/>
  <c r="K25" i="11"/>
  <c r="L25" i="11"/>
  <c r="M25" i="11"/>
  <c r="N26" i="12"/>
  <c r="M27" i="1"/>
  <c r="O27" i="1"/>
  <c r="P27" i="1"/>
  <c r="Q27" i="1"/>
  <c r="O26" i="12"/>
  <c r="P26" i="12"/>
  <c r="K26" i="11"/>
  <c r="L26" i="11"/>
  <c r="M26" i="11"/>
  <c r="N27" i="12"/>
  <c r="M28" i="1"/>
  <c r="O28" i="1"/>
  <c r="P28" i="1"/>
  <c r="Q28" i="1"/>
  <c r="O27" i="12"/>
  <c r="P27" i="12"/>
  <c r="L27" i="11"/>
  <c r="M27" i="11"/>
  <c r="N28" i="12"/>
  <c r="M29" i="1"/>
  <c r="O29" i="1"/>
  <c r="P29" i="1"/>
  <c r="Q29" i="1"/>
  <c r="O28" i="12"/>
  <c r="P28" i="12"/>
  <c r="L28" i="11"/>
  <c r="M28" i="11"/>
  <c r="N29" i="12"/>
  <c r="M30" i="1"/>
  <c r="O30" i="1"/>
  <c r="P30" i="1"/>
  <c r="Q30" i="1"/>
  <c r="O29" i="12"/>
  <c r="P29" i="12"/>
  <c r="L29" i="11"/>
  <c r="M29" i="11"/>
  <c r="N30" i="12"/>
  <c r="M31" i="1"/>
  <c r="O31" i="1"/>
  <c r="P31" i="1"/>
  <c r="Q31" i="1"/>
  <c r="O30" i="12"/>
  <c r="P30" i="12"/>
  <c r="L30" i="11"/>
  <c r="M30" i="11"/>
  <c r="N31" i="12"/>
  <c r="M32" i="1"/>
  <c r="O32" i="1"/>
  <c r="P32" i="1"/>
  <c r="Q32" i="1"/>
  <c r="O31" i="12"/>
  <c r="P31" i="12"/>
  <c r="L31" i="11"/>
  <c r="M31" i="11"/>
  <c r="N32" i="12"/>
  <c r="M33" i="1"/>
  <c r="O33" i="1"/>
  <c r="P33" i="1"/>
  <c r="Q33" i="1"/>
  <c r="O32" i="12"/>
  <c r="P32" i="12"/>
  <c r="L32" i="11"/>
  <c r="M32" i="11"/>
  <c r="N33" i="12"/>
  <c r="M34" i="1"/>
  <c r="O34" i="1"/>
  <c r="P34" i="1"/>
  <c r="Q34" i="1"/>
  <c r="O33" i="12"/>
  <c r="P33" i="12"/>
  <c r="AA3" i="11"/>
  <c r="AB3" i="11"/>
  <c r="S4" i="12"/>
  <c r="AF5" i="1"/>
  <c r="AH5" i="1"/>
  <c r="AI5" i="1"/>
  <c r="AJ5" i="1"/>
  <c r="T4" i="12"/>
  <c r="U4" i="12"/>
  <c r="Z4" i="11"/>
  <c r="AA4" i="11"/>
  <c r="AB4" i="11"/>
  <c r="S5" i="12"/>
  <c r="AF6" i="1"/>
  <c r="AH6" i="1"/>
  <c r="AI6" i="1"/>
  <c r="AJ6" i="1"/>
  <c r="T5" i="12"/>
  <c r="U5" i="12"/>
  <c r="AA5" i="11"/>
  <c r="AB5" i="11"/>
  <c r="S6" i="12"/>
  <c r="AF7" i="1"/>
  <c r="AH7" i="1"/>
  <c r="AI7" i="1"/>
  <c r="AJ7" i="1"/>
  <c r="T6" i="12"/>
  <c r="U6" i="12"/>
  <c r="Z6" i="11"/>
  <c r="AA6" i="11"/>
  <c r="AB6" i="11"/>
  <c r="S7" i="12"/>
  <c r="AF8" i="1"/>
  <c r="AH8" i="1"/>
  <c r="AI8" i="1"/>
  <c r="AJ8" i="1"/>
  <c r="T7" i="12"/>
  <c r="U7" i="12"/>
  <c r="AA7" i="11"/>
  <c r="AB7" i="11"/>
  <c r="S8" i="12"/>
  <c r="AF9" i="1"/>
  <c r="AH9" i="1"/>
  <c r="AI9" i="1"/>
  <c r="AJ9" i="1"/>
  <c r="T8" i="12"/>
  <c r="U8" i="12"/>
  <c r="S9" i="12"/>
  <c r="AF10" i="1"/>
  <c r="AH10" i="1"/>
  <c r="AI10" i="1"/>
  <c r="AJ10" i="1"/>
  <c r="T9" i="12"/>
  <c r="U9" i="12"/>
  <c r="AA9" i="11"/>
  <c r="AB9" i="11"/>
  <c r="S10" i="12"/>
  <c r="AF11" i="1"/>
  <c r="AH11" i="1"/>
  <c r="AI11" i="1"/>
  <c r="AJ11" i="1"/>
  <c r="T10" i="12"/>
  <c r="U10" i="12"/>
  <c r="AA10" i="11"/>
  <c r="AB10" i="11"/>
  <c r="S11" i="12"/>
  <c r="AF12" i="1"/>
  <c r="AH12" i="1"/>
  <c r="AI12" i="1"/>
  <c r="AJ12" i="1"/>
  <c r="T11" i="12"/>
  <c r="U11" i="12"/>
  <c r="AA11" i="11"/>
  <c r="AB11" i="11"/>
  <c r="S12" i="12"/>
  <c r="AF13" i="1"/>
  <c r="AH13" i="1"/>
  <c r="AI13" i="1"/>
  <c r="AJ13" i="1"/>
  <c r="T12" i="12"/>
  <c r="U12" i="12"/>
  <c r="AA12" i="11"/>
  <c r="AB12" i="11"/>
  <c r="S13" i="12"/>
  <c r="AF14" i="1"/>
  <c r="AH14" i="1"/>
  <c r="AI14" i="1"/>
  <c r="AJ14" i="1"/>
  <c r="T13" i="12"/>
  <c r="U13" i="12"/>
  <c r="AA13" i="11"/>
  <c r="AB13" i="11"/>
  <c r="S14" i="12"/>
  <c r="AF15" i="1"/>
  <c r="AH15" i="1"/>
  <c r="AI15" i="1"/>
  <c r="AJ15" i="1"/>
  <c r="T14" i="12"/>
  <c r="U14" i="12"/>
  <c r="AA14" i="11"/>
  <c r="AB14" i="11"/>
  <c r="S15" i="12"/>
  <c r="AF16" i="1"/>
  <c r="AH16" i="1"/>
  <c r="AI16" i="1"/>
  <c r="AJ16" i="1"/>
  <c r="T15" i="12"/>
  <c r="U15" i="12"/>
  <c r="AA15" i="11"/>
  <c r="AB15" i="11"/>
  <c r="S16" i="12"/>
  <c r="AF17" i="1"/>
  <c r="AH17" i="1"/>
  <c r="AI17" i="1"/>
  <c r="AJ17" i="1"/>
  <c r="T16" i="12"/>
  <c r="U16" i="12"/>
  <c r="AA16" i="11"/>
  <c r="AB16" i="11"/>
  <c r="S17" i="12"/>
  <c r="AF18" i="1"/>
  <c r="AH18" i="1"/>
  <c r="AI18" i="1"/>
  <c r="AJ18" i="1"/>
  <c r="T17" i="12"/>
  <c r="U17" i="12"/>
  <c r="AA17" i="11"/>
  <c r="AB17" i="11"/>
  <c r="S18" i="12"/>
  <c r="AF19" i="1"/>
  <c r="AH19" i="1"/>
  <c r="AI19" i="1"/>
  <c r="AJ19" i="1"/>
  <c r="T18" i="12"/>
  <c r="U18" i="12"/>
  <c r="AA18" i="11"/>
  <c r="AB18" i="11"/>
  <c r="S19" i="12"/>
  <c r="AF20" i="1"/>
  <c r="AH20" i="1"/>
  <c r="AI20" i="1"/>
  <c r="AJ20" i="1"/>
  <c r="T19" i="12"/>
  <c r="U19" i="12"/>
  <c r="Z19" i="11"/>
  <c r="AA19" i="11"/>
  <c r="AB19" i="11"/>
  <c r="S20" i="12"/>
  <c r="AF21" i="1"/>
  <c r="AH21" i="1"/>
  <c r="AI21" i="1"/>
  <c r="AJ21" i="1"/>
  <c r="T20" i="12"/>
  <c r="U20" i="12"/>
  <c r="AA20" i="11"/>
  <c r="AB20" i="11"/>
  <c r="S21" i="12"/>
  <c r="AF22" i="1"/>
  <c r="AH22" i="1"/>
  <c r="AI22" i="1"/>
  <c r="AJ22" i="1"/>
  <c r="T21" i="12"/>
  <c r="U21" i="12"/>
  <c r="AA21" i="11"/>
  <c r="AB21" i="11"/>
  <c r="S22" i="12"/>
  <c r="AF23" i="1"/>
  <c r="AH23" i="1"/>
  <c r="AI23" i="1"/>
  <c r="AJ23" i="1"/>
  <c r="T22" i="12"/>
  <c r="U22" i="12"/>
  <c r="AA22" i="11"/>
  <c r="AB22" i="11"/>
  <c r="S23" i="12"/>
  <c r="AF24" i="1"/>
  <c r="AH24" i="1"/>
  <c r="AI24" i="1"/>
  <c r="AJ24" i="1"/>
  <c r="T23" i="12"/>
  <c r="U23" i="12"/>
  <c r="AA23" i="11"/>
  <c r="AB23" i="11"/>
  <c r="S24" i="12"/>
  <c r="AF25" i="1"/>
  <c r="AH25" i="1"/>
  <c r="AI25" i="1"/>
  <c r="AJ25" i="1"/>
  <c r="T24" i="12"/>
  <c r="U24" i="12"/>
  <c r="S25" i="12"/>
  <c r="AF26" i="1"/>
  <c r="AH26" i="1"/>
  <c r="AI26" i="1"/>
  <c r="AJ26" i="1"/>
  <c r="T25" i="12"/>
  <c r="U25" i="12"/>
  <c r="Z25" i="11"/>
  <c r="AA25" i="11"/>
  <c r="AB25" i="11"/>
  <c r="S26" i="12"/>
  <c r="AF27" i="1"/>
  <c r="AH27" i="1"/>
  <c r="AI27" i="1"/>
  <c r="AJ27" i="1"/>
  <c r="T26" i="12"/>
  <c r="U26" i="12"/>
  <c r="AA26" i="11"/>
  <c r="AB26" i="11"/>
  <c r="S27" i="12"/>
  <c r="AF28" i="1"/>
  <c r="AH28" i="1"/>
  <c r="AI28" i="1"/>
  <c r="AJ28" i="1"/>
  <c r="T27" i="12"/>
  <c r="U27" i="12"/>
  <c r="AA27" i="11"/>
  <c r="AB27" i="11"/>
  <c r="S28" i="12"/>
  <c r="AF29" i="1"/>
  <c r="AH29" i="1"/>
  <c r="AI29" i="1"/>
  <c r="AJ29" i="1"/>
  <c r="T28" i="12"/>
  <c r="U28" i="12"/>
  <c r="AA28" i="11"/>
  <c r="AB28" i="11"/>
  <c r="S29" i="12"/>
  <c r="AF30" i="1"/>
  <c r="AH30" i="1"/>
  <c r="AI30" i="1"/>
  <c r="AJ30" i="1"/>
  <c r="T29" i="12"/>
  <c r="U29" i="12"/>
  <c r="AA29" i="11"/>
  <c r="AB29" i="11"/>
  <c r="S30" i="12"/>
  <c r="AF31" i="1"/>
  <c r="AH31" i="1"/>
  <c r="AI31" i="1"/>
  <c r="AJ31" i="1"/>
  <c r="T30" i="12"/>
  <c r="U30" i="12"/>
  <c r="AA30" i="11"/>
  <c r="AB30" i="11"/>
  <c r="S31" i="12"/>
  <c r="AF32" i="1"/>
  <c r="AH32" i="1"/>
  <c r="AI32" i="1"/>
  <c r="AJ32" i="1"/>
  <c r="T31" i="12"/>
  <c r="U31" i="12"/>
  <c r="AA31" i="11"/>
  <c r="AB31" i="11"/>
  <c r="S32" i="12"/>
  <c r="AF33" i="1"/>
  <c r="AH33" i="1"/>
  <c r="AI33" i="1"/>
  <c r="AJ33" i="1"/>
  <c r="T32" i="12"/>
  <c r="U32" i="12"/>
  <c r="AA32" i="11"/>
  <c r="AB32" i="11"/>
  <c r="S33" i="12"/>
  <c r="AF34" i="1"/>
  <c r="AH34" i="1"/>
  <c r="AI34" i="1"/>
  <c r="AJ34" i="1"/>
  <c r="T33" i="12"/>
  <c r="U33" i="12"/>
  <c r="D5" i="1"/>
  <c r="F5" i="1"/>
  <c r="G5" i="1"/>
  <c r="H5" i="1"/>
  <c r="D4" i="12"/>
  <c r="E3" i="11"/>
  <c r="F3" i="11"/>
  <c r="C4" i="12"/>
  <c r="E4" i="12"/>
  <c r="D6" i="1"/>
  <c r="F6" i="1"/>
  <c r="G6" i="1"/>
  <c r="H6" i="1"/>
  <c r="D5" i="12"/>
  <c r="D4" i="11"/>
  <c r="E4" i="11"/>
  <c r="F4" i="11"/>
  <c r="C5" i="12"/>
  <c r="E5" i="12"/>
  <c r="D7" i="1"/>
  <c r="F7" i="1"/>
  <c r="G7" i="1"/>
  <c r="H7" i="1"/>
  <c r="D6" i="12"/>
  <c r="D5" i="11"/>
  <c r="E5" i="11"/>
  <c r="F5" i="11"/>
  <c r="C6" i="12"/>
  <c r="E6" i="12"/>
  <c r="D8" i="1"/>
  <c r="F8" i="1"/>
  <c r="G8" i="1"/>
  <c r="H8" i="1"/>
  <c r="D7" i="12"/>
  <c r="E6" i="11"/>
  <c r="F6" i="11"/>
  <c r="C7" i="12"/>
  <c r="E7" i="12"/>
  <c r="D9" i="1"/>
  <c r="F9" i="1"/>
  <c r="G9" i="1"/>
  <c r="H9" i="1"/>
  <c r="D8" i="12"/>
  <c r="E7" i="11"/>
  <c r="F7" i="11"/>
  <c r="C8" i="12"/>
  <c r="E8" i="12"/>
  <c r="D10" i="1"/>
  <c r="F10" i="1"/>
  <c r="G10" i="1"/>
  <c r="H10" i="1"/>
  <c r="D9" i="12"/>
  <c r="E8" i="11"/>
  <c r="F8" i="11"/>
  <c r="C9" i="12"/>
  <c r="E9" i="12"/>
  <c r="D11" i="1"/>
  <c r="F11" i="1"/>
  <c r="G11" i="1"/>
  <c r="H11" i="1"/>
  <c r="D10" i="12"/>
  <c r="D9" i="11"/>
  <c r="E9" i="11"/>
  <c r="F9" i="11"/>
  <c r="C10" i="12"/>
  <c r="E10" i="12"/>
  <c r="D12" i="1"/>
  <c r="F12" i="1"/>
  <c r="G12" i="1"/>
  <c r="H12" i="1"/>
  <c r="D11" i="12"/>
  <c r="D10" i="11"/>
  <c r="E10" i="11"/>
  <c r="F10" i="11"/>
  <c r="C11" i="12"/>
  <c r="E11" i="12"/>
  <c r="D13" i="1"/>
  <c r="F13" i="1"/>
  <c r="G13" i="1"/>
  <c r="H13" i="1"/>
  <c r="D12" i="12"/>
  <c r="D11" i="11"/>
  <c r="E11" i="11"/>
  <c r="F11" i="11"/>
  <c r="C12" i="12"/>
  <c r="E12" i="12"/>
  <c r="D14" i="1"/>
  <c r="F14" i="1"/>
  <c r="G14" i="1"/>
  <c r="H14" i="1"/>
  <c r="D13" i="12"/>
  <c r="E12" i="11"/>
  <c r="F12" i="11"/>
  <c r="C13" i="12"/>
  <c r="E13" i="12"/>
  <c r="D15" i="1"/>
  <c r="F15" i="1"/>
  <c r="G15" i="1"/>
  <c r="H15" i="1"/>
  <c r="D14" i="12"/>
  <c r="E13" i="11"/>
  <c r="F13" i="11"/>
  <c r="C14" i="12"/>
  <c r="E14" i="12"/>
  <c r="D16" i="1"/>
  <c r="F16" i="1"/>
  <c r="G16" i="1"/>
  <c r="H16" i="1"/>
  <c r="D15" i="12"/>
  <c r="E14" i="11"/>
  <c r="F14" i="11"/>
  <c r="C15" i="12"/>
  <c r="E15" i="12"/>
  <c r="D17" i="1"/>
  <c r="F17" i="1"/>
  <c r="G17" i="1"/>
  <c r="H17" i="1"/>
  <c r="D16" i="12"/>
  <c r="D15" i="11"/>
  <c r="E15" i="11"/>
  <c r="F15" i="11"/>
  <c r="C16" i="12"/>
  <c r="E16" i="12"/>
  <c r="D18" i="1"/>
  <c r="F18" i="1"/>
  <c r="G18" i="1"/>
  <c r="H18" i="1"/>
  <c r="D17" i="12"/>
  <c r="E16" i="11"/>
  <c r="F16" i="11"/>
  <c r="C17" i="12"/>
  <c r="E17" i="12"/>
  <c r="D19" i="1"/>
  <c r="F19" i="1"/>
  <c r="G19" i="1"/>
  <c r="H19" i="1"/>
  <c r="D18" i="12"/>
  <c r="D17" i="11"/>
  <c r="E17" i="11"/>
  <c r="F17" i="11"/>
  <c r="C18" i="12"/>
  <c r="E18" i="12"/>
  <c r="C20" i="1"/>
  <c r="D20" i="1"/>
  <c r="F20" i="1"/>
  <c r="G20" i="1"/>
  <c r="H20" i="1"/>
  <c r="D19" i="12"/>
  <c r="D18" i="11"/>
  <c r="E18" i="11"/>
  <c r="F18" i="11"/>
  <c r="C19" i="12"/>
  <c r="E19" i="12"/>
  <c r="D21" i="1"/>
  <c r="F21" i="1"/>
  <c r="G21" i="1"/>
  <c r="H21" i="1"/>
  <c r="D20" i="12"/>
  <c r="D19" i="11"/>
  <c r="E19" i="11"/>
  <c r="F19" i="11"/>
  <c r="C20" i="12"/>
  <c r="E20" i="12"/>
  <c r="D22" i="1"/>
  <c r="F22" i="1"/>
  <c r="G22" i="1"/>
  <c r="H22" i="1"/>
  <c r="D21" i="12"/>
  <c r="E20" i="11"/>
  <c r="F20" i="11"/>
  <c r="C21" i="12"/>
  <c r="E21" i="12"/>
  <c r="D23" i="1"/>
  <c r="F23" i="1"/>
  <c r="G23" i="1"/>
  <c r="H23" i="1"/>
  <c r="D22" i="12"/>
  <c r="D21" i="11"/>
  <c r="E21" i="11"/>
  <c r="F21" i="11"/>
  <c r="C22" i="12"/>
  <c r="E22" i="12"/>
  <c r="D24" i="1"/>
  <c r="F24" i="1"/>
  <c r="G24" i="1"/>
  <c r="H24" i="1"/>
  <c r="D23" i="12"/>
  <c r="D22" i="11"/>
  <c r="E22" i="11"/>
  <c r="F22" i="11"/>
  <c r="C23" i="12"/>
  <c r="E23" i="12"/>
  <c r="D25" i="1"/>
  <c r="F25" i="1"/>
  <c r="G25" i="1"/>
  <c r="H25" i="1"/>
  <c r="D24" i="12"/>
  <c r="D23" i="11"/>
  <c r="E23" i="11"/>
  <c r="F23" i="11"/>
  <c r="C24" i="12"/>
  <c r="E24" i="12"/>
  <c r="D26" i="1"/>
  <c r="F26" i="1"/>
  <c r="G26" i="1"/>
  <c r="H26" i="1"/>
  <c r="D25" i="12"/>
  <c r="D24" i="11"/>
  <c r="E24" i="11"/>
  <c r="F24" i="11"/>
  <c r="C25" i="12"/>
  <c r="E25" i="12"/>
  <c r="D27" i="1"/>
  <c r="F27" i="1"/>
  <c r="G27" i="1"/>
  <c r="H27" i="1"/>
  <c r="D26" i="12"/>
  <c r="E25" i="11"/>
  <c r="F25" i="11"/>
  <c r="C26" i="12"/>
  <c r="E26" i="12"/>
  <c r="C28" i="1"/>
  <c r="D28" i="1"/>
  <c r="F28" i="1"/>
  <c r="G28" i="1"/>
  <c r="H28" i="1"/>
  <c r="D27" i="12"/>
  <c r="D26" i="11"/>
  <c r="E26" i="11"/>
  <c r="F26" i="11"/>
  <c r="C27" i="12"/>
  <c r="E27" i="12"/>
  <c r="D29" i="1"/>
  <c r="F29" i="1"/>
  <c r="G29" i="1"/>
  <c r="H29" i="1"/>
  <c r="D28" i="12"/>
  <c r="D27" i="11"/>
  <c r="E27" i="11"/>
  <c r="F27" i="11"/>
  <c r="C28" i="12"/>
  <c r="E28" i="12"/>
  <c r="D30" i="1"/>
  <c r="F30" i="1"/>
  <c r="G30" i="1"/>
  <c r="H30" i="1"/>
  <c r="D29" i="12"/>
  <c r="E28" i="11"/>
  <c r="F28" i="11"/>
  <c r="C29" i="12"/>
  <c r="E29" i="12"/>
  <c r="D31" i="1"/>
  <c r="F31" i="1"/>
  <c r="G31" i="1"/>
  <c r="H31" i="1"/>
  <c r="D30" i="12"/>
  <c r="E29" i="11"/>
  <c r="F29" i="11"/>
  <c r="C30" i="12"/>
  <c r="E30" i="12"/>
  <c r="D32" i="1"/>
  <c r="F32" i="1"/>
  <c r="G32" i="1"/>
  <c r="H32" i="1"/>
  <c r="D31" i="12"/>
  <c r="E30" i="11"/>
  <c r="F30" i="11"/>
  <c r="C31" i="12"/>
  <c r="E31" i="12"/>
  <c r="D33" i="1"/>
  <c r="F33" i="1"/>
  <c r="G33" i="1"/>
  <c r="H33" i="1"/>
  <c r="D32" i="12"/>
  <c r="D31" i="11"/>
  <c r="E31" i="11"/>
  <c r="F31" i="11"/>
  <c r="C32" i="12"/>
  <c r="E32" i="12"/>
  <c r="D34" i="1"/>
  <c r="F34" i="1"/>
  <c r="G34" i="1"/>
  <c r="H34" i="1"/>
  <c r="D33" i="12"/>
  <c r="E32" i="11"/>
  <c r="F32" i="11"/>
  <c r="C33" i="12"/>
  <c r="E33" i="12"/>
  <c r="H4" i="12"/>
  <c r="I4" i="12"/>
  <c r="J4" i="12"/>
  <c r="H5" i="12"/>
  <c r="I5" i="12"/>
  <c r="J5" i="12"/>
  <c r="H6" i="12"/>
  <c r="I6" i="12"/>
  <c r="J6" i="12"/>
  <c r="H7" i="12"/>
  <c r="I7" i="12"/>
  <c r="J7" i="12"/>
  <c r="H8" i="12"/>
  <c r="I8" i="12"/>
  <c r="J8" i="12"/>
  <c r="H9" i="12"/>
  <c r="I9" i="12"/>
  <c r="J9" i="12"/>
  <c r="H10" i="12"/>
  <c r="I10" i="12"/>
  <c r="J10" i="12"/>
  <c r="H11" i="12"/>
  <c r="I11" i="12"/>
  <c r="J11" i="12"/>
  <c r="H12" i="12"/>
  <c r="I12" i="12"/>
  <c r="J12" i="12"/>
  <c r="H13" i="12"/>
  <c r="I13" i="12"/>
  <c r="J13" i="12"/>
  <c r="H14" i="12"/>
  <c r="I14" i="12"/>
  <c r="J14" i="12"/>
  <c r="H15" i="12"/>
  <c r="I15" i="12"/>
  <c r="J15" i="12"/>
  <c r="H16" i="12"/>
  <c r="I16" i="12"/>
  <c r="J16" i="12"/>
  <c r="H17" i="12"/>
  <c r="I17" i="12"/>
  <c r="J17" i="12"/>
  <c r="H18" i="12"/>
  <c r="I18" i="12"/>
  <c r="J18" i="12"/>
  <c r="H19" i="12"/>
  <c r="I19" i="12"/>
  <c r="J19" i="12"/>
  <c r="H20" i="12"/>
  <c r="I20" i="12"/>
  <c r="J20" i="12"/>
  <c r="H21" i="12"/>
  <c r="I21" i="12"/>
  <c r="J21" i="12"/>
  <c r="H22" i="12"/>
  <c r="I22" i="12"/>
  <c r="J22" i="12"/>
  <c r="H23" i="12"/>
  <c r="I23" i="12"/>
  <c r="J23" i="12"/>
  <c r="H24" i="12"/>
  <c r="I24" i="12"/>
  <c r="J24" i="12"/>
  <c r="H25" i="12"/>
  <c r="I25" i="12"/>
  <c r="J25" i="12"/>
  <c r="H26" i="12"/>
  <c r="I26" i="12"/>
  <c r="J26" i="12"/>
  <c r="H27" i="12"/>
  <c r="I27" i="12"/>
  <c r="J27" i="12"/>
  <c r="H28" i="12"/>
  <c r="I28" i="12"/>
  <c r="J28" i="12"/>
  <c r="H29" i="12"/>
  <c r="I29" i="12"/>
  <c r="J29" i="12"/>
  <c r="H30" i="12"/>
  <c r="I30" i="12"/>
  <c r="J30" i="12"/>
  <c r="H31" i="12"/>
  <c r="I31" i="12"/>
  <c r="J31" i="12"/>
  <c r="H32" i="12"/>
  <c r="I32" i="12"/>
  <c r="J32" i="12"/>
  <c r="H33" i="12"/>
  <c r="I33" i="12"/>
  <c r="J33" i="12"/>
  <c r="U35" i="12"/>
  <c r="U34" i="12"/>
  <c r="J35" i="12"/>
  <c r="J34" i="12"/>
  <c r="P35" i="12"/>
  <c r="P34" i="12"/>
  <c r="E35" i="12"/>
  <c r="E34" i="12"/>
  <c r="R5" i="1"/>
  <c r="H4" i="4"/>
  <c r="N3" i="11"/>
  <c r="J4" i="4"/>
  <c r="L4" i="2"/>
  <c r="M4" i="2"/>
  <c r="N4" i="2"/>
  <c r="O4" i="2"/>
  <c r="I4" i="4"/>
  <c r="K4" i="4"/>
  <c r="R6" i="1"/>
  <c r="H5" i="4"/>
  <c r="N4" i="11"/>
  <c r="J5" i="4"/>
  <c r="L5" i="2"/>
  <c r="M5" i="2"/>
  <c r="N5" i="2"/>
  <c r="O5" i="2"/>
  <c r="I5" i="4"/>
  <c r="K5" i="4"/>
  <c r="R7" i="1"/>
  <c r="H6" i="4"/>
  <c r="N5" i="11"/>
  <c r="J6" i="4"/>
  <c r="K6" i="2"/>
  <c r="L6" i="2"/>
  <c r="M6" i="2"/>
  <c r="N6" i="2"/>
  <c r="O6" i="2"/>
  <c r="I6" i="4"/>
  <c r="K6" i="4"/>
  <c r="R9" i="1"/>
  <c r="H7" i="4"/>
  <c r="N6" i="11"/>
  <c r="J7" i="4"/>
  <c r="L7" i="2"/>
  <c r="M7" i="2"/>
  <c r="N7" i="2"/>
  <c r="O7" i="2"/>
  <c r="I7" i="4"/>
  <c r="K7" i="4"/>
  <c r="R8" i="1"/>
  <c r="H8" i="4"/>
  <c r="N7" i="11"/>
  <c r="J8" i="4"/>
  <c r="K8" i="2"/>
  <c r="L8" i="2"/>
  <c r="M8" i="2"/>
  <c r="N8" i="2"/>
  <c r="O8" i="2"/>
  <c r="I8" i="4"/>
  <c r="K8" i="4"/>
  <c r="R10" i="1"/>
  <c r="H9" i="4"/>
  <c r="N8" i="11"/>
  <c r="J9" i="4"/>
  <c r="K9" i="2"/>
  <c r="L9" i="2"/>
  <c r="M9" i="2"/>
  <c r="N9" i="2"/>
  <c r="O9" i="2"/>
  <c r="I9" i="4"/>
  <c r="K9" i="4"/>
  <c r="R11" i="1"/>
  <c r="H10" i="4"/>
  <c r="N9" i="11"/>
  <c r="J10" i="4"/>
  <c r="K10" i="2"/>
  <c r="L10" i="2"/>
  <c r="M10" i="2"/>
  <c r="N10" i="2"/>
  <c r="O10" i="2"/>
  <c r="I10" i="4"/>
  <c r="K10" i="4"/>
  <c r="R12" i="1"/>
  <c r="H11" i="4"/>
  <c r="N10" i="11"/>
  <c r="J11" i="4"/>
  <c r="K11" i="2"/>
  <c r="L11" i="2"/>
  <c r="M11" i="2"/>
  <c r="N11" i="2"/>
  <c r="O11" i="2"/>
  <c r="I11" i="4"/>
  <c r="K11" i="4"/>
  <c r="R13" i="1"/>
  <c r="H12" i="4"/>
  <c r="N11" i="11"/>
  <c r="J12" i="4"/>
  <c r="K12" i="2"/>
  <c r="L12" i="2"/>
  <c r="M12" i="2"/>
  <c r="N12" i="2"/>
  <c r="O12" i="2"/>
  <c r="I12" i="4"/>
  <c r="K12" i="4"/>
  <c r="R14" i="1"/>
  <c r="H13" i="4"/>
  <c r="N12" i="11"/>
  <c r="J13" i="4"/>
  <c r="K13" i="2"/>
  <c r="L13" i="2"/>
  <c r="M13" i="2"/>
  <c r="N13" i="2"/>
  <c r="O13" i="2"/>
  <c r="I13" i="4"/>
  <c r="K13" i="4"/>
  <c r="R15" i="1"/>
  <c r="H14" i="4"/>
  <c r="N13" i="11"/>
  <c r="J14" i="4"/>
  <c r="L14" i="2"/>
  <c r="M14" i="2"/>
  <c r="N14" i="2"/>
  <c r="O14" i="2"/>
  <c r="I14" i="4"/>
  <c r="K14" i="4"/>
  <c r="R16" i="1"/>
  <c r="H15" i="4"/>
  <c r="N14" i="11"/>
  <c r="J15" i="4"/>
  <c r="L15" i="2"/>
  <c r="M15" i="2"/>
  <c r="N15" i="2"/>
  <c r="O15" i="2"/>
  <c r="I15" i="4"/>
  <c r="K15" i="4"/>
  <c r="R17" i="1"/>
  <c r="H16" i="4"/>
  <c r="N15" i="11"/>
  <c r="J16" i="4"/>
  <c r="K16" i="2"/>
  <c r="L16" i="2"/>
  <c r="M16" i="2"/>
  <c r="N16" i="2"/>
  <c r="O16" i="2"/>
  <c r="I16" i="4"/>
  <c r="K16" i="4"/>
  <c r="R18" i="1"/>
  <c r="H17" i="4"/>
  <c r="N16" i="11"/>
  <c r="J17" i="4"/>
  <c r="L17" i="2"/>
  <c r="M17" i="2"/>
  <c r="N17" i="2"/>
  <c r="O17" i="2"/>
  <c r="I17" i="4"/>
  <c r="K17" i="4"/>
  <c r="R19" i="1"/>
  <c r="H18" i="4"/>
  <c r="N17" i="11"/>
  <c r="J18" i="4"/>
  <c r="L18" i="2"/>
  <c r="M18" i="2"/>
  <c r="N18" i="2"/>
  <c r="O18" i="2"/>
  <c r="I18" i="4"/>
  <c r="K18" i="4"/>
  <c r="R20" i="1"/>
  <c r="H19" i="4"/>
  <c r="N18" i="11"/>
  <c r="J19" i="4"/>
  <c r="L19" i="2"/>
  <c r="M19" i="2"/>
  <c r="N19" i="2"/>
  <c r="O19" i="2"/>
  <c r="I19" i="4"/>
  <c r="K19" i="4"/>
  <c r="R21" i="1"/>
  <c r="H20" i="4"/>
  <c r="N19" i="11"/>
  <c r="J20" i="4"/>
  <c r="K20" i="2"/>
  <c r="L20" i="2"/>
  <c r="M20" i="2"/>
  <c r="N20" i="2"/>
  <c r="O20" i="2"/>
  <c r="I20" i="4"/>
  <c r="K20" i="4"/>
  <c r="R22" i="1"/>
  <c r="H21" i="4"/>
  <c r="N20" i="11"/>
  <c r="J21" i="4"/>
  <c r="K21" i="2"/>
  <c r="L21" i="2"/>
  <c r="M21" i="2"/>
  <c r="N21" i="2"/>
  <c r="O21" i="2"/>
  <c r="I21" i="4"/>
  <c r="K21" i="4"/>
  <c r="R23" i="1"/>
  <c r="H22" i="4"/>
  <c r="N21" i="11"/>
  <c r="J22" i="4"/>
  <c r="L22" i="2"/>
  <c r="M22" i="2"/>
  <c r="N22" i="2"/>
  <c r="O22" i="2"/>
  <c r="I22" i="4"/>
  <c r="K22" i="4"/>
  <c r="R24" i="1"/>
  <c r="H23" i="4"/>
  <c r="N22" i="11"/>
  <c r="J23" i="4"/>
  <c r="L23" i="2"/>
  <c r="M23" i="2"/>
  <c r="N23" i="2"/>
  <c r="O23" i="2"/>
  <c r="I23" i="4"/>
  <c r="K23" i="4"/>
  <c r="R25" i="1"/>
  <c r="H24" i="4"/>
  <c r="N23" i="11"/>
  <c r="J24" i="4"/>
  <c r="K24" i="2"/>
  <c r="L24" i="2"/>
  <c r="M24" i="2"/>
  <c r="N24" i="2"/>
  <c r="O24" i="2"/>
  <c r="I24" i="4"/>
  <c r="K24" i="4"/>
  <c r="R26" i="1"/>
  <c r="H25" i="4"/>
  <c r="N24" i="11"/>
  <c r="J25" i="4"/>
  <c r="K25" i="2"/>
  <c r="L25" i="2"/>
  <c r="M25" i="2"/>
  <c r="N25" i="2"/>
  <c r="O25" i="2"/>
  <c r="I25" i="4"/>
  <c r="K25" i="4"/>
  <c r="R27" i="1"/>
  <c r="H26" i="4"/>
  <c r="N25" i="11"/>
  <c r="J26" i="4"/>
  <c r="L26" i="2"/>
  <c r="M26" i="2"/>
  <c r="N26" i="2"/>
  <c r="O26" i="2"/>
  <c r="I26" i="4"/>
  <c r="K26" i="4"/>
  <c r="R28" i="1"/>
  <c r="H27" i="4"/>
  <c r="N26" i="11"/>
  <c r="J27" i="4"/>
  <c r="L27" i="2"/>
  <c r="M27" i="2"/>
  <c r="N27" i="2"/>
  <c r="O27" i="2"/>
  <c r="I27" i="4"/>
  <c r="K27" i="4"/>
  <c r="R29" i="1"/>
  <c r="H28" i="4"/>
  <c r="N27" i="11"/>
  <c r="J28" i="4"/>
  <c r="L28" i="2"/>
  <c r="M28" i="2"/>
  <c r="N28" i="2"/>
  <c r="O28" i="2"/>
  <c r="I28" i="4"/>
  <c r="K28" i="4"/>
  <c r="R30" i="1"/>
  <c r="H29" i="4"/>
  <c r="N28" i="11"/>
  <c r="J29" i="4"/>
  <c r="K29" i="2"/>
  <c r="L29" i="2"/>
  <c r="M29" i="2"/>
  <c r="N29" i="2"/>
  <c r="O29" i="2"/>
  <c r="I29" i="4"/>
  <c r="K29" i="4"/>
  <c r="R31" i="1"/>
  <c r="H30" i="4"/>
  <c r="N29" i="11"/>
  <c r="J30" i="4"/>
  <c r="L30" i="2"/>
  <c r="M30" i="2"/>
  <c r="N30" i="2"/>
  <c r="O30" i="2"/>
  <c r="I30" i="4"/>
  <c r="K30" i="4"/>
  <c r="R32" i="1"/>
  <c r="H31" i="4"/>
  <c r="N30" i="11"/>
  <c r="J31" i="4"/>
  <c r="L31" i="2"/>
  <c r="M31" i="2"/>
  <c r="N31" i="2"/>
  <c r="O31" i="2"/>
  <c r="I31" i="4"/>
  <c r="K31" i="4"/>
  <c r="R33" i="1"/>
  <c r="H32" i="4"/>
  <c r="N31" i="11"/>
  <c r="J32" i="4"/>
  <c r="L32" i="2"/>
  <c r="M32" i="2"/>
  <c r="N32" i="2"/>
  <c r="O32" i="2"/>
  <c r="I32" i="4"/>
  <c r="K32" i="4"/>
  <c r="R34" i="1"/>
  <c r="H33" i="4"/>
  <c r="N32" i="11"/>
  <c r="J33" i="4"/>
  <c r="L33" i="2"/>
  <c r="M33" i="2"/>
  <c r="N33" i="2"/>
  <c r="O33" i="2"/>
  <c r="I33" i="4"/>
  <c r="K33" i="4"/>
  <c r="AK15" i="1"/>
  <c r="S4" i="4"/>
  <c r="AC3" i="11"/>
  <c r="U4" i="4"/>
  <c r="Z4" i="2"/>
  <c r="AA4" i="2"/>
  <c r="AB4" i="2"/>
  <c r="AC4" i="2"/>
  <c r="AD4" i="2"/>
  <c r="T4" i="4"/>
  <c r="V4" i="4"/>
  <c r="AK6" i="1"/>
  <c r="S5" i="4"/>
  <c r="AC4" i="11"/>
  <c r="U5" i="4"/>
  <c r="AA5" i="2"/>
  <c r="AB5" i="2"/>
  <c r="AC5" i="2"/>
  <c r="AD5" i="2"/>
  <c r="T5" i="4"/>
  <c r="V5" i="4"/>
  <c r="AK24" i="1"/>
  <c r="S6" i="4"/>
  <c r="AC5" i="11"/>
  <c r="U6" i="4"/>
  <c r="AA6" i="2"/>
  <c r="AB6" i="2"/>
  <c r="AC6" i="2"/>
  <c r="AD6" i="2"/>
  <c r="T6" i="4"/>
  <c r="V6" i="4"/>
  <c r="AK8" i="1"/>
  <c r="S7" i="4"/>
  <c r="AC6" i="11"/>
  <c r="U7" i="4"/>
  <c r="AA7" i="2"/>
  <c r="AB7" i="2"/>
  <c r="AC7" i="2"/>
  <c r="AD7" i="2"/>
  <c r="T7" i="4"/>
  <c r="V7" i="4"/>
  <c r="AK9" i="1"/>
  <c r="S8" i="4"/>
  <c r="AC7" i="11"/>
  <c r="U8" i="4"/>
  <c r="AA8" i="2"/>
  <c r="AB8" i="2"/>
  <c r="AC8" i="2"/>
  <c r="AD8" i="2"/>
  <c r="T8" i="4"/>
  <c r="V8" i="4"/>
  <c r="AK10" i="1"/>
  <c r="S9" i="4"/>
  <c r="AC8" i="11"/>
  <c r="U9" i="4"/>
  <c r="Z9" i="2"/>
  <c r="AA9" i="2"/>
  <c r="AB9" i="2"/>
  <c r="AC9" i="2"/>
  <c r="AD9" i="2"/>
  <c r="T9" i="4"/>
  <c r="V9" i="4"/>
  <c r="AK25" i="1"/>
  <c r="S10" i="4"/>
  <c r="AC9" i="11"/>
  <c r="U10" i="4"/>
  <c r="AA10" i="2"/>
  <c r="AB10" i="2"/>
  <c r="AC10" i="2"/>
  <c r="AD10" i="2"/>
  <c r="T10" i="4"/>
  <c r="V10" i="4"/>
  <c r="AK28" i="1"/>
  <c r="S11" i="4"/>
  <c r="AC10" i="11"/>
  <c r="U11" i="4"/>
  <c r="AA11" i="2"/>
  <c r="AB11" i="2"/>
  <c r="AC11" i="2"/>
  <c r="AD11" i="2"/>
  <c r="T11" i="4"/>
  <c r="V11" i="4"/>
  <c r="AK13" i="1"/>
  <c r="S12" i="4"/>
  <c r="AC11" i="11"/>
  <c r="U12" i="4"/>
  <c r="AA12" i="2"/>
  <c r="AB12" i="2"/>
  <c r="AC12" i="2"/>
  <c r="AD12" i="2"/>
  <c r="T12" i="4"/>
  <c r="V12" i="4"/>
  <c r="AK14" i="1"/>
  <c r="S13" i="4"/>
  <c r="AC12" i="11"/>
  <c r="U13" i="4"/>
  <c r="AA13" i="2"/>
  <c r="AB13" i="2"/>
  <c r="AC13" i="2"/>
  <c r="AD13" i="2"/>
  <c r="T13" i="4"/>
  <c r="V13" i="4"/>
  <c r="AK5" i="1"/>
  <c r="S14" i="4"/>
  <c r="AC13" i="11"/>
  <c r="U14" i="4"/>
  <c r="Z14" i="2"/>
  <c r="AA14" i="2"/>
  <c r="AB14" i="2"/>
  <c r="AC14" i="2"/>
  <c r="AD14" i="2"/>
  <c r="T14" i="4"/>
  <c r="V14" i="4"/>
  <c r="AK26" i="1"/>
  <c r="S15" i="4"/>
  <c r="AC14" i="11"/>
  <c r="U15" i="4"/>
  <c r="AA15" i="2"/>
  <c r="AB15" i="2"/>
  <c r="AC15" i="2"/>
  <c r="AD15" i="2"/>
  <c r="T15" i="4"/>
  <c r="V15" i="4"/>
  <c r="AK17" i="1"/>
  <c r="S16" i="4"/>
  <c r="AC15" i="11"/>
  <c r="U16" i="4"/>
  <c r="AA16" i="2"/>
  <c r="AB16" i="2"/>
  <c r="AC16" i="2"/>
  <c r="AD16" i="2"/>
  <c r="T16" i="4"/>
  <c r="V16" i="4"/>
  <c r="AK18" i="1"/>
  <c r="S17" i="4"/>
  <c r="AC16" i="11"/>
  <c r="U17" i="4"/>
  <c r="AA17" i="2"/>
  <c r="AB17" i="2"/>
  <c r="AC17" i="2"/>
  <c r="AD17" i="2"/>
  <c r="T17" i="4"/>
  <c r="V17" i="4"/>
  <c r="AK19" i="1"/>
  <c r="S18" i="4"/>
  <c r="AC17" i="11"/>
  <c r="U18" i="4"/>
  <c r="AA18" i="2"/>
  <c r="AB18" i="2"/>
  <c r="AC18" i="2"/>
  <c r="AD18" i="2"/>
  <c r="T18" i="4"/>
  <c r="V18" i="4"/>
  <c r="AK20" i="1"/>
  <c r="S19" i="4"/>
  <c r="AC18" i="11"/>
  <c r="U19" i="4"/>
  <c r="Z19" i="2"/>
  <c r="AA19" i="2"/>
  <c r="AB19" i="2"/>
  <c r="AC19" i="2"/>
  <c r="AD19" i="2"/>
  <c r="T19" i="4"/>
  <c r="V19" i="4"/>
  <c r="AK27" i="1"/>
  <c r="S20" i="4"/>
  <c r="AC19" i="11"/>
  <c r="U20" i="4"/>
  <c r="AA20" i="2"/>
  <c r="AB20" i="2"/>
  <c r="AC20" i="2"/>
  <c r="AD20" i="2"/>
  <c r="T20" i="4"/>
  <c r="V20" i="4"/>
  <c r="AK22" i="1"/>
  <c r="S21" i="4"/>
  <c r="AC20" i="11"/>
  <c r="U21" i="4"/>
  <c r="Z21" i="2"/>
  <c r="AA21" i="2"/>
  <c r="AB21" i="2"/>
  <c r="AC21" i="2"/>
  <c r="AD21" i="2"/>
  <c r="T21" i="4"/>
  <c r="V21" i="4"/>
  <c r="AK23" i="1"/>
  <c r="S22" i="4"/>
  <c r="AC21" i="11"/>
  <c r="U22" i="4"/>
  <c r="AA22" i="2"/>
  <c r="AB22" i="2"/>
  <c r="AC22" i="2"/>
  <c r="AD22" i="2"/>
  <c r="T22" i="4"/>
  <c r="V22" i="4"/>
  <c r="AK7" i="1"/>
  <c r="S23" i="4"/>
  <c r="AC22" i="11"/>
  <c r="U23" i="4"/>
  <c r="AA23" i="2"/>
  <c r="AB23" i="2"/>
  <c r="AC23" i="2"/>
  <c r="AD23" i="2"/>
  <c r="T23" i="4"/>
  <c r="V23" i="4"/>
  <c r="AK11" i="1"/>
  <c r="S24" i="4"/>
  <c r="AC23" i="11"/>
  <c r="U24" i="4"/>
  <c r="AA24" i="2"/>
  <c r="AB24" i="2"/>
  <c r="AC24" i="2"/>
  <c r="AD24" i="2"/>
  <c r="T24" i="4"/>
  <c r="V24" i="4"/>
  <c r="AK16" i="1"/>
  <c r="S25" i="4"/>
  <c r="AC24" i="11"/>
  <c r="U25" i="4"/>
  <c r="AA25" i="2"/>
  <c r="AB25" i="2"/>
  <c r="AC25" i="2"/>
  <c r="AD25" i="2"/>
  <c r="T25" i="4"/>
  <c r="V25" i="4"/>
  <c r="AK21" i="1"/>
  <c r="S26" i="4"/>
  <c r="AC25" i="11"/>
  <c r="U26" i="4"/>
  <c r="AA26" i="2"/>
  <c r="AB26" i="2"/>
  <c r="AC26" i="2"/>
  <c r="AD26" i="2"/>
  <c r="T26" i="4"/>
  <c r="V26" i="4"/>
  <c r="AK12" i="1"/>
  <c r="S27" i="4"/>
  <c r="AC26" i="11"/>
  <c r="U27" i="4"/>
  <c r="AA27" i="2"/>
  <c r="AB27" i="2"/>
  <c r="AC27" i="2"/>
  <c r="AD27" i="2"/>
  <c r="T27" i="4"/>
  <c r="V27" i="4"/>
  <c r="AK29" i="1"/>
  <c r="S28" i="4"/>
  <c r="AC27" i="11"/>
  <c r="U28" i="4"/>
  <c r="Z28" i="2"/>
  <c r="AA28" i="2"/>
  <c r="AB28" i="2"/>
  <c r="AC28" i="2"/>
  <c r="AD28" i="2"/>
  <c r="T28" i="4"/>
  <c r="V28" i="4"/>
  <c r="AK30" i="1"/>
  <c r="S29" i="4"/>
  <c r="AC28" i="11"/>
  <c r="U29" i="4"/>
  <c r="AA29" i="2"/>
  <c r="AB29" i="2"/>
  <c r="AC29" i="2"/>
  <c r="AD29" i="2"/>
  <c r="T29" i="4"/>
  <c r="V29" i="4"/>
  <c r="AK31" i="1"/>
  <c r="S30" i="4"/>
  <c r="AC29" i="11"/>
  <c r="U30" i="4"/>
  <c r="Z30" i="2"/>
  <c r="AA30" i="2"/>
  <c r="AB30" i="2"/>
  <c r="AC30" i="2"/>
  <c r="AD30" i="2"/>
  <c r="T30" i="4"/>
  <c r="V30" i="4"/>
  <c r="AK32" i="1"/>
  <c r="S31" i="4"/>
  <c r="AC30" i="11"/>
  <c r="U31" i="4"/>
  <c r="AA31" i="2"/>
  <c r="AB31" i="2"/>
  <c r="AC31" i="2"/>
  <c r="AD31" i="2"/>
  <c r="T31" i="4"/>
  <c r="V31" i="4"/>
  <c r="AK33" i="1"/>
  <c r="S32" i="4"/>
  <c r="AC31" i="11"/>
  <c r="U32" i="4"/>
  <c r="AA32" i="2"/>
  <c r="AB32" i="2"/>
  <c r="AC32" i="2"/>
  <c r="AD32" i="2"/>
  <c r="T32" i="4"/>
  <c r="V32" i="4"/>
  <c r="AK34" i="1"/>
  <c r="S33" i="4"/>
  <c r="AC32" i="11"/>
  <c r="U33" i="4"/>
  <c r="AA33" i="2"/>
  <c r="AB33" i="2"/>
  <c r="AC33" i="2"/>
  <c r="AD33" i="2"/>
  <c r="T33" i="4"/>
  <c r="V33" i="4"/>
  <c r="G3" i="11"/>
  <c r="E4" i="4"/>
  <c r="G4" i="11"/>
  <c r="E5" i="4"/>
  <c r="G5" i="11"/>
  <c r="E6" i="4"/>
  <c r="G6" i="11"/>
  <c r="E7" i="4"/>
  <c r="G7" i="11"/>
  <c r="E8" i="4"/>
  <c r="G8" i="11"/>
  <c r="E9" i="4"/>
  <c r="G9" i="11"/>
  <c r="E10" i="4"/>
  <c r="G10" i="11"/>
  <c r="E11" i="4"/>
  <c r="G11" i="11"/>
  <c r="E12" i="4"/>
  <c r="G12" i="11"/>
  <c r="E13" i="4"/>
  <c r="G13" i="11"/>
  <c r="E14" i="4"/>
  <c r="G14" i="11"/>
  <c r="E15" i="4"/>
  <c r="G15" i="11"/>
  <c r="E16" i="4"/>
  <c r="G16" i="11"/>
  <c r="E17" i="4"/>
  <c r="G17" i="11"/>
  <c r="E18" i="4"/>
  <c r="G18" i="11"/>
  <c r="E19" i="4"/>
  <c r="G19" i="11"/>
  <c r="E20" i="4"/>
  <c r="G20" i="11"/>
  <c r="E21" i="4"/>
  <c r="G21" i="11"/>
  <c r="E22" i="4"/>
  <c r="G22" i="11"/>
  <c r="E23" i="4"/>
  <c r="G23" i="11"/>
  <c r="E24" i="4"/>
  <c r="G24" i="11"/>
  <c r="E25" i="4"/>
  <c r="G25" i="11"/>
  <c r="E26" i="4"/>
  <c r="G26" i="11"/>
  <c r="E27" i="4"/>
  <c r="G27" i="11"/>
  <c r="E28" i="4"/>
  <c r="G28" i="11"/>
  <c r="E29" i="4"/>
  <c r="G29" i="11"/>
  <c r="E30" i="4"/>
  <c r="G30" i="11"/>
  <c r="E31" i="4"/>
  <c r="G31" i="11"/>
  <c r="E32" i="4"/>
  <c r="G32" i="11"/>
  <c r="E33" i="4"/>
  <c r="E34" i="4"/>
  <c r="I5" i="1"/>
  <c r="C4" i="4"/>
  <c r="I6" i="1"/>
  <c r="C5" i="4"/>
  <c r="I7" i="1"/>
  <c r="C6" i="4"/>
  <c r="I8" i="1"/>
  <c r="C7" i="4"/>
  <c r="I9" i="1"/>
  <c r="C8" i="4"/>
  <c r="I10" i="1"/>
  <c r="C9" i="4"/>
  <c r="I11" i="1"/>
  <c r="C10" i="4"/>
  <c r="I12" i="1"/>
  <c r="C11" i="4"/>
  <c r="I13" i="1"/>
  <c r="C12" i="4"/>
  <c r="I14" i="1"/>
  <c r="C13" i="4"/>
  <c r="I15" i="1"/>
  <c r="C14" i="4"/>
  <c r="I16" i="1"/>
  <c r="C15" i="4"/>
  <c r="I17" i="1"/>
  <c r="C16" i="4"/>
  <c r="I18" i="1"/>
  <c r="C17" i="4"/>
  <c r="I19" i="1"/>
  <c r="C18" i="4"/>
  <c r="I20" i="1"/>
  <c r="C19" i="4"/>
  <c r="I21" i="1"/>
  <c r="C20" i="4"/>
  <c r="I22" i="1"/>
  <c r="C21" i="4"/>
  <c r="I23" i="1"/>
  <c r="C22" i="4"/>
  <c r="I24" i="1"/>
  <c r="C23" i="4"/>
  <c r="I25" i="1"/>
  <c r="C24" i="4"/>
  <c r="I26" i="1"/>
  <c r="C25" i="4"/>
  <c r="I27" i="1"/>
  <c r="C26" i="4"/>
  <c r="I28" i="1"/>
  <c r="C27" i="4"/>
  <c r="I29" i="1"/>
  <c r="C28" i="4"/>
  <c r="I30" i="1"/>
  <c r="C29" i="4"/>
  <c r="I31" i="1"/>
  <c r="C30" i="4"/>
  <c r="I32" i="1"/>
  <c r="C31" i="4"/>
  <c r="I33" i="1"/>
  <c r="C32" i="4"/>
  <c r="I34" i="1"/>
  <c r="C33" i="4"/>
  <c r="C34" i="4"/>
  <c r="E4" i="2"/>
  <c r="F4" i="2"/>
  <c r="G4" i="2"/>
  <c r="H4" i="2"/>
  <c r="D4" i="4"/>
  <c r="E5" i="2"/>
  <c r="F5" i="2"/>
  <c r="G5" i="2"/>
  <c r="H5" i="2"/>
  <c r="D5" i="4"/>
  <c r="D6" i="2"/>
  <c r="E6" i="2"/>
  <c r="F6" i="2"/>
  <c r="G6" i="2"/>
  <c r="H6" i="2"/>
  <c r="D6" i="4"/>
  <c r="E7" i="2"/>
  <c r="F7" i="2"/>
  <c r="G7" i="2"/>
  <c r="H7" i="2"/>
  <c r="D7" i="4"/>
  <c r="D8" i="2"/>
  <c r="E8" i="2"/>
  <c r="F8" i="2"/>
  <c r="G8" i="2"/>
  <c r="H8" i="2"/>
  <c r="D8" i="4"/>
  <c r="E9" i="2"/>
  <c r="F9" i="2"/>
  <c r="G9" i="2"/>
  <c r="H9" i="2"/>
  <c r="D9" i="4"/>
  <c r="E10" i="2"/>
  <c r="F10" i="2"/>
  <c r="G10" i="2"/>
  <c r="H10" i="2"/>
  <c r="D10" i="4"/>
  <c r="E11" i="2"/>
  <c r="F11" i="2"/>
  <c r="G11" i="2"/>
  <c r="H11" i="2"/>
  <c r="D11" i="4"/>
  <c r="E12" i="2"/>
  <c r="F12" i="2"/>
  <c r="G12" i="2"/>
  <c r="H12" i="2"/>
  <c r="D12" i="4"/>
  <c r="E13" i="2"/>
  <c r="F13" i="2"/>
  <c r="G13" i="2"/>
  <c r="H13" i="2"/>
  <c r="D13" i="4"/>
  <c r="D14" i="2"/>
  <c r="E14" i="2"/>
  <c r="F14" i="2"/>
  <c r="G14" i="2"/>
  <c r="H14" i="2"/>
  <c r="D14" i="4"/>
  <c r="E15" i="2"/>
  <c r="F15" i="2"/>
  <c r="G15" i="2"/>
  <c r="H15" i="2"/>
  <c r="D15" i="4"/>
  <c r="E16" i="2"/>
  <c r="F16" i="2"/>
  <c r="G16" i="2"/>
  <c r="H16" i="2"/>
  <c r="D16" i="4"/>
  <c r="E17" i="2"/>
  <c r="F17" i="2"/>
  <c r="G17" i="2"/>
  <c r="H17" i="2"/>
  <c r="D17" i="4"/>
  <c r="E18" i="2"/>
  <c r="F18" i="2"/>
  <c r="G18" i="2"/>
  <c r="H18" i="2"/>
  <c r="D18" i="4"/>
  <c r="E19" i="2"/>
  <c r="F19" i="2"/>
  <c r="G19" i="2"/>
  <c r="H19" i="2"/>
  <c r="D19" i="4"/>
  <c r="E20" i="2"/>
  <c r="F20" i="2"/>
  <c r="G20" i="2"/>
  <c r="H20" i="2"/>
  <c r="D20" i="4"/>
  <c r="D21" i="2"/>
  <c r="E21" i="2"/>
  <c r="F21" i="2"/>
  <c r="G21" i="2"/>
  <c r="H21" i="2"/>
  <c r="D21" i="4"/>
  <c r="E22" i="2"/>
  <c r="F22" i="2"/>
  <c r="G22" i="2"/>
  <c r="H22" i="2"/>
  <c r="D22" i="4"/>
  <c r="E23" i="2"/>
  <c r="F23" i="2"/>
  <c r="G23" i="2"/>
  <c r="H23" i="2"/>
  <c r="D23" i="4"/>
  <c r="E24" i="2"/>
  <c r="F24" i="2"/>
  <c r="G24" i="2"/>
  <c r="H24" i="2"/>
  <c r="D24" i="4"/>
  <c r="E25" i="2"/>
  <c r="F25" i="2"/>
  <c r="G25" i="2"/>
  <c r="H25" i="2"/>
  <c r="D25" i="4"/>
  <c r="E26" i="2"/>
  <c r="F26" i="2"/>
  <c r="G26" i="2"/>
  <c r="H26" i="2"/>
  <c r="D26" i="4"/>
  <c r="E27" i="2"/>
  <c r="F27" i="2"/>
  <c r="G27" i="2"/>
  <c r="H27" i="2"/>
  <c r="D27" i="4"/>
  <c r="E28" i="2"/>
  <c r="F28" i="2"/>
  <c r="G28" i="2"/>
  <c r="H28" i="2"/>
  <c r="D28" i="4"/>
  <c r="E29" i="2"/>
  <c r="F29" i="2"/>
  <c r="G29" i="2"/>
  <c r="H29" i="2"/>
  <c r="D29" i="4"/>
  <c r="E30" i="2"/>
  <c r="F30" i="2"/>
  <c r="G30" i="2"/>
  <c r="H30" i="2"/>
  <c r="D30" i="4"/>
  <c r="D31" i="2"/>
  <c r="E31" i="2"/>
  <c r="F31" i="2"/>
  <c r="G31" i="2"/>
  <c r="H31" i="2"/>
  <c r="D31" i="4"/>
  <c r="E32" i="2"/>
  <c r="F32" i="2"/>
  <c r="G32" i="2"/>
  <c r="H32" i="2"/>
  <c r="D32" i="4"/>
  <c r="E33" i="2"/>
  <c r="F33" i="2"/>
  <c r="G33" i="2"/>
  <c r="H33" i="2"/>
  <c r="D33" i="4"/>
  <c r="G35" i="1"/>
  <c r="H35" i="1"/>
  <c r="I35" i="1"/>
  <c r="G36" i="1"/>
  <c r="H36" i="1"/>
  <c r="I36" i="1"/>
  <c r="G37" i="1"/>
  <c r="H37" i="1"/>
  <c r="I37" i="1"/>
  <c r="G38" i="1"/>
  <c r="H38" i="1"/>
  <c r="I38" i="1"/>
  <c r="K4" i="10"/>
  <c r="K5" i="10"/>
  <c r="K6" i="10"/>
  <c r="K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F3" i="10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K3" i="10"/>
  <c r="V37" i="4"/>
  <c r="U37" i="4"/>
  <c r="T37" i="4"/>
  <c r="S37" i="4"/>
  <c r="V36" i="4"/>
  <c r="U36" i="4"/>
  <c r="T36" i="4"/>
  <c r="S36" i="4"/>
  <c r="V35" i="4"/>
  <c r="U35" i="4"/>
  <c r="T35" i="4"/>
  <c r="S35" i="4"/>
  <c r="V34" i="4"/>
  <c r="U34" i="4"/>
  <c r="T34" i="4"/>
  <c r="S34" i="4"/>
  <c r="Q37" i="4"/>
  <c r="P37" i="4"/>
  <c r="O37" i="4"/>
  <c r="N37" i="4"/>
  <c r="Q36" i="4"/>
  <c r="P36" i="4"/>
  <c r="O36" i="4"/>
  <c r="N36" i="4"/>
  <c r="Q35" i="4"/>
  <c r="P35" i="4"/>
  <c r="O35" i="4"/>
  <c r="N35" i="4"/>
  <c r="Q34" i="4"/>
  <c r="P34" i="4"/>
  <c r="O34" i="4"/>
  <c r="N34" i="4"/>
  <c r="K37" i="4"/>
  <c r="J37" i="4"/>
  <c r="I37" i="4"/>
  <c r="H37" i="4"/>
  <c r="K36" i="4"/>
  <c r="J36" i="4"/>
  <c r="I36" i="4"/>
  <c r="H36" i="4"/>
  <c r="K35" i="4"/>
  <c r="J35" i="4"/>
  <c r="I35" i="4"/>
  <c r="H35" i="4"/>
  <c r="K34" i="4"/>
  <c r="J34" i="4"/>
  <c r="I34" i="4"/>
  <c r="H34" i="4"/>
  <c r="D34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D35" i="4"/>
  <c r="E35" i="4"/>
  <c r="F35" i="4"/>
  <c r="D36" i="4"/>
  <c r="E36" i="4"/>
  <c r="F36" i="4"/>
  <c r="D37" i="4"/>
  <c r="E37" i="4"/>
  <c r="F37" i="4"/>
  <c r="C37" i="4"/>
  <c r="C36" i="4"/>
  <c r="C35" i="4"/>
  <c r="AD35" i="2"/>
  <c r="AA34" i="2"/>
  <c r="AB34" i="2"/>
  <c r="AC34" i="2"/>
  <c r="AD34" i="2"/>
  <c r="AA35" i="2"/>
  <c r="AB35" i="2"/>
  <c r="AC35" i="2"/>
  <c r="AA36" i="2"/>
  <c r="AB36" i="2"/>
  <c r="AC36" i="2"/>
  <c r="AD36" i="2"/>
  <c r="AA37" i="2"/>
  <c r="AB37" i="2"/>
  <c r="AC37" i="2"/>
  <c r="AD37" i="2"/>
  <c r="Z37" i="2"/>
  <c r="Z36" i="2"/>
  <c r="Z35" i="2"/>
  <c r="Z34" i="2"/>
  <c r="T34" i="2"/>
  <c r="U34" i="2"/>
  <c r="V34" i="2"/>
  <c r="W34" i="2"/>
  <c r="T35" i="2"/>
  <c r="U35" i="2"/>
  <c r="V35" i="2"/>
  <c r="W35" i="2"/>
  <c r="T36" i="2"/>
  <c r="U36" i="2"/>
  <c r="V36" i="2"/>
  <c r="W36" i="2"/>
  <c r="T37" i="2"/>
  <c r="U37" i="2"/>
  <c r="V37" i="2"/>
  <c r="W37" i="2"/>
  <c r="S35" i="2"/>
  <c r="S34" i="2"/>
  <c r="S37" i="2"/>
  <c r="S36" i="2"/>
  <c r="L34" i="2"/>
  <c r="M34" i="2"/>
  <c r="N34" i="2"/>
  <c r="O34" i="2"/>
  <c r="L35" i="2"/>
  <c r="M35" i="2"/>
  <c r="N35" i="2"/>
  <c r="O35" i="2"/>
  <c r="L36" i="2"/>
  <c r="M36" i="2"/>
  <c r="N36" i="2"/>
  <c r="O36" i="2"/>
  <c r="L37" i="2"/>
  <c r="M37" i="2"/>
  <c r="N37" i="2"/>
  <c r="O37" i="2"/>
  <c r="K37" i="2"/>
  <c r="K36" i="2"/>
  <c r="K35" i="2"/>
  <c r="K34" i="2"/>
  <c r="D34" i="2"/>
  <c r="D35" i="2"/>
  <c r="E34" i="2"/>
  <c r="F34" i="2"/>
  <c r="G34" i="2"/>
  <c r="H34" i="2"/>
  <c r="E35" i="2"/>
  <c r="F35" i="2"/>
  <c r="G35" i="2"/>
  <c r="H35" i="2"/>
  <c r="E36" i="2"/>
  <c r="F36" i="2"/>
  <c r="G36" i="2"/>
  <c r="H36" i="2"/>
  <c r="E37" i="2"/>
  <c r="F37" i="2"/>
  <c r="G37" i="2"/>
  <c r="H37" i="2"/>
  <c r="D37" i="2"/>
  <c r="D36" i="2"/>
  <c r="AJ35" i="1"/>
  <c r="AK35" i="1"/>
  <c r="AJ36" i="1"/>
  <c r="AK36" i="1"/>
  <c r="AJ37" i="1"/>
  <c r="AK37" i="1"/>
  <c r="AJ38" i="1"/>
  <c r="AK38" i="1"/>
  <c r="AI36" i="1"/>
  <c r="AI38" i="1"/>
  <c r="AI37" i="1"/>
  <c r="AI35" i="1"/>
  <c r="AA35" i="1"/>
  <c r="AB35" i="1"/>
  <c r="AA36" i="1"/>
  <c r="AB36" i="1"/>
  <c r="AA37" i="1"/>
  <c r="AB37" i="1"/>
  <c r="AA38" i="1"/>
  <c r="AB38" i="1"/>
  <c r="Z38" i="1"/>
  <c r="Z37" i="1"/>
  <c r="Z36" i="1"/>
  <c r="Z35" i="1"/>
  <c r="Q35" i="1"/>
  <c r="R35" i="1"/>
  <c r="Q36" i="1"/>
  <c r="R36" i="1"/>
  <c r="Q37" i="1"/>
  <c r="R37" i="1"/>
  <c r="Q38" i="1"/>
  <c r="R38" i="1"/>
  <c r="P38" i="1"/>
  <c r="P37" i="1"/>
  <c r="P36" i="1"/>
  <c r="P35" i="1"/>
  <c r="AC36" i="11"/>
  <c r="AB36" i="11"/>
  <c r="AA8" i="11"/>
  <c r="AA24" i="11"/>
  <c r="AA36" i="11"/>
  <c r="V36" i="11"/>
  <c r="U36" i="11"/>
  <c r="T36" i="11"/>
  <c r="N36" i="11"/>
  <c r="M36" i="11"/>
  <c r="L36" i="11"/>
  <c r="G36" i="11"/>
  <c r="F36" i="11"/>
  <c r="E36" i="11"/>
  <c r="AC35" i="11"/>
  <c r="AB35" i="11"/>
  <c r="AA35" i="11"/>
  <c r="V35" i="11"/>
  <c r="U35" i="11"/>
  <c r="T35" i="11"/>
  <c r="N35" i="11"/>
  <c r="M35" i="11"/>
  <c r="L35" i="11"/>
  <c r="G35" i="11"/>
  <c r="F35" i="11"/>
  <c r="E35" i="11"/>
  <c r="AC34" i="11"/>
  <c r="AB34" i="11"/>
  <c r="AA34" i="11"/>
  <c r="V34" i="11"/>
  <c r="U34" i="11"/>
  <c r="T34" i="11"/>
  <c r="N34" i="11"/>
  <c r="M34" i="11"/>
  <c r="L34" i="11"/>
  <c r="G34" i="11"/>
  <c r="F34" i="11"/>
  <c r="E34" i="11"/>
  <c r="AC33" i="11"/>
  <c r="AB33" i="11"/>
  <c r="AA33" i="11"/>
  <c r="V33" i="11"/>
  <c r="U33" i="11"/>
  <c r="T33" i="11"/>
  <c r="N33" i="11"/>
  <c r="M33" i="11"/>
  <c r="L33" i="11"/>
  <c r="G33" i="11"/>
  <c r="F33" i="11"/>
  <c r="E33" i="11"/>
  <c r="F36" i="10"/>
  <c r="E36" i="10"/>
  <c r="D36" i="10"/>
  <c r="K36" i="10"/>
  <c r="J36" i="10"/>
  <c r="I36" i="10"/>
  <c r="F35" i="10"/>
  <c r="E35" i="10"/>
  <c r="D35" i="10"/>
  <c r="K35" i="10"/>
  <c r="J35" i="10"/>
  <c r="I35" i="10"/>
  <c r="F34" i="10"/>
  <c r="E34" i="10"/>
  <c r="D34" i="10"/>
  <c r="K34" i="10"/>
  <c r="J34" i="10"/>
  <c r="I34" i="10"/>
  <c r="F33" i="10"/>
  <c r="E33" i="10"/>
  <c r="D33" i="10"/>
  <c r="K33" i="10"/>
  <c r="J33" i="10"/>
  <c r="I33" i="10"/>
</calcChain>
</file>

<file path=xl/sharedStrings.xml><?xml version="1.0" encoding="utf-8"?>
<sst xmlns="http://schemas.openxmlformats.org/spreadsheetml/2006/main" count="267" uniqueCount="66">
  <si>
    <t>joules</t>
  </si>
  <si>
    <t>Peso seco muestra</t>
  </si>
  <si>
    <t>mg</t>
  </si>
  <si>
    <t>Min</t>
  </si>
  <si>
    <t>Max</t>
  </si>
  <si>
    <t>joul</t>
  </si>
  <si>
    <t>peso seco muestra</t>
  </si>
  <si>
    <t>min</t>
  </si>
  <si>
    <t>max</t>
  </si>
  <si>
    <t>Energy (J)</t>
  </si>
  <si>
    <t>Viscera</t>
  </si>
  <si>
    <t>COQUIMBO; NFU</t>
  </si>
  <si>
    <t>CONCEPCIÓN; SFU</t>
  </si>
  <si>
    <t>Code</t>
  </si>
  <si>
    <t>CL (mm)</t>
  </si>
  <si>
    <t>TDW (g)</t>
  </si>
  <si>
    <t>TDW (mg)</t>
  </si>
  <si>
    <t>Mean</t>
  </si>
  <si>
    <t>S.D.</t>
  </si>
  <si>
    <t>Muscle</t>
  </si>
  <si>
    <t>EB + sample (g)</t>
  </si>
  <si>
    <t>Lipid (g)</t>
  </si>
  <si>
    <t>Lipid (mg)</t>
  </si>
  <si>
    <t>Protein energy</t>
  </si>
  <si>
    <t>Glucose energy</t>
  </si>
  <si>
    <t>Lipid energy</t>
  </si>
  <si>
    <t>Total energy</t>
  </si>
  <si>
    <t>protein</t>
  </si>
  <si>
    <t>Absorbance</t>
  </si>
  <si>
    <t>Sample</t>
  </si>
  <si>
    <t>Dilution</t>
  </si>
  <si>
    <r>
      <t>Concentration (</t>
    </r>
    <r>
      <rPr>
        <sz val="10"/>
        <rFont val="Calibri"/>
        <family val="2"/>
      </rPr>
      <t>µ</t>
    </r>
    <r>
      <rPr>
        <sz val="10"/>
        <rFont val="Arial"/>
        <family val="2"/>
      </rPr>
      <t>g/mL)</t>
    </r>
  </si>
  <si>
    <t>Concentration (mg/mL)</t>
  </si>
  <si>
    <t>Protein in 0,5 mL (mg)</t>
  </si>
  <si>
    <r>
      <t>Concentration * dilution (</t>
    </r>
    <r>
      <rPr>
        <sz val="10"/>
        <rFont val="Calibri"/>
        <family val="2"/>
      </rPr>
      <t>µ</t>
    </r>
    <r>
      <rPr>
        <sz val="10"/>
        <rFont val="Arial"/>
        <family val="2"/>
      </rPr>
      <t>g/mL)</t>
    </r>
  </si>
  <si>
    <t>sample dry weight</t>
  </si>
  <si>
    <t>absorbance</t>
  </si>
  <si>
    <t>Glucose (mg)</t>
  </si>
  <si>
    <t>Protein (mg)</t>
  </si>
  <si>
    <t>Vicera</t>
  </si>
  <si>
    <t>only female non ovigerous</t>
  </si>
  <si>
    <t>Coquimbo; NFU</t>
  </si>
  <si>
    <t xml:space="preserve"> Concepción; SFU</t>
  </si>
  <si>
    <t>Concepción; SFU</t>
  </si>
  <si>
    <t>s.d.</t>
  </si>
  <si>
    <t>Pending</t>
  </si>
  <si>
    <t>Intercept</t>
  </si>
  <si>
    <t>Intersept</t>
  </si>
  <si>
    <t>Standard</t>
  </si>
  <si>
    <t>Min.</t>
  </si>
  <si>
    <t>Max.</t>
  </si>
  <si>
    <t>CL</t>
  </si>
  <si>
    <t>TDW</t>
  </si>
  <si>
    <t>SFU</t>
  </si>
  <si>
    <t>NFU</t>
  </si>
  <si>
    <t>Empty bottle (EB; g)</t>
  </si>
  <si>
    <t>glucose concentration mg /dL</t>
  </si>
  <si>
    <t>glucose concentration mg/mL</t>
  </si>
  <si>
    <t>L/P ratio</t>
  </si>
  <si>
    <t>Meaning</t>
  </si>
  <si>
    <t>Cephalotorax length</t>
  </si>
  <si>
    <t>Total dry weight</t>
  </si>
  <si>
    <t>Southern Fishing Unit</t>
  </si>
  <si>
    <t>Northern Fishing Unit</t>
  </si>
  <si>
    <t>Standard deviation</t>
  </si>
  <si>
    <t>Lipid and Protein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</si>
</sst>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0.0"/>
    <numFmt numFmtId="166" formatCode="0.0000"/>
    <numFmt numFmtId="167" formatCode="#,##0.000"/>
    <numFmt numFmtId="168" formatCode="0.00000"/>
    <numFmt numFmtId="169" formatCode="0.000000000000000"/>
  </numFmts>
  <fonts count="1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Times New Roman"/>
      <family val="1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sz val="12"/>
      <name val="Calibri"/>
      <family val="2"/>
    </font>
    <font>
      <b/>
      <sz val="10"/>
      <name val="Arial"/>
      <family val="2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76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52">
    <xf numFmtId="0" fontId="0" fillId="0" borderId="0" xfId="0"/>
    <xf numFmtId="0" fontId="0" fillId="0" borderId="0" xfId="0" applyBorder="1"/>
    <xf numFmtId="0" fontId="2" fillId="0" borderId="6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1" xfId="0" applyFill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166" fontId="0" fillId="0" borderId="21" xfId="0" applyNumberFormat="1" applyFill="1" applyBorder="1" applyAlignment="1">
      <alignment horizontal="center"/>
    </xf>
    <xf numFmtId="0" fontId="0" fillId="0" borderId="28" xfId="0" applyBorder="1" applyAlignment="1">
      <alignment horizontal="center"/>
    </xf>
    <xf numFmtId="2" fontId="0" fillId="0" borderId="21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0" fontId="1" fillId="0" borderId="16" xfId="0" applyFont="1" applyFill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1" fillId="0" borderId="17" xfId="0" applyFont="1" applyFill="1" applyBorder="1" applyAlignment="1">
      <alignment horizontal="center" wrapText="1"/>
    </xf>
    <xf numFmtId="0" fontId="1" fillId="0" borderId="19" xfId="0" applyFont="1" applyFill="1" applyBorder="1" applyAlignment="1">
      <alignment horizontal="center" wrapText="1"/>
    </xf>
    <xf numFmtId="0" fontId="8" fillId="0" borderId="21" xfId="0" applyFont="1" applyFill="1" applyBorder="1" applyAlignment="1">
      <alignment horizontal="center"/>
    </xf>
    <xf numFmtId="0" fontId="8" fillId="0" borderId="24" xfId="0" applyFon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8" fillId="0" borderId="28" xfId="0" applyFont="1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7" fillId="0" borderId="31" xfId="0" applyFont="1" applyBorder="1"/>
    <xf numFmtId="2" fontId="7" fillId="0" borderId="23" xfId="0" applyNumberFormat="1" applyFont="1" applyBorder="1" applyAlignment="1">
      <alignment horizontal="center"/>
    </xf>
    <xf numFmtId="168" fontId="7" fillId="0" borderId="23" xfId="0" applyNumberFormat="1" applyFont="1" applyBorder="1" applyAlignment="1">
      <alignment horizontal="center"/>
    </xf>
    <xf numFmtId="2" fontId="7" fillId="0" borderId="32" xfId="0" applyNumberFormat="1" applyFont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0" fontId="9" fillId="0" borderId="0" xfId="0" applyFont="1"/>
    <xf numFmtId="0" fontId="7" fillId="0" borderId="20" xfId="0" applyFont="1" applyBorder="1"/>
    <xf numFmtId="164" fontId="0" fillId="0" borderId="21" xfId="0" applyNumberFormat="1" applyFont="1" applyBorder="1" applyAlignment="1">
      <alignment horizontal="center"/>
    </xf>
    <xf numFmtId="2" fontId="0" fillId="0" borderId="21" xfId="0" applyNumberFormat="1" applyFont="1" applyBorder="1" applyAlignment="1">
      <alignment horizontal="center"/>
    </xf>
    <xf numFmtId="2" fontId="0" fillId="0" borderId="24" xfId="0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7" fillId="0" borderId="27" xfId="0" applyFont="1" applyBorder="1"/>
    <xf numFmtId="0" fontId="0" fillId="0" borderId="30" xfId="0" applyBorder="1" applyAlignment="1">
      <alignment horizontal="center"/>
    </xf>
    <xf numFmtId="0" fontId="0" fillId="0" borderId="28" xfId="0" applyFont="1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166" fontId="8" fillId="0" borderId="21" xfId="0" applyNumberFormat="1" applyFont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166" fontId="6" fillId="0" borderId="21" xfId="0" applyNumberFormat="1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166" fontId="6" fillId="0" borderId="23" xfId="0" applyNumberFormat="1" applyFont="1" applyFill="1" applyBorder="1" applyAlignment="1">
      <alignment horizontal="center"/>
    </xf>
    <xf numFmtId="166" fontId="10" fillId="0" borderId="23" xfId="0" applyNumberFormat="1" applyFont="1" applyFill="1" applyBorder="1" applyAlignment="1">
      <alignment horizontal="center"/>
    </xf>
    <xf numFmtId="166" fontId="6" fillId="0" borderId="21" xfId="0" applyNumberFormat="1" applyFont="1" applyFill="1" applyBorder="1" applyAlignment="1">
      <alignment horizontal="center"/>
    </xf>
    <xf numFmtId="166" fontId="6" fillId="0" borderId="22" xfId="0" applyNumberFormat="1" applyFont="1" applyFill="1" applyBorder="1" applyAlignment="1">
      <alignment horizontal="center"/>
    </xf>
    <xf numFmtId="166" fontId="6" fillId="0" borderId="28" xfId="0" applyNumberFormat="1" applyFont="1" applyBorder="1" applyAlignment="1">
      <alignment horizontal="center"/>
    </xf>
    <xf numFmtId="166" fontId="6" fillId="0" borderId="28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6" fillId="0" borderId="0" xfId="0" applyFont="1" applyBorder="1"/>
    <xf numFmtId="0" fontId="2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166" fontId="7" fillId="0" borderId="23" xfId="0" applyNumberFormat="1" applyFont="1" applyBorder="1" applyAlignment="1">
      <alignment horizontal="center"/>
    </xf>
    <xf numFmtId="166" fontId="6" fillId="0" borderId="31" xfId="0" applyNumberFormat="1" applyFont="1" applyFill="1" applyBorder="1" applyAlignment="1">
      <alignment horizontal="center"/>
    </xf>
    <xf numFmtId="166" fontId="6" fillId="0" borderId="20" xfId="0" applyNumberFormat="1" applyFont="1" applyFill="1" applyBorder="1" applyAlignment="1">
      <alignment horizontal="center"/>
    </xf>
    <xf numFmtId="166" fontId="6" fillId="0" borderId="20" xfId="0" applyNumberFormat="1" applyFont="1" applyBorder="1" applyAlignment="1">
      <alignment horizontal="center"/>
    </xf>
    <xf numFmtId="166" fontId="6" fillId="0" borderId="27" xfId="0" applyNumberFormat="1" applyFont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center"/>
    </xf>
    <xf numFmtId="2" fontId="6" fillId="0" borderId="12" xfId="0" applyNumberFormat="1" applyFont="1" applyFill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10" fillId="0" borderId="0" xfId="0" applyFont="1"/>
    <xf numFmtId="0" fontId="6" fillId="0" borderId="0" xfId="0" applyFont="1"/>
    <xf numFmtId="0" fontId="11" fillId="0" borderId="0" xfId="0" applyFont="1" applyBorder="1" applyAlignment="1">
      <alignment horizontal="center"/>
    </xf>
    <xf numFmtId="0" fontId="6" fillId="0" borderId="5" xfId="0" applyFont="1" applyFill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22" xfId="0" applyFont="1" applyFill="1" applyBorder="1" applyAlignment="1">
      <alignment horizontal="center" wrapText="1"/>
    </xf>
    <xf numFmtId="165" fontId="6" fillId="0" borderId="22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2" fontId="6" fillId="0" borderId="24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166" fontId="6" fillId="0" borderId="0" xfId="0" applyNumberFormat="1" applyFont="1" applyFill="1" applyBorder="1" applyAlignment="1">
      <alignment horizontal="center"/>
    </xf>
    <xf numFmtId="166" fontId="6" fillId="0" borderId="0" xfId="0" applyNumberFormat="1" applyFont="1" applyBorder="1" applyAlignment="1">
      <alignment horizontal="center"/>
    </xf>
    <xf numFmtId="167" fontId="6" fillId="0" borderId="21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28" xfId="0" applyFont="1" applyBorder="1" applyAlignment="1">
      <alignment horizontal="center"/>
    </xf>
    <xf numFmtId="0" fontId="11" fillId="0" borderId="31" xfId="0" applyFont="1" applyBorder="1"/>
    <xf numFmtId="0" fontId="11" fillId="0" borderId="8" xfId="0" applyFont="1" applyBorder="1"/>
    <xf numFmtId="0" fontId="6" fillId="0" borderId="37" xfId="0" applyFont="1" applyBorder="1"/>
    <xf numFmtId="166" fontId="11" fillId="0" borderId="23" xfId="0" applyNumberFormat="1" applyFont="1" applyFill="1" applyBorder="1" applyAlignment="1">
      <alignment horizontal="center"/>
    </xf>
    <xf numFmtId="166" fontId="6" fillId="0" borderId="25" xfId="0" applyNumberFormat="1" applyFont="1" applyFill="1" applyBorder="1" applyAlignment="1">
      <alignment horizontal="center"/>
    </xf>
    <xf numFmtId="166" fontId="11" fillId="0" borderId="25" xfId="0" applyNumberFormat="1" applyFont="1" applyFill="1" applyBorder="1" applyAlignment="1">
      <alignment horizontal="center"/>
    </xf>
    <xf numFmtId="166" fontId="6" fillId="0" borderId="32" xfId="0" applyNumberFormat="1" applyFont="1" applyFill="1" applyBorder="1" applyAlignment="1">
      <alignment horizontal="center"/>
    </xf>
    <xf numFmtId="0" fontId="12" fillId="0" borderId="0" xfId="0" applyFont="1" applyBorder="1" applyAlignment="1">
      <alignment horizontal="center" vertical="center" textRotation="90"/>
    </xf>
    <xf numFmtId="0" fontId="6" fillId="0" borderId="0" xfId="0" applyFont="1" applyFill="1" applyBorder="1" applyAlignment="1">
      <alignment horizontal="left"/>
    </xf>
    <xf numFmtId="0" fontId="11" fillId="0" borderId="20" xfId="0" applyFont="1" applyBorder="1"/>
    <xf numFmtId="0" fontId="11" fillId="0" borderId="11" xfId="0" applyFont="1" applyBorder="1"/>
    <xf numFmtId="0" fontId="6" fillId="0" borderId="26" xfId="0" applyFont="1" applyBorder="1"/>
    <xf numFmtId="166" fontId="6" fillId="0" borderId="24" xfId="0" applyNumberFormat="1" applyFont="1" applyFill="1" applyBorder="1" applyAlignment="1">
      <alignment horizontal="center"/>
    </xf>
    <xf numFmtId="166" fontId="6" fillId="0" borderId="12" xfId="0" applyNumberFormat="1" applyFont="1" applyFill="1" applyBorder="1" applyAlignment="1">
      <alignment horizontal="center"/>
    </xf>
    <xf numFmtId="166" fontId="6" fillId="0" borderId="22" xfId="0" applyNumberFormat="1" applyFont="1" applyBorder="1" applyAlignment="1">
      <alignment horizontal="center"/>
    </xf>
    <xf numFmtId="166" fontId="6" fillId="0" borderId="24" xfId="0" applyNumberFormat="1" applyFont="1" applyBorder="1" applyAlignment="1">
      <alignment horizontal="center"/>
    </xf>
    <xf numFmtId="166" fontId="6" fillId="0" borderId="12" xfId="0" applyNumberFormat="1" applyFont="1" applyBorder="1" applyAlignment="1">
      <alignment horizontal="center"/>
    </xf>
    <xf numFmtId="0" fontId="11" fillId="0" borderId="27" xfId="0" applyFont="1" applyBorder="1"/>
    <xf numFmtId="166" fontId="6" fillId="0" borderId="29" xfId="0" applyNumberFormat="1" applyFont="1" applyBorder="1" applyAlignment="1">
      <alignment horizontal="center"/>
    </xf>
    <xf numFmtId="166" fontId="6" fillId="0" borderId="30" xfId="0" applyNumberFormat="1" applyFont="1" applyBorder="1" applyAlignment="1">
      <alignment horizontal="center"/>
    </xf>
    <xf numFmtId="0" fontId="12" fillId="0" borderId="0" xfId="0" applyFont="1" applyBorder="1" applyAlignment="1">
      <alignment vertical="center" textRotation="90"/>
    </xf>
    <xf numFmtId="0" fontId="6" fillId="0" borderId="0" xfId="0" applyFont="1" applyAlignment="1">
      <alignment wrapText="1"/>
    </xf>
    <xf numFmtId="0" fontId="6" fillId="0" borderId="0" xfId="0" applyFont="1" applyFill="1" applyBorder="1" applyAlignment="1">
      <alignment wrapText="1"/>
    </xf>
    <xf numFmtId="2" fontId="6" fillId="0" borderId="9" xfId="0" applyNumberFormat="1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2" fontId="6" fillId="0" borderId="10" xfId="0" applyNumberFormat="1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 wrapText="1"/>
    </xf>
    <xf numFmtId="2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2" fontId="13" fillId="0" borderId="12" xfId="0" applyNumberFormat="1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2" fontId="13" fillId="0" borderId="4" xfId="0" applyNumberFormat="1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2" fontId="6" fillId="0" borderId="4" xfId="0" applyNumberFormat="1" applyFont="1" applyFill="1" applyBorder="1" applyAlignment="1">
      <alignment horizontal="center"/>
    </xf>
    <xf numFmtId="2" fontId="13" fillId="0" borderId="14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165" fontId="6" fillId="0" borderId="4" xfId="0" applyNumberFormat="1" applyFont="1" applyFill="1" applyBorder="1" applyAlignment="1">
      <alignment horizontal="center"/>
    </xf>
    <xf numFmtId="2" fontId="6" fillId="0" borderId="14" xfId="0" applyNumberFormat="1" applyFont="1" applyFill="1" applyBorder="1" applyAlignment="1">
      <alignment horizontal="center"/>
    </xf>
    <xf numFmtId="166" fontId="10" fillId="0" borderId="0" xfId="0" applyNumberFormat="1" applyFont="1" applyBorder="1" applyAlignment="1">
      <alignment horizontal="center"/>
    </xf>
    <xf numFmtId="166" fontId="10" fillId="0" borderId="10" xfId="0" applyNumberFormat="1" applyFont="1" applyBorder="1" applyAlignment="1">
      <alignment horizontal="center"/>
    </xf>
    <xf numFmtId="168" fontId="10" fillId="0" borderId="0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center"/>
    </xf>
    <xf numFmtId="168" fontId="10" fillId="0" borderId="10" xfId="0" applyNumberFormat="1" applyFont="1" applyBorder="1" applyAlignment="1">
      <alignment horizontal="center"/>
    </xf>
    <xf numFmtId="168" fontId="6" fillId="0" borderId="0" xfId="0" applyNumberFormat="1" applyFont="1" applyFill="1" applyBorder="1" applyAlignment="1">
      <alignment horizontal="center"/>
    </xf>
    <xf numFmtId="168" fontId="6" fillId="0" borderId="9" xfId="0" applyNumberFormat="1" applyFont="1" applyFill="1" applyBorder="1" applyAlignment="1">
      <alignment horizontal="center"/>
    </xf>
    <xf numFmtId="168" fontId="6" fillId="0" borderId="10" xfId="0" applyNumberFormat="1" applyFont="1" applyFill="1" applyBorder="1" applyAlignment="1">
      <alignment horizontal="center"/>
    </xf>
    <xf numFmtId="2" fontId="6" fillId="0" borderId="0" xfId="0" applyNumberFormat="1" applyFont="1"/>
    <xf numFmtId="168" fontId="6" fillId="0" borderId="12" xfId="0" applyNumberFormat="1" applyFont="1" applyFill="1" applyBorder="1" applyAlignment="1">
      <alignment horizontal="center"/>
    </xf>
    <xf numFmtId="166" fontId="6" fillId="0" borderId="0" xfId="0" applyNumberFormat="1" applyFont="1" applyBorder="1"/>
    <xf numFmtId="168" fontId="6" fillId="0" borderId="0" xfId="0" applyNumberFormat="1" applyFont="1" applyBorder="1" applyAlignment="1">
      <alignment horizontal="center"/>
    </xf>
    <xf numFmtId="168" fontId="6" fillId="0" borderId="12" xfId="0" applyNumberFormat="1" applyFont="1" applyBorder="1" applyAlignment="1">
      <alignment horizontal="center"/>
    </xf>
    <xf numFmtId="166" fontId="6" fillId="0" borderId="4" xfId="0" applyNumberFormat="1" applyFont="1" applyBorder="1" applyAlignment="1">
      <alignment horizontal="center"/>
    </xf>
    <xf numFmtId="166" fontId="6" fillId="0" borderId="14" xfId="0" applyNumberFormat="1" applyFont="1" applyBorder="1" applyAlignment="1">
      <alignment horizontal="center"/>
    </xf>
    <xf numFmtId="168" fontId="6" fillId="0" borderId="4" xfId="0" applyNumberFormat="1" applyFont="1" applyBorder="1" applyAlignment="1">
      <alignment horizontal="center"/>
    </xf>
    <xf numFmtId="168" fontId="6" fillId="0" borderId="14" xfId="0" applyNumberFormat="1" applyFont="1" applyBorder="1" applyAlignment="1">
      <alignment horizontal="center"/>
    </xf>
    <xf numFmtId="168" fontId="6" fillId="0" borderId="4" xfId="0" applyNumberFormat="1" applyFont="1" applyFill="1" applyBorder="1" applyAlignment="1">
      <alignment horizontal="center"/>
    </xf>
    <xf numFmtId="168" fontId="6" fillId="0" borderId="14" xfId="0" applyNumberFormat="1" applyFont="1" applyFill="1" applyBorder="1" applyAlignment="1">
      <alignment horizontal="center"/>
    </xf>
    <xf numFmtId="166" fontId="6" fillId="0" borderId="4" xfId="0" applyNumberFormat="1" applyFont="1" applyFill="1" applyBorder="1" applyAlignment="1">
      <alignment horizontal="center"/>
    </xf>
    <xf numFmtId="166" fontId="6" fillId="0" borderId="14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Border="1" applyAlignment="1">
      <alignment wrapText="1"/>
    </xf>
    <xf numFmtId="0" fontId="13" fillId="0" borderId="0" xfId="0" applyFont="1" applyBorder="1" applyAlignment="1">
      <alignment horizontal="center"/>
    </xf>
    <xf numFmtId="2" fontId="10" fillId="0" borderId="0" xfId="0" applyNumberFormat="1" applyFont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0" fontId="6" fillId="0" borderId="11" xfId="0" applyFont="1" applyFill="1" applyBorder="1"/>
    <xf numFmtId="0" fontId="6" fillId="0" borderId="11" xfId="0" applyFont="1" applyBorder="1"/>
    <xf numFmtId="0" fontId="10" fillId="0" borderId="1" xfId="0" applyFont="1" applyBorder="1"/>
    <xf numFmtId="0" fontId="10" fillId="0" borderId="2" xfId="0" applyFont="1" applyBorder="1" applyAlignment="1">
      <alignment wrapText="1"/>
    </xf>
    <xf numFmtId="0" fontId="10" fillId="0" borderId="3" xfId="0" applyFont="1" applyBorder="1"/>
    <xf numFmtId="0" fontId="14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/>
    <xf numFmtId="0" fontId="8" fillId="0" borderId="15" xfId="0" applyFont="1" applyBorder="1" applyAlignment="1">
      <alignment horizontal="center"/>
    </xf>
    <xf numFmtId="0" fontId="6" fillId="0" borderId="1" xfId="0" applyFont="1" applyBorder="1"/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6" fillId="0" borderId="2" xfId="0" applyFont="1" applyFill="1" applyBorder="1"/>
    <xf numFmtId="0" fontId="6" fillId="0" borderId="6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166" fontId="6" fillId="0" borderId="9" xfId="0" applyNumberFormat="1" applyFont="1" applyFill="1" applyBorder="1" applyAlignment="1">
      <alignment horizontal="center"/>
    </xf>
    <xf numFmtId="164" fontId="6" fillId="0" borderId="9" xfId="0" applyNumberFormat="1" applyFont="1" applyFill="1" applyBorder="1" applyAlignment="1">
      <alignment horizontal="center"/>
    </xf>
    <xf numFmtId="164" fontId="6" fillId="0" borderId="0" xfId="0" applyNumberFormat="1" applyFont="1" applyFill="1" applyBorder="1"/>
    <xf numFmtId="2" fontId="6" fillId="0" borderId="0" xfId="0" applyNumberFormat="1" applyFont="1" applyFill="1" applyBorder="1"/>
    <xf numFmtId="166" fontId="6" fillId="0" borderId="0" xfId="0" applyNumberFormat="1" applyFont="1"/>
    <xf numFmtId="166" fontId="6" fillId="0" borderId="10" xfId="0" applyNumberFormat="1" applyFont="1" applyFill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0" fontId="12" fillId="0" borderId="0" xfId="0" applyFont="1" applyBorder="1" applyAlignment="1">
      <alignment vertical="center" textRotation="90" wrapText="1"/>
    </xf>
    <xf numFmtId="0" fontId="15" fillId="0" borderId="8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2" fontId="6" fillId="0" borderId="34" xfId="0" applyNumberFormat="1" applyFont="1" applyFill="1" applyBorder="1" applyAlignment="1">
      <alignment horizontal="center"/>
    </xf>
    <xf numFmtId="2" fontId="6" fillId="0" borderId="12" xfId="0" applyNumberFormat="1" applyFont="1" applyBorder="1" applyAlignment="1">
      <alignment horizontal="center" vertical="center"/>
    </xf>
    <xf numFmtId="2" fontId="6" fillId="0" borderId="32" xfId="0" applyNumberFormat="1" applyFont="1" applyBorder="1" applyAlignment="1">
      <alignment horizontal="center"/>
    </xf>
    <xf numFmtId="2" fontId="6" fillId="0" borderId="10" xfId="0" applyNumberFormat="1" applyFont="1" applyBorder="1" applyAlignment="1">
      <alignment horizontal="center" vertical="center"/>
    </xf>
    <xf numFmtId="2" fontId="6" fillId="0" borderId="25" xfId="0" applyNumberFormat="1" applyFont="1" applyBorder="1" applyAlignment="1">
      <alignment horizontal="center"/>
    </xf>
    <xf numFmtId="2" fontId="6" fillId="0" borderId="34" xfId="0" applyNumberFormat="1" applyFont="1" applyBorder="1" applyAlignment="1">
      <alignment horizontal="center" vertical="center"/>
    </xf>
    <xf numFmtId="2" fontId="6" fillId="0" borderId="34" xfId="0" applyNumberFormat="1" applyFont="1" applyBorder="1" applyAlignment="1">
      <alignment horizontal="center"/>
    </xf>
    <xf numFmtId="2" fontId="6" fillId="0" borderId="35" xfId="0" applyNumberFormat="1" applyFont="1" applyFill="1" applyBorder="1" applyAlignment="1">
      <alignment horizontal="center"/>
    </xf>
    <xf numFmtId="2" fontId="6" fillId="0" borderId="22" xfId="0" applyNumberFormat="1" applyFont="1" applyBorder="1" applyAlignment="1">
      <alignment horizontal="center"/>
    </xf>
    <xf numFmtId="2" fontId="6" fillId="0" borderId="35" xfId="0" applyNumberFormat="1" applyFont="1" applyBorder="1" applyAlignment="1">
      <alignment horizontal="center" vertical="center"/>
    </xf>
    <xf numFmtId="2" fontId="6" fillId="0" borderId="35" xfId="0" applyNumberFormat="1" applyFont="1" applyBorder="1" applyAlignment="1">
      <alignment horizontal="center"/>
    </xf>
    <xf numFmtId="2" fontId="13" fillId="0" borderId="35" xfId="0" applyNumberFormat="1" applyFont="1" applyFill="1" applyBorder="1" applyAlignment="1">
      <alignment horizontal="center"/>
    </xf>
    <xf numFmtId="2" fontId="6" fillId="0" borderId="0" xfId="0" applyNumberFormat="1" applyFont="1" applyBorder="1"/>
    <xf numFmtId="164" fontId="6" fillId="0" borderId="0" xfId="0" applyNumberFormat="1" applyFont="1" applyBorder="1"/>
    <xf numFmtId="164" fontId="6" fillId="0" borderId="0" xfId="0" applyNumberFormat="1" applyFont="1"/>
    <xf numFmtId="0" fontId="6" fillId="0" borderId="0" xfId="0" applyFont="1" applyBorder="1" applyAlignment="1"/>
    <xf numFmtId="2" fontId="13" fillId="0" borderId="33" xfId="0" applyNumberFormat="1" applyFont="1" applyFill="1" applyBorder="1" applyAlignment="1">
      <alignment horizontal="center"/>
    </xf>
    <xf numFmtId="2" fontId="6" fillId="0" borderId="14" xfId="0" applyNumberFormat="1" applyFont="1" applyBorder="1" applyAlignment="1">
      <alignment horizontal="center"/>
    </xf>
    <xf numFmtId="2" fontId="6" fillId="0" borderId="14" xfId="0" applyNumberFormat="1" applyFont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/>
    </xf>
    <xf numFmtId="2" fontId="6" fillId="0" borderId="33" xfId="0" applyNumberFormat="1" applyFont="1" applyFill="1" applyBorder="1" applyAlignment="1">
      <alignment horizontal="center"/>
    </xf>
    <xf numFmtId="2" fontId="6" fillId="0" borderId="33" xfId="0" applyNumberFormat="1" applyFont="1" applyBorder="1" applyAlignment="1">
      <alignment horizontal="center"/>
    </xf>
    <xf numFmtId="0" fontId="12" fillId="0" borderId="0" xfId="0" applyFont="1" applyAlignment="1">
      <alignment vertical="center" textRotation="90"/>
    </xf>
    <xf numFmtId="2" fontId="10" fillId="0" borderId="8" xfId="0" applyNumberFormat="1" applyFont="1" applyBorder="1" applyAlignment="1">
      <alignment horizontal="center"/>
    </xf>
    <xf numFmtId="2" fontId="10" fillId="0" borderId="34" xfId="0" applyNumberFormat="1" applyFont="1" applyBorder="1" applyAlignment="1">
      <alignment horizontal="center"/>
    </xf>
    <xf numFmtId="2" fontId="10" fillId="0" borderId="11" xfId="0" applyNumberFormat="1" applyFont="1" applyBorder="1" applyAlignment="1">
      <alignment horizontal="center"/>
    </xf>
    <xf numFmtId="2" fontId="10" fillId="0" borderId="35" xfId="0" applyNumberFormat="1" applyFon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2" fontId="6" fillId="0" borderId="13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 textRotation="90"/>
    </xf>
    <xf numFmtId="2" fontId="6" fillId="0" borderId="0" xfId="0" applyNumberFormat="1" applyFont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166" fontId="10" fillId="0" borderId="0" xfId="0" applyNumberFormat="1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/>
    <xf numFmtId="0" fontId="6" fillId="0" borderId="7" xfId="0" applyFont="1" applyBorder="1" applyAlignment="1">
      <alignment horizontal="center"/>
    </xf>
    <xf numFmtId="0" fontId="6" fillId="0" borderId="17" xfId="0" applyFont="1" applyBorder="1"/>
    <xf numFmtId="0" fontId="6" fillId="0" borderId="11" xfId="0" applyFont="1" applyBorder="1" applyAlignment="1">
      <alignment horizontal="center"/>
    </xf>
    <xf numFmtId="165" fontId="6" fillId="0" borderId="11" xfId="0" applyNumberFormat="1" applyFont="1" applyBorder="1" applyAlignment="1">
      <alignment horizontal="center"/>
    </xf>
    <xf numFmtId="2" fontId="6" fillId="0" borderId="21" xfId="0" applyNumberFormat="1" applyFont="1" applyFill="1" applyBorder="1" applyAlignment="1">
      <alignment horizontal="center"/>
    </xf>
    <xf numFmtId="169" fontId="6" fillId="0" borderId="0" xfId="0" applyNumberFormat="1" applyFont="1"/>
    <xf numFmtId="165" fontId="6" fillId="0" borderId="11" xfId="0" applyNumberFormat="1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165" fontId="6" fillId="0" borderId="13" xfId="0" applyNumberFormat="1" applyFont="1" applyBorder="1" applyAlignment="1">
      <alignment horizontal="center"/>
    </xf>
    <xf numFmtId="2" fontId="6" fillId="0" borderId="28" xfId="0" applyNumberFormat="1" applyFont="1" applyFill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0" fillId="0" borderId="20" xfId="0" applyBorder="1" applyAlignment="1">
      <alignment horizontal="center"/>
    </xf>
    <xf numFmtId="0" fontId="0" fillId="0" borderId="27" xfId="0" applyBorder="1" applyAlignment="1">
      <alignment horizontal="center"/>
    </xf>
    <xf numFmtId="0" fontId="10" fillId="0" borderId="0" xfId="0" applyFont="1" applyAlignment="1">
      <alignment vertical="center" textRotation="90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2" fillId="0" borderId="12" xfId="0" applyFont="1" applyBorder="1" applyAlignment="1">
      <alignment horizontal="center" vertical="center" textRotation="90"/>
    </xf>
    <xf numFmtId="0" fontId="12" fillId="0" borderId="0" xfId="0" applyFont="1" applyBorder="1" applyAlignment="1">
      <alignment horizontal="center" vertical="center" textRotation="90"/>
    </xf>
    <xf numFmtId="0" fontId="10" fillId="0" borderId="0" xfId="0" applyFont="1" applyBorder="1" applyAlignment="1">
      <alignment horizontal="center" vertical="center" textRotation="90"/>
    </xf>
    <xf numFmtId="0" fontId="12" fillId="0" borderId="12" xfId="0" applyFont="1" applyBorder="1" applyAlignment="1">
      <alignment horizontal="center" vertical="center" textRotation="90" wrapText="1"/>
    </xf>
  </cellXfs>
  <cellStyles count="769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" xfId="261" builtinId="8" hidden="1"/>
    <cellStyle name="Hipervínculo" xfId="263" builtinId="8" hidden="1"/>
    <cellStyle name="Hipervínculo" xfId="265" builtinId="8" hidden="1"/>
    <cellStyle name="Hipervínculo" xfId="267" builtinId="8" hidden="1"/>
    <cellStyle name="Hipervínculo" xfId="269" builtinId="8" hidden="1"/>
    <cellStyle name="Hipervínculo" xfId="271" builtinId="8" hidden="1"/>
    <cellStyle name="Hipervínculo" xfId="273" builtinId="8" hidden="1"/>
    <cellStyle name="Hipervínculo" xfId="275" builtinId="8" hidden="1"/>
    <cellStyle name="Hipervínculo" xfId="277" builtinId="8" hidden="1"/>
    <cellStyle name="Hipervínculo" xfId="279" builtinId="8" hidden="1"/>
    <cellStyle name="Hipervínculo" xfId="281" builtinId="8" hidden="1"/>
    <cellStyle name="Hipervínculo" xfId="283" builtinId="8" hidden="1"/>
    <cellStyle name="Hipervínculo" xfId="285" builtinId="8" hidden="1"/>
    <cellStyle name="Hipervínculo" xfId="287" builtinId="8" hidden="1"/>
    <cellStyle name="Hipervínculo" xfId="289" builtinId="8" hidden="1"/>
    <cellStyle name="Hipervínculo" xfId="291" builtinId="8" hidden="1"/>
    <cellStyle name="Hipervínculo" xfId="293" builtinId="8" hidden="1"/>
    <cellStyle name="Hipervínculo" xfId="295" builtinId="8" hidden="1"/>
    <cellStyle name="Hipervínculo" xfId="297" builtinId="8" hidden="1"/>
    <cellStyle name="Hipervínculo" xfId="299" builtinId="8" hidden="1"/>
    <cellStyle name="Hipervínculo" xfId="301" builtinId="8" hidden="1"/>
    <cellStyle name="Hipervínculo" xfId="303" builtinId="8" hidden="1"/>
    <cellStyle name="Hipervínculo" xfId="305" builtinId="8" hidden="1"/>
    <cellStyle name="Hipervínculo" xfId="307" builtinId="8" hidden="1"/>
    <cellStyle name="Hipervínculo" xfId="309" builtinId="8" hidden="1"/>
    <cellStyle name="Hipervínculo" xfId="311" builtinId="8" hidden="1"/>
    <cellStyle name="Hipervínculo" xfId="313" builtinId="8" hidden="1"/>
    <cellStyle name="Hipervínculo" xfId="315" builtinId="8" hidden="1"/>
    <cellStyle name="Hipervínculo" xfId="317" builtinId="8" hidden="1"/>
    <cellStyle name="Hipervínculo" xfId="319" builtinId="8" hidden="1"/>
    <cellStyle name="Hipervínculo" xfId="321" builtinId="8" hidden="1"/>
    <cellStyle name="Hipervínculo" xfId="323" builtinId="8" hidden="1"/>
    <cellStyle name="Hipervínculo" xfId="325" builtinId="8" hidden="1"/>
    <cellStyle name="Hipervínculo" xfId="327" builtinId="8" hidden="1"/>
    <cellStyle name="Hipervínculo" xfId="329" builtinId="8" hidden="1"/>
    <cellStyle name="Hipervínculo" xfId="331" builtinId="8" hidden="1"/>
    <cellStyle name="Hipervínculo" xfId="333" builtinId="8" hidden="1"/>
    <cellStyle name="Hipervínculo" xfId="335" builtinId="8" hidden="1"/>
    <cellStyle name="Hipervínculo" xfId="337" builtinId="8" hidden="1"/>
    <cellStyle name="Hipervínculo" xfId="339" builtinId="8" hidden="1"/>
    <cellStyle name="Hipervínculo" xfId="341" builtinId="8" hidden="1"/>
    <cellStyle name="Hipervínculo" xfId="343" builtinId="8" hidden="1"/>
    <cellStyle name="Hipervínculo" xfId="345" builtinId="8" hidden="1"/>
    <cellStyle name="Hipervínculo" xfId="347" builtinId="8" hidden="1"/>
    <cellStyle name="Hipervínculo" xfId="349" builtinId="8" hidden="1"/>
    <cellStyle name="Hipervínculo" xfId="351" builtinId="8" hidden="1"/>
    <cellStyle name="Hipervínculo" xfId="353" builtinId="8" hidden="1"/>
    <cellStyle name="Hipervínculo" xfId="355" builtinId="8" hidden="1"/>
    <cellStyle name="Hipervínculo" xfId="357" builtinId="8" hidden="1"/>
    <cellStyle name="Hipervínculo" xfId="359" builtinId="8" hidden="1"/>
    <cellStyle name="Hipervínculo" xfId="361" builtinId="8" hidden="1"/>
    <cellStyle name="Hipervínculo" xfId="363" builtinId="8" hidden="1"/>
    <cellStyle name="Hipervínculo" xfId="365" builtinId="8" hidden="1"/>
    <cellStyle name="Hipervínculo" xfId="367" builtinId="8" hidden="1"/>
    <cellStyle name="Hipervínculo" xfId="369" builtinId="8" hidden="1"/>
    <cellStyle name="Hipervínculo" xfId="371" builtinId="8" hidden="1"/>
    <cellStyle name="Hipervínculo" xfId="373" builtinId="8" hidden="1"/>
    <cellStyle name="Hipervínculo" xfId="375" builtinId="8" hidden="1"/>
    <cellStyle name="Hipervínculo" xfId="377" builtinId="8" hidden="1"/>
    <cellStyle name="Hipervínculo" xfId="379" builtinId="8" hidden="1"/>
    <cellStyle name="Hipervínculo" xfId="381" builtinId="8" hidden="1"/>
    <cellStyle name="Hipervínculo" xfId="383" builtinId="8" hidden="1"/>
    <cellStyle name="Hipervínculo" xfId="385" builtinId="8" hidden="1"/>
    <cellStyle name="Hipervínculo" xfId="387" builtinId="8" hidden="1"/>
    <cellStyle name="Hipervínculo" xfId="389" builtinId="8" hidden="1"/>
    <cellStyle name="Hipervínculo" xfId="391" builtinId="8" hidden="1"/>
    <cellStyle name="Hipervínculo" xfId="393" builtinId="8" hidden="1"/>
    <cellStyle name="Hipervínculo" xfId="395" builtinId="8" hidden="1"/>
    <cellStyle name="Hipervínculo" xfId="397" builtinId="8" hidden="1"/>
    <cellStyle name="Hipervínculo" xfId="399" builtinId="8" hidden="1"/>
    <cellStyle name="Hipervínculo" xfId="401" builtinId="8" hidden="1"/>
    <cellStyle name="Hipervínculo" xfId="403" builtinId="8" hidden="1"/>
    <cellStyle name="Hipervínculo" xfId="405" builtinId="8" hidden="1"/>
    <cellStyle name="Hipervínculo" xfId="407" builtinId="8" hidden="1"/>
    <cellStyle name="Hipervínculo" xfId="409" builtinId="8" hidden="1"/>
    <cellStyle name="Hipervínculo" xfId="411" builtinId="8" hidden="1"/>
    <cellStyle name="Hipervínculo" xfId="413" builtinId="8" hidden="1"/>
    <cellStyle name="Hipervínculo" xfId="415" builtinId="8" hidden="1"/>
    <cellStyle name="Hipervínculo" xfId="417" builtinId="8" hidden="1"/>
    <cellStyle name="Hipervínculo" xfId="419" builtinId="8" hidden="1"/>
    <cellStyle name="Hipervínculo" xfId="421" builtinId="8" hidden="1"/>
    <cellStyle name="Hipervínculo" xfId="423" builtinId="8" hidden="1"/>
    <cellStyle name="Hipervínculo" xfId="425" builtinId="8" hidden="1"/>
    <cellStyle name="Hipervínculo" xfId="427" builtinId="8" hidden="1"/>
    <cellStyle name="Hipervínculo" xfId="429" builtinId="8" hidden="1"/>
    <cellStyle name="Hipervínculo" xfId="431" builtinId="8" hidden="1"/>
    <cellStyle name="Hipervínculo" xfId="433" builtinId="8" hidden="1"/>
    <cellStyle name="Hipervínculo" xfId="435" builtinId="8" hidden="1"/>
    <cellStyle name="Hipervínculo" xfId="437" builtinId="8" hidden="1"/>
    <cellStyle name="Hipervínculo" xfId="439" builtinId="8" hidden="1"/>
    <cellStyle name="Hipervínculo" xfId="441" builtinId="8" hidden="1"/>
    <cellStyle name="Hipervínculo" xfId="443" builtinId="8" hidden="1"/>
    <cellStyle name="Hipervínculo" xfId="445" builtinId="8" hidden="1"/>
    <cellStyle name="Hipervínculo" xfId="447" builtinId="8" hidden="1"/>
    <cellStyle name="Hipervínculo" xfId="449" builtinId="8" hidden="1"/>
    <cellStyle name="Hipervínculo" xfId="451" builtinId="8" hidden="1"/>
    <cellStyle name="Hipervínculo" xfId="453" builtinId="8" hidden="1"/>
    <cellStyle name="Hipervínculo" xfId="455" builtinId="8" hidden="1"/>
    <cellStyle name="Hipervínculo" xfId="457" builtinId="8" hidden="1"/>
    <cellStyle name="Hipervínculo" xfId="459" builtinId="8" hidden="1"/>
    <cellStyle name="Hipervínculo" xfId="461" builtinId="8" hidden="1"/>
    <cellStyle name="Hipervínculo" xfId="463" builtinId="8" hidden="1"/>
    <cellStyle name="Hipervínculo" xfId="465" builtinId="8" hidden="1"/>
    <cellStyle name="Hipervínculo" xfId="467" builtinId="8" hidden="1"/>
    <cellStyle name="Hipervínculo" xfId="469" builtinId="8" hidden="1"/>
    <cellStyle name="Hipervínculo" xfId="471" builtinId="8" hidden="1"/>
    <cellStyle name="Hipervínculo" xfId="473" builtinId="8" hidden="1"/>
    <cellStyle name="Hipervínculo" xfId="475" builtinId="8" hidden="1"/>
    <cellStyle name="Hipervínculo" xfId="477" builtinId="8" hidden="1"/>
    <cellStyle name="Hipervínculo" xfId="479" builtinId="8" hidden="1"/>
    <cellStyle name="Hipervínculo" xfId="481" builtinId="8" hidden="1"/>
    <cellStyle name="Hipervínculo" xfId="483" builtinId="8" hidden="1"/>
    <cellStyle name="Hipervínculo" xfId="485" builtinId="8" hidden="1"/>
    <cellStyle name="Hipervínculo" xfId="487" builtinId="8" hidden="1"/>
    <cellStyle name="Hipervínculo" xfId="489" builtinId="8" hidden="1"/>
    <cellStyle name="Hipervínculo" xfId="491" builtinId="8" hidden="1"/>
    <cellStyle name="Hipervínculo" xfId="493" builtinId="8" hidden="1"/>
    <cellStyle name="Hipervínculo" xfId="495" builtinId="8" hidden="1"/>
    <cellStyle name="Hipervínculo" xfId="497" builtinId="8" hidden="1"/>
    <cellStyle name="Hipervínculo" xfId="499" builtinId="8" hidden="1"/>
    <cellStyle name="Hipervínculo" xfId="501" builtinId="8" hidden="1"/>
    <cellStyle name="Hipervínculo" xfId="503" builtinId="8" hidden="1"/>
    <cellStyle name="Hipervínculo" xfId="505" builtinId="8" hidden="1"/>
    <cellStyle name="Hipervínculo" xfId="507" builtinId="8" hidden="1"/>
    <cellStyle name="Hipervínculo" xfId="509" builtinId="8" hidden="1"/>
    <cellStyle name="Hipervínculo" xfId="511" builtinId="8" hidden="1"/>
    <cellStyle name="Hipervínculo" xfId="513" builtinId="8" hidden="1"/>
    <cellStyle name="Hipervínculo" xfId="515" builtinId="8" hidden="1"/>
    <cellStyle name="Hipervínculo" xfId="517" builtinId="8" hidden="1"/>
    <cellStyle name="Hipervínculo" xfId="519" builtinId="8" hidden="1"/>
    <cellStyle name="Hipervínculo" xfId="521" builtinId="8" hidden="1"/>
    <cellStyle name="Hipervínculo" xfId="523" builtinId="8" hidden="1"/>
    <cellStyle name="Hipervínculo" xfId="525" builtinId="8" hidden="1"/>
    <cellStyle name="Hipervínculo" xfId="527" builtinId="8" hidden="1"/>
    <cellStyle name="Hipervínculo" xfId="529" builtinId="8" hidden="1"/>
    <cellStyle name="Hipervínculo" xfId="531" builtinId="8" hidden="1"/>
    <cellStyle name="Hipervínculo" xfId="533" builtinId="8" hidden="1"/>
    <cellStyle name="Hipervínculo" xfId="535" builtinId="8" hidden="1"/>
    <cellStyle name="Hipervínculo" xfId="537" builtinId="8" hidden="1"/>
    <cellStyle name="Hipervínculo" xfId="539" builtinId="8" hidden="1"/>
    <cellStyle name="Hipervínculo" xfId="541" builtinId="8" hidden="1"/>
    <cellStyle name="Hipervínculo" xfId="543" builtinId="8" hidden="1"/>
    <cellStyle name="Hipervínculo" xfId="545" builtinId="8" hidden="1"/>
    <cellStyle name="Hipervínculo" xfId="547" builtinId="8" hidden="1"/>
    <cellStyle name="Hipervínculo" xfId="549" builtinId="8" hidden="1"/>
    <cellStyle name="Hipervínculo" xfId="551" builtinId="8" hidden="1"/>
    <cellStyle name="Hipervínculo" xfId="553" builtinId="8" hidden="1"/>
    <cellStyle name="Hipervínculo" xfId="555" builtinId="8" hidden="1"/>
    <cellStyle name="Hipervínculo" xfId="557" builtinId="8" hidden="1"/>
    <cellStyle name="Hipervínculo" xfId="559" builtinId="8" hidden="1"/>
    <cellStyle name="Hipervínculo" xfId="561" builtinId="8" hidden="1"/>
    <cellStyle name="Hipervínculo" xfId="563" builtinId="8" hidden="1"/>
    <cellStyle name="Hipervínculo" xfId="565" builtinId="8" hidden="1"/>
    <cellStyle name="Hipervínculo" xfId="567" builtinId="8" hidden="1"/>
    <cellStyle name="Hipervínculo" xfId="569" builtinId="8" hidden="1"/>
    <cellStyle name="Hipervínculo" xfId="571" builtinId="8" hidden="1"/>
    <cellStyle name="Hipervínculo" xfId="573" builtinId="8" hidden="1"/>
    <cellStyle name="Hipervínculo" xfId="575" builtinId="8" hidden="1"/>
    <cellStyle name="Hipervínculo" xfId="577" builtinId="8" hidden="1"/>
    <cellStyle name="Hipervínculo" xfId="579" builtinId="8" hidden="1"/>
    <cellStyle name="Hipervínculo" xfId="581" builtinId="8" hidden="1"/>
    <cellStyle name="Hipervínculo" xfId="583" builtinId="8" hidden="1"/>
    <cellStyle name="Hipervínculo" xfId="585" builtinId="8" hidden="1"/>
    <cellStyle name="Hipervínculo" xfId="587" builtinId="8" hidden="1"/>
    <cellStyle name="Hipervínculo" xfId="589" builtinId="8" hidden="1"/>
    <cellStyle name="Hipervínculo" xfId="591" builtinId="8" hidden="1"/>
    <cellStyle name="Hipervínculo" xfId="593" builtinId="8" hidden="1"/>
    <cellStyle name="Hipervínculo" xfId="595" builtinId="8" hidden="1"/>
    <cellStyle name="Hipervínculo" xfId="597" builtinId="8" hidden="1"/>
    <cellStyle name="Hipervínculo" xfId="599" builtinId="8" hidden="1"/>
    <cellStyle name="Hipervínculo" xfId="601" builtinId="8" hidden="1"/>
    <cellStyle name="Hipervínculo" xfId="603" builtinId="8" hidden="1"/>
    <cellStyle name="Hipervínculo" xfId="605" builtinId="8" hidden="1"/>
    <cellStyle name="Hipervínculo" xfId="607" builtinId="8" hidden="1"/>
    <cellStyle name="Hipervínculo" xfId="609" builtinId="8" hidden="1"/>
    <cellStyle name="Hipervínculo" xfId="611" builtinId="8" hidden="1"/>
    <cellStyle name="Hipervínculo" xfId="613" builtinId="8" hidden="1"/>
    <cellStyle name="Hipervínculo" xfId="615" builtinId="8" hidden="1"/>
    <cellStyle name="Hipervínculo" xfId="617" builtinId="8" hidden="1"/>
    <cellStyle name="Hipervínculo" xfId="619" builtinId="8" hidden="1"/>
    <cellStyle name="Hipervínculo" xfId="621" builtinId="8" hidden="1"/>
    <cellStyle name="Hipervínculo" xfId="623" builtinId="8" hidden="1"/>
    <cellStyle name="Hipervínculo" xfId="625" builtinId="8" hidden="1"/>
    <cellStyle name="Hipervínculo" xfId="627" builtinId="8" hidden="1"/>
    <cellStyle name="Hipervínculo" xfId="629" builtinId="8" hidden="1"/>
    <cellStyle name="Hipervínculo" xfId="631" builtinId="8" hidden="1"/>
    <cellStyle name="Hipervínculo" xfId="633" builtinId="8" hidden="1"/>
    <cellStyle name="Hipervínculo" xfId="635" builtinId="8" hidden="1"/>
    <cellStyle name="Hipervínculo" xfId="637" builtinId="8" hidden="1"/>
    <cellStyle name="Hipervínculo" xfId="639" builtinId="8" hidden="1"/>
    <cellStyle name="Hipervínculo" xfId="641" builtinId="8" hidden="1"/>
    <cellStyle name="Hipervínculo" xfId="643" builtinId="8" hidden="1"/>
    <cellStyle name="Hipervínculo" xfId="645" builtinId="8" hidden="1"/>
    <cellStyle name="Hipervínculo" xfId="647" builtinId="8" hidden="1"/>
    <cellStyle name="Hipervínculo" xfId="649" builtinId="8" hidden="1"/>
    <cellStyle name="Hipervínculo" xfId="651" builtinId="8" hidden="1"/>
    <cellStyle name="Hipervínculo" xfId="653" builtinId="8" hidden="1"/>
    <cellStyle name="Hipervínculo" xfId="655" builtinId="8" hidden="1"/>
    <cellStyle name="Hipervínculo" xfId="657" builtinId="8" hidden="1"/>
    <cellStyle name="Hipervínculo" xfId="659" builtinId="8" hidden="1"/>
    <cellStyle name="Hipervínculo" xfId="661" builtinId="8" hidden="1"/>
    <cellStyle name="Hipervínculo" xfId="663" builtinId="8" hidden="1"/>
    <cellStyle name="Hipervínculo" xfId="665" builtinId="8" hidden="1"/>
    <cellStyle name="Hipervínculo" xfId="667" builtinId="8" hidden="1"/>
    <cellStyle name="Hipervínculo" xfId="669" builtinId="8" hidden="1"/>
    <cellStyle name="Hipervínculo" xfId="671" builtinId="8" hidden="1"/>
    <cellStyle name="Hipervínculo" xfId="673" builtinId="8" hidden="1"/>
    <cellStyle name="Hipervínculo" xfId="675" builtinId="8" hidden="1"/>
    <cellStyle name="Hipervínculo" xfId="677" builtinId="8" hidden="1"/>
    <cellStyle name="Hipervínculo" xfId="679" builtinId="8" hidden="1"/>
    <cellStyle name="Hipervínculo" xfId="681" builtinId="8" hidden="1"/>
    <cellStyle name="Hipervínculo" xfId="683" builtinId="8" hidden="1"/>
    <cellStyle name="Hipervínculo" xfId="685" builtinId="8" hidden="1"/>
    <cellStyle name="Hipervínculo" xfId="687" builtinId="8" hidden="1"/>
    <cellStyle name="Hipervínculo" xfId="689" builtinId="8" hidden="1"/>
    <cellStyle name="Hipervínculo" xfId="691" builtinId="8" hidden="1"/>
    <cellStyle name="Hipervínculo" xfId="693" builtinId="8" hidden="1"/>
    <cellStyle name="Hipervínculo" xfId="695" builtinId="8" hidden="1"/>
    <cellStyle name="Hipervínculo" xfId="697" builtinId="8" hidden="1"/>
    <cellStyle name="Hipervínculo" xfId="699" builtinId="8" hidden="1"/>
    <cellStyle name="Hipervínculo" xfId="701" builtinId="8" hidden="1"/>
    <cellStyle name="Hipervínculo" xfId="703" builtinId="8" hidden="1"/>
    <cellStyle name="Hipervínculo" xfId="705" builtinId="8" hidden="1"/>
    <cellStyle name="Hipervínculo" xfId="707" builtinId="8" hidden="1"/>
    <cellStyle name="Hipervínculo" xfId="709" builtinId="8" hidden="1"/>
    <cellStyle name="Hipervínculo" xfId="711" builtinId="8" hidden="1"/>
    <cellStyle name="Hipervínculo" xfId="713" builtinId="8" hidden="1"/>
    <cellStyle name="Hipervínculo" xfId="715" builtinId="8" hidden="1"/>
    <cellStyle name="Hipervínculo" xfId="717" builtinId="8" hidden="1"/>
    <cellStyle name="Hipervínculo" xfId="719" builtinId="8" hidden="1"/>
    <cellStyle name="Hipervínculo" xfId="721" builtinId="8" hidden="1"/>
    <cellStyle name="Hipervínculo" xfId="723" builtinId="8" hidden="1"/>
    <cellStyle name="Hipervínculo" xfId="725" builtinId="8" hidden="1"/>
    <cellStyle name="Hipervínculo" xfId="727" builtinId="8" hidden="1"/>
    <cellStyle name="Hipervínculo" xfId="729" builtinId="8" hidden="1"/>
    <cellStyle name="Hipervínculo" xfId="731" builtinId="8" hidden="1"/>
    <cellStyle name="Hipervínculo" xfId="733" builtinId="8" hidden="1"/>
    <cellStyle name="Hipervínculo" xfId="735" builtinId="8" hidden="1"/>
    <cellStyle name="Hipervínculo" xfId="737" builtinId="8" hidden="1"/>
    <cellStyle name="Hipervínculo" xfId="739" builtinId="8" hidden="1"/>
    <cellStyle name="Hipervínculo" xfId="741" builtinId="8" hidden="1"/>
    <cellStyle name="Hipervínculo" xfId="743" builtinId="8" hidden="1"/>
    <cellStyle name="Hipervínculo" xfId="745" builtinId="8" hidden="1"/>
    <cellStyle name="Hipervínculo" xfId="747" builtinId="8" hidden="1"/>
    <cellStyle name="Hipervínculo" xfId="749" builtinId="8" hidden="1"/>
    <cellStyle name="Hipervínculo" xfId="751" builtinId="8" hidden="1"/>
    <cellStyle name="Hipervínculo" xfId="753" builtinId="8" hidden="1"/>
    <cellStyle name="Hipervínculo" xfId="755" builtinId="8" hidden="1"/>
    <cellStyle name="Hipervínculo" xfId="757" builtinId="8" hidden="1"/>
    <cellStyle name="Hipervínculo" xfId="759" builtinId="8" hidden="1"/>
    <cellStyle name="Hipervínculo" xfId="761" builtinId="8" hidden="1"/>
    <cellStyle name="Hipervínculo" xfId="763" builtinId="8" hidden="1"/>
    <cellStyle name="Hipervínculo" xfId="765" builtinId="8" hidden="1"/>
    <cellStyle name="Hipervínculo" xfId="767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Hipervínculo visitado" xfId="270" builtinId="9" hidden="1"/>
    <cellStyle name="Hipervínculo visitado" xfId="272" builtinId="9" hidden="1"/>
    <cellStyle name="Hipervínculo visitado" xfId="274" builtinId="9" hidden="1"/>
    <cellStyle name="Hipervínculo visitado" xfId="276" builtinId="9" hidden="1"/>
    <cellStyle name="Hipervínculo visitado" xfId="278" builtinId="9" hidden="1"/>
    <cellStyle name="Hipervínculo visitado" xfId="280" builtinId="9" hidden="1"/>
    <cellStyle name="Hipervínculo visitado" xfId="282" builtinId="9" hidden="1"/>
    <cellStyle name="Hipervínculo visitado" xfId="284" builtinId="9" hidden="1"/>
    <cellStyle name="Hipervínculo visitado" xfId="286" builtinId="9" hidden="1"/>
    <cellStyle name="Hipervínculo visitado" xfId="288" builtinId="9" hidden="1"/>
    <cellStyle name="Hipervínculo visitado" xfId="290" builtinId="9" hidden="1"/>
    <cellStyle name="Hipervínculo visitado" xfId="292" builtinId="9" hidden="1"/>
    <cellStyle name="Hipervínculo visitado" xfId="294" builtinId="9" hidden="1"/>
    <cellStyle name="Hipervínculo visitado" xfId="296" builtinId="9" hidden="1"/>
    <cellStyle name="Hipervínculo visitado" xfId="298" builtinId="9" hidden="1"/>
    <cellStyle name="Hipervínculo visitado" xfId="300" builtinId="9" hidden="1"/>
    <cellStyle name="Hipervínculo visitado" xfId="302" builtinId="9" hidden="1"/>
    <cellStyle name="Hipervínculo visitado" xfId="304" builtinId="9" hidden="1"/>
    <cellStyle name="Hipervínculo visitado" xfId="306" builtinId="9" hidden="1"/>
    <cellStyle name="Hipervínculo visitado" xfId="308" builtinId="9" hidden="1"/>
    <cellStyle name="Hipervínculo visitado" xfId="310" builtinId="9" hidden="1"/>
    <cellStyle name="Hipervínculo visitado" xfId="312" builtinId="9" hidden="1"/>
    <cellStyle name="Hipervínculo visitado" xfId="314" builtinId="9" hidden="1"/>
    <cellStyle name="Hipervínculo visitado" xfId="316" builtinId="9" hidden="1"/>
    <cellStyle name="Hipervínculo visitado" xfId="318" builtinId="9" hidden="1"/>
    <cellStyle name="Hipervínculo visitado" xfId="320" builtinId="9" hidden="1"/>
    <cellStyle name="Hipervínculo visitado" xfId="322" builtinId="9" hidden="1"/>
    <cellStyle name="Hipervínculo visitado" xfId="324" builtinId="9" hidden="1"/>
    <cellStyle name="Hipervínculo visitado" xfId="326" builtinId="9" hidden="1"/>
    <cellStyle name="Hipervínculo visitado" xfId="328" builtinId="9" hidden="1"/>
    <cellStyle name="Hipervínculo visitado" xfId="330" builtinId="9" hidden="1"/>
    <cellStyle name="Hipervínculo visitado" xfId="332" builtinId="9" hidden="1"/>
    <cellStyle name="Hipervínculo visitado" xfId="334" builtinId="9" hidden="1"/>
    <cellStyle name="Hipervínculo visitado" xfId="336" builtinId="9" hidden="1"/>
    <cellStyle name="Hipervínculo visitado" xfId="338" builtinId="9" hidden="1"/>
    <cellStyle name="Hipervínculo visitado" xfId="340" builtinId="9" hidden="1"/>
    <cellStyle name="Hipervínculo visitado" xfId="342" builtinId="9" hidden="1"/>
    <cellStyle name="Hipervínculo visitado" xfId="344" builtinId="9" hidden="1"/>
    <cellStyle name="Hipervínculo visitado" xfId="346" builtinId="9" hidden="1"/>
    <cellStyle name="Hipervínculo visitado" xfId="348" builtinId="9" hidden="1"/>
    <cellStyle name="Hipervínculo visitado" xfId="350" builtinId="9" hidden="1"/>
    <cellStyle name="Hipervínculo visitado" xfId="352" builtinId="9" hidden="1"/>
    <cellStyle name="Hipervínculo visitado" xfId="354" builtinId="9" hidden="1"/>
    <cellStyle name="Hipervínculo visitado" xfId="356" builtinId="9" hidden="1"/>
    <cellStyle name="Hipervínculo visitado" xfId="358" builtinId="9" hidden="1"/>
    <cellStyle name="Hipervínculo visitado" xfId="360" builtinId="9" hidden="1"/>
    <cellStyle name="Hipervínculo visitado" xfId="362" builtinId="9" hidden="1"/>
    <cellStyle name="Hipervínculo visitado" xfId="364" builtinId="9" hidden="1"/>
    <cellStyle name="Hipervínculo visitado" xfId="366" builtinId="9" hidden="1"/>
    <cellStyle name="Hipervínculo visitado" xfId="368" builtinId="9" hidden="1"/>
    <cellStyle name="Hipervínculo visitado" xfId="370" builtinId="9" hidden="1"/>
    <cellStyle name="Hipervínculo visitado" xfId="372" builtinId="9" hidden="1"/>
    <cellStyle name="Hipervínculo visitado" xfId="374" builtinId="9" hidden="1"/>
    <cellStyle name="Hipervínculo visitado" xfId="376" builtinId="9" hidden="1"/>
    <cellStyle name="Hipervínculo visitado" xfId="378" builtinId="9" hidden="1"/>
    <cellStyle name="Hipervínculo visitado" xfId="380" builtinId="9" hidden="1"/>
    <cellStyle name="Hipervínculo visitado" xfId="382" builtinId="9" hidden="1"/>
    <cellStyle name="Hipervínculo visitado" xfId="384" builtinId="9" hidden="1"/>
    <cellStyle name="Hipervínculo visitado" xfId="386" builtinId="9" hidden="1"/>
    <cellStyle name="Hipervínculo visitado" xfId="388" builtinId="9" hidden="1"/>
    <cellStyle name="Hipervínculo visitado" xfId="390" builtinId="9" hidden="1"/>
    <cellStyle name="Hipervínculo visitado" xfId="392" builtinId="9" hidden="1"/>
    <cellStyle name="Hipervínculo visitado" xfId="394" builtinId="9" hidden="1"/>
    <cellStyle name="Hipervínculo visitado" xfId="396" builtinId="9" hidden="1"/>
    <cellStyle name="Hipervínculo visitado" xfId="398" builtinId="9" hidden="1"/>
    <cellStyle name="Hipervínculo visitado" xfId="400" builtinId="9" hidden="1"/>
    <cellStyle name="Hipervínculo visitado" xfId="402" builtinId="9" hidden="1"/>
    <cellStyle name="Hipervínculo visitado" xfId="404" builtinId="9" hidden="1"/>
    <cellStyle name="Hipervínculo visitado" xfId="406" builtinId="9" hidden="1"/>
    <cellStyle name="Hipervínculo visitado" xfId="408" builtinId="9" hidden="1"/>
    <cellStyle name="Hipervínculo visitado" xfId="410" builtinId="9" hidden="1"/>
    <cellStyle name="Hipervínculo visitado" xfId="412" builtinId="9" hidden="1"/>
    <cellStyle name="Hipervínculo visitado" xfId="414" builtinId="9" hidden="1"/>
    <cellStyle name="Hipervínculo visitado" xfId="416" builtinId="9" hidden="1"/>
    <cellStyle name="Hipervínculo visitado" xfId="418" builtinId="9" hidden="1"/>
    <cellStyle name="Hipervínculo visitado" xfId="420" builtinId="9" hidden="1"/>
    <cellStyle name="Hipervínculo visitado" xfId="422" builtinId="9" hidden="1"/>
    <cellStyle name="Hipervínculo visitado" xfId="424" builtinId="9" hidden="1"/>
    <cellStyle name="Hipervínculo visitado" xfId="426" builtinId="9" hidden="1"/>
    <cellStyle name="Hipervínculo visitado" xfId="428" builtinId="9" hidden="1"/>
    <cellStyle name="Hipervínculo visitado" xfId="430" builtinId="9" hidden="1"/>
    <cellStyle name="Hipervínculo visitado" xfId="432" builtinId="9" hidden="1"/>
    <cellStyle name="Hipervínculo visitado" xfId="434" builtinId="9" hidden="1"/>
    <cellStyle name="Hipervínculo visitado" xfId="436" builtinId="9" hidden="1"/>
    <cellStyle name="Hipervínculo visitado" xfId="438" builtinId="9" hidden="1"/>
    <cellStyle name="Hipervínculo visitado" xfId="440" builtinId="9" hidden="1"/>
    <cellStyle name="Hipervínculo visitado" xfId="442" builtinId="9" hidden="1"/>
    <cellStyle name="Hipervínculo visitado" xfId="444" builtinId="9" hidden="1"/>
    <cellStyle name="Hipervínculo visitado" xfId="446" builtinId="9" hidden="1"/>
    <cellStyle name="Hipervínculo visitado" xfId="448" builtinId="9" hidden="1"/>
    <cellStyle name="Hipervínculo visitado" xfId="450" builtinId="9" hidden="1"/>
    <cellStyle name="Hipervínculo visitado" xfId="452" builtinId="9" hidden="1"/>
    <cellStyle name="Hipervínculo visitado" xfId="454" builtinId="9" hidden="1"/>
    <cellStyle name="Hipervínculo visitado" xfId="456" builtinId="9" hidden="1"/>
    <cellStyle name="Hipervínculo visitado" xfId="458" builtinId="9" hidden="1"/>
    <cellStyle name="Hipervínculo visitado" xfId="460" builtinId="9" hidden="1"/>
    <cellStyle name="Hipervínculo visitado" xfId="462" builtinId="9" hidden="1"/>
    <cellStyle name="Hipervínculo visitado" xfId="464" builtinId="9" hidden="1"/>
    <cellStyle name="Hipervínculo visitado" xfId="466" builtinId="9" hidden="1"/>
    <cellStyle name="Hipervínculo visitado" xfId="468" builtinId="9" hidden="1"/>
    <cellStyle name="Hipervínculo visitado" xfId="470" builtinId="9" hidden="1"/>
    <cellStyle name="Hipervínculo visitado" xfId="472" builtinId="9" hidden="1"/>
    <cellStyle name="Hipervínculo visitado" xfId="474" builtinId="9" hidden="1"/>
    <cellStyle name="Hipervínculo visitado" xfId="476" builtinId="9" hidden="1"/>
    <cellStyle name="Hipervínculo visitado" xfId="478" builtinId="9" hidden="1"/>
    <cellStyle name="Hipervínculo visitado" xfId="480" builtinId="9" hidden="1"/>
    <cellStyle name="Hipervínculo visitado" xfId="482" builtinId="9" hidden="1"/>
    <cellStyle name="Hipervínculo visitado" xfId="484" builtinId="9" hidden="1"/>
    <cellStyle name="Hipervínculo visitado" xfId="486" builtinId="9" hidden="1"/>
    <cellStyle name="Hipervínculo visitado" xfId="488" builtinId="9" hidden="1"/>
    <cellStyle name="Hipervínculo visitado" xfId="490" builtinId="9" hidden="1"/>
    <cellStyle name="Hipervínculo visitado" xfId="492" builtinId="9" hidden="1"/>
    <cellStyle name="Hipervínculo visitado" xfId="494" builtinId="9" hidden="1"/>
    <cellStyle name="Hipervínculo visitado" xfId="496" builtinId="9" hidden="1"/>
    <cellStyle name="Hipervínculo visitado" xfId="498" builtinId="9" hidden="1"/>
    <cellStyle name="Hipervínculo visitado" xfId="500" builtinId="9" hidden="1"/>
    <cellStyle name="Hipervínculo visitado" xfId="502" builtinId="9" hidden="1"/>
    <cellStyle name="Hipervínculo visitado" xfId="504" builtinId="9" hidden="1"/>
    <cellStyle name="Hipervínculo visitado" xfId="506" builtinId="9" hidden="1"/>
    <cellStyle name="Hipervínculo visitado" xfId="508" builtinId="9" hidden="1"/>
    <cellStyle name="Hipervínculo visitado" xfId="510" builtinId="9" hidden="1"/>
    <cellStyle name="Hipervínculo visitado" xfId="512" builtinId="9" hidden="1"/>
    <cellStyle name="Hipervínculo visitado" xfId="514" builtinId="9" hidden="1"/>
    <cellStyle name="Hipervínculo visitado" xfId="516" builtinId="9" hidden="1"/>
    <cellStyle name="Hipervínculo visitado" xfId="518" builtinId="9" hidden="1"/>
    <cellStyle name="Hipervínculo visitado" xfId="520" builtinId="9" hidden="1"/>
    <cellStyle name="Hipervínculo visitado" xfId="522" builtinId="9" hidden="1"/>
    <cellStyle name="Hipervínculo visitado" xfId="524" builtinId="9" hidden="1"/>
    <cellStyle name="Hipervínculo visitado" xfId="526" builtinId="9" hidden="1"/>
    <cellStyle name="Hipervínculo visitado" xfId="528" builtinId="9" hidden="1"/>
    <cellStyle name="Hipervínculo visitado" xfId="530" builtinId="9" hidden="1"/>
    <cellStyle name="Hipervínculo visitado" xfId="532" builtinId="9" hidden="1"/>
    <cellStyle name="Hipervínculo visitado" xfId="534" builtinId="9" hidden="1"/>
    <cellStyle name="Hipervínculo visitado" xfId="536" builtinId="9" hidden="1"/>
    <cellStyle name="Hipervínculo visitado" xfId="538" builtinId="9" hidden="1"/>
    <cellStyle name="Hipervínculo visitado" xfId="540" builtinId="9" hidden="1"/>
    <cellStyle name="Hipervínculo visitado" xfId="542" builtinId="9" hidden="1"/>
    <cellStyle name="Hipervínculo visitado" xfId="544" builtinId="9" hidden="1"/>
    <cellStyle name="Hipervínculo visitado" xfId="546" builtinId="9" hidden="1"/>
    <cellStyle name="Hipervínculo visitado" xfId="548" builtinId="9" hidden="1"/>
    <cellStyle name="Hipervínculo visitado" xfId="550" builtinId="9" hidden="1"/>
    <cellStyle name="Hipervínculo visitado" xfId="552" builtinId="9" hidden="1"/>
    <cellStyle name="Hipervínculo visitado" xfId="554" builtinId="9" hidden="1"/>
    <cellStyle name="Hipervínculo visitado" xfId="556" builtinId="9" hidden="1"/>
    <cellStyle name="Hipervínculo visitado" xfId="558" builtinId="9" hidden="1"/>
    <cellStyle name="Hipervínculo visitado" xfId="560" builtinId="9" hidden="1"/>
    <cellStyle name="Hipervínculo visitado" xfId="562" builtinId="9" hidden="1"/>
    <cellStyle name="Hipervínculo visitado" xfId="564" builtinId="9" hidden="1"/>
    <cellStyle name="Hipervínculo visitado" xfId="566" builtinId="9" hidden="1"/>
    <cellStyle name="Hipervínculo visitado" xfId="568" builtinId="9" hidden="1"/>
    <cellStyle name="Hipervínculo visitado" xfId="570" builtinId="9" hidden="1"/>
    <cellStyle name="Hipervínculo visitado" xfId="572" builtinId="9" hidden="1"/>
    <cellStyle name="Hipervínculo visitado" xfId="574" builtinId="9" hidden="1"/>
    <cellStyle name="Hipervínculo visitado" xfId="576" builtinId="9" hidden="1"/>
    <cellStyle name="Hipervínculo visitado" xfId="578" builtinId="9" hidden="1"/>
    <cellStyle name="Hipervínculo visitado" xfId="580" builtinId="9" hidden="1"/>
    <cellStyle name="Hipervínculo visitado" xfId="582" builtinId="9" hidden="1"/>
    <cellStyle name="Hipervínculo visitado" xfId="584" builtinId="9" hidden="1"/>
    <cellStyle name="Hipervínculo visitado" xfId="586" builtinId="9" hidden="1"/>
    <cellStyle name="Hipervínculo visitado" xfId="588" builtinId="9" hidden="1"/>
    <cellStyle name="Hipervínculo visitado" xfId="590" builtinId="9" hidden="1"/>
    <cellStyle name="Hipervínculo visitado" xfId="592" builtinId="9" hidden="1"/>
    <cellStyle name="Hipervínculo visitado" xfId="594" builtinId="9" hidden="1"/>
    <cellStyle name="Hipervínculo visitado" xfId="596" builtinId="9" hidden="1"/>
    <cellStyle name="Hipervínculo visitado" xfId="598" builtinId="9" hidden="1"/>
    <cellStyle name="Hipervínculo visitado" xfId="600" builtinId="9" hidden="1"/>
    <cellStyle name="Hipervínculo visitado" xfId="602" builtinId="9" hidden="1"/>
    <cellStyle name="Hipervínculo visitado" xfId="604" builtinId="9" hidden="1"/>
    <cellStyle name="Hipervínculo visitado" xfId="606" builtinId="9" hidden="1"/>
    <cellStyle name="Hipervínculo visitado" xfId="608" builtinId="9" hidden="1"/>
    <cellStyle name="Hipervínculo visitado" xfId="610" builtinId="9" hidden="1"/>
    <cellStyle name="Hipervínculo visitado" xfId="612" builtinId="9" hidden="1"/>
    <cellStyle name="Hipervínculo visitado" xfId="614" builtinId="9" hidden="1"/>
    <cellStyle name="Hipervínculo visitado" xfId="616" builtinId="9" hidden="1"/>
    <cellStyle name="Hipervínculo visitado" xfId="618" builtinId="9" hidden="1"/>
    <cellStyle name="Hipervínculo visitado" xfId="620" builtinId="9" hidden="1"/>
    <cellStyle name="Hipervínculo visitado" xfId="622" builtinId="9" hidden="1"/>
    <cellStyle name="Hipervínculo visitado" xfId="624" builtinId="9" hidden="1"/>
    <cellStyle name="Hipervínculo visitado" xfId="626" builtinId="9" hidden="1"/>
    <cellStyle name="Hipervínculo visitado" xfId="628" builtinId="9" hidden="1"/>
    <cellStyle name="Hipervínculo visitado" xfId="630" builtinId="9" hidden="1"/>
    <cellStyle name="Hipervínculo visitado" xfId="632" builtinId="9" hidden="1"/>
    <cellStyle name="Hipervínculo visitado" xfId="634" builtinId="9" hidden="1"/>
    <cellStyle name="Hipervínculo visitado" xfId="636" builtinId="9" hidden="1"/>
    <cellStyle name="Hipervínculo visitado" xfId="638" builtinId="9" hidden="1"/>
    <cellStyle name="Hipervínculo visitado" xfId="640" builtinId="9" hidden="1"/>
    <cellStyle name="Hipervínculo visitado" xfId="642" builtinId="9" hidden="1"/>
    <cellStyle name="Hipervínculo visitado" xfId="644" builtinId="9" hidden="1"/>
    <cellStyle name="Hipervínculo visitado" xfId="646" builtinId="9" hidden="1"/>
    <cellStyle name="Hipervínculo visitado" xfId="648" builtinId="9" hidden="1"/>
    <cellStyle name="Hipervínculo visitado" xfId="650" builtinId="9" hidden="1"/>
    <cellStyle name="Hipervínculo visitado" xfId="652" builtinId="9" hidden="1"/>
    <cellStyle name="Hipervínculo visitado" xfId="654" builtinId="9" hidden="1"/>
    <cellStyle name="Hipervínculo visitado" xfId="656" builtinId="9" hidden="1"/>
    <cellStyle name="Hipervínculo visitado" xfId="658" builtinId="9" hidden="1"/>
    <cellStyle name="Hipervínculo visitado" xfId="660" builtinId="9" hidden="1"/>
    <cellStyle name="Hipervínculo visitado" xfId="662" builtinId="9" hidden="1"/>
    <cellStyle name="Hipervínculo visitado" xfId="664" builtinId="9" hidden="1"/>
    <cellStyle name="Hipervínculo visitado" xfId="666" builtinId="9" hidden="1"/>
    <cellStyle name="Hipervínculo visitado" xfId="668" builtinId="9" hidden="1"/>
    <cellStyle name="Hipervínculo visitado" xfId="670" builtinId="9" hidden="1"/>
    <cellStyle name="Hipervínculo visitado" xfId="672" builtinId="9" hidden="1"/>
    <cellStyle name="Hipervínculo visitado" xfId="674" builtinId="9" hidden="1"/>
    <cellStyle name="Hipervínculo visitado" xfId="676" builtinId="9" hidden="1"/>
    <cellStyle name="Hipervínculo visitado" xfId="678" builtinId="9" hidden="1"/>
    <cellStyle name="Hipervínculo visitado" xfId="680" builtinId="9" hidden="1"/>
    <cellStyle name="Hipervínculo visitado" xfId="682" builtinId="9" hidden="1"/>
    <cellStyle name="Hipervínculo visitado" xfId="684" builtinId="9" hidden="1"/>
    <cellStyle name="Hipervínculo visitado" xfId="686" builtinId="9" hidden="1"/>
    <cellStyle name="Hipervínculo visitado" xfId="688" builtinId="9" hidden="1"/>
    <cellStyle name="Hipervínculo visitado" xfId="690" builtinId="9" hidden="1"/>
    <cellStyle name="Hipervínculo visitado" xfId="692" builtinId="9" hidden="1"/>
    <cellStyle name="Hipervínculo visitado" xfId="694" builtinId="9" hidden="1"/>
    <cellStyle name="Hipervínculo visitado" xfId="696" builtinId="9" hidden="1"/>
    <cellStyle name="Hipervínculo visitado" xfId="698" builtinId="9" hidden="1"/>
    <cellStyle name="Hipervínculo visitado" xfId="700" builtinId="9" hidden="1"/>
    <cellStyle name="Hipervínculo visitado" xfId="702" builtinId="9" hidden="1"/>
    <cellStyle name="Hipervínculo visitado" xfId="704" builtinId="9" hidden="1"/>
    <cellStyle name="Hipervínculo visitado" xfId="706" builtinId="9" hidden="1"/>
    <cellStyle name="Hipervínculo visitado" xfId="708" builtinId="9" hidden="1"/>
    <cellStyle name="Hipervínculo visitado" xfId="710" builtinId="9" hidden="1"/>
    <cellStyle name="Hipervínculo visitado" xfId="712" builtinId="9" hidden="1"/>
    <cellStyle name="Hipervínculo visitado" xfId="714" builtinId="9" hidden="1"/>
    <cellStyle name="Hipervínculo visitado" xfId="716" builtinId="9" hidden="1"/>
    <cellStyle name="Hipervínculo visitado" xfId="718" builtinId="9" hidden="1"/>
    <cellStyle name="Hipervínculo visitado" xfId="720" builtinId="9" hidden="1"/>
    <cellStyle name="Hipervínculo visitado" xfId="722" builtinId="9" hidden="1"/>
    <cellStyle name="Hipervínculo visitado" xfId="724" builtinId="9" hidden="1"/>
    <cellStyle name="Hipervínculo visitado" xfId="726" builtinId="9" hidden="1"/>
    <cellStyle name="Hipervínculo visitado" xfId="728" builtinId="9" hidden="1"/>
    <cellStyle name="Hipervínculo visitado" xfId="730" builtinId="9" hidden="1"/>
    <cellStyle name="Hipervínculo visitado" xfId="732" builtinId="9" hidden="1"/>
    <cellStyle name="Hipervínculo visitado" xfId="734" builtinId="9" hidden="1"/>
    <cellStyle name="Hipervínculo visitado" xfId="736" builtinId="9" hidden="1"/>
    <cellStyle name="Hipervínculo visitado" xfId="738" builtinId="9" hidden="1"/>
    <cellStyle name="Hipervínculo visitado" xfId="740" builtinId="9" hidden="1"/>
    <cellStyle name="Hipervínculo visitado" xfId="742" builtinId="9" hidden="1"/>
    <cellStyle name="Hipervínculo visitado" xfId="744" builtinId="9" hidden="1"/>
    <cellStyle name="Hipervínculo visitado" xfId="746" builtinId="9" hidden="1"/>
    <cellStyle name="Hipervínculo visitado" xfId="748" builtinId="9" hidden="1"/>
    <cellStyle name="Hipervínculo visitado" xfId="750" builtinId="9" hidden="1"/>
    <cellStyle name="Hipervínculo visitado" xfId="752" builtinId="9" hidden="1"/>
    <cellStyle name="Hipervínculo visitado" xfId="754" builtinId="9" hidden="1"/>
    <cellStyle name="Hipervínculo visitado" xfId="756" builtinId="9" hidden="1"/>
    <cellStyle name="Hipervínculo visitado" xfId="758" builtinId="9" hidden="1"/>
    <cellStyle name="Hipervínculo visitado" xfId="760" builtinId="9" hidden="1"/>
    <cellStyle name="Hipervínculo visitado" xfId="762" builtinId="9" hidden="1"/>
    <cellStyle name="Hipervínculo visitado" xfId="764" builtinId="9" hidden="1"/>
    <cellStyle name="Hipervínculo visitado" xfId="766" builtinId="9" hidden="1"/>
    <cellStyle name="Hipervínculo visitado" xfId="768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663575</xdr:colOff>
      <xdr:row>8</xdr:row>
      <xdr:rowOff>85725</xdr:rowOff>
    </xdr:from>
    <xdr:ext cx="65" cy="172227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353175" y="1673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23"/>
  <sheetViews>
    <sheetView tabSelected="1" topLeftCell="C25" workbookViewId="0">
      <selection activeCell="C34" sqref="C34"/>
    </sheetView>
  </sheetViews>
  <sheetFormatPr baseColWidth="10" defaultRowHeight="15.5" x14ac:dyDescent="0.35"/>
  <cols>
    <col min="7" max="7" width="11.9140625" customWidth="1"/>
    <col min="8" max="8" width="11.33203125" customWidth="1"/>
  </cols>
  <sheetData>
    <row r="1" spans="3:11" ht="16" thickBot="1" x14ac:dyDescent="0.4">
      <c r="C1" s="246" t="s">
        <v>12</v>
      </c>
      <c r="D1" s="246"/>
      <c r="E1" s="246"/>
      <c r="F1" s="246"/>
      <c r="H1" s="245" t="s">
        <v>11</v>
      </c>
      <c r="I1" s="245"/>
      <c r="J1" s="245"/>
      <c r="K1" s="245"/>
    </row>
    <row r="2" spans="3:11" ht="16" thickBot="1" x14ac:dyDescent="0.4">
      <c r="C2" s="18" t="s">
        <v>13</v>
      </c>
      <c r="D2" s="19" t="s">
        <v>14</v>
      </c>
      <c r="E2" s="22" t="s">
        <v>15</v>
      </c>
      <c r="F2" s="23" t="s">
        <v>16</v>
      </c>
      <c r="H2" s="18" t="s">
        <v>13</v>
      </c>
      <c r="I2" s="19" t="s">
        <v>14</v>
      </c>
      <c r="J2" s="20" t="s">
        <v>15</v>
      </c>
      <c r="K2" s="21" t="s">
        <v>16</v>
      </c>
    </row>
    <row r="3" spans="3:11" x14ac:dyDescent="0.35">
      <c r="C3" s="6">
        <v>1</v>
      </c>
      <c r="D3" s="11">
        <v>18</v>
      </c>
      <c r="E3" s="26">
        <v>0.43169999999999997</v>
      </c>
      <c r="F3" s="27">
        <f>E3*1000</f>
        <v>431.7</v>
      </c>
      <c r="H3" s="242">
        <v>1</v>
      </c>
      <c r="I3" s="47">
        <v>16</v>
      </c>
      <c r="J3" s="24">
        <v>0.36830000000000002</v>
      </c>
      <c r="K3" s="25">
        <f>J3*1000</f>
        <v>368.3</v>
      </c>
    </row>
    <row r="4" spans="3:11" x14ac:dyDescent="0.35">
      <c r="C4" s="6">
        <v>2</v>
      </c>
      <c r="D4" s="11">
        <v>21.4</v>
      </c>
      <c r="E4" s="26">
        <v>0.54610000000000003</v>
      </c>
      <c r="F4" s="27">
        <f t="shared" ref="F4:F31" si="0">E4*1000</f>
        <v>546.1</v>
      </c>
      <c r="H4" s="242">
        <v>2</v>
      </c>
      <c r="I4" s="47">
        <v>19.399999999999999</v>
      </c>
      <c r="J4" s="24">
        <v>0.50070000000000003</v>
      </c>
      <c r="K4" s="25">
        <f t="shared" ref="K4:K32" si="1">J4*1000</f>
        <v>500.70000000000005</v>
      </c>
    </row>
    <row r="5" spans="3:11" x14ac:dyDescent="0.35">
      <c r="C5" s="6">
        <v>3</v>
      </c>
      <c r="D5" s="11">
        <v>18.100000000000001</v>
      </c>
      <c r="E5" s="26">
        <v>0.41549999999999998</v>
      </c>
      <c r="F5" s="27">
        <f t="shared" si="0"/>
        <v>415.5</v>
      </c>
      <c r="H5" s="242">
        <v>3</v>
      </c>
      <c r="I5" s="47">
        <v>19.7</v>
      </c>
      <c r="J5" s="24">
        <v>0.43979999999999986</v>
      </c>
      <c r="K5" s="25">
        <f t="shared" si="1"/>
        <v>439.79999999999984</v>
      </c>
    </row>
    <row r="6" spans="3:11" x14ac:dyDescent="0.35">
      <c r="C6" s="6">
        <v>4</v>
      </c>
      <c r="D6" s="11">
        <v>18.3</v>
      </c>
      <c r="E6" s="26">
        <v>0.32119999999999999</v>
      </c>
      <c r="F6" s="27">
        <f t="shared" si="0"/>
        <v>321.2</v>
      </c>
      <c r="H6" s="242">
        <v>4</v>
      </c>
      <c r="I6" s="47">
        <v>19</v>
      </c>
      <c r="J6" s="24">
        <v>0.37180000000000002</v>
      </c>
      <c r="K6" s="25">
        <f t="shared" si="1"/>
        <v>371.8</v>
      </c>
    </row>
    <row r="7" spans="3:11" x14ac:dyDescent="0.35">
      <c r="C7" s="6">
        <v>5</v>
      </c>
      <c r="D7" s="11">
        <v>16.899999999999999</v>
      </c>
      <c r="E7" s="26">
        <v>0.44890000000000002</v>
      </c>
      <c r="F7" s="27">
        <f>E7*1000</f>
        <v>448.90000000000003</v>
      </c>
      <c r="H7" s="242">
        <v>5</v>
      </c>
      <c r="I7" s="47">
        <v>19.100000000000001</v>
      </c>
      <c r="J7" s="24">
        <v>0.43740000000000001</v>
      </c>
      <c r="K7" s="25">
        <f t="shared" si="1"/>
        <v>437.40000000000003</v>
      </c>
    </row>
    <row r="8" spans="3:11" x14ac:dyDescent="0.35">
      <c r="C8" s="6">
        <v>6</v>
      </c>
      <c r="D8" s="11">
        <v>19</v>
      </c>
      <c r="E8" s="26">
        <v>0.53499999999999992</v>
      </c>
      <c r="F8" s="27">
        <f t="shared" si="0"/>
        <v>534.99999999999989</v>
      </c>
      <c r="H8" s="242">
        <v>6</v>
      </c>
      <c r="I8" s="47">
        <v>20.6</v>
      </c>
      <c r="J8" s="24">
        <v>0.40639999999999976</v>
      </c>
      <c r="K8" s="25">
        <f t="shared" si="1"/>
        <v>406.39999999999975</v>
      </c>
    </row>
    <row r="9" spans="3:11" x14ac:dyDescent="0.35">
      <c r="C9" s="6">
        <v>7</v>
      </c>
      <c r="D9" s="11">
        <v>17</v>
      </c>
      <c r="E9" s="26">
        <v>0.38979999999999998</v>
      </c>
      <c r="F9" s="27">
        <f t="shared" si="0"/>
        <v>389.79999999999995</v>
      </c>
      <c r="H9" s="242">
        <v>7</v>
      </c>
      <c r="I9" s="47">
        <v>17.2</v>
      </c>
      <c r="J9" s="24">
        <v>0.41610000000000003</v>
      </c>
      <c r="K9" s="25">
        <f t="shared" si="1"/>
        <v>416.1</v>
      </c>
    </row>
    <row r="10" spans="3:11" x14ac:dyDescent="0.35">
      <c r="C10" s="6">
        <v>8</v>
      </c>
      <c r="D10" s="11">
        <v>20.8</v>
      </c>
      <c r="E10" s="26">
        <v>0.51309999999999989</v>
      </c>
      <c r="F10" s="27">
        <f t="shared" si="0"/>
        <v>513.09999999999991</v>
      </c>
      <c r="H10" s="242">
        <v>8</v>
      </c>
      <c r="I10" s="47">
        <v>19.3</v>
      </c>
      <c r="J10" s="24">
        <v>0.4753</v>
      </c>
      <c r="K10" s="25">
        <f t="shared" si="1"/>
        <v>475.3</v>
      </c>
    </row>
    <row r="11" spans="3:11" x14ac:dyDescent="0.35">
      <c r="C11" s="6">
        <v>9</v>
      </c>
      <c r="D11" s="11">
        <v>19.399999999999999</v>
      </c>
      <c r="E11" s="26">
        <v>0.6694</v>
      </c>
      <c r="F11" s="27">
        <f t="shared" si="0"/>
        <v>669.4</v>
      </c>
      <c r="H11" s="242">
        <v>9</v>
      </c>
      <c r="I11" s="47">
        <v>21</v>
      </c>
      <c r="J11" s="24">
        <v>0.3742000000000002</v>
      </c>
      <c r="K11" s="25">
        <f t="shared" si="1"/>
        <v>374.20000000000022</v>
      </c>
    </row>
    <row r="12" spans="3:11" x14ac:dyDescent="0.35">
      <c r="C12" s="6">
        <v>10</v>
      </c>
      <c r="D12" s="11">
        <v>19.100000000000001</v>
      </c>
      <c r="E12" s="14">
        <v>0.4869</v>
      </c>
      <c r="F12" s="27">
        <f t="shared" si="0"/>
        <v>486.9</v>
      </c>
      <c r="H12" s="242">
        <v>10</v>
      </c>
      <c r="I12" s="47">
        <v>20.5</v>
      </c>
      <c r="J12" s="24">
        <v>0.39770000000000005</v>
      </c>
      <c r="K12" s="25">
        <f t="shared" si="1"/>
        <v>397.70000000000005</v>
      </c>
    </row>
    <row r="13" spans="3:11" x14ac:dyDescent="0.35">
      <c r="C13" s="6">
        <v>11</v>
      </c>
      <c r="D13" s="11">
        <v>20.100000000000001</v>
      </c>
      <c r="E13" s="14">
        <v>0.65569999999999995</v>
      </c>
      <c r="F13" s="27">
        <f t="shared" si="0"/>
        <v>655.69999999999993</v>
      </c>
      <c r="H13" s="242">
        <v>11</v>
      </c>
      <c r="I13" s="47">
        <v>18</v>
      </c>
      <c r="J13" s="24">
        <v>0.57569999999999999</v>
      </c>
      <c r="K13" s="25">
        <f t="shared" si="1"/>
        <v>575.70000000000005</v>
      </c>
    </row>
    <row r="14" spans="3:11" x14ac:dyDescent="0.35">
      <c r="C14" s="6">
        <v>12</v>
      </c>
      <c r="D14" s="11">
        <v>18.2</v>
      </c>
      <c r="E14" s="14">
        <v>0.57230000000000003</v>
      </c>
      <c r="F14" s="27">
        <f t="shared" si="0"/>
        <v>572.30000000000007</v>
      </c>
      <c r="H14" s="242">
        <v>12</v>
      </c>
      <c r="I14" s="47">
        <v>19.100000000000001</v>
      </c>
      <c r="J14" s="24">
        <v>0.45029999999999998</v>
      </c>
      <c r="K14" s="25">
        <f t="shared" si="1"/>
        <v>450.29999999999995</v>
      </c>
    </row>
    <row r="15" spans="3:11" x14ac:dyDescent="0.35">
      <c r="C15" s="6">
        <v>13</v>
      </c>
      <c r="D15" s="11">
        <v>22</v>
      </c>
      <c r="E15" s="14">
        <v>0.68379999999999996</v>
      </c>
      <c r="F15" s="27">
        <f t="shared" si="0"/>
        <v>683.8</v>
      </c>
      <c r="H15" s="242">
        <v>13</v>
      </c>
      <c r="I15" s="47">
        <v>21.1</v>
      </c>
      <c r="J15" s="24">
        <v>0.55520000000000003</v>
      </c>
      <c r="K15" s="25">
        <f t="shared" si="1"/>
        <v>555.20000000000005</v>
      </c>
    </row>
    <row r="16" spans="3:11" x14ac:dyDescent="0.35">
      <c r="C16" s="6">
        <v>14</v>
      </c>
      <c r="D16" s="11">
        <v>19.2</v>
      </c>
      <c r="E16" s="14">
        <v>0.50170000000000003</v>
      </c>
      <c r="F16" s="27">
        <f>E16*1000</f>
        <v>501.70000000000005</v>
      </c>
      <c r="H16" s="242">
        <v>14</v>
      </c>
      <c r="I16" s="47">
        <v>22</v>
      </c>
      <c r="J16" s="24">
        <v>0.49840000000000007</v>
      </c>
      <c r="K16" s="25">
        <f t="shared" si="1"/>
        <v>498.40000000000009</v>
      </c>
    </row>
    <row r="17" spans="3:11" x14ac:dyDescent="0.35">
      <c r="C17" s="6">
        <v>15</v>
      </c>
      <c r="D17" s="11">
        <v>20.399999999999999</v>
      </c>
      <c r="E17" s="14">
        <v>0.59230000000000027</v>
      </c>
      <c r="F17" s="27">
        <f t="shared" si="0"/>
        <v>592.3000000000003</v>
      </c>
      <c r="H17" s="242">
        <v>15</v>
      </c>
      <c r="I17" s="47">
        <v>19.899999999999999</v>
      </c>
      <c r="J17" s="24">
        <v>0.57450000000000001</v>
      </c>
      <c r="K17" s="25">
        <f t="shared" si="1"/>
        <v>574.5</v>
      </c>
    </row>
    <row r="18" spans="3:11" x14ac:dyDescent="0.35">
      <c r="C18" s="6">
        <v>16</v>
      </c>
      <c r="D18" s="11">
        <v>20.2</v>
      </c>
      <c r="E18" s="14">
        <v>0.49249999999999983</v>
      </c>
      <c r="F18" s="27">
        <f t="shared" si="0"/>
        <v>492.49999999999983</v>
      </c>
      <c r="H18" s="242">
        <v>16</v>
      </c>
      <c r="I18" s="47">
        <v>20.2</v>
      </c>
      <c r="J18" s="24">
        <v>0.59599999999999997</v>
      </c>
      <c r="K18" s="25">
        <f t="shared" si="1"/>
        <v>596</v>
      </c>
    </row>
    <row r="19" spans="3:11" x14ac:dyDescent="0.35">
      <c r="C19" s="6">
        <v>17</v>
      </c>
      <c r="D19" s="11">
        <v>18</v>
      </c>
      <c r="E19" s="14">
        <v>0.39739999999999998</v>
      </c>
      <c r="F19" s="27">
        <f t="shared" si="0"/>
        <v>397.4</v>
      </c>
      <c r="H19" s="242">
        <v>17</v>
      </c>
      <c r="I19" s="47">
        <v>18.899999999999999</v>
      </c>
      <c r="J19" s="24">
        <v>0.60970000000000002</v>
      </c>
      <c r="K19" s="25">
        <f t="shared" si="1"/>
        <v>609.70000000000005</v>
      </c>
    </row>
    <row r="20" spans="3:11" x14ac:dyDescent="0.35">
      <c r="C20" s="6">
        <v>18</v>
      </c>
      <c r="D20" s="11">
        <v>21.3</v>
      </c>
      <c r="E20" s="14">
        <v>0.48299999999999987</v>
      </c>
      <c r="F20" s="27">
        <f t="shared" si="0"/>
        <v>482.99999999999989</v>
      </c>
      <c r="H20" s="242">
        <v>18</v>
      </c>
      <c r="I20" s="47">
        <v>20.399999999999999</v>
      </c>
      <c r="J20" s="24">
        <v>0.54010000000000014</v>
      </c>
      <c r="K20" s="25">
        <f t="shared" si="1"/>
        <v>540.10000000000014</v>
      </c>
    </row>
    <row r="21" spans="3:11" x14ac:dyDescent="0.35">
      <c r="C21" s="6">
        <v>19</v>
      </c>
      <c r="D21" s="11">
        <v>18.5</v>
      </c>
      <c r="E21" s="12">
        <v>0.43009999999999998</v>
      </c>
      <c r="F21" s="27">
        <f t="shared" si="0"/>
        <v>430.09999999999997</v>
      </c>
      <c r="H21" s="242">
        <v>19</v>
      </c>
      <c r="I21" s="47">
        <v>18.3</v>
      </c>
      <c r="J21" s="24">
        <v>0.60219999999999996</v>
      </c>
      <c r="K21" s="25">
        <f t="shared" si="1"/>
        <v>602.19999999999993</v>
      </c>
    </row>
    <row r="22" spans="3:11" x14ac:dyDescent="0.35">
      <c r="C22" s="6">
        <v>20</v>
      </c>
      <c r="D22" s="11">
        <v>19.3</v>
      </c>
      <c r="E22" s="12">
        <v>0.627</v>
      </c>
      <c r="F22" s="27">
        <f t="shared" si="0"/>
        <v>627</v>
      </c>
      <c r="H22" s="242">
        <v>20</v>
      </c>
      <c r="I22" s="47">
        <v>22.8</v>
      </c>
      <c r="J22" s="24">
        <v>0.4353999999999999</v>
      </c>
      <c r="K22" s="25">
        <f t="shared" si="1"/>
        <v>435.39999999999992</v>
      </c>
    </row>
    <row r="23" spans="3:11" x14ac:dyDescent="0.35">
      <c r="C23" s="6">
        <v>21</v>
      </c>
      <c r="D23" s="11">
        <v>18.7</v>
      </c>
      <c r="E23" s="14">
        <v>0.58169999999999999</v>
      </c>
      <c r="F23" s="27">
        <f>E23*1000</f>
        <v>581.70000000000005</v>
      </c>
      <c r="H23" s="242">
        <v>21</v>
      </c>
      <c r="I23" s="47">
        <v>21</v>
      </c>
      <c r="J23" s="24">
        <v>0.43979999999999986</v>
      </c>
      <c r="K23" s="25">
        <f t="shared" si="1"/>
        <v>439.79999999999984</v>
      </c>
    </row>
    <row r="24" spans="3:11" x14ac:dyDescent="0.35">
      <c r="C24" s="6">
        <v>22</v>
      </c>
      <c r="D24" s="11">
        <v>20.8</v>
      </c>
      <c r="E24" s="14">
        <v>0.65059999999999996</v>
      </c>
      <c r="F24" s="27">
        <f t="shared" si="0"/>
        <v>650.59999999999991</v>
      </c>
      <c r="H24" s="242">
        <v>22</v>
      </c>
      <c r="I24" s="47">
        <v>21.3</v>
      </c>
      <c r="J24" s="24">
        <v>0.41330000000000011</v>
      </c>
      <c r="K24" s="25">
        <f t="shared" si="1"/>
        <v>413.30000000000013</v>
      </c>
    </row>
    <row r="25" spans="3:11" x14ac:dyDescent="0.35">
      <c r="C25" s="6">
        <v>23</v>
      </c>
      <c r="D25" s="11">
        <v>19.2</v>
      </c>
      <c r="E25" s="14">
        <v>0.58940000000000003</v>
      </c>
      <c r="F25" s="27">
        <f t="shared" si="0"/>
        <v>589.40000000000009</v>
      </c>
      <c r="H25" s="242">
        <v>23</v>
      </c>
      <c r="I25" s="47">
        <v>21.1</v>
      </c>
      <c r="J25" s="24">
        <v>0.42220000000000002</v>
      </c>
      <c r="K25" s="25">
        <f t="shared" si="1"/>
        <v>422.20000000000005</v>
      </c>
    </row>
    <row r="26" spans="3:11" x14ac:dyDescent="0.35">
      <c r="C26" s="6">
        <v>24</v>
      </c>
      <c r="D26" s="11">
        <v>21.9</v>
      </c>
      <c r="E26" s="14">
        <v>0.64029999999999998</v>
      </c>
      <c r="F26" s="27">
        <f t="shared" si="0"/>
        <v>640.29999999999995</v>
      </c>
      <c r="H26" s="242">
        <v>24</v>
      </c>
      <c r="I26" s="47">
        <v>20.7</v>
      </c>
      <c r="J26" s="24">
        <v>0.43180000000000007</v>
      </c>
      <c r="K26" s="25">
        <f t="shared" si="1"/>
        <v>431.80000000000007</v>
      </c>
    </row>
    <row r="27" spans="3:11" x14ac:dyDescent="0.35">
      <c r="C27" s="6">
        <v>25</v>
      </c>
      <c r="D27" s="11">
        <v>18.600000000000001</v>
      </c>
      <c r="E27" s="12">
        <v>0.63190000000000002</v>
      </c>
      <c r="F27" s="27">
        <f t="shared" si="0"/>
        <v>631.9</v>
      </c>
      <c r="H27" s="242">
        <v>25</v>
      </c>
      <c r="I27" s="47">
        <v>20.5</v>
      </c>
      <c r="J27" s="24">
        <v>0.36299999999999988</v>
      </c>
      <c r="K27" s="25">
        <f t="shared" si="1"/>
        <v>362.99999999999989</v>
      </c>
    </row>
    <row r="28" spans="3:11" x14ac:dyDescent="0.35">
      <c r="C28" s="6">
        <v>26</v>
      </c>
      <c r="D28" s="11">
        <v>17.399999999999999</v>
      </c>
      <c r="E28" s="12">
        <v>0.47029999999999994</v>
      </c>
      <c r="F28" s="27">
        <f t="shared" si="0"/>
        <v>470.29999999999995</v>
      </c>
      <c r="H28" s="242">
        <v>26</v>
      </c>
      <c r="I28" s="47">
        <v>20</v>
      </c>
      <c r="J28" s="24">
        <v>0.39789999999999998</v>
      </c>
      <c r="K28" s="25">
        <f t="shared" si="1"/>
        <v>397.9</v>
      </c>
    </row>
    <row r="29" spans="3:11" x14ac:dyDescent="0.35">
      <c r="C29" s="6">
        <v>27</v>
      </c>
      <c r="D29" s="11">
        <v>20.5</v>
      </c>
      <c r="E29" s="12">
        <v>0.5595</v>
      </c>
      <c r="F29" s="27">
        <f t="shared" si="0"/>
        <v>559.5</v>
      </c>
      <c r="H29" s="242">
        <v>27</v>
      </c>
      <c r="I29" s="47">
        <v>20.7</v>
      </c>
      <c r="J29" s="24">
        <v>0.42120000000000002</v>
      </c>
      <c r="K29" s="25">
        <f t="shared" si="1"/>
        <v>421.20000000000005</v>
      </c>
    </row>
    <row r="30" spans="3:11" x14ac:dyDescent="0.35">
      <c r="C30" s="6">
        <v>28</v>
      </c>
      <c r="D30" s="11">
        <v>18.100000000000001</v>
      </c>
      <c r="E30" s="12">
        <v>0.51509999999999967</v>
      </c>
      <c r="F30" s="27">
        <f t="shared" si="0"/>
        <v>515.09999999999968</v>
      </c>
      <c r="H30" s="242">
        <v>28</v>
      </c>
      <c r="I30" s="47">
        <v>17.899999999999999</v>
      </c>
      <c r="J30" s="24">
        <v>0.46939999999999998</v>
      </c>
      <c r="K30" s="25">
        <f t="shared" si="1"/>
        <v>469.4</v>
      </c>
    </row>
    <row r="31" spans="3:11" x14ac:dyDescent="0.35">
      <c r="C31" s="6">
        <v>29</v>
      </c>
      <c r="D31" s="11">
        <v>17.3</v>
      </c>
      <c r="E31" s="12">
        <v>0.4652</v>
      </c>
      <c r="F31" s="27">
        <f t="shared" si="0"/>
        <v>465.2</v>
      </c>
      <c r="H31" s="242">
        <v>29</v>
      </c>
      <c r="I31" s="47">
        <v>21.2</v>
      </c>
      <c r="J31" s="24">
        <v>0.48820000000000002</v>
      </c>
      <c r="K31" s="25">
        <f t="shared" si="1"/>
        <v>488.20000000000005</v>
      </c>
    </row>
    <row r="32" spans="3:11" ht="16" thickBot="1" x14ac:dyDescent="0.4">
      <c r="C32" s="7">
        <v>30</v>
      </c>
      <c r="D32" s="15">
        <v>18.2</v>
      </c>
      <c r="E32" s="29">
        <v>0.67549999999999999</v>
      </c>
      <c r="F32" s="27">
        <f>E32*1000</f>
        <v>675.5</v>
      </c>
      <c r="H32" s="243">
        <v>30</v>
      </c>
      <c r="I32" s="75">
        <v>20.100000000000001</v>
      </c>
      <c r="J32" s="28">
        <v>0.37919999999999998</v>
      </c>
      <c r="K32" s="25">
        <f t="shared" si="1"/>
        <v>379.2</v>
      </c>
    </row>
    <row r="33" spans="2:11" x14ac:dyDescent="0.35">
      <c r="B33" s="34"/>
      <c r="C33" s="30" t="s">
        <v>17</v>
      </c>
      <c r="D33" s="31">
        <f>AVERAGE(D3:D32)</f>
        <v>19.196666666666665</v>
      </c>
      <c r="E33" s="65">
        <f>AVERAGE(E3:E32)</f>
        <v>0.53242999999999996</v>
      </c>
      <c r="F33" s="33">
        <f>AVERAGE(F3:F32)</f>
        <v>532.42999999999995</v>
      </c>
      <c r="G33" s="35"/>
      <c r="H33" s="30" t="s">
        <v>17</v>
      </c>
      <c r="I33" s="31">
        <f>AVERAGE(I3:I32)</f>
        <v>19.899999999999999</v>
      </c>
      <c r="J33" s="32">
        <f t="shared" ref="J33:K33" si="2">AVERAGE(J3:J32)</f>
        <v>0.46170666666666677</v>
      </c>
      <c r="K33" s="33">
        <f t="shared" si="2"/>
        <v>461.70666666666665</v>
      </c>
    </row>
    <row r="34" spans="2:11" x14ac:dyDescent="0.35">
      <c r="B34" s="5"/>
      <c r="C34" s="36" t="s">
        <v>44</v>
      </c>
      <c r="D34" s="37">
        <f>STDEV(D3:D32)</f>
        <v>1.4471096837426005</v>
      </c>
      <c r="E34" s="38">
        <f>STDEV(E3:E32)</f>
        <v>9.7223674390906664E-2</v>
      </c>
      <c r="F34" s="39">
        <f>STDEV(F3:F32)</f>
        <v>97.223674390906012</v>
      </c>
      <c r="H34" s="36" t="s">
        <v>44</v>
      </c>
      <c r="I34" s="16">
        <f>STDEV(I3:I32)</f>
        <v>1.4510400550568241</v>
      </c>
      <c r="J34" s="16">
        <f t="shared" ref="J34:K34" si="3">STDEV(J3:J32)</f>
        <v>7.5936874570528473E-2</v>
      </c>
      <c r="K34" s="13">
        <f t="shared" si="3"/>
        <v>75.936874570529085</v>
      </c>
    </row>
    <row r="35" spans="2:11" x14ac:dyDescent="0.35">
      <c r="C35" s="36" t="s">
        <v>3</v>
      </c>
      <c r="D35" s="41">
        <f>MIN(D3:D32)</f>
        <v>16.899999999999999</v>
      </c>
      <c r="E35" s="41">
        <f>MIN(E3:E32)</f>
        <v>0.32119999999999999</v>
      </c>
      <c r="F35" s="42">
        <f>MIN(F3:F32)</f>
        <v>321.2</v>
      </c>
      <c r="H35" s="36" t="s">
        <v>3</v>
      </c>
      <c r="I35" s="11">
        <f>MIN(I3:I32)</f>
        <v>16</v>
      </c>
      <c r="J35" s="11">
        <f t="shared" ref="J35:K35" si="4">MIN(J3:J32)</f>
        <v>0.36299999999999988</v>
      </c>
      <c r="K35" s="40">
        <f t="shared" si="4"/>
        <v>362.99999999999989</v>
      </c>
    </row>
    <row r="36" spans="2:11" ht="16" thickBot="1" x14ac:dyDescent="0.4">
      <c r="C36" s="43" t="s">
        <v>4</v>
      </c>
      <c r="D36" s="45">
        <f>MAX(D3:D32)</f>
        <v>22</v>
      </c>
      <c r="E36" s="45">
        <f>MAX(E3:E32)</f>
        <v>0.68379999999999996</v>
      </c>
      <c r="F36" s="46">
        <f>MAX(F3:F32)</f>
        <v>683.8</v>
      </c>
      <c r="H36" s="43" t="s">
        <v>4</v>
      </c>
      <c r="I36" s="15">
        <f>MAX(I3:I32)</f>
        <v>22.8</v>
      </c>
      <c r="J36" s="15">
        <f t="shared" ref="J36:K36" si="5">MAX(J3:J32)</f>
        <v>0.60970000000000002</v>
      </c>
      <c r="K36" s="44">
        <f t="shared" si="5"/>
        <v>609.70000000000005</v>
      </c>
    </row>
    <row r="37" spans="2:11" x14ac:dyDescent="0.35">
      <c r="H37" s="17"/>
      <c r="I37" s="10"/>
      <c r="J37" s="10"/>
      <c r="K37" s="10"/>
    </row>
    <row r="40" spans="2:11" x14ac:dyDescent="0.35">
      <c r="C40" s="4"/>
      <c r="D40" s="10"/>
      <c r="E40" s="4"/>
      <c r="F40" s="4"/>
      <c r="G40" s="1"/>
      <c r="H40" s="1"/>
    </row>
    <row r="41" spans="2:11" x14ac:dyDescent="0.35">
      <c r="C41" s="4"/>
      <c r="D41" s="1"/>
      <c r="E41" s="1"/>
      <c r="F41" s="1"/>
      <c r="G41" s="1"/>
      <c r="H41" s="1"/>
    </row>
    <row r="42" spans="2:11" x14ac:dyDescent="0.35">
      <c r="C42" s="4"/>
      <c r="D42" s="1"/>
      <c r="E42" s="1"/>
      <c r="F42" s="1"/>
      <c r="G42" s="1"/>
      <c r="H42" s="1"/>
    </row>
    <row r="43" spans="2:11" x14ac:dyDescent="0.35">
      <c r="C43" s="4"/>
      <c r="D43" s="1"/>
      <c r="E43" s="1"/>
      <c r="F43" s="1"/>
      <c r="G43" s="1"/>
      <c r="H43" s="1"/>
    </row>
    <row r="44" spans="2:11" x14ac:dyDescent="0.35">
      <c r="C44" s="4"/>
      <c r="D44" s="1"/>
      <c r="E44" s="1"/>
      <c r="F44" s="1"/>
      <c r="G44" s="1"/>
      <c r="H44" s="1"/>
    </row>
    <row r="45" spans="2:11" x14ac:dyDescent="0.35">
      <c r="C45" s="4"/>
      <c r="D45" s="1"/>
      <c r="E45" s="1"/>
      <c r="F45" s="1"/>
      <c r="G45" s="1"/>
      <c r="H45" s="1"/>
    </row>
    <row r="46" spans="2:11" x14ac:dyDescent="0.35">
      <c r="C46" s="4"/>
      <c r="D46" s="10"/>
      <c r="E46" s="4"/>
      <c r="F46" s="4"/>
      <c r="G46" s="1"/>
      <c r="H46" s="1"/>
    </row>
    <row r="47" spans="2:11" x14ac:dyDescent="0.35">
      <c r="C47" s="4"/>
      <c r="D47" s="10"/>
      <c r="E47" s="4"/>
      <c r="F47" s="4"/>
      <c r="G47" s="1"/>
      <c r="H47" s="1"/>
    </row>
    <row r="48" spans="2:11" x14ac:dyDescent="0.35">
      <c r="C48" s="4"/>
      <c r="D48" s="1"/>
      <c r="E48" s="1"/>
      <c r="F48" s="1"/>
      <c r="G48" s="1"/>
      <c r="H48" s="1"/>
    </row>
    <row r="49" spans="3:8" x14ac:dyDescent="0.35">
      <c r="C49" s="4"/>
      <c r="D49" s="1"/>
      <c r="E49" s="1"/>
      <c r="F49" s="1"/>
      <c r="G49" s="1"/>
      <c r="H49" s="1"/>
    </row>
    <row r="50" spans="3:8" x14ac:dyDescent="0.35">
      <c r="C50" s="4"/>
      <c r="D50" s="1"/>
      <c r="E50" s="1"/>
      <c r="F50" s="1"/>
      <c r="G50" s="1"/>
      <c r="H50" s="1"/>
    </row>
    <row r="51" spans="3:8" x14ac:dyDescent="0.35">
      <c r="C51" s="4"/>
      <c r="D51" s="1"/>
      <c r="E51" s="1"/>
      <c r="F51" s="1"/>
      <c r="G51" s="1"/>
      <c r="H51" s="1"/>
    </row>
    <row r="52" spans="3:8" x14ac:dyDescent="0.35">
      <c r="D52" s="1"/>
      <c r="E52" s="1"/>
      <c r="F52" s="1"/>
      <c r="G52" s="1"/>
      <c r="H52" s="1"/>
    </row>
    <row r="53" spans="3:8" x14ac:dyDescent="0.35">
      <c r="D53" s="1"/>
      <c r="E53" s="1"/>
      <c r="F53" s="1"/>
      <c r="G53" s="1"/>
      <c r="H53" s="1"/>
    </row>
    <row r="54" spans="3:8" x14ac:dyDescent="0.35">
      <c r="D54" s="1"/>
      <c r="E54" s="1"/>
      <c r="F54" s="1"/>
      <c r="G54" s="1"/>
      <c r="H54" s="1"/>
    </row>
    <row r="55" spans="3:8" x14ac:dyDescent="0.35">
      <c r="D55" s="1"/>
      <c r="E55" s="1"/>
      <c r="F55" s="1"/>
      <c r="G55" s="1"/>
      <c r="H55" s="1"/>
    </row>
    <row r="56" spans="3:8" x14ac:dyDescent="0.35">
      <c r="D56" s="1"/>
      <c r="E56" s="1"/>
      <c r="F56" s="1"/>
      <c r="G56" s="1"/>
      <c r="H56" s="1"/>
    </row>
    <row r="57" spans="3:8" x14ac:dyDescent="0.35">
      <c r="D57" s="1"/>
      <c r="E57" s="1"/>
      <c r="F57" s="1"/>
      <c r="G57" s="1"/>
      <c r="H57" s="1"/>
    </row>
    <row r="58" spans="3:8" x14ac:dyDescent="0.35">
      <c r="D58" s="1"/>
      <c r="E58" s="1"/>
      <c r="F58" s="1"/>
      <c r="G58" s="1"/>
      <c r="H58" s="1"/>
    </row>
    <row r="59" spans="3:8" x14ac:dyDescent="0.35">
      <c r="C59" s="4"/>
      <c r="D59" s="10"/>
      <c r="E59" s="4"/>
      <c r="F59" s="4"/>
      <c r="G59" s="1"/>
      <c r="H59" s="1"/>
    </row>
    <row r="60" spans="3:8" x14ac:dyDescent="0.35">
      <c r="D60" s="1"/>
      <c r="E60" s="1"/>
      <c r="F60" s="1"/>
      <c r="G60" s="1"/>
      <c r="H60" s="1"/>
    </row>
    <row r="61" spans="3:8" x14ac:dyDescent="0.35">
      <c r="D61" s="1"/>
      <c r="E61" s="1"/>
      <c r="F61" s="1"/>
      <c r="G61" s="1"/>
      <c r="H61" s="1"/>
    </row>
    <row r="62" spans="3:8" x14ac:dyDescent="0.35">
      <c r="D62" s="1"/>
      <c r="E62" s="1"/>
      <c r="F62" s="1"/>
      <c r="G62" s="1"/>
      <c r="H62" s="1"/>
    </row>
    <row r="63" spans="3:8" x14ac:dyDescent="0.35">
      <c r="D63" s="1"/>
      <c r="E63" s="1"/>
      <c r="F63" s="1"/>
      <c r="G63" s="1"/>
      <c r="H63" s="1"/>
    </row>
    <row r="64" spans="3:8" x14ac:dyDescent="0.35">
      <c r="D64" s="1"/>
      <c r="E64" s="1"/>
      <c r="F64" s="1"/>
      <c r="G64" s="1"/>
      <c r="H64" s="1"/>
    </row>
    <row r="65" spans="3:8" x14ac:dyDescent="0.35">
      <c r="D65" s="1"/>
      <c r="E65" s="1"/>
      <c r="F65" s="1"/>
      <c r="G65" s="1"/>
      <c r="H65" s="1"/>
    </row>
    <row r="66" spans="3:8" x14ac:dyDescent="0.35">
      <c r="D66" s="1"/>
      <c r="E66" s="1"/>
      <c r="F66" s="1"/>
      <c r="G66" s="1"/>
      <c r="H66" s="1"/>
    </row>
    <row r="67" spans="3:8" x14ac:dyDescent="0.35">
      <c r="D67" s="1"/>
      <c r="E67" s="1"/>
      <c r="F67" s="1"/>
      <c r="G67" s="1"/>
      <c r="H67" s="1"/>
    </row>
    <row r="68" spans="3:8" x14ac:dyDescent="0.35">
      <c r="D68" s="1"/>
      <c r="E68" s="1"/>
      <c r="F68" s="1"/>
      <c r="G68" s="1"/>
      <c r="H68" s="1"/>
    </row>
    <row r="69" spans="3:8" x14ac:dyDescent="0.35">
      <c r="D69" s="1"/>
      <c r="E69" s="1"/>
      <c r="F69" s="1"/>
      <c r="G69" s="1"/>
      <c r="H69" s="1"/>
    </row>
    <row r="70" spans="3:8" x14ac:dyDescent="0.35">
      <c r="D70" s="1"/>
      <c r="E70" s="1"/>
      <c r="F70" s="1"/>
      <c r="G70" s="1"/>
      <c r="H70" s="1"/>
    </row>
    <row r="71" spans="3:8" x14ac:dyDescent="0.35">
      <c r="D71" s="1"/>
      <c r="E71" s="1"/>
      <c r="F71" s="1"/>
      <c r="G71" s="1"/>
      <c r="H71" s="1"/>
    </row>
    <row r="72" spans="3:8" x14ac:dyDescent="0.35">
      <c r="D72" s="1"/>
      <c r="E72" s="1"/>
      <c r="F72" s="1"/>
      <c r="G72" s="1"/>
      <c r="H72" s="1"/>
    </row>
    <row r="73" spans="3:8" x14ac:dyDescent="0.35">
      <c r="D73" s="1"/>
      <c r="E73" s="1"/>
      <c r="F73" s="1"/>
      <c r="G73" s="1"/>
      <c r="H73" s="1"/>
    </row>
    <row r="74" spans="3:8" x14ac:dyDescent="0.35">
      <c r="D74" s="1"/>
      <c r="E74" s="1"/>
      <c r="F74" s="1"/>
      <c r="G74" s="1"/>
      <c r="H74" s="1"/>
    </row>
    <row r="75" spans="3:8" x14ac:dyDescent="0.35">
      <c r="C75" s="4"/>
      <c r="D75" s="10"/>
      <c r="E75" s="4"/>
      <c r="F75" s="4"/>
      <c r="G75" s="1"/>
      <c r="H75" s="1"/>
    </row>
    <row r="76" spans="3:8" x14ac:dyDescent="0.35">
      <c r="D76" s="1"/>
      <c r="E76" s="1"/>
      <c r="F76" s="1"/>
      <c r="G76" s="1"/>
      <c r="H76" s="1"/>
    </row>
    <row r="77" spans="3:8" x14ac:dyDescent="0.35">
      <c r="D77" s="1"/>
      <c r="E77" s="1"/>
      <c r="F77" s="1"/>
      <c r="G77" s="1"/>
      <c r="H77" s="1"/>
    </row>
    <row r="78" spans="3:8" x14ac:dyDescent="0.35">
      <c r="D78" s="1"/>
      <c r="E78" s="1"/>
      <c r="F78" s="1"/>
      <c r="G78" s="1"/>
      <c r="H78" s="1"/>
    </row>
    <row r="79" spans="3:8" x14ac:dyDescent="0.35">
      <c r="D79" s="1"/>
      <c r="E79" s="1"/>
      <c r="F79" s="1"/>
      <c r="G79" s="1"/>
      <c r="H79" s="1"/>
    </row>
    <row r="80" spans="3:8" x14ac:dyDescent="0.35">
      <c r="D80" s="1"/>
      <c r="E80" s="1"/>
      <c r="F80" s="1"/>
      <c r="G80" s="1"/>
      <c r="H80" s="1"/>
    </row>
    <row r="81" spans="3:8" x14ac:dyDescent="0.35">
      <c r="D81" s="1"/>
      <c r="E81" s="1"/>
      <c r="F81" s="1"/>
      <c r="G81" s="1"/>
      <c r="H81" s="1"/>
    </row>
    <row r="82" spans="3:8" x14ac:dyDescent="0.35">
      <c r="D82" s="1"/>
      <c r="E82" s="1"/>
      <c r="F82" s="1"/>
      <c r="G82" s="1"/>
      <c r="H82" s="1"/>
    </row>
    <row r="83" spans="3:8" x14ac:dyDescent="0.35">
      <c r="D83" s="1"/>
      <c r="E83" s="1"/>
      <c r="F83" s="1"/>
      <c r="G83" s="1"/>
      <c r="H83" s="1"/>
    </row>
    <row r="84" spans="3:8" x14ac:dyDescent="0.35">
      <c r="D84" s="1"/>
      <c r="E84" s="1"/>
      <c r="F84" s="1"/>
      <c r="G84" s="1"/>
      <c r="H84" s="1"/>
    </row>
    <row r="85" spans="3:8" x14ac:dyDescent="0.35">
      <c r="C85" s="4"/>
      <c r="D85" s="10"/>
      <c r="E85" s="4"/>
      <c r="F85" s="4"/>
      <c r="G85" s="1"/>
      <c r="H85" s="1"/>
    </row>
    <row r="86" spans="3:8" x14ac:dyDescent="0.35">
      <c r="C86" s="4"/>
      <c r="D86" s="1"/>
      <c r="E86" s="1"/>
      <c r="F86" s="1"/>
      <c r="G86" s="1"/>
      <c r="H86" s="1"/>
    </row>
    <row r="87" spans="3:8" x14ac:dyDescent="0.35">
      <c r="C87" s="4"/>
      <c r="D87" s="1"/>
      <c r="E87" s="1"/>
      <c r="F87" s="1"/>
      <c r="G87" s="1"/>
      <c r="H87" s="1"/>
    </row>
    <row r="88" spans="3:8" x14ac:dyDescent="0.35">
      <c r="C88" s="4"/>
      <c r="D88" s="1"/>
      <c r="E88" s="1"/>
      <c r="F88" s="1"/>
      <c r="G88" s="1"/>
      <c r="H88" s="1"/>
    </row>
    <row r="89" spans="3:8" x14ac:dyDescent="0.35">
      <c r="C89" s="4"/>
      <c r="D89" s="1"/>
      <c r="E89" s="1"/>
      <c r="F89" s="1"/>
      <c r="G89" s="1"/>
      <c r="H89" s="1"/>
    </row>
    <row r="90" spans="3:8" x14ac:dyDescent="0.35">
      <c r="D90" s="1"/>
      <c r="E90" s="1"/>
      <c r="F90" s="1"/>
      <c r="G90" s="1"/>
      <c r="H90" s="1"/>
    </row>
    <row r="91" spans="3:8" x14ac:dyDescent="0.35">
      <c r="D91" s="1"/>
      <c r="E91" s="1"/>
      <c r="F91" s="1"/>
      <c r="G91" s="1"/>
      <c r="H91" s="1"/>
    </row>
    <row r="92" spans="3:8" x14ac:dyDescent="0.35">
      <c r="D92" s="1"/>
      <c r="E92" s="1"/>
      <c r="F92" s="1"/>
      <c r="G92" s="1"/>
      <c r="H92" s="1"/>
    </row>
    <row r="93" spans="3:8" x14ac:dyDescent="0.35">
      <c r="D93" s="1"/>
      <c r="E93" s="1"/>
      <c r="F93" s="1"/>
      <c r="G93" s="1"/>
      <c r="H93" s="1"/>
    </row>
    <row r="94" spans="3:8" x14ac:dyDescent="0.35">
      <c r="D94" s="1"/>
      <c r="E94" s="1"/>
      <c r="F94" s="1"/>
      <c r="G94" s="1"/>
      <c r="H94" s="1"/>
    </row>
    <row r="95" spans="3:8" x14ac:dyDescent="0.35">
      <c r="D95" s="1"/>
      <c r="E95" s="1"/>
      <c r="F95" s="1"/>
      <c r="G95" s="1"/>
      <c r="H95" s="1"/>
    </row>
    <row r="96" spans="3:8" x14ac:dyDescent="0.35">
      <c r="D96" s="1"/>
      <c r="E96" s="1"/>
      <c r="F96" s="1"/>
      <c r="G96" s="1"/>
      <c r="H96" s="1"/>
    </row>
    <row r="97" spans="4:8" x14ac:dyDescent="0.35">
      <c r="D97" s="1"/>
      <c r="E97" s="1"/>
      <c r="F97" s="1"/>
      <c r="G97" s="1"/>
      <c r="H97" s="1"/>
    </row>
    <row r="98" spans="4:8" x14ac:dyDescent="0.35">
      <c r="D98" s="1"/>
      <c r="E98" s="1"/>
      <c r="F98" s="1"/>
      <c r="G98" s="1"/>
      <c r="H98" s="1"/>
    </row>
    <row r="99" spans="4:8" x14ac:dyDescent="0.35">
      <c r="D99" s="1"/>
      <c r="E99" s="1"/>
      <c r="F99" s="1"/>
      <c r="G99" s="1"/>
      <c r="H99" s="1"/>
    </row>
    <row r="100" spans="4:8" x14ac:dyDescent="0.35">
      <c r="D100" s="1"/>
      <c r="E100" s="1"/>
      <c r="F100" s="1"/>
      <c r="G100" s="1"/>
      <c r="H100" s="1"/>
    </row>
    <row r="101" spans="4:8" x14ac:dyDescent="0.35">
      <c r="D101" s="1"/>
      <c r="E101" s="1"/>
      <c r="F101" s="1"/>
      <c r="G101" s="1"/>
      <c r="H101" s="1"/>
    </row>
    <row r="102" spans="4:8" x14ac:dyDescent="0.35">
      <c r="D102" s="1"/>
      <c r="E102" s="1"/>
      <c r="F102" s="1"/>
      <c r="G102" s="1"/>
      <c r="H102" s="1"/>
    </row>
    <row r="103" spans="4:8" x14ac:dyDescent="0.35">
      <c r="D103" s="1"/>
      <c r="E103" s="1"/>
      <c r="F103" s="1"/>
      <c r="G103" s="1"/>
      <c r="H103" s="1"/>
    </row>
    <row r="104" spans="4:8" x14ac:dyDescent="0.35">
      <c r="D104" s="1"/>
      <c r="E104" s="1"/>
      <c r="F104" s="1"/>
      <c r="G104" s="1"/>
      <c r="H104" s="1"/>
    </row>
    <row r="105" spans="4:8" x14ac:dyDescent="0.35">
      <c r="D105" s="1"/>
      <c r="E105" s="1"/>
      <c r="F105" s="1"/>
      <c r="G105" s="1"/>
      <c r="H105" s="1"/>
    </row>
    <row r="106" spans="4:8" x14ac:dyDescent="0.35">
      <c r="D106" s="1"/>
      <c r="E106" s="1"/>
      <c r="F106" s="1"/>
      <c r="G106" s="1"/>
      <c r="H106" s="1"/>
    </row>
    <row r="107" spans="4:8" x14ac:dyDescent="0.35">
      <c r="D107" s="1"/>
      <c r="E107" s="1"/>
      <c r="F107" s="1"/>
      <c r="G107" s="1"/>
      <c r="H107" s="1"/>
    </row>
    <row r="108" spans="4:8" x14ac:dyDescent="0.35">
      <c r="D108" s="1"/>
      <c r="E108" s="1"/>
      <c r="F108" s="1"/>
      <c r="G108" s="1"/>
      <c r="H108" s="1"/>
    </row>
    <row r="109" spans="4:8" x14ac:dyDescent="0.35">
      <c r="D109" s="1"/>
      <c r="E109" s="1"/>
      <c r="F109" s="1"/>
      <c r="G109" s="1"/>
      <c r="H109" s="1"/>
    </row>
    <row r="110" spans="4:8" x14ac:dyDescent="0.35">
      <c r="D110" s="1"/>
      <c r="E110" s="1"/>
      <c r="F110" s="1"/>
      <c r="G110" s="1"/>
      <c r="H110" s="1"/>
    </row>
    <row r="111" spans="4:8" x14ac:dyDescent="0.35">
      <c r="D111" s="1"/>
      <c r="E111" s="1"/>
      <c r="F111" s="1"/>
      <c r="G111" s="1"/>
      <c r="H111" s="1"/>
    </row>
    <row r="112" spans="4:8" x14ac:dyDescent="0.35">
      <c r="D112" s="1"/>
      <c r="E112" s="1"/>
      <c r="F112" s="1"/>
      <c r="G112" s="1"/>
      <c r="H112" s="1"/>
    </row>
    <row r="113" spans="4:8" x14ac:dyDescent="0.35">
      <c r="D113" s="1"/>
      <c r="E113" s="1"/>
      <c r="F113" s="1"/>
      <c r="G113" s="1"/>
      <c r="H113" s="1"/>
    </row>
    <row r="114" spans="4:8" x14ac:dyDescent="0.35">
      <c r="D114" s="1"/>
      <c r="E114" s="1"/>
      <c r="F114" s="1"/>
      <c r="G114" s="1"/>
      <c r="H114" s="1"/>
    </row>
    <row r="115" spans="4:8" x14ac:dyDescent="0.35">
      <c r="D115" s="1"/>
      <c r="E115" s="1"/>
      <c r="F115" s="1"/>
      <c r="G115" s="1"/>
      <c r="H115" s="1"/>
    </row>
    <row r="116" spans="4:8" x14ac:dyDescent="0.35">
      <c r="D116" s="1"/>
      <c r="E116" s="1"/>
      <c r="F116" s="1"/>
      <c r="G116" s="1"/>
      <c r="H116" s="1"/>
    </row>
    <row r="117" spans="4:8" x14ac:dyDescent="0.35">
      <c r="D117" s="1"/>
      <c r="E117" s="1"/>
      <c r="F117" s="1"/>
      <c r="G117" s="1"/>
      <c r="H117" s="1"/>
    </row>
    <row r="118" spans="4:8" x14ac:dyDescent="0.35">
      <c r="D118" s="1"/>
      <c r="E118" s="1"/>
      <c r="F118" s="1"/>
      <c r="G118" s="1"/>
      <c r="H118" s="1"/>
    </row>
    <row r="119" spans="4:8" x14ac:dyDescent="0.35">
      <c r="D119" s="1"/>
      <c r="E119" s="1"/>
      <c r="F119" s="1"/>
      <c r="G119" s="1"/>
      <c r="H119" s="1"/>
    </row>
    <row r="120" spans="4:8" x14ac:dyDescent="0.35">
      <c r="D120" s="1"/>
      <c r="E120" s="1"/>
      <c r="F120" s="1"/>
      <c r="G120" s="1"/>
      <c r="H120" s="1"/>
    </row>
    <row r="121" spans="4:8" x14ac:dyDescent="0.35">
      <c r="D121" s="1"/>
      <c r="E121" s="1"/>
      <c r="F121" s="1"/>
      <c r="G121" s="1"/>
      <c r="H121" s="1"/>
    </row>
    <row r="122" spans="4:8" x14ac:dyDescent="0.35">
      <c r="D122" s="1"/>
      <c r="E122" s="1"/>
      <c r="F122" s="1"/>
      <c r="G122" s="1"/>
      <c r="H122" s="1"/>
    </row>
    <row r="123" spans="4:8" x14ac:dyDescent="0.35">
      <c r="D123" s="1"/>
      <c r="E123" s="1"/>
      <c r="F123" s="1"/>
      <c r="G123" s="1"/>
      <c r="H123" s="1"/>
    </row>
    <row r="124" spans="4:8" x14ac:dyDescent="0.35">
      <c r="D124" s="1"/>
      <c r="E124" s="1"/>
      <c r="F124" s="1"/>
      <c r="G124" s="1"/>
      <c r="H124" s="1"/>
    </row>
    <row r="125" spans="4:8" x14ac:dyDescent="0.35">
      <c r="D125" s="1"/>
      <c r="E125" s="1"/>
      <c r="F125" s="1"/>
      <c r="G125" s="1"/>
      <c r="H125" s="1"/>
    </row>
    <row r="126" spans="4:8" x14ac:dyDescent="0.35">
      <c r="D126" s="1"/>
      <c r="E126" s="1"/>
      <c r="F126" s="1"/>
      <c r="G126" s="1"/>
      <c r="H126" s="1"/>
    </row>
    <row r="127" spans="4:8" x14ac:dyDescent="0.35">
      <c r="D127" s="1"/>
      <c r="E127" s="1"/>
      <c r="F127" s="1"/>
      <c r="G127" s="1"/>
      <c r="H127" s="1"/>
    </row>
    <row r="128" spans="4:8" x14ac:dyDescent="0.35">
      <c r="D128" s="1"/>
      <c r="E128" s="1"/>
      <c r="F128" s="1"/>
      <c r="G128" s="1"/>
      <c r="H128" s="1"/>
    </row>
    <row r="129" spans="4:8" x14ac:dyDescent="0.35">
      <c r="D129" s="1"/>
      <c r="E129" s="1"/>
      <c r="F129" s="1"/>
      <c r="G129" s="1"/>
      <c r="H129" s="1"/>
    </row>
    <row r="130" spans="4:8" x14ac:dyDescent="0.35">
      <c r="D130" s="1"/>
      <c r="E130" s="1"/>
      <c r="F130" s="1"/>
      <c r="G130" s="1"/>
      <c r="H130" s="1"/>
    </row>
    <row r="131" spans="4:8" x14ac:dyDescent="0.35">
      <c r="D131" s="1"/>
      <c r="E131" s="1"/>
      <c r="F131" s="1"/>
      <c r="G131" s="1"/>
      <c r="H131" s="1"/>
    </row>
    <row r="132" spans="4:8" x14ac:dyDescent="0.35">
      <c r="D132" s="1"/>
      <c r="E132" s="1"/>
      <c r="F132" s="1"/>
      <c r="G132" s="1"/>
      <c r="H132" s="1"/>
    </row>
    <row r="133" spans="4:8" x14ac:dyDescent="0.35">
      <c r="D133" s="1"/>
      <c r="E133" s="1"/>
      <c r="F133" s="1"/>
      <c r="G133" s="1"/>
      <c r="H133" s="1"/>
    </row>
    <row r="134" spans="4:8" x14ac:dyDescent="0.35">
      <c r="D134" s="1"/>
      <c r="E134" s="1"/>
      <c r="F134" s="1"/>
      <c r="G134" s="1"/>
      <c r="H134" s="1"/>
    </row>
    <row r="135" spans="4:8" x14ac:dyDescent="0.35">
      <c r="D135" s="1"/>
      <c r="E135" s="1"/>
      <c r="F135" s="1"/>
      <c r="G135" s="1"/>
      <c r="H135" s="1"/>
    </row>
    <row r="136" spans="4:8" x14ac:dyDescent="0.35">
      <c r="D136" s="1"/>
      <c r="E136" s="1"/>
      <c r="F136" s="1"/>
      <c r="G136" s="1"/>
      <c r="H136" s="1"/>
    </row>
    <row r="137" spans="4:8" x14ac:dyDescent="0.35">
      <c r="D137" s="1"/>
      <c r="E137" s="1"/>
      <c r="F137" s="1"/>
      <c r="G137" s="1"/>
      <c r="H137" s="1"/>
    </row>
    <row r="138" spans="4:8" x14ac:dyDescent="0.35">
      <c r="D138" s="1"/>
      <c r="E138" s="1"/>
      <c r="F138" s="1"/>
      <c r="G138" s="1"/>
      <c r="H138" s="1"/>
    </row>
    <row r="139" spans="4:8" x14ac:dyDescent="0.35">
      <c r="D139" s="1"/>
      <c r="E139" s="1"/>
      <c r="F139" s="1"/>
      <c r="G139" s="1"/>
      <c r="H139" s="1"/>
    </row>
    <row r="140" spans="4:8" x14ac:dyDescent="0.35">
      <c r="D140" s="1"/>
      <c r="E140" s="1"/>
      <c r="F140" s="1"/>
      <c r="G140" s="1"/>
      <c r="H140" s="1"/>
    </row>
    <row r="141" spans="4:8" x14ac:dyDescent="0.35">
      <c r="D141" s="1"/>
      <c r="E141" s="1"/>
      <c r="F141" s="1"/>
      <c r="G141" s="1"/>
      <c r="H141" s="1"/>
    </row>
    <row r="142" spans="4:8" x14ac:dyDescent="0.35">
      <c r="D142" s="1"/>
      <c r="E142" s="1"/>
      <c r="F142" s="1"/>
      <c r="G142" s="1"/>
      <c r="H142" s="1"/>
    </row>
    <row r="143" spans="4:8" x14ac:dyDescent="0.35">
      <c r="D143" s="1"/>
      <c r="E143" s="1"/>
      <c r="F143" s="1"/>
      <c r="G143" s="1"/>
      <c r="H143" s="1"/>
    </row>
    <row r="144" spans="4:8" x14ac:dyDescent="0.35">
      <c r="D144" s="1"/>
      <c r="E144" s="1"/>
      <c r="F144" s="1"/>
      <c r="G144" s="1"/>
      <c r="H144" s="1"/>
    </row>
    <row r="145" spans="4:8" x14ac:dyDescent="0.35">
      <c r="D145" s="1"/>
      <c r="E145" s="1"/>
      <c r="F145" s="1"/>
      <c r="G145" s="1"/>
      <c r="H145" s="1"/>
    </row>
    <row r="146" spans="4:8" x14ac:dyDescent="0.35">
      <c r="D146" s="1"/>
      <c r="E146" s="1"/>
      <c r="F146" s="1"/>
      <c r="G146" s="1"/>
      <c r="H146" s="1"/>
    </row>
    <row r="147" spans="4:8" x14ac:dyDescent="0.35">
      <c r="D147" s="1"/>
      <c r="E147" s="1"/>
      <c r="F147" s="1"/>
      <c r="G147" s="1"/>
      <c r="H147" s="1"/>
    </row>
    <row r="148" spans="4:8" x14ac:dyDescent="0.35">
      <c r="D148" s="1"/>
      <c r="E148" s="1"/>
      <c r="F148" s="1"/>
      <c r="G148" s="1"/>
      <c r="H148" s="1"/>
    </row>
    <row r="149" spans="4:8" x14ac:dyDescent="0.35">
      <c r="D149" s="1"/>
      <c r="E149" s="1"/>
      <c r="F149" s="1"/>
      <c r="G149" s="1"/>
      <c r="H149" s="1"/>
    </row>
    <row r="150" spans="4:8" x14ac:dyDescent="0.35">
      <c r="D150" s="1"/>
      <c r="E150" s="1"/>
      <c r="F150" s="1"/>
      <c r="G150" s="1"/>
      <c r="H150" s="1"/>
    </row>
    <row r="151" spans="4:8" x14ac:dyDescent="0.35">
      <c r="D151" s="1"/>
      <c r="E151" s="1"/>
      <c r="F151" s="1"/>
      <c r="G151" s="1"/>
      <c r="H151" s="1"/>
    </row>
    <row r="152" spans="4:8" x14ac:dyDescent="0.35">
      <c r="D152" s="1"/>
      <c r="E152" s="1"/>
      <c r="F152" s="1"/>
      <c r="G152" s="1"/>
      <c r="H152" s="1"/>
    </row>
    <row r="153" spans="4:8" x14ac:dyDescent="0.35">
      <c r="D153" s="1"/>
      <c r="E153" s="1"/>
      <c r="F153" s="1"/>
      <c r="G153" s="1"/>
      <c r="H153" s="1"/>
    </row>
    <row r="154" spans="4:8" x14ac:dyDescent="0.35">
      <c r="D154" s="1"/>
      <c r="E154" s="1"/>
      <c r="F154" s="1"/>
      <c r="G154" s="1"/>
      <c r="H154" s="1"/>
    </row>
    <row r="155" spans="4:8" x14ac:dyDescent="0.35">
      <c r="D155" s="1"/>
      <c r="E155" s="1"/>
      <c r="F155" s="1"/>
      <c r="G155" s="1"/>
      <c r="H155" s="1"/>
    </row>
    <row r="156" spans="4:8" x14ac:dyDescent="0.35">
      <c r="D156" s="1"/>
      <c r="E156" s="1"/>
      <c r="F156" s="1"/>
      <c r="G156" s="1"/>
      <c r="H156" s="1"/>
    </row>
    <row r="157" spans="4:8" x14ac:dyDescent="0.35">
      <c r="D157" s="1"/>
      <c r="E157" s="1"/>
      <c r="F157" s="1"/>
      <c r="G157" s="1"/>
      <c r="H157" s="1"/>
    </row>
    <row r="158" spans="4:8" x14ac:dyDescent="0.35">
      <c r="D158" s="1"/>
      <c r="E158" s="1"/>
      <c r="F158" s="1"/>
      <c r="G158" s="1"/>
      <c r="H158" s="1"/>
    </row>
    <row r="159" spans="4:8" x14ac:dyDescent="0.35">
      <c r="D159" s="1"/>
      <c r="E159" s="1"/>
      <c r="F159" s="1"/>
      <c r="G159" s="1"/>
      <c r="H159" s="1"/>
    </row>
    <row r="160" spans="4:8" x14ac:dyDescent="0.35">
      <c r="D160" s="1"/>
      <c r="E160" s="1"/>
      <c r="F160" s="1"/>
      <c r="G160" s="1"/>
      <c r="H160" s="1"/>
    </row>
    <row r="161" spans="4:8" x14ac:dyDescent="0.35">
      <c r="D161" s="1"/>
      <c r="E161" s="1"/>
      <c r="F161" s="1"/>
      <c r="G161" s="1"/>
      <c r="H161" s="1"/>
    </row>
    <row r="162" spans="4:8" x14ac:dyDescent="0.35">
      <c r="D162" s="1"/>
      <c r="E162" s="1"/>
      <c r="F162" s="1"/>
      <c r="G162" s="1"/>
      <c r="H162" s="1"/>
    </row>
    <row r="163" spans="4:8" x14ac:dyDescent="0.35">
      <c r="D163" s="1"/>
      <c r="E163" s="1"/>
      <c r="F163" s="1"/>
      <c r="G163" s="1"/>
      <c r="H163" s="1"/>
    </row>
    <row r="164" spans="4:8" x14ac:dyDescent="0.35">
      <c r="D164" s="1"/>
      <c r="E164" s="1"/>
      <c r="F164" s="1"/>
      <c r="G164" s="1"/>
      <c r="H164" s="1"/>
    </row>
    <row r="165" spans="4:8" x14ac:dyDescent="0.35">
      <c r="D165" s="1"/>
      <c r="E165" s="1"/>
      <c r="F165" s="1"/>
      <c r="G165" s="1"/>
      <c r="H165" s="1"/>
    </row>
    <row r="166" spans="4:8" x14ac:dyDescent="0.35">
      <c r="D166" s="1"/>
      <c r="E166" s="1"/>
      <c r="F166" s="1"/>
      <c r="G166" s="1"/>
      <c r="H166" s="1"/>
    </row>
    <row r="167" spans="4:8" x14ac:dyDescent="0.35">
      <c r="D167" s="1"/>
      <c r="E167" s="1"/>
      <c r="F167" s="1"/>
      <c r="G167" s="1"/>
      <c r="H167" s="1"/>
    </row>
    <row r="168" spans="4:8" x14ac:dyDescent="0.35">
      <c r="D168" s="1"/>
      <c r="E168" s="1"/>
      <c r="F168" s="1"/>
      <c r="G168" s="1"/>
      <c r="H168" s="1"/>
    </row>
    <row r="169" spans="4:8" x14ac:dyDescent="0.35">
      <c r="D169" s="1"/>
      <c r="E169" s="1"/>
      <c r="F169" s="1"/>
      <c r="G169" s="1"/>
      <c r="H169" s="1"/>
    </row>
    <row r="170" spans="4:8" x14ac:dyDescent="0.35">
      <c r="D170" s="1"/>
      <c r="E170" s="1"/>
      <c r="F170" s="1"/>
      <c r="G170" s="1"/>
      <c r="H170" s="1"/>
    </row>
    <row r="171" spans="4:8" x14ac:dyDescent="0.35">
      <c r="D171" s="1"/>
      <c r="E171" s="1"/>
      <c r="F171" s="1"/>
      <c r="G171" s="1"/>
      <c r="H171" s="1"/>
    </row>
    <row r="172" spans="4:8" x14ac:dyDescent="0.35">
      <c r="D172" s="1"/>
      <c r="E172" s="1"/>
      <c r="F172" s="1"/>
      <c r="G172" s="1"/>
      <c r="H172" s="1"/>
    </row>
    <row r="173" spans="4:8" x14ac:dyDescent="0.35">
      <c r="D173" s="1"/>
      <c r="E173" s="1"/>
      <c r="F173" s="1"/>
      <c r="G173" s="1"/>
      <c r="H173" s="1"/>
    </row>
    <row r="174" spans="4:8" x14ac:dyDescent="0.35">
      <c r="D174" s="1"/>
      <c r="E174" s="1"/>
      <c r="F174" s="1"/>
      <c r="G174" s="1"/>
      <c r="H174" s="1"/>
    </row>
    <row r="175" spans="4:8" x14ac:dyDescent="0.35">
      <c r="D175" s="1"/>
      <c r="E175" s="1"/>
      <c r="F175" s="1"/>
      <c r="G175" s="1"/>
      <c r="H175" s="1"/>
    </row>
    <row r="176" spans="4:8" x14ac:dyDescent="0.35">
      <c r="D176" s="1"/>
      <c r="E176" s="1"/>
      <c r="F176" s="1"/>
      <c r="G176" s="1"/>
      <c r="H176" s="1"/>
    </row>
    <row r="177" spans="4:8" x14ac:dyDescent="0.35">
      <c r="D177" s="1"/>
      <c r="E177" s="1"/>
      <c r="F177" s="1"/>
      <c r="G177" s="1"/>
      <c r="H177" s="1"/>
    </row>
    <row r="178" spans="4:8" x14ac:dyDescent="0.35">
      <c r="D178" s="1"/>
      <c r="E178" s="1"/>
      <c r="F178" s="1"/>
      <c r="G178" s="1"/>
      <c r="H178" s="1"/>
    </row>
    <row r="179" spans="4:8" x14ac:dyDescent="0.35">
      <c r="D179" s="1"/>
      <c r="E179" s="1"/>
      <c r="F179" s="1"/>
      <c r="G179" s="1"/>
      <c r="H179" s="1"/>
    </row>
    <row r="180" spans="4:8" x14ac:dyDescent="0.35">
      <c r="D180" s="1"/>
      <c r="E180" s="1"/>
      <c r="F180" s="1"/>
      <c r="G180" s="1"/>
      <c r="H180" s="1"/>
    </row>
    <row r="181" spans="4:8" x14ac:dyDescent="0.35">
      <c r="D181" s="1"/>
      <c r="E181" s="1"/>
      <c r="F181" s="1"/>
      <c r="G181" s="1"/>
      <c r="H181" s="1"/>
    </row>
    <row r="182" spans="4:8" x14ac:dyDescent="0.35">
      <c r="D182" s="1"/>
      <c r="E182" s="1"/>
      <c r="F182" s="1"/>
      <c r="G182" s="1"/>
      <c r="H182" s="1"/>
    </row>
    <row r="183" spans="4:8" x14ac:dyDescent="0.35">
      <c r="D183" s="1"/>
      <c r="E183" s="1"/>
      <c r="F183" s="1"/>
      <c r="G183" s="1"/>
      <c r="H183" s="1"/>
    </row>
    <row r="184" spans="4:8" x14ac:dyDescent="0.35">
      <c r="D184" s="1"/>
      <c r="E184" s="1"/>
      <c r="F184" s="1"/>
      <c r="G184" s="1"/>
      <c r="H184" s="1"/>
    </row>
    <row r="185" spans="4:8" x14ac:dyDescent="0.35">
      <c r="D185" s="1"/>
      <c r="E185" s="1"/>
      <c r="F185" s="1"/>
      <c r="G185" s="1"/>
      <c r="H185" s="1"/>
    </row>
    <row r="186" spans="4:8" x14ac:dyDescent="0.35">
      <c r="D186" s="1"/>
      <c r="E186" s="1"/>
      <c r="F186" s="1"/>
      <c r="G186" s="1"/>
      <c r="H186" s="1"/>
    </row>
    <row r="187" spans="4:8" x14ac:dyDescent="0.35">
      <c r="D187" s="1"/>
      <c r="E187" s="1"/>
      <c r="F187" s="1"/>
      <c r="G187" s="1"/>
      <c r="H187" s="1"/>
    </row>
    <row r="188" spans="4:8" x14ac:dyDescent="0.35">
      <c r="D188" s="1"/>
      <c r="E188" s="1"/>
      <c r="F188" s="1"/>
      <c r="G188" s="1"/>
      <c r="H188" s="1"/>
    </row>
    <row r="189" spans="4:8" x14ac:dyDescent="0.35">
      <c r="D189" s="1"/>
      <c r="E189" s="1"/>
      <c r="F189" s="1"/>
      <c r="G189" s="1"/>
      <c r="H189" s="1"/>
    </row>
    <row r="190" spans="4:8" x14ac:dyDescent="0.35">
      <c r="D190" s="1"/>
      <c r="E190" s="1"/>
      <c r="F190" s="1"/>
      <c r="G190" s="1"/>
      <c r="H190" s="1"/>
    </row>
    <row r="191" spans="4:8" x14ac:dyDescent="0.35">
      <c r="D191" s="1"/>
      <c r="E191" s="1"/>
      <c r="F191" s="1"/>
      <c r="G191" s="1"/>
      <c r="H191" s="1"/>
    </row>
    <row r="192" spans="4:8" x14ac:dyDescent="0.35">
      <c r="D192" s="1"/>
      <c r="E192" s="1"/>
      <c r="F192" s="1"/>
      <c r="G192" s="1"/>
      <c r="H192" s="1"/>
    </row>
    <row r="193" spans="4:8" x14ac:dyDescent="0.35">
      <c r="D193" s="1"/>
      <c r="E193" s="1"/>
      <c r="F193" s="1"/>
      <c r="G193" s="1"/>
      <c r="H193" s="1"/>
    </row>
    <row r="194" spans="4:8" x14ac:dyDescent="0.35">
      <c r="D194" s="1"/>
      <c r="E194" s="1"/>
      <c r="F194" s="1"/>
      <c r="G194" s="1"/>
      <c r="H194" s="1"/>
    </row>
    <row r="195" spans="4:8" x14ac:dyDescent="0.35">
      <c r="D195" s="1"/>
      <c r="E195" s="1"/>
      <c r="F195" s="1"/>
      <c r="G195" s="1"/>
      <c r="H195" s="1"/>
    </row>
    <row r="196" spans="4:8" x14ac:dyDescent="0.35">
      <c r="D196" s="1"/>
      <c r="E196" s="1"/>
      <c r="F196" s="1"/>
      <c r="G196" s="1"/>
      <c r="H196" s="1"/>
    </row>
    <row r="197" spans="4:8" x14ac:dyDescent="0.35">
      <c r="D197" s="1"/>
      <c r="E197" s="1"/>
      <c r="F197" s="1"/>
      <c r="G197" s="1"/>
      <c r="H197" s="1"/>
    </row>
    <row r="198" spans="4:8" x14ac:dyDescent="0.35">
      <c r="D198" s="1"/>
      <c r="E198" s="1"/>
      <c r="F198" s="1"/>
      <c r="G198" s="1"/>
      <c r="H198" s="1"/>
    </row>
    <row r="199" spans="4:8" x14ac:dyDescent="0.35">
      <c r="D199" s="1"/>
      <c r="E199" s="1"/>
      <c r="F199" s="1"/>
      <c r="G199" s="1"/>
      <c r="H199" s="1"/>
    </row>
    <row r="200" spans="4:8" x14ac:dyDescent="0.35">
      <c r="D200" s="1"/>
      <c r="E200" s="1"/>
      <c r="F200" s="1"/>
      <c r="G200" s="1"/>
      <c r="H200" s="1"/>
    </row>
    <row r="201" spans="4:8" x14ac:dyDescent="0.35">
      <c r="D201" s="1"/>
      <c r="E201" s="1"/>
      <c r="F201" s="1"/>
      <c r="G201" s="1"/>
      <c r="H201" s="1"/>
    </row>
    <row r="202" spans="4:8" x14ac:dyDescent="0.35">
      <c r="D202" s="1"/>
      <c r="E202" s="1"/>
      <c r="F202" s="1"/>
      <c r="G202" s="1"/>
      <c r="H202" s="1"/>
    </row>
    <row r="203" spans="4:8" x14ac:dyDescent="0.35">
      <c r="D203" s="1"/>
      <c r="E203" s="1"/>
      <c r="F203" s="1"/>
      <c r="G203" s="1"/>
      <c r="H203" s="1"/>
    </row>
    <row r="204" spans="4:8" x14ac:dyDescent="0.35">
      <c r="D204" s="1"/>
      <c r="E204" s="1"/>
      <c r="F204" s="1"/>
      <c r="G204" s="1"/>
      <c r="H204" s="1"/>
    </row>
    <row r="205" spans="4:8" x14ac:dyDescent="0.35">
      <c r="D205" s="1"/>
      <c r="E205" s="1"/>
      <c r="F205" s="1"/>
      <c r="G205" s="1"/>
      <c r="H205" s="1"/>
    </row>
    <row r="206" spans="4:8" x14ac:dyDescent="0.35">
      <c r="D206" s="1"/>
      <c r="E206" s="1"/>
      <c r="F206" s="1"/>
      <c r="G206" s="1"/>
      <c r="H206" s="1"/>
    </row>
    <row r="207" spans="4:8" x14ac:dyDescent="0.35">
      <c r="D207" s="1"/>
      <c r="E207" s="1"/>
      <c r="F207" s="1"/>
      <c r="G207" s="1"/>
      <c r="H207" s="1"/>
    </row>
    <row r="208" spans="4:8" x14ac:dyDescent="0.35">
      <c r="D208" s="1"/>
      <c r="E208" s="1"/>
      <c r="F208" s="1"/>
      <c r="G208" s="1"/>
      <c r="H208" s="1"/>
    </row>
    <row r="209" spans="4:8" x14ac:dyDescent="0.35">
      <c r="D209" s="1"/>
      <c r="E209" s="1"/>
      <c r="F209" s="1"/>
      <c r="G209" s="1"/>
      <c r="H209" s="1"/>
    </row>
    <row r="210" spans="4:8" x14ac:dyDescent="0.35">
      <c r="D210" s="1"/>
      <c r="E210" s="1"/>
      <c r="F210" s="1"/>
      <c r="G210" s="1"/>
      <c r="H210" s="1"/>
    </row>
    <row r="211" spans="4:8" x14ac:dyDescent="0.35">
      <c r="D211" s="1"/>
      <c r="E211" s="1"/>
      <c r="F211" s="1"/>
      <c r="G211" s="1"/>
      <c r="H211" s="1"/>
    </row>
    <row r="212" spans="4:8" x14ac:dyDescent="0.35">
      <c r="D212" s="1"/>
      <c r="E212" s="1"/>
      <c r="F212" s="1"/>
      <c r="G212" s="1"/>
      <c r="H212" s="1"/>
    </row>
    <row r="213" spans="4:8" x14ac:dyDescent="0.35">
      <c r="D213" s="1"/>
      <c r="E213" s="1"/>
      <c r="F213" s="1"/>
      <c r="G213" s="1"/>
      <c r="H213" s="1"/>
    </row>
    <row r="214" spans="4:8" x14ac:dyDescent="0.35">
      <c r="D214" s="1"/>
      <c r="E214" s="1"/>
      <c r="F214" s="1"/>
      <c r="G214" s="1"/>
      <c r="H214" s="1"/>
    </row>
    <row r="215" spans="4:8" x14ac:dyDescent="0.35">
      <c r="D215" s="1"/>
      <c r="E215" s="1"/>
      <c r="F215" s="1"/>
      <c r="G215" s="1"/>
      <c r="H215" s="1"/>
    </row>
    <row r="216" spans="4:8" x14ac:dyDescent="0.35">
      <c r="D216" s="1"/>
      <c r="E216" s="1"/>
      <c r="F216" s="1"/>
      <c r="G216" s="1"/>
      <c r="H216" s="1"/>
    </row>
    <row r="217" spans="4:8" x14ac:dyDescent="0.35">
      <c r="D217" s="1"/>
      <c r="E217" s="1"/>
      <c r="F217" s="1"/>
      <c r="G217" s="1"/>
      <c r="H217" s="1"/>
    </row>
    <row r="218" spans="4:8" x14ac:dyDescent="0.35">
      <c r="D218" s="1"/>
      <c r="E218" s="1"/>
      <c r="F218" s="1"/>
      <c r="G218" s="1"/>
      <c r="H218" s="1"/>
    </row>
    <row r="219" spans="4:8" x14ac:dyDescent="0.35">
      <c r="D219" s="1"/>
      <c r="E219" s="1"/>
      <c r="F219" s="1"/>
      <c r="G219" s="1"/>
      <c r="H219" s="1"/>
    </row>
    <row r="220" spans="4:8" x14ac:dyDescent="0.35">
      <c r="D220" s="1"/>
      <c r="E220" s="1"/>
      <c r="F220" s="1"/>
      <c r="G220" s="1"/>
      <c r="H220" s="1"/>
    </row>
    <row r="221" spans="4:8" x14ac:dyDescent="0.35">
      <c r="D221" s="1"/>
      <c r="E221" s="1"/>
      <c r="F221" s="1"/>
      <c r="G221" s="1"/>
      <c r="H221" s="1"/>
    </row>
    <row r="222" spans="4:8" x14ac:dyDescent="0.35">
      <c r="D222" s="1"/>
      <c r="E222" s="1"/>
      <c r="F222" s="1"/>
      <c r="G222" s="1"/>
      <c r="H222" s="1"/>
    </row>
    <row r="223" spans="4:8" x14ac:dyDescent="0.35">
      <c r="D223" s="1"/>
      <c r="E223" s="1"/>
      <c r="F223" s="1"/>
      <c r="G223" s="1"/>
      <c r="H223" s="1"/>
    </row>
  </sheetData>
  <mergeCells count="2">
    <mergeCell ref="H1:K1"/>
    <mergeCell ref="C1:F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41"/>
  <sheetViews>
    <sheetView topLeftCell="A19" zoomScale="80" zoomScaleNormal="80" workbookViewId="0">
      <selection activeCell="A34" sqref="A34"/>
    </sheetView>
  </sheetViews>
  <sheetFormatPr baseColWidth="10" defaultRowHeight="15.5" x14ac:dyDescent="0.35"/>
  <cols>
    <col min="1" max="31" width="10.6640625" style="77"/>
    <col min="32" max="32" width="11.5" style="77" bestFit="1" customWidth="1"/>
    <col min="33" max="16384" width="10.6640625" style="77"/>
  </cols>
  <sheetData>
    <row r="1" spans="1:49" ht="16" thickBot="1" x14ac:dyDescent="0.4">
      <c r="A1" s="76" t="s">
        <v>40</v>
      </c>
      <c r="C1" s="247" t="s">
        <v>10</v>
      </c>
      <c r="D1" s="247"/>
      <c r="E1" s="247"/>
      <c r="F1" s="247"/>
      <c r="G1" s="247"/>
      <c r="H1" s="78"/>
      <c r="J1" s="247" t="s">
        <v>19</v>
      </c>
      <c r="K1" s="247"/>
      <c r="L1" s="247"/>
      <c r="M1" s="247"/>
      <c r="N1" s="247"/>
      <c r="R1" s="247" t="s">
        <v>10</v>
      </c>
      <c r="S1" s="247"/>
      <c r="T1" s="247"/>
      <c r="U1" s="247"/>
      <c r="V1" s="247"/>
      <c r="Y1" s="247" t="s">
        <v>19</v>
      </c>
      <c r="Z1" s="247"/>
      <c r="AA1" s="247"/>
      <c r="AB1" s="247"/>
      <c r="AC1" s="247"/>
    </row>
    <row r="2" spans="1:49" ht="44" customHeight="1" thickBot="1" x14ac:dyDescent="0.4">
      <c r="A2" s="248" t="s">
        <v>42</v>
      </c>
      <c r="B2" s="79" t="s">
        <v>29</v>
      </c>
      <c r="C2" s="80" t="s">
        <v>55</v>
      </c>
      <c r="D2" s="80" t="s">
        <v>20</v>
      </c>
      <c r="E2" s="80" t="s">
        <v>21</v>
      </c>
      <c r="F2" s="81" t="s">
        <v>22</v>
      </c>
      <c r="G2" s="82" t="s">
        <v>9</v>
      </c>
      <c r="H2" s="83"/>
      <c r="I2" s="79" t="s">
        <v>29</v>
      </c>
      <c r="J2" s="80" t="s">
        <v>55</v>
      </c>
      <c r="K2" s="80" t="s">
        <v>20</v>
      </c>
      <c r="L2" s="80" t="s">
        <v>21</v>
      </c>
      <c r="M2" s="81" t="s">
        <v>22</v>
      </c>
      <c r="N2" s="82" t="s">
        <v>9</v>
      </c>
      <c r="O2" s="83"/>
      <c r="P2" s="249" t="s">
        <v>41</v>
      </c>
      <c r="Q2" s="79" t="s">
        <v>29</v>
      </c>
      <c r="R2" s="80" t="s">
        <v>55</v>
      </c>
      <c r="S2" s="80" t="s">
        <v>20</v>
      </c>
      <c r="T2" s="80" t="s">
        <v>21</v>
      </c>
      <c r="U2" s="81" t="s">
        <v>22</v>
      </c>
      <c r="V2" s="82" t="s">
        <v>9</v>
      </c>
      <c r="W2" s="84"/>
      <c r="X2" s="79" t="s">
        <v>29</v>
      </c>
      <c r="Y2" s="80" t="s">
        <v>55</v>
      </c>
      <c r="Z2" s="80" t="s">
        <v>20</v>
      </c>
      <c r="AA2" s="80" t="s">
        <v>21</v>
      </c>
      <c r="AB2" s="81" t="s">
        <v>22</v>
      </c>
      <c r="AC2" s="82" t="s">
        <v>9</v>
      </c>
      <c r="AD2" s="83"/>
      <c r="AN2" s="83"/>
    </row>
    <row r="3" spans="1:49" x14ac:dyDescent="0.35">
      <c r="A3" s="248"/>
      <c r="B3" s="70">
        <v>1</v>
      </c>
      <c r="C3" s="49">
        <v>11.5251</v>
      </c>
      <c r="D3" s="51">
        <v>11.5275</v>
      </c>
      <c r="E3" s="47">
        <f>D3-C3</f>
        <v>2.3999999999997357E-3</v>
      </c>
      <c r="F3" s="85">
        <f>E3*1000</f>
        <v>2.3999999999997357</v>
      </c>
      <c r="G3" s="86">
        <f t="shared" ref="G3:G32" si="0">F3*39.54</f>
        <v>94.895999999989542</v>
      </c>
      <c r="H3" s="49"/>
      <c r="I3" s="70">
        <v>1</v>
      </c>
      <c r="J3" s="49">
        <v>9.0298999999999996</v>
      </c>
      <c r="K3" s="49">
        <f>9.031+0.0002</f>
        <v>9.0312000000000001</v>
      </c>
      <c r="L3" s="48">
        <f t="shared" ref="L3:L32" si="1">K3-J3</f>
        <v>1.300000000000523E-3</v>
      </c>
      <c r="M3" s="87">
        <f t="shared" ref="M3:M32" si="2">L3*1000</f>
        <v>1.300000000000523</v>
      </c>
      <c r="N3" s="88">
        <f t="shared" ref="N3:N32" si="3">M3*39.54</f>
        <v>51.402000000020678</v>
      </c>
      <c r="O3" s="89"/>
      <c r="P3" s="249"/>
      <c r="Q3" s="70">
        <v>1</v>
      </c>
      <c r="R3" s="51">
        <v>11.5243</v>
      </c>
      <c r="S3" s="51">
        <f>11.5268-0.0015</f>
        <v>11.5253</v>
      </c>
      <c r="T3" s="49">
        <f t="shared" ref="T3:T32" si="4">S3-R3</f>
        <v>9.9999999999944578E-4</v>
      </c>
      <c r="U3" s="49">
        <f t="shared" ref="U3:U32" si="5">T3*1000</f>
        <v>0.99999999999944578</v>
      </c>
      <c r="V3" s="88">
        <f t="shared" ref="V3:V32" si="6">U3*39.54</f>
        <v>39.539999999978086</v>
      </c>
      <c r="W3" s="90"/>
      <c r="X3" s="70">
        <v>1</v>
      </c>
      <c r="Y3" s="51">
        <v>11.4247</v>
      </c>
      <c r="Z3" s="51">
        <v>11.4254</v>
      </c>
      <c r="AA3" s="49">
        <f t="shared" ref="AA3:AA32" si="7">Z3-Y3</f>
        <v>7.0000000000014495E-4</v>
      </c>
      <c r="AB3" s="49">
        <f t="shared" ref="AB3:AB32" si="8">AA3*1000</f>
        <v>0.70000000000014495</v>
      </c>
      <c r="AC3" s="88">
        <f>AB3*39.54</f>
        <v>27.678000000005731</v>
      </c>
      <c r="AD3" s="89"/>
      <c r="AE3" s="89"/>
      <c r="AN3" s="89"/>
      <c r="AW3" s="89"/>
    </row>
    <row r="4" spans="1:49" x14ac:dyDescent="0.35">
      <c r="A4" s="248"/>
      <c r="B4" s="70">
        <v>2</v>
      </c>
      <c r="C4" s="54">
        <v>9.141</v>
      </c>
      <c r="D4" s="50">
        <f>9.1431+0.0006</f>
        <v>9.1437000000000008</v>
      </c>
      <c r="E4" s="47">
        <f>D4-C4</f>
        <v>2.7000000000008129E-3</v>
      </c>
      <c r="F4" s="85">
        <f>E4*1000</f>
        <v>2.7000000000008129</v>
      </c>
      <c r="G4" s="86">
        <f t="shared" si="0"/>
        <v>106.75800000003214</v>
      </c>
      <c r="H4" s="49"/>
      <c r="I4" s="70">
        <v>2</v>
      </c>
      <c r="J4" s="51">
        <v>9.0624000000000002</v>
      </c>
      <c r="K4" s="49">
        <f>9.0636+0.0002</f>
        <v>9.0637999999999987</v>
      </c>
      <c r="L4" s="48">
        <f t="shared" si="1"/>
        <v>1.3999999999985135E-3</v>
      </c>
      <c r="M4" s="87">
        <f t="shared" si="2"/>
        <v>1.3999999999985135</v>
      </c>
      <c r="N4" s="88">
        <f t="shared" si="3"/>
        <v>55.355999999941226</v>
      </c>
      <c r="O4" s="89"/>
      <c r="P4" s="249"/>
      <c r="Q4" s="70">
        <v>2</v>
      </c>
      <c r="R4" s="50">
        <v>11.493</v>
      </c>
      <c r="S4" s="51">
        <v>11.495100000000001</v>
      </c>
      <c r="T4" s="24">
        <f t="shared" si="4"/>
        <v>2.1000000000004349E-3</v>
      </c>
      <c r="U4" s="49">
        <f t="shared" si="5"/>
        <v>2.1000000000004349</v>
      </c>
      <c r="V4" s="88">
        <f t="shared" si="6"/>
        <v>83.034000000017187</v>
      </c>
      <c r="W4" s="90"/>
      <c r="X4" s="70">
        <v>2</v>
      </c>
      <c r="Y4" s="51">
        <v>11.5212</v>
      </c>
      <c r="Z4" s="51">
        <f>11.5217+0.0007</f>
        <v>11.522399999999999</v>
      </c>
      <c r="AA4" s="24">
        <f t="shared" si="7"/>
        <v>1.1999999999989797E-3</v>
      </c>
      <c r="AB4" s="49">
        <f t="shared" si="8"/>
        <v>1.1999999999989797</v>
      </c>
      <c r="AC4" s="88">
        <f t="shared" ref="AC4:AC32" si="9">AB4*39.54</f>
        <v>47.447999999959656</v>
      </c>
      <c r="AD4" s="89"/>
      <c r="AE4" s="89"/>
      <c r="AN4" s="89"/>
      <c r="AW4" s="89"/>
    </row>
    <row r="5" spans="1:49" x14ac:dyDescent="0.35">
      <c r="A5" s="248"/>
      <c r="B5" s="70">
        <v>3</v>
      </c>
      <c r="C5" s="49">
        <v>11.5291</v>
      </c>
      <c r="D5" s="51">
        <f>11.5311+0.001</f>
        <v>11.5321</v>
      </c>
      <c r="E5" s="47">
        <f t="shared" ref="E5:E32" si="10">D5-C5</f>
        <v>3.0000000000001137E-3</v>
      </c>
      <c r="F5" s="85">
        <f t="shared" ref="F5:F6" si="11">E5*1000</f>
        <v>3.0000000000001137</v>
      </c>
      <c r="G5" s="86">
        <f t="shared" si="0"/>
        <v>118.6200000000045</v>
      </c>
      <c r="H5" s="49"/>
      <c r="I5" s="70">
        <v>3</v>
      </c>
      <c r="J5" s="51">
        <v>11.1988</v>
      </c>
      <c r="K5" s="51">
        <v>11.200200000000001</v>
      </c>
      <c r="L5" s="48">
        <f t="shared" si="1"/>
        <v>1.4000000000002899E-3</v>
      </c>
      <c r="M5" s="87">
        <f t="shared" si="2"/>
        <v>1.4000000000002899</v>
      </c>
      <c r="N5" s="88">
        <f t="shared" si="3"/>
        <v>55.356000000011463</v>
      </c>
      <c r="O5" s="89"/>
      <c r="P5" s="249"/>
      <c r="Q5" s="70">
        <v>3</v>
      </c>
      <c r="R5" s="51">
        <v>11.529500000000001</v>
      </c>
      <c r="S5" s="51">
        <v>11.532</v>
      </c>
      <c r="T5" s="24">
        <f t="shared" si="4"/>
        <v>2.4999999999995026E-3</v>
      </c>
      <c r="U5" s="49">
        <f t="shared" si="5"/>
        <v>2.4999999999995026</v>
      </c>
      <c r="V5" s="88">
        <f t="shared" si="6"/>
        <v>98.849999999980326</v>
      </c>
      <c r="W5" s="90"/>
      <c r="X5" s="70">
        <v>3</v>
      </c>
      <c r="Y5" s="51">
        <v>11.5281</v>
      </c>
      <c r="Z5" s="51">
        <v>11.529500000000001</v>
      </c>
      <c r="AA5" s="24">
        <f t="shared" si="7"/>
        <v>1.4000000000002899E-3</v>
      </c>
      <c r="AB5" s="49">
        <f t="shared" si="8"/>
        <v>1.4000000000002899</v>
      </c>
      <c r="AC5" s="88">
        <f t="shared" si="9"/>
        <v>55.356000000011463</v>
      </c>
      <c r="AD5" s="89"/>
      <c r="AE5" s="89"/>
      <c r="AN5" s="89"/>
      <c r="AW5" s="89"/>
    </row>
    <row r="6" spans="1:49" x14ac:dyDescent="0.35">
      <c r="A6" s="248"/>
      <c r="B6" s="70">
        <v>4</v>
      </c>
      <c r="C6" s="49">
        <v>9.1347000000000005</v>
      </c>
      <c r="D6" s="49">
        <v>9.1365999999999996</v>
      </c>
      <c r="E6" s="47">
        <f t="shared" si="10"/>
        <v>1.8999999999991246E-3</v>
      </c>
      <c r="F6" s="85">
        <f t="shared" si="11"/>
        <v>1.8999999999991246</v>
      </c>
      <c r="G6" s="86">
        <f t="shared" si="0"/>
        <v>75.125999999965387</v>
      </c>
      <c r="H6" s="49"/>
      <c r="I6" s="70">
        <v>4</v>
      </c>
      <c r="J6" s="51">
        <v>11.1915</v>
      </c>
      <c r="K6" s="51">
        <f>11.1943-0.0017</f>
        <v>11.192600000000001</v>
      </c>
      <c r="L6" s="48">
        <f t="shared" si="1"/>
        <v>1.1000000000009891E-3</v>
      </c>
      <c r="M6" s="87">
        <f t="shared" si="2"/>
        <v>1.1000000000009891</v>
      </c>
      <c r="N6" s="88">
        <f t="shared" si="3"/>
        <v>43.494000000039108</v>
      </c>
      <c r="O6" s="89"/>
      <c r="P6" s="249"/>
      <c r="Q6" s="70">
        <v>4</v>
      </c>
      <c r="R6" s="51">
        <v>11.488300000000001</v>
      </c>
      <c r="S6" s="51">
        <v>11.4899</v>
      </c>
      <c r="T6" s="24">
        <f t="shared" si="4"/>
        <v>1.5999999999998238E-3</v>
      </c>
      <c r="U6" s="49">
        <f t="shared" si="5"/>
        <v>1.5999999999998238</v>
      </c>
      <c r="V6" s="88">
        <f t="shared" si="6"/>
        <v>63.263999999993032</v>
      </c>
      <c r="W6" s="90"/>
      <c r="X6" s="70">
        <v>4</v>
      </c>
      <c r="Y6" s="51">
        <v>11.532500000000001</v>
      </c>
      <c r="Z6" s="51">
        <f>11.5329+0.0005</f>
        <v>11.5334</v>
      </c>
      <c r="AA6" s="24">
        <f t="shared" si="7"/>
        <v>8.9999999999967883E-4</v>
      </c>
      <c r="AB6" s="49">
        <f t="shared" si="8"/>
        <v>0.89999999999967883</v>
      </c>
      <c r="AC6" s="88">
        <f t="shared" si="9"/>
        <v>35.585999999987301</v>
      </c>
      <c r="AD6" s="89"/>
      <c r="AE6" s="89"/>
      <c r="AN6" s="89"/>
      <c r="AW6" s="89"/>
    </row>
    <row r="7" spans="1:49" x14ac:dyDescent="0.35">
      <c r="A7" s="248"/>
      <c r="B7" s="70">
        <v>5</v>
      </c>
      <c r="C7" s="51">
        <v>9.0587</v>
      </c>
      <c r="D7" s="49">
        <v>9.0608000000000004</v>
      </c>
      <c r="E7" s="47">
        <f t="shared" si="10"/>
        <v>2.1000000000004349E-3</v>
      </c>
      <c r="F7" s="85">
        <f>E7*1000</f>
        <v>2.1000000000004349</v>
      </c>
      <c r="G7" s="86">
        <f t="shared" si="0"/>
        <v>83.034000000017187</v>
      </c>
      <c r="H7" s="49"/>
      <c r="I7" s="70">
        <v>5</v>
      </c>
      <c r="J7" s="51">
        <v>11.245699999999999</v>
      </c>
      <c r="K7" s="51">
        <v>11.2469</v>
      </c>
      <c r="L7" s="50">
        <f t="shared" si="1"/>
        <v>1.200000000000756E-3</v>
      </c>
      <c r="M7" s="87">
        <f t="shared" si="2"/>
        <v>1.200000000000756</v>
      </c>
      <c r="N7" s="88">
        <f t="shared" si="3"/>
        <v>47.448000000029893</v>
      </c>
      <c r="O7" s="89"/>
      <c r="P7" s="249"/>
      <c r="Q7" s="70">
        <v>5</v>
      </c>
      <c r="R7" s="51">
        <v>11.461399999999999</v>
      </c>
      <c r="S7" s="51">
        <v>11.4625</v>
      </c>
      <c r="T7" s="49">
        <f t="shared" si="4"/>
        <v>1.1000000000009891E-3</v>
      </c>
      <c r="U7" s="49">
        <f t="shared" si="5"/>
        <v>1.1000000000009891</v>
      </c>
      <c r="V7" s="88">
        <f t="shared" si="6"/>
        <v>43.494000000039108</v>
      </c>
      <c r="W7" s="90"/>
      <c r="X7" s="70">
        <v>5</v>
      </c>
      <c r="Y7" s="51">
        <v>11.543900000000001</v>
      </c>
      <c r="Z7" s="51">
        <v>11.544600000000001</v>
      </c>
      <c r="AA7" s="49">
        <f t="shared" si="7"/>
        <v>7.0000000000014495E-4</v>
      </c>
      <c r="AB7" s="49">
        <f t="shared" si="8"/>
        <v>0.70000000000014495</v>
      </c>
      <c r="AC7" s="88">
        <f t="shared" si="9"/>
        <v>27.678000000005731</v>
      </c>
      <c r="AD7" s="89"/>
      <c r="AE7" s="89"/>
      <c r="AN7" s="89"/>
      <c r="AW7" s="89"/>
    </row>
    <row r="8" spans="1:49" x14ac:dyDescent="0.35">
      <c r="A8" s="248"/>
      <c r="B8" s="70">
        <v>6</v>
      </c>
      <c r="C8" s="51">
        <v>11.2326</v>
      </c>
      <c r="D8" s="51">
        <v>11.2362</v>
      </c>
      <c r="E8" s="47">
        <f t="shared" si="10"/>
        <v>3.6000000000004917E-3</v>
      </c>
      <c r="F8" s="85">
        <f>E8*1000</f>
        <v>3.6000000000004917</v>
      </c>
      <c r="G8" s="86">
        <f t="shared" si="0"/>
        <v>142.34400000001943</v>
      </c>
      <c r="H8" s="49"/>
      <c r="I8" s="70">
        <v>6</v>
      </c>
      <c r="J8" s="51">
        <v>11.222</v>
      </c>
      <c r="K8" s="51">
        <f>11.2231+0.0006</f>
        <v>11.223700000000001</v>
      </c>
      <c r="L8" s="48">
        <f t="shared" si="1"/>
        <v>1.7000000000013671E-3</v>
      </c>
      <c r="M8" s="87">
        <f t="shared" si="2"/>
        <v>1.7000000000013671</v>
      </c>
      <c r="N8" s="88">
        <f t="shared" si="3"/>
        <v>67.218000000054047</v>
      </c>
      <c r="O8" s="89"/>
      <c r="P8" s="249"/>
      <c r="Q8" s="70">
        <v>6</v>
      </c>
      <c r="R8" s="51">
        <v>9.0932999999999993</v>
      </c>
      <c r="S8" s="51">
        <f>9.0942+0.0004</f>
        <v>9.0946000000000016</v>
      </c>
      <c r="T8" s="24">
        <f t="shared" si="4"/>
        <v>1.3000000000022993E-3</v>
      </c>
      <c r="U8" s="49">
        <f t="shared" si="5"/>
        <v>1.3000000000022993</v>
      </c>
      <c r="V8" s="88">
        <f t="shared" si="6"/>
        <v>51.402000000090915</v>
      </c>
      <c r="W8" s="90"/>
      <c r="X8" s="70">
        <v>6</v>
      </c>
      <c r="Y8" s="51">
        <v>9.1012000000000004</v>
      </c>
      <c r="Z8" s="51">
        <v>9.1035000000000004</v>
      </c>
      <c r="AA8" s="24">
        <f t="shared" si="7"/>
        <v>2.2999999999999687E-3</v>
      </c>
      <c r="AB8" s="49">
        <v>1.3</v>
      </c>
      <c r="AC8" s="88">
        <f t="shared" si="9"/>
        <v>51.402000000000001</v>
      </c>
      <c r="AD8" s="89"/>
      <c r="AE8" s="89"/>
      <c r="AN8" s="89"/>
      <c r="AW8" s="89"/>
    </row>
    <row r="9" spans="1:49" x14ac:dyDescent="0.35">
      <c r="A9" s="248"/>
      <c r="B9" s="70">
        <v>7</v>
      </c>
      <c r="C9" s="51">
        <v>11.3445</v>
      </c>
      <c r="D9" s="51">
        <f>11.349-0.0012</f>
        <v>11.347799999999999</v>
      </c>
      <c r="E9" s="51">
        <f t="shared" si="10"/>
        <v>3.2999999999994145E-3</v>
      </c>
      <c r="F9" s="85">
        <f>E9*1000</f>
        <v>3.2999999999994145</v>
      </c>
      <c r="G9" s="86">
        <f t="shared" si="0"/>
        <v>130.48199999997684</v>
      </c>
      <c r="H9" s="49"/>
      <c r="I9" s="70">
        <v>7</v>
      </c>
      <c r="J9" s="51">
        <v>11.284599999999999</v>
      </c>
      <c r="K9" s="51">
        <v>11.286300000000001</v>
      </c>
      <c r="L9" s="48">
        <f t="shared" si="1"/>
        <v>1.7000000000013671E-3</v>
      </c>
      <c r="M9" s="51">
        <f t="shared" si="2"/>
        <v>1.7000000000013671</v>
      </c>
      <c r="N9" s="88">
        <f t="shared" si="3"/>
        <v>67.218000000054047</v>
      </c>
      <c r="O9" s="89"/>
      <c r="P9" s="249"/>
      <c r="Q9" s="70">
        <v>7</v>
      </c>
      <c r="R9" s="51">
        <v>9.0276999999999994</v>
      </c>
      <c r="S9" s="51">
        <f>9.031-0.0007</f>
        <v>9.0303000000000004</v>
      </c>
      <c r="T9" s="49">
        <f t="shared" si="4"/>
        <v>2.6000000000010459E-3</v>
      </c>
      <c r="U9" s="49">
        <f t="shared" si="5"/>
        <v>2.6000000000010459</v>
      </c>
      <c r="V9" s="88">
        <f t="shared" si="6"/>
        <v>102.80400000004136</v>
      </c>
      <c r="W9" s="90"/>
      <c r="X9" s="70">
        <v>7</v>
      </c>
      <c r="Y9" s="51">
        <v>11.4735</v>
      </c>
      <c r="Z9" s="51">
        <v>11.4741</v>
      </c>
      <c r="AA9" s="49">
        <f t="shared" si="7"/>
        <v>6.0000000000037801E-4</v>
      </c>
      <c r="AB9" s="49">
        <f t="shared" si="8"/>
        <v>0.60000000000037801</v>
      </c>
      <c r="AC9" s="88">
        <f t="shared" si="9"/>
        <v>23.724000000014946</v>
      </c>
      <c r="AD9" s="89"/>
      <c r="AE9" s="89"/>
      <c r="AN9" s="89"/>
      <c r="AW9" s="89"/>
    </row>
    <row r="10" spans="1:49" x14ac:dyDescent="0.35">
      <c r="A10" s="248"/>
      <c r="B10" s="70">
        <v>8</v>
      </c>
      <c r="C10" s="51">
        <v>11.291700000000001</v>
      </c>
      <c r="D10" s="51">
        <f>11.2927+0.0019</f>
        <v>11.294599999999999</v>
      </c>
      <c r="E10" s="47">
        <f t="shared" si="10"/>
        <v>2.8999999999985704E-3</v>
      </c>
      <c r="F10" s="85">
        <f>E10*1000</f>
        <v>2.8999999999985704</v>
      </c>
      <c r="G10" s="86">
        <f t="shared" si="0"/>
        <v>114.66599999994347</v>
      </c>
      <c r="H10" s="49"/>
      <c r="I10" s="70">
        <v>8</v>
      </c>
      <c r="J10" s="51">
        <v>11.1366</v>
      </c>
      <c r="K10" s="51">
        <f>11.1377+0.0007</f>
        <v>11.138400000000001</v>
      </c>
      <c r="L10" s="48">
        <f t="shared" si="1"/>
        <v>1.800000000001134E-3</v>
      </c>
      <c r="M10" s="51">
        <f t="shared" si="2"/>
        <v>1.800000000001134</v>
      </c>
      <c r="N10" s="88">
        <f t="shared" si="3"/>
        <v>71.172000000044832</v>
      </c>
      <c r="O10" s="89"/>
      <c r="P10" s="249"/>
      <c r="Q10" s="70">
        <v>8</v>
      </c>
      <c r="R10" s="50">
        <v>8.9999000000000002</v>
      </c>
      <c r="S10" s="51">
        <v>9.0018999999999991</v>
      </c>
      <c r="T10" s="24">
        <f t="shared" si="4"/>
        <v>1.9999999999988916E-3</v>
      </c>
      <c r="U10" s="49">
        <f t="shared" si="5"/>
        <v>1.9999999999988916</v>
      </c>
      <c r="V10" s="88">
        <f t="shared" si="6"/>
        <v>79.079999999956172</v>
      </c>
      <c r="W10" s="90"/>
      <c r="X10" s="70">
        <v>8</v>
      </c>
      <c r="Y10" s="51">
        <v>9.0794999999999995</v>
      </c>
      <c r="Z10" s="51">
        <v>9.0800999999999998</v>
      </c>
      <c r="AA10" s="24">
        <f t="shared" si="7"/>
        <v>6.0000000000037801E-4</v>
      </c>
      <c r="AB10" s="49">
        <f t="shared" si="8"/>
        <v>0.60000000000037801</v>
      </c>
      <c r="AC10" s="88">
        <f t="shared" si="9"/>
        <v>23.724000000014946</v>
      </c>
      <c r="AN10" s="89"/>
      <c r="AW10" s="89"/>
    </row>
    <row r="11" spans="1:49" x14ac:dyDescent="0.35">
      <c r="A11" s="248"/>
      <c r="B11" s="70">
        <v>9</v>
      </c>
      <c r="C11" s="50">
        <v>11.3728</v>
      </c>
      <c r="D11" s="51">
        <f>11.3749+0.0003</f>
        <v>11.3752</v>
      </c>
      <c r="E11" s="47">
        <f t="shared" si="10"/>
        <v>2.3999999999997357E-3</v>
      </c>
      <c r="F11" s="85">
        <f t="shared" ref="F11:F32" si="12">E11*1000</f>
        <v>2.3999999999997357</v>
      </c>
      <c r="G11" s="86">
        <f t="shared" si="0"/>
        <v>94.895999999989542</v>
      </c>
      <c r="H11" s="49"/>
      <c r="I11" s="70">
        <v>9</v>
      </c>
      <c r="J11" s="51">
        <v>11.3462</v>
      </c>
      <c r="K11" s="50">
        <v>11.348000000000001</v>
      </c>
      <c r="L11" s="48">
        <f t="shared" si="1"/>
        <v>1.800000000001134E-3</v>
      </c>
      <c r="M11" s="51">
        <f t="shared" si="2"/>
        <v>1.800000000001134</v>
      </c>
      <c r="N11" s="88">
        <f t="shared" si="3"/>
        <v>71.172000000044832</v>
      </c>
      <c r="O11" s="89"/>
      <c r="P11" s="249"/>
      <c r="Q11" s="70">
        <v>9</v>
      </c>
      <c r="R11" s="49">
        <v>11.086399999999999</v>
      </c>
      <c r="S11" s="51">
        <v>11.088100000000001</v>
      </c>
      <c r="T11" s="49">
        <f t="shared" si="4"/>
        <v>1.7000000000013671E-3</v>
      </c>
      <c r="U11" s="49">
        <f t="shared" si="5"/>
        <v>1.7000000000013671</v>
      </c>
      <c r="V11" s="88">
        <f t="shared" si="6"/>
        <v>67.218000000054047</v>
      </c>
      <c r="W11" s="90"/>
      <c r="X11" s="70">
        <v>9</v>
      </c>
      <c r="Y11" s="49">
        <v>11.0404</v>
      </c>
      <c r="Z11" s="51">
        <v>11.0412</v>
      </c>
      <c r="AA11" s="49">
        <f t="shared" si="7"/>
        <v>7.9999999999991189E-4</v>
      </c>
      <c r="AB11" s="49">
        <f t="shared" si="8"/>
        <v>0.79999999999991189</v>
      </c>
      <c r="AC11" s="88">
        <f t="shared" si="9"/>
        <v>31.631999999996516</v>
      </c>
      <c r="AN11" s="89"/>
      <c r="AW11" s="89"/>
    </row>
    <row r="12" spans="1:49" x14ac:dyDescent="0.35">
      <c r="A12" s="248"/>
      <c r="B12" s="70">
        <v>10</v>
      </c>
      <c r="C12" s="51">
        <v>11.2729</v>
      </c>
      <c r="D12" s="51">
        <v>11.2751</v>
      </c>
      <c r="E12" s="47">
        <f t="shared" si="10"/>
        <v>2.2000000000002018E-3</v>
      </c>
      <c r="F12" s="85">
        <f t="shared" si="12"/>
        <v>2.2000000000002018</v>
      </c>
      <c r="G12" s="86">
        <f t="shared" si="0"/>
        <v>86.988000000007972</v>
      </c>
      <c r="H12" s="51"/>
      <c r="I12" s="70">
        <v>10</v>
      </c>
      <c r="J12" s="51">
        <v>11.4975</v>
      </c>
      <c r="K12" s="51">
        <v>11.4991</v>
      </c>
      <c r="L12" s="48">
        <f t="shared" si="1"/>
        <v>1.5999999999998238E-3</v>
      </c>
      <c r="M12" s="51">
        <f t="shared" si="2"/>
        <v>1.5999999999998238</v>
      </c>
      <c r="N12" s="88">
        <f t="shared" si="3"/>
        <v>63.263999999993032</v>
      </c>
      <c r="O12" s="89"/>
      <c r="P12" s="249"/>
      <c r="Q12" s="70">
        <v>10</v>
      </c>
      <c r="R12" s="49">
        <v>11.2597</v>
      </c>
      <c r="S12" s="51">
        <v>11.261900000000001</v>
      </c>
      <c r="T12" s="24">
        <f t="shared" si="4"/>
        <v>2.2000000000002018E-3</v>
      </c>
      <c r="U12" s="49">
        <f t="shared" si="5"/>
        <v>2.2000000000002018</v>
      </c>
      <c r="V12" s="88">
        <f t="shared" si="6"/>
        <v>86.988000000007972</v>
      </c>
      <c r="W12" s="90"/>
      <c r="X12" s="70">
        <v>10</v>
      </c>
      <c r="Y12" s="49">
        <v>11.0502</v>
      </c>
      <c r="Z12" s="51">
        <v>11.051</v>
      </c>
      <c r="AA12" s="24">
        <f t="shared" si="7"/>
        <v>7.9999999999991189E-4</v>
      </c>
      <c r="AB12" s="49">
        <f t="shared" si="8"/>
        <v>0.79999999999991189</v>
      </c>
      <c r="AC12" s="88">
        <f t="shared" si="9"/>
        <v>31.631999999996516</v>
      </c>
      <c r="AN12" s="89"/>
      <c r="AW12" s="89"/>
    </row>
    <row r="13" spans="1:49" x14ac:dyDescent="0.35">
      <c r="A13" s="248"/>
      <c r="B13" s="70">
        <v>11</v>
      </c>
      <c r="C13" s="51">
        <v>11.4482</v>
      </c>
      <c r="D13" s="51">
        <v>11.4513</v>
      </c>
      <c r="E13" s="47">
        <f t="shared" si="10"/>
        <v>3.0999999999998806E-3</v>
      </c>
      <c r="F13" s="85">
        <f t="shared" si="12"/>
        <v>3.0999999999998806</v>
      </c>
      <c r="G13" s="86">
        <f t="shared" si="0"/>
        <v>122.57399999999528</v>
      </c>
      <c r="H13" s="51"/>
      <c r="I13" s="70">
        <v>11</v>
      </c>
      <c r="J13" s="51">
        <v>11.4755</v>
      </c>
      <c r="K13" s="51">
        <v>11.4771</v>
      </c>
      <c r="L13" s="48">
        <f t="shared" si="1"/>
        <v>1.5999999999998238E-3</v>
      </c>
      <c r="M13" s="51">
        <f t="shared" si="2"/>
        <v>1.5999999999998238</v>
      </c>
      <c r="N13" s="88">
        <f t="shared" si="3"/>
        <v>63.263999999993032</v>
      </c>
      <c r="O13" s="89"/>
      <c r="P13" s="249"/>
      <c r="Q13" s="70">
        <v>11</v>
      </c>
      <c r="R13" s="49">
        <v>11.095700000000001</v>
      </c>
      <c r="S13" s="51">
        <v>11.098100000000001</v>
      </c>
      <c r="T13" s="49">
        <f t="shared" si="4"/>
        <v>2.3999999999997357E-3</v>
      </c>
      <c r="U13" s="49">
        <f t="shared" si="5"/>
        <v>2.3999999999997357</v>
      </c>
      <c r="V13" s="88">
        <f t="shared" si="6"/>
        <v>94.895999999989542</v>
      </c>
      <c r="W13" s="90"/>
      <c r="X13" s="70">
        <v>11</v>
      </c>
      <c r="Y13" s="49">
        <v>10.950900000000001</v>
      </c>
      <c r="Z13" s="51">
        <v>10.9529</v>
      </c>
      <c r="AA13" s="49">
        <f t="shared" si="7"/>
        <v>1.9999999999988916E-3</v>
      </c>
      <c r="AB13" s="49">
        <f t="shared" si="8"/>
        <v>1.9999999999988916</v>
      </c>
      <c r="AC13" s="88">
        <f t="shared" si="9"/>
        <v>79.079999999956172</v>
      </c>
      <c r="AN13" s="89"/>
      <c r="AW13" s="89"/>
    </row>
    <row r="14" spans="1:49" x14ac:dyDescent="0.35">
      <c r="A14" s="248"/>
      <c r="B14" s="70">
        <v>12</v>
      </c>
      <c r="C14" s="51">
        <v>11.498100000000001</v>
      </c>
      <c r="D14" s="50">
        <v>11.500999999999999</v>
      </c>
      <c r="E14" s="47">
        <f t="shared" si="10"/>
        <v>2.8999999999985704E-3</v>
      </c>
      <c r="F14" s="85">
        <f t="shared" si="12"/>
        <v>2.8999999999985704</v>
      </c>
      <c r="G14" s="86">
        <f t="shared" si="0"/>
        <v>114.66599999994347</v>
      </c>
      <c r="H14" s="51"/>
      <c r="I14" s="70">
        <v>12</v>
      </c>
      <c r="J14" s="51">
        <v>9.1260999999999992</v>
      </c>
      <c r="K14" s="50">
        <v>9.1280000000000001</v>
      </c>
      <c r="L14" s="48">
        <f t="shared" si="1"/>
        <v>1.900000000000901E-3</v>
      </c>
      <c r="M14" s="51">
        <f t="shared" si="2"/>
        <v>1.900000000000901</v>
      </c>
      <c r="N14" s="88">
        <f t="shared" si="3"/>
        <v>75.126000000035617</v>
      </c>
      <c r="O14" s="89"/>
      <c r="P14" s="249"/>
      <c r="Q14" s="70">
        <v>12</v>
      </c>
      <c r="R14" s="51">
        <v>16.400300000000001</v>
      </c>
      <c r="S14" s="51">
        <f>16.4036-0.0015</f>
        <v>16.402100000000001</v>
      </c>
      <c r="T14" s="49">
        <f t="shared" si="4"/>
        <v>1.7999999999993577E-3</v>
      </c>
      <c r="U14" s="49">
        <f t="shared" si="5"/>
        <v>1.7999999999993577</v>
      </c>
      <c r="V14" s="88">
        <f t="shared" si="6"/>
        <v>71.171999999974602</v>
      </c>
      <c r="W14" s="90"/>
      <c r="X14" s="70">
        <v>12</v>
      </c>
      <c r="Y14" s="51">
        <v>11.5161</v>
      </c>
      <c r="Z14" s="51">
        <v>11.5169</v>
      </c>
      <c r="AA14" s="49">
        <f t="shared" si="7"/>
        <v>7.9999999999991189E-4</v>
      </c>
      <c r="AB14" s="49">
        <f t="shared" si="8"/>
        <v>0.79999999999991189</v>
      </c>
      <c r="AC14" s="88">
        <f t="shared" si="9"/>
        <v>31.631999999996516</v>
      </c>
      <c r="AN14" s="89"/>
      <c r="AW14" s="89"/>
    </row>
    <row r="15" spans="1:49" x14ac:dyDescent="0.35">
      <c r="A15" s="248"/>
      <c r="B15" s="70">
        <v>13</v>
      </c>
      <c r="C15" s="51">
        <v>11.4894</v>
      </c>
      <c r="D15" s="51">
        <f>11.4915+0.0023</f>
        <v>11.4938</v>
      </c>
      <c r="E15" s="47">
        <f t="shared" si="10"/>
        <v>4.4000000000004036E-3</v>
      </c>
      <c r="F15" s="85">
        <f t="shared" si="12"/>
        <v>4.4000000000004036</v>
      </c>
      <c r="G15" s="86">
        <f t="shared" si="0"/>
        <v>173.97600000001594</v>
      </c>
      <c r="H15" s="51"/>
      <c r="I15" s="70">
        <v>13</v>
      </c>
      <c r="J15" s="51">
        <v>11.4725</v>
      </c>
      <c r="K15" s="51">
        <f>11.4742+0.0006</f>
        <v>11.4748</v>
      </c>
      <c r="L15" s="48">
        <f t="shared" si="1"/>
        <v>2.2999999999999687E-3</v>
      </c>
      <c r="M15" s="51">
        <f t="shared" si="2"/>
        <v>2.2999999999999687</v>
      </c>
      <c r="N15" s="88">
        <f t="shared" si="3"/>
        <v>90.941999999998757</v>
      </c>
      <c r="O15" s="89"/>
      <c r="P15" s="249"/>
      <c r="Q15" s="70">
        <v>13</v>
      </c>
      <c r="R15" s="51">
        <v>11.201599999999999</v>
      </c>
      <c r="S15" s="51">
        <v>11.2041</v>
      </c>
      <c r="T15" s="24">
        <f t="shared" si="4"/>
        <v>2.500000000001279E-3</v>
      </c>
      <c r="U15" s="49">
        <f t="shared" si="5"/>
        <v>2.500000000001279</v>
      </c>
      <c r="V15" s="88">
        <f t="shared" si="6"/>
        <v>98.850000000050571</v>
      </c>
      <c r="W15" s="90"/>
      <c r="X15" s="70">
        <v>13</v>
      </c>
      <c r="Y15" s="51">
        <v>11.2386</v>
      </c>
      <c r="Z15" s="51">
        <v>11.2394</v>
      </c>
      <c r="AA15" s="24">
        <f t="shared" si="7"/>
        <v>7.9999999999991189E-4</v>
      </c>
      <c r="AB15" s="49">
        <f t="shared" si="8"/>
        <v>0.79999999999991189</v>
      </c>
      <c r="AC15" s="88">
        <f t="shared" si="9"/>
        <v>31.631999999996516</v>
      </c>
      <c r="AN15" s="89"/>
      <c r="AW15" s="89"/>
    </row>
    <row r="16" spans="1:49" x14ac:dyDescent="0.35">
      <c r="A16" s="248"/>
      <c r="B16" s="70">
        <v>14</v>
      </c>
      <c r="C16" s="51">
        <v>9.1305999999999994</v>
      </c>
      <c r="D16" s="51">
        <v>9.1342999999999996</v>
      </c>
      <c r="E16" s="47">
        <f t="shared" si="10"/>
        <v>3.7000000000002586E-3</v>
      </c>
      <c r="F16" s="85">
        <f t="shared" si="12"/>
        <v>3.7000000000002586</v>
      </c>
      <c r="G16" s="86">
        <f t="shared" si="0"/>
        <v>146.29800000001023</v>
      </c>
      <c r="H16" s="51"/>
      <c r="I16" s="70">
        <v>14</v>
      </c>
      <c r="J16" s="51">
        <v>11.4902</v>
      </c>
      <c r="K16" s="50">
        <f>11.4915+0.0005</f>
        <v>11.492000000000001</v>
      </c>
      <c r="L16" s="48">
        <f t="shared" si="1"/>
        <v>1.800000000001134E-3</v>
      </c>
      <c r="M16" s="51">
        <f t="shared" si="2"/>
        <v>1.800000000001134</v>
      </c>
      <c r="N16" s="88">
        <f t="shared" si="3"/>
        <v>71.172000000044832</v>
      </c>
      <c r="O16" s="89"/>
      <c r="P16" s="249"/>
      <c r="Q16" s="70">
        <v>14</v>
      </c>
      <c r="R16" s="51">
        <v>11.2614</v>
      </c>
      <c r="S16" s="51">
        <v>11.263299999999999</v>
      </c>
      <c r="T16" s="24">
        <f t="shared" si="4"/>
        <v>1.8999999999991246E-3</v>
      </c>
      <c r="U16" s="49">
        <f t="shared" si="5"/>
        <v>1.8999999999991246</v>
      </c>
      <c r="V16" s="88">
        <f t="shared" si="6"/>
        <v>75.125999999965387</v>
      </c>
      <c r="W16" s="90"/>
      <c r="X16" s="70">
        <v>14</v>
      </c>
      <c r="Y16" s="51">
        <v>9.1996000000000002</v>
      </c>
      <c r="Z16" s="51">
        <v>9.2004000000000001</v>
      </c>
      <c r="AA16" s="24">
        <f t="shared" si="7"/>
        <v>7.9999999999991189E-4</v>
      </c>
      <c r="AB16" s="49">
        <f t="shared" si="8"/>
        <v>0.79999999999991189</v>
      </c>
      <c r="AC16" s="88">
        <f t="shared" si="9"/>
        <v>31.631999999996516</v>
      </c>
      <c r="AN16" s="89"/>
      <c r="AW16" s="89"/>
    </row>
    <row r="17" spans="1:50" x14ac:dyDescent="0.35">
      <c r="A17" s="248"/>
      <c r="B17" s="70">
        <v>15</v>
      </c>
      <c r="C17" s="51">
        <v>11.4626</v>
      </c>
      <c r="D17" s="51">
        <f>11.4676-0.0007</f>
        <v>11.466899999999999</v>
      </c>
      <c r="E17" s="47">
        <f t="shared" si="10"/>
        <v>4.2999999999988603E-3</v>
      </c>
      <c r="F17" s="85">
        <f t="shared" si="12"/>
        <v>4.2999999999988603</v>
      </c>
      <c r="G17" s="86">
        <f t="shared" si="0"/>
        <v>170.02199999995494</v>
      </c>
      <c r="H17" s="51"/>
      <c r="I17" s="70">
        <v>15</v>
      </c>
      <c r="J17" s="51">
        <v>11.5863</v>
      </c>
      <c r="K17" s="51">
        <v>11.588100000000001</v>
      </c>
      <c r="L17" s="48">
        <f t="shared" si="1"/>
        <v>1.800000000001134E-3</v>
      </c>
      <c r="M17" s="51">
        <f t="shared" si="2"/>
        <v>1.800000000001134</v>
      </c>
      <c r="N17" s="88">
        <f t="shared" si="3"/>
        <v>71.172000000044832</v>
      </c>
      <c r="O17" s="89"/>
      <c r="P17" s="249"/>
      <c r="Q17" s="70">
        <v>15</v>
      </c>
      <c r="R17" s="51">
        <v>9.0772999999999993</v>
      </c>
      <c r="S17" s="51">
        <v>9.0792999999999999</v>
      </c>
      <c r="T17" s="24">
        <f t="shared" si="4"/>
        <v>2.0000000000006679E-3</v>
      </c>
      <c r="U17" s="49">
        <f t="shared" si="5"/>
        <v>2.0000000000006679</v>
      </c>
      <c r="V17" s="88">
        <f t="shared" si="6"/>
        <v>79.080000000026402</v>
      </c>
      <c r="W17" s="90"/>
      <c r="X17" s="70">
        <v>15</v>
      </c>
      <c r="Y17" s="51">
        <v>11.0146</v>
      </c>
      <c r="Z17" s="51">
        <v>11.015599999999999</v>
      </c>
      <c r="AA17" s="24">
        <f t="shared" si="7"/>
        <v>9.9999999999944578E-4</v>
      </c>
      <c r="AB17" s="49">
        <f t="shared" si="8"/>
        <v>0.99999999999944578</v>
      </c>
      <c r="AC17" s="88">
        <f t="shared" si="9"/>
        <v>39.539999999978086</v>
      </c>
      <c r="AN17" s="89"/>
      <c r="AW17" s="89"/>
    </row>
    <row r="18" spans="1:50" x14ac:dyDescent="0.35">
      <c r="A18" s="248"/>
      <c r="B18" s="70">
        <v>16</v>
      </c>
      <c r="C18" s="51">
        <v>11.5571</v>
      </c>
      <c r="D18" s="51">
        <f>11.5607-0.001</f>
        <v>11.559700000000001</v>
      </c>
      <c r="E18" s="47">
        <f t="shared" si="10"/>
        <v>2.6000000000010459E-3</v>
      </c>
      <c r="F18" s="85">
        <f t="shared" si="12"/>
        <v>2.6000000000010459</v>
      </c>
      <c r="G18" s="86">
        <f t="shared" si="0"/>
        <v>102.80400000004136</v>
      </c>
      <c r="H18" s="51"/>
      <c r="I18" s="70">
        <v>16</v>
      </c>
      <c r="J18" s="51">
        <v>11.457100000000001</v>
      </c>
      <c r="K18" s="51">
        <f>11.4591-0.0008</f>
        <v>11.458299999999999</v>
      </c>
      <c r="L18" s="48">
        <f t="shared" si="1"/>
        <v>1.1999999999989797E-3</v>
      </c>
      <c r="M18" s="51">
        <f t="shared" si="2"/>
        <v>1.1999999999989797</v>
      </c>
      <c r="N18" s="88">
        <f t="shared" si="3"/>
        <v>47.447999999959656</v>
      </c>
      <c r="O18" s="89"/>
      <c r="P18" s="249"/>
      <c r="Q18" s="70">
        <v>16</v>
      </c>
      <c r="R18" s="51">
        <v>11.052300000000001</v>
      </c>
      <c r="S18" s="50">
        <f>11.0556+0.0001</f>
        <v>11.0557</v>
      </c>
      <c r="T18" s="24">
        <f t="shared" si="4"/>
        <v>3.3999999999991815E-3</v>
      </c>
      <c r="U18" s="49">
        <f t="shared" si="5"/>
        <v>3.3999999999991815</v>
      </c>
      <c r="V18" s="88">
        <f t="shared" si="6"/>
        <v>134.43599999996763</v>
      </c>
      <c r="W18" s="90"/>
      <c r="X18" s="70">
        <v>16</v>
      </c>
      <c r="Y18" s="51">
        <v>11.0383</v>
      </c>
      <c r="Z18" s="51">
        <v>11.0398</v>
      </c>
      <c r="AA18" s="24">
        <f t="shared" si="7"/>
        <v>1.5000000000000568E-3</v>
      </c>
      <c r="AB18" s="49">
        <f t="shared" si="8"/>
        <v>1.5000000000000568</v>
      </c>
      <c r="AC18" s="88">
        <f t="shared" si="9"/>
        <v>59.310000000002248</v>
      </c>
      <c r="AN18" s="89"/>
      <c r="AW18" s="89"/>
    </row>
    <row r="19" spans="1:50" x14ac:dyDescent="0.35">
      <c r="A19" s="248"/>
      <c r="B19" s="70">
        <v>17</v>
      </c>
      <c r="C19" s="51">
        <v>11.5405</v>
      </c>
      <c r="D19" s="50">
        <f>11.5455-0.0014</f>
        <v>11.5441</v>
      </c>
      <c r="E19" s="47">
        <f t="shared" si="10"/>
        <v>3.6000000000004917E-3</v>
      </c>
      <c r="F19" s="85">
        <f t="shared" si="12"/>
        <v>3.6000000000004917</v>
      </c>
      <c r="G19" s="86">
        <f t="shared" si="0"/>
        <v>142.34400000001943</v>
      </c>
      <c r="H19" s="51"/>
      <c r="I19" s="70">
        <v>17</v>
      </c>
      <c r="J19" s="51">
        <v>11.490399999999999</v>
      </c>
      <c r="K19" s="50">
        <f>11.4919+0.0001</f>
        <v>11.491999999999999</v>
      </c>
      <c r="L19" s="48">
        <f t="shared" si="1"/>
        <v>1.5999999999998238E-3</v>
      </c>
      <c r="M19" s="51">
        <f t="shared" si="2"/>
        <v>1.5999999999998238</v>
      </c>
      <c r="N19" s="88">
        <f t="shared" si="3"/>
        <v>63.263999999993032</v>
      </c>
      <c r="O19" s="89"/>
      <c r="P19" s="249"/>
      <c r="Q19" s="70">
        <v>17</v>
      </c>
      <c r="R19" s="51">
        <v>10.8956</v>
      </c>
      <c r="S19" s="50">
        <f>10.8987+0.0002</f>
        <v>10.898899999999999</v>
      </c>
      <c r="T19" s="24">
        <f t="shared" si="4"/>
        <v>3.2999999999994145E-3</v>
      </c>
      <c r="U19" s="49">
        <f t="shared" si="5"/>
        <v>3.2999999999994145</v>
      </c>
      <c r="V19" s="88">
        <f t="shared" si="6"/>
        <v>130.48199999997684</v>
      </c>
      <c r="W19" s="90"/>
      <c r="X19" s="70">
        <v>17</v>
      </c>
      <c r="Y19" s="51">
        <v>11.2409</v>
      </c>
      <c r="Z19" s="51">
        <f>11.2422+0.0006</f>
        <v>11.242800000000001</v>
      </c>
      <c r="AA19" s="24">
        <f t="shared" si="7"/>
        <v>1.900000000000901E-3</v>
      </c>
      <c r="AB19" s="49">
        <f t="shared" si="8"/>
        <v>1.900000000000901</v>
      </c>
      <c r="AC19" s="88">
        <f t="shared" si="9"/>
        <v>75.126000000035617</v>
      </c>
      <c r="AN19" s="89"/>
      <c r="AW19" s="89"/>
    </row>
    <row r="20" spans="1:50" x14ac:dyDescent="0.35">
      <c r="A20" s="248"/>
      <c r="B20" s="70">
        <v>18</v>
      </c>
      <c r="C20" s="50">
        <v>11.516500000000001</v>
      </c>
      <c r="D20" s="50">
        <v>11.5198</v>
      </c>
      <c r="E20" s="47">
        <f t="shared" si="10"/>
        <v>3.2999999999994145E-3</v>
      </c>
      <c r="F20" s="85">
        <f t="shared" si="12"/>
        <v>3.2999999999994145</v>
      </c>
      <c r="G20" s="86">
        <f t="shared" si="0"/>
        <v>130.48199999997684</v>
      </c>
      <c r="H20" s="51"/>
      <c r="I20" s="70">
        <v>18</v>
      </c>
      <c r="J20" s="51">
        <v>61.156999999999996</v>
      </c>
      <c r="K20" s="51">
        <v>61.159100000000002</v>
      </c>
      <c r="L20" s="48">
        <f t="shared" si="1"/>
        <v>2.1000000000057639E-3</v>
      </c>
      <c r="M20" s="51">
        <f t="shared" si="2"/>
        <v>2.1000000000057639</v>
      </c>
      <c r="N20" s="88">
        <f t="shared" si="3"/>
        <v>83.034000000227906</v>
      </c>
      <c r="O20" s="89"/>
      <c r="P20" s="249"/>
      <c r="Q20" s="70">
        <v>18</v>
      </c>
      <c r="R20" s="51">
        <v>11.058</v>
      </c>
      <c r="S20" s="50">
        <v>11.0595</v>
      </c>
      <c r="T20" s="24">
        <f t="shared" si="4"/>
        <v>1.5000000000000568E-3</v>
      </c>
      <c r="U20" s="49">
        <f t="shared" si="5"/>
        <v>1.5000000000000568</v>
      </c>
      <c r="V20" s="88">
        <f t="shared" si="6"/>
        <v>59.310000000002248</v>
      </c>
      <c r="W20" s="90"/>
      <c r="X20" s="70">
        <v>18</v>
      </c>
      <c r="Y20" s="50">
        <v>11.2317</v>
      </c>
      <c r="Z20" s="51">
        <v>11.233000000000001</v>
      </c>
      <c r="AA20" s="24">
        <f t="shared" si="7"/>
        <v>1.300000000000523E-3</v>
      </c>
      <c r="AB20" s="49">
        <f t="shared" si="8"/>
        <v>1.300000000000523</v>
      </c>
      <c r="AC20" s="88">
        <f t="shared" si="9"/>
        <v>51.402000000020678</v>
      </c>
      <c r="AN20" s="89"/>
      <c r="AW20" s="89"/>
    </row>
    <row r="21" spans="1:50" x14ac:dyDescent="0.35">
      <c r="A21" s="248"/>
      <c r="B21" s="70">
        <v>19</v>
      </c>
      <c r="C21" s="51">
        <v>55.613799999999998</v>
      </c>
      <c r="D21" s="51">
        <f>55.617-0.0005</f>
        <v>55.616499999999995</v>
      </c>
      <c r="E21" s="47">
        <f t="shared" si="10"/>
        <v>2.6999999999972601E-3</v>
      </c>
      <c r="F21" s="85">
        <f t="shared" si="12"/>
        <v>2.6999999999972601</v>
      </c>
      <c r="G21" s="86">
        <f t="shared" si="0"/>
        <v>106.75799999989167</v>
      </c>
      <c r="H21" s="51"/>
      <c r="I21" s="70">
        <v>19</v>
      </c>
      <c r="J21" s="51">
        <v>51.344900000000003</v>
      </c>
      <c r="K21" s="51">
        <f>51.3473-0.0004</f>
        <v>51.346899999999998</v>
      </c>
      <c r="L21" s="48">
        <f t="shared" si="1"/>
        <v>1.9999999999953388E-3</v>
      </c>
      <c r="M21" s="51">
        <f t="shared" si="2"/>
        <v>1.9999999999953388</v>
      </c>
      <c r="N21" s="88">
        <f t="shared" si="3"/>
        <v>79.079999999815698</v>
      </c>
      <c r="O21" s="89"/>
      <c r="P21" s="249"/>
      <c r="Q21" s="70">
        <v>19</v>
      </c>
      <c r="R21" s="51">
        <v>11.035399999999999</v>
      </c>
      <c r="S21" s="50">
        <f>11.0365+0.0012</f>
        <v>11.037700000000001</v>
      </c>
      <c r="T21" s="24">
        <f t="shared" si="4"/>
        <v>2.3000000000017451E-3</v>
      </c>
      <c r="U21" s="49">
        <f t="shared" si="5"/>
        <v>2.3000000000017451</v>
      </c>
      <c r="V21" s="88">
        <f t="shared" si="6"/>
        <v>90.942000000069001</v>
      </c>
      <c r="W21" s="90"/>
      <c r="X21" s="70">
        <v>19</v>
      </c>
      <c r="Y21" s="50">
        <v>11.058299999999999</v>
      </c>
      <c r="Z21" s="51">
        <v>11.059699999999999</v>
      </c>
      <c r="AA21" s="24">
        <f t="shared" si="7"/>
        <v>1.4000000000002899E-3</v>
      </c>
      <c r="AB21" s="49">
        <f t="shared" si="8"/>
        <v>1.4000000000002899</v>
      </c>
      <c r="AC21" s="88">
        <f t="shared" si="9"/>
        <v>55.356000000011463</v>
      </c>
      <c r="AN21" s="89"/>
      <c r="AW21" s="89"/>
    </row>
    <row r="22" spans="1:50" x14ac:dyDescent="0.35">
      <c r="A22" s="248"/>
      <c r="B22" s="70">
        <v>20</v>
      </c>
      <c r="C22" s="51">
        <v>62.862499999999997</v>
      </c>
      <c r="D22" s="51">
        <f>62.8671-0.001</f>
        <v>62.866100000000003</v>
      </c>
      <c r="E22" s="47">
        <f t="shared" si="10"/>
        <v>3.6000000000058208E-3</v>
      </c>
      <c r="F22" s="85">
        <f t="shared" si="12"/>
        <v>3.6000000000058208</v>
      </c>
      <c r="G22" s="86">
        <f t="shared" si="0"/>
        <v>142.34400000023015</v>
      </c>
      <c r="H22" s="49"/>
      <c r="I22" s="70">
        <v>20</v>
      </c>
      <c r="J22" s="51">
        <v>63.794400000000003</v>
      </c>
      <c r="K22" s="51">
        <v>63.795999999999999</v>
      </c>
      <c r="L22" s="48">
        <f t="shared" si="1"/>
        <v>1.5999999999962711E-3</v>
      </c>
      <c r="M22" s="51">
        <f t="shared" si="2"/>
        <v>1.5999999999962711</v>
      </c>
      <c r="N22" s="88">
        <f t="shared" si="3"/>
        <v>63.263999999852558</v>
      </c>
      <c r="O22" s="89"/>
      <c r="P22" s="249"/>
      <c r="Q22" s="70">
        <v>20</v>
      </c>
      <c r="R22" s="51">
        <v>11.1555</v>
      </c>
      <c r="S22" s="50">
        <f>11.157+0.0014</f>
        <v>11.1584</v>
      </c>
      <c r="T22" s="24">
        <f t="shared" si="4"/>
        <v>2.9000000000003467E-3</v>
      </c>
      <c r="U22" s="49">
        <f t="shared" si="5"/>
        <v>2.9000000000003467</v>
      </c>
      <c r="V22" s="88">
        <f t="shared" si="6"/>
        <v>114.66600000001371</v>
      </c>
      <c r="W22" s="90"/>
      <c r="X22" s="70">
        <v>20</v>
      </c>
      <c r="Y22" s="50">
        <v>11.070600000000001</v>
      </c>
      <c r="Z22" s="51">
        <v>11.0724</v>
      </c>
      <c r="AA22" s="24">
        <f t="shared" si="7"/>
        <v>1.7999999999993577E-3</v>
      </c>
      <c r="AB22" s="49">
        <f t="shared" si="8"/>
        <v>1.7999999999993577</v>
      </c>
      <c r="AC22" s="88">
        <f t="shared" si="9"/>
        <v>71.171999999974602</v>
      </c>
      <c r="AN22" s="89"/>
      <c r="AW22" s="89"/>
    </row>
    <row r="23" spans="1:50" x14ac:dyDescent="0.35">
      <c r="A23" s="248"/>
      <c r="B23" s="70">
        <v>21</v>
      </c>
      <c r="C23" s="51">
        <v>63.2151</v>
      </c>
      <c r="D23" s="51">
        <f>63.2206-0.0017</f>
        <v>63.218899999999998</v>
      </c>
      <c r="E23" s="47">
        <f t="shared" si="10"/>
        <v>3.7999999999982492E-3</v>
      </c>
      <c r="F23" s="85">
        <f t="shared" si="12"/>
        <v>3.7999999999982492</v>
      </c>
      <c r="G23" s="86">
        <f t="shared" si="0"/>
        <v>150.25199999993077</v>
      </c>
      <c r="H23" s="51"/>
      <c r="I23" s="70">
        <v>21</v>
      </c>
      <c r="J23" s="51">
        <v>65.328900000000004</v>
      </c>
      <c r="K23" s="51">
        <f>65.3301+0.0002</f>
        <v>65.330300000000008</v>
      </c>
      <c r="L23" s="48">
        <f t="shared" si="1"/>
        <v>1.4000000000038426E-3</v>
      </c>
      <c r="M23" s="51">
        <f t="shared" si="2"/>
        <v>1.4000000000038426</v>
      </c>
      <c r="N23" s="88">
        <f t="shared" si="3"/>
        <v>55.356000000151937</v>
      </c>
      <c r="O23" s="89"/>
      <c r="P23" s="249"/>
      <c r="Q23" s="70">
        <v>21</v>
      </c>
      <c r="R23" s="51">
        <v>11.174200000000001</v>
      </c>
      <c r="S23" s="50">
        <v>11.175700000000001</v>
      </c>
      <c r="T23" s="24">
        <f t="shared" si="4"/>
        <v>1.5000000000000568E-3</v>
      </c>
      <c r="U23" s="49">
        <f t="shared" si="5"/>
        <v>1.5000000000000568</v>
      </c>
      <c r="V23" s="88">
        <f t="shared" si="6"/>
        <v>59.310000000002248</v>
      </c>
      <c r="W23" s="90"/>
      <c r="X23" s="70">
        <v>21</v>
      </c>
      <c r="Y23" s="54">
        <v>11.345599999999999</v>
      </c>
      <c r="Z23" s="49">
        <v>11.347099999999999</v>
      </c>
      <c r="AA23" s="24">
        <f t="shared" si="7"/>
        <v>1.5000000000000568E-3</v>
      </c>
      <c r="AB23" s="49">
        <f t="shared" si="8"/>
        <v>1.5000000000000568</v>
      </c>
      <c r="AC23" s="88">
        <f t="shared" si="9"/>
        <v>59.310000000002248</v>
      </c>
      <c r="AN23" s="89"/>
      <c r="AW23" s="89"/>
    </row>
    <row r="24" spans="1:50" x14ac:dyDescent="0.35">
      <c r="A24" s="248"/>
      <c r="B24" s="70">
        <v>22</v>
      </c>
      <c r="C24" s="51">
        <v>61.241</v>
      </c>
      <c r="D24" s="51">
        <f>61.2444+0.0006</f>
        <v>61.244999999999997</v>
      </c>
      <c r="E24" s="47">
        <f t="shared" si="10"/>
        <v>3.9999999999977831E-3</v>
      </c>
      <c r="F24" s="85">
        <f t="shared" si="12"/>
        <v>3.9999999999977831</v>
      </c>
      <c r="G24" s="86">
        <f t="shared" si="0"/>
        <v>158.15999999991234</v>
      </c>
      <c r="H24" s="51"/>
      <c r="I24" s="70">
        <v>22</v>
      </c>
      <c r="J24" s="51">
        <v>11.558299999999999</v>
      </c>
      <c r="K24" s="51">
        <f>11.5598+0.0006</f>
        <v>11.5604</v>
      </c>
      <c r="L24" s="48">
        <f t="shared" si="1"/>
        <v>2.1000000000004349E-3</v>
      </c>
      <c r="M24" s="87">
        <f t="shared" si="2"/>
        <v>2.1000000000004349</v>
      </c>
      <c r="N24" s="88">
        <f t="shared" si="3"/>
        <v>83.034000000017187</v>
      </c>
      <c r="O24" s="91"/>
      <c r="P24" s="249"/>
      <c r="Q24" s="70">
        <v>22</v>
      </c>
      <c r="R24" s="51">
        <v>11.132999999999999</v>
      </c>
      <c r="S24" s="50">
        <v>11.1348</v>
      </c>
      <c r="T24" s="24">
        <f t="shared" si="4"/>
        <v>1.800000000001134E-3</v>
      </c>
      <c r="U24" s="49">
        <f t="shared" si="5"/>
        <v>1.800000000001134</v>
      </c>
      <c r="V24" s="88">
        <f t="shared" si="6"/>
        <v>71.172000000044832</v>
      </c>
      <c r="W24" s="90"/>
      <c r="X24" s="70">
        <v>22</v>
      </c>
      <c r="Y24" s="50">
        <v>11.125</v>
      </c>
      <c r="Z24" s="51">
        <v>11.1272</v>
      </c>
      <c r="AA24" s="24">
        <f t="shared" si="7"/>
        <v>2.2000000000002018E-3</v>
      </c>
      <c r="AB24" s="49">
        <v>1.5</v>
      </c>
      <c r="AC24" s="88">
        <f t="shared" si="9"/>
        <v>59.31</v>
      </c>
      <c r="AN24" s="89"/>
      <c r="AW24" s="89"/>
    </row>
    <row r="25" spans="1:50" x14ac:dyDescent="0.35">
      <c r="A25" s="248"/>
      <c r="B25" s="70">
        <v>23</v>
      </c>
      <c r="C25" s="51">
        <v>11.513199999999999</v>
      </c>
      <c r="D25" s="51">
        <v>11.517099999999999</v>
      </c>
      <c r="E25" s="47">
        <f t="shared" si="10"/>
        <v>3.8999999999997925E-3</v>
      </c>
      <c r="F25" s="85">
        <f t="shared" si="12"/>
        <v>3.8999999999997925</v>
      </c>
      <c r="G25" s="86">
        <f t="shared" si="0"/>
        <v>154.2059999999918</v>
      </c>
      <c r="H25" s="49"/>
      <c r="I25" s="70">
        <v>23</v>
      </c>
      <c r="J25" s="51">
        <v>11.4724</v>
      </c>
      <c r="K25" s="51">
        <f>11.4779-0.004</f>
        <v>11.4739</v>
      </c>
      <c r="L25" s="48">
        <f t="shared" si="1"/>
        <v>1.5000000000000568E-3</v>
      </c>
      <c r="M25" s="87">
        <f t="shared" si="2"/>
        <v>1.5000000000000568</v>
      </c>
      <c r="N25" s="88">
        <f t="shared" si="3"/>
        <v>59.310000000002248</v>
      </c>
      <c r="O25" s="91"/>
      <c r="P25" s="249"/>
      <c r="Q25" s="70">
        <v>23</v>
      </c>
      <c r="R25" s="51">
        <v>11.1228</v>
      </c>
      <c r="S25" s="50">
        <v>11.1243</v>
      </c>
      <c r="T25" s="24">
        <f t="shared" si="4"/>
        <v>1.5000000000000568E-3</v>
      </c>
      <c r="U25" s="49">
        <f t="shared" si="5"/>
        <v>1.5000000000000568</v>
      </c>
      <c r="V25" s="88">
        <f t="shared" si="6"/>
        <v>59.310000000002248</v>
      </c>
      <c r="W25" s="90"/>
      <c r="X25" s="70">
        <v>23</v>
      </c>
      <c r="Y25" s="50">
        <v>11.1272</v>
      </c>
      <c r="Z25" s="51">
        <f>11.1302-0.0018</f>
        <v>11.128400000000001</v>
      </c>
      <c r="AA25" s="24">
        <f t="shared" si="7"/>
        <v>1.200000000000756E-3</v>
      </c>
      <c r="AB25" s="49">
        <f t="shared" si="8"/>
        <v>1.200000000000756</v>
      </c>
      <c r="AC25" s="88">
        <f t="shared" si="9"/>
        <v>47.448000000029893</v>
      </c>
      <c r="AN25" s="89"/>
      <c r="AW25" s="89"/>
    </row>
    <row r="26" spans="1:50" x14ac:dyDescent="0.35">
      <c r="A26" s="248"/>
      <c r="B26" s="70">
        <v>24</v>
      </c>
      <c r="C26" s="51">
        <v>11.4916</v>
      </c>
      <c r="D26" s="51">
        <f>11.4934+0.0013</f>
        <v>11.4947</v>
      </c>
      <c r="E26" s="47">
        <f t="shared" si="10"/>
        <v>3.0999999999998806E-3</v>
      </c>
      <c r="F26" s="85">
        <f t="shared" si="12"/>
        <v>3.0999999999998806</v>
      </c>
      <c r="G26" s="86">
        <f t="shared" si="0"/>
        <v>122.57399999999528</v>
      </c>
      <c r="H26" s="51"/>
      <c r="I26" s="70">
        <v>24</v>
      </c>
      <c r="J26" s="51">
        <v>11.5016</v>
      </c>
      <c r="K26" s="51">
        <f>11.5027+0.0008</f>
        <v>11.503500000000001</v>
      </c>
      <c r="L26" s="48">
        <f t="shared" si="1"/>
        <v>1.900000000000901E-3</v>
      </c>
      <c r="M26" s="87">
        <f t="shared" si="2"/>
        <v>1.900000000000901</v>
      </c>
      <c r="N26" s="88">
        <f t="shared" si="3"/>
        <v>75.126000000035617</v>
      </c>
      <c r="O26" s="92"/>
      <c r="P26" s="249"/>
      <c r="Q26" s="70">
        <v>24</v>
      </c>
      <c r="R26" s="51">
        <v>11.4903</v>
      </c>
      <c r="S26" s="51">
        <f>11.4928+0.0002</f>
        <v>11.493</v>
      </c>
      <c r="T26" s="24">
        <f t="shared" si="4"/>
        <v>2.7000000000008129E-3</v>
      </c>
      <c r="U26" s="49">
        <f t="shared" si="5"/>
        <v>2.7000000000008129</v>
      </c>
      <c r="V26" s="88">
        <f t="shared" si="6"/>
        <v>106.75800000003214</v>
      </c>
      <c r="W26" s="90"/>
      <c r="X26" s="70">
        <v>24</v>
      </c>
      <c r="Y26" s="51">
        <v>11.5357</v>
      </c>
      <c r="Z26" s="51">
        <v>11.5364</v>
      </c>
      <c r="AA26" s="24">
        <f t="shared" si="7"/>
        <v>7.0000000000014495E-4</v>
      </c>
      <c r="AB26" s="49">
        <f t="shared" si="8"/>
        <v>0.70000000000014495</v>
      </c>
      <c r="AC26" s="88">
        <f t="shared" si="9"/>
        <v>27.678000000005731</v>
      </c>
      <c r="AN26" s="91"/>
      <c r="AW26" s="91"/>
    </row>
    <row r="27" spans="1:50" x14ac:dyDescent="0.35">
      <c r="A27" s="248"/>
      <c r="B27" s="70">
        <v>25</v>
      </c>
      <c r="C27" s="51">
        <v>11.3171</v>
      </c>
      <c r="D27" s="51">
        <f>11.3189+0.001</f>
        <v>11.319899999999999</v>
      </c>
      <c r="E27" s="47">
        <f t="shared" si="10"/>
        <v>2.7999999999988034E-3</v>
      </c>
      <c r="F27" s="85">
        <f t="shared" si="12"/>
        <v>2.7999999999988034</v>
      </c>
      <c r="G27" s="86">
        <f t="shared" si="0"/>
        <v>110.71199999995268</v>
      </c>
      <c r="H27" s="51"/>
      <c r="I27" s="70">
        <v>25</v>
      </c>
      <c r="J27" s="51">
        <v>11.47</v>
      </c>
      <c r="K27" s="51">
        <v>11.471299999999999</v>
      </c>
      <c r="L27" s="48">
        <f t="shared" si="1"/>
        <v>1.2999999999987466E-3</v>
      </c>
      <c r="M27" s="87">
        <f t="shared" si="2"/>
        <v>1.2999999999987466</v>
      </c>
      <c r="N27" s="88">
        <f t="shared" si="3"/>
        <v>51.401999999950441</v>
      </c>
      <c r="O27" s="92"/>
      <c r="P27" s="249"/>
      <c r="Q27" s="70">
        <v>25</v>
      </c>
      <c r="R27" s="51">
        <v>11.263299999999999</v>
      </c>
      <c r="S27" s="51">
        <v>11.265000000000001</v>
      </c>
      <c r="T27" s="24">
        <f t="shared" si="4"/>
        <v>1.7000000000013671E-3</v>
      </c>
      <c r="U27" s="49">
        <f t="shared" si="5"/>
        <v>1.7000000000013671</v>
      </c>
      <c r="V27" s="88">
        <f t="shared" si="6"/>
        <v>67.218000000054047</v>
      </c>
      <c r="W27" s="90"/>
      <c r="X27" s="70">
        <v>25</v>
      </c>
      <c r="Y27" s="51">
        <v>11.2226</v>
      </c>
      <c r="Z27" s="51">
        <v>11.224299999999999</v>
      </c>
      <c r="AA27" s="24">
        <f t="shared" si="7"/>
        <v>1.6999999999995907E-3</v>
      </c>
      <c r="AB27" s="49">
        <f t="shared" si="8"/>
        <v>1.6999999999995907</v>
      </c>
      <c r="AC27" s="88">
        <f t="shared" si="9"/>
        <v>67.217999999983817</v>
      </c>
      <c r="AN27" s="91"/>
      <c r="AW27" s="91"/>
    </row>
    <row r="28" spans="1:50" x14ac:dyDescent="0.35">
      <c r="A28" s="248"/>
      <c r="B28" s="70">
        <v>26</v>
      </c>
      <c r="C28" s="51">
        <v>11.3001</v>
      </c>
      <c r="D28" s="51">
        <v>11.3033</v>
      </c>
      <c r="E28" s="47">
        <f t="shared" si="10"/>
        <v>3.1999999999996476E-3</v>
      </c>
      <c r="F28" s="85">
        <f t="shared" si="12"/>
        <v>3.1999999999996476</v>
      </c>
      <c r="G28" s="86">
        <f t="shared" si="0"/>
        <v>126.52799999998606</v>
      </c>
      <c r="H28" s="51"/>
      <c r="I28" s="70">
        <v>26</v>
      </c>
      <c r="J28" s="51">
        <v>11.172000000000001</v>
      </c>
      <c r="K28" s="51">
        <v>11.1737</v>
      </c>
      <c r="L28" s="48">
        <f t="shared" si="1"/>
        <v>1.6999999999995907E-3</v>
      </c>
      <c r="M28" s="87">
        <f t="shared" si="2"/>
        <v>1.6999999999995907</v>
      </c>
      <c r="N28" s="88">
        <f t="shared" si="3"/>
        <v>67.217999999983817</v>
      </c>
      <c r="O28" s="92"/>
      <c r="P28" s="249"/>
      <c r="Q28" s="70">
        <v>26</v>
      </c>
      <c r="R28" s="51">
        <v>11.093999999999999</v>
      </c>
      <c r="S28" s="51">
        <v>11.0951</v>
      </c>
      <c r="T28" s="24">
        <f t="shared" si="4"/>
        <v>1.1000000000009891E-3</v>
      </c>
      <c r="U28" s="49">
        <f t="shared" si="5"/>
        <v>1.1000000000009891</v>
      </c>
      <c r="V28" s="88">
        <f t="shared" si="6"/>
        <v>43.494000000039108</v>
      </c>
      <c r="W28" s="90"/>
      <c r="X28" s="70">
        <v>26</v>
      </c>
      <c r="Y28" s="51">
        <v>11.2445</v>
      </c>
      <c r="Z28" s="51">
        <v>11.2455</v>
      </c>
      <c r="AA28" s="24">
        <f t="shared" si="7"/>
        <v>9.9999999999944578E-4</v>
      </c>
      <c r="AB28" s="49">
        <f t="shared" si="8"/>
        <v>0.99999999999944578</v>
      </c>
      <c r="AC28" s="88">
        <f t="shared" si="9"/>
        <v>39.539999999978086</v>
      </c>
      <c r="AN28" s="92"/>
      <c r="AW28" s="92"/>
    </row>
    <row r="29" spans="1:50" x14ac:dyDescent="0.35">
      <c r="A29" s="248"/>
      <c r="B29" s="70">
        <v>27</v>
      </c>
      <c r="C29" s="51">
        <v>11.234299999999999</v>
      </c>
      <c r="D29" s="51">
        <v>11.2377</v>
      </c>
      <c r="E29" s="47">
        <f t="shared" si="10"/>
        <v>3.4000000000009578E-3</v>
      </c>
      <c r="F29" s="85">
        <f t="shared" si="12"/>
        <v>3.4000000000009578</v>
      </c>
      <c r="G29" s="86">
        <f t="shared" si="0"/>
        <v>134.43600000003786</v>
      </c>
      <c r="H29" s="51"/>
      <c r="I29" s="70">
        <v>27</v>
      </c>
      <c r="J29" s="51">
        <v>11.1408</v>
      </c>
      <c r="K29" s="51">
        <v>11.1424</v>
      </c>
      <c r="L29" s="48">
        <f t="shared" si="1"/>
        <v>1.5999999999998238E-3</v>
      </c>
      <c r="M29" s="87">
        <f t="shared" si="2"/>
        <v>1.5999999999998238</v>
      </c>
      <c r="N29" s="88">
        <f t="shared" si="3"/>
        <v>63.263999999993032</v>
      </c>
      <c r="P29" s="249"/>
      <c r="Q29" s="70">
        <v>27</v>
      </c>
      <c r="R29" s="51">
        <v>11.2597</v>
      </c>
      <c r="S29" s="51">
        <f>11.2643-0.0023</f>
        <v>11.262</v>
      </c>
      <c r="T29" s="24">
        <f t="shared" si="4"/>
        <v>2.2999999999999687E-3</v>
      </c>
      <c r="U29" s="49">
        <f t="shared" si="5"/>
        <v>2.2999999999999687</v>
      </c>
      <c r="V29" s="88">
        <f t="shared" si="6"/>
        <v>90.941999999998757</v>
      </c>
      <c r="W29" s="90"/>
      <c r="X29" s="70">
        <v>27</v>
      </c>
      <c r="Y29" s="51">
        <v>11.0525</v>
      </c>
      <c r="Z29" s="51">
        <v>11.053599999999999</v>
      </c>
      <c r="AA29" s="24">
        <f t="shared" si="7"/>
        <v>1.0999999999992127E-3</v>
      </c>
      <c r="AB29" s="49">
        <f t="shared" si="8"/>
        <v>1.0999999999992127</v>
      </c>
      <c r="AC29" s="88">
        <f t="shared" si="9"/>
        <v>43.493999999968871</v>
      </c>
      <c r="AN29" s="92"/>
      <c r="AW29" s="92"/>
    </row>
    <row r="30" spans="1:50" x14ac:dyDescent="0.35">
      <c r="A30" s="248"/>
      <c r="B30" s="70">
        <v>28</v>
      </c>
      <c r="C30" s="51">
        <v>11.144500000000001</v>
      </c>
      <c r="D30" s="51">
        <v>11.1473</v>
      </c>
      <c r="E30" s="47">
        <f t="shared" si="10"/>
        <v>2.7999999999988034E-3</v>
      </c>
      <c r="F30" s="85">
        <f t="shared" si="12"/>
        <v>2.7999999999988034</v>
      </c>
      <c r="G30" s="86">
        <f t="shared" si="0"/>
        <v>110.71199999995268</v>
      </c>
      <c r="H30" s="51"/>
      <c r="I30" s="70">
        <v>28</v>
      </c>
      <c r="J30" s="51">
        <v>11.314</v>
      </c>
      <c r="K30" s="51">
        <v>11.3157</v>
      </c>
      <c r="L30" s="48">
        <f t="shared" si="1"/>
        <v>1.6999999999995907E-3</v>
      </c>
      <c r="M30" s="87">
        <f t="shared" si="2"/>
        <v>1.6999999999995907</v>
      </c>
      <c r="N30" s="88">
        <f t="shared" si="3"/>
        <v>67.217999999983817</v>
      </c>
      <c r="P30" s="249"/>
      <c r="Q30" s="70">
        <v>28</v>
      </c>
      <c r="R30" s="51">
        <v>11.1143</v>
      </c>
      <c r="S30" s="51">
        <f>11.1185-0.001</f>
        <v>11.1175</v>
      </c>
      <c r="T30" s="49">
        <f t="shared" si="4"/>
        <v>3.1999999999996476E-3</v>
      </c>
      <c r="U30" s="49">
        <f t="shared" si="5"/>
        <v>3.1999999999996476</v>
      </c>
      <c r="V30" s="88">
        <f t="shared" si="6"/>
        <v>126.52799999998606</v>
      </c>
      <c r="W30" s="90"/>
      <c r="X30" s="70">
        <v>28</v>
      </c>
      <c r="Y30" s="51">
        <v>11.0558</v>
      </c>
      <c r="Z30" s="51">
        <v>11.057600000000001</v>
      </c>
      <c r="AA30" s="49">
        <f t="shared" si="7"/>
        <v>1.800000000001134E-3</v>
      </c>
      <c r="AB30" s="49">
        <f t="shared" si="8"/>
        <v>1.800000000001134</v>
      </c>
      <c r="AC30" s="88">
        <f t="shared" si="9"/>
        <v>71.172000000044832</v>
      </c>
      <c r="AN30" s="92"/>
      <c r="AW30" s="92"/>
    </row>
    <row r="31" spans="1:50" x14ac:dyDescent="0.35">
      <c r="A31" s="248"/>
      <c r="B31" s="70">
        <v>29</v>
      </c>
      <c r="C31" s="51">
        <v>11.1395</v>
      </c>
      <c r="D31" s="51">
        <f>11.1414+0.0004</f>
        <v>11.141800000000002</v>
      </c>
      <c r="E31" s="47">
        <f t="shared" si="10"/>
        <v>2.3000000000017451E-3</v>
      </c>
      <c r="F31" s="85">
        <f t="shared" si="12"/>
        <v>2.3000000000017451</v>
      </c>
      <c r="G31" s="86">
        <f t="shared" si="0"/>
        <v>90.942000000069001</v>
      </c>
      <c r="H31" s="51"/>
      <c r="I31" s="70">
        <v>29</v>
      </c>
      <c r="J31" s="51">
        <v>11.1294</v>
      </c>
      <c r="K31" s="93">
        <v>11.131</v>
      </c>
      <c r="L31" s="48">
        <f t="shared" si="1"/>
        <v>1.5999999999998238E-3</v>
      </c>
      <c r="M31" s="87">
        <f t="shared" si="2"/>
        <v>1.5999999999998238</v>
      </c>
      <c r="N31" s="88">
        <f t="shared" si="3"/>
        <v>63.263999999993032</v>
      </c>
      <c r="P31" s="249"/>
      <c r="Q31" s="70">
        <v>29</v>
      </c>
      <c r="R31" s="51">
        <v>11.1119</v>
      </c>
      <c r="S31" s="51">
        <f>11.1165-0.0018</f>
        <v>11.114700000000001</v>
      </c>
      <c r="T31" s="24">
        <f t="shared" si="4"/>
        <v>2.8000000000005798E-3</v>
      </c>
      <c r="U31" s="49">
        <f t="shared" si="5"/>
        <v>2.8000000000005798</v>
      </c>
      <c r="V31" s="88">
        <f t="shared" si="6"/>
        <v>110.71200000002293</v>
      </c>
      <c r="W31" s="90"/>
      <c r="X31" s="70">
        <v>29</v>
      </c>
      <c r="Y31" s="51">
        <v>11.0747</v>
      </c>
      <c r="Z31" s="51">
        <v>11.0762</v>
      </c>
      <c r="AA31" s="24">
        <f t="shared" si="7"/>
        <v>1.5000000000000568E-3</v>
      </c>
      <c r="AB31" s="49">
        <f t="shared" si="8"/>
        <v>1.5000000000000568</v>
      </c>
      <c r="AC31" s="88">
        <f t="shared" si="9"/>
        <v>59.310000000002248</v>
      </c>
      <c r="AF31" s="94"/>
      <c r="AX31" s="61"/>
    </row>
    <row r="32" spans="1:50" ht="16" thickBot="1" x14ac:dyDescent="0.4">
      <c r="A32" s="248"/>
      <c r="B32" s="71">
        <v>30</v>
      </c>
      <c r="C32" s="95">
        <v>11.4595</v>
      </c>
      <c r="D32" s="51">
        <v>11.462899999999999</v>
      </c>
      <c r="E32" s="47">
        <f t="shared" si="10"/>
        <v>3.3999999999991815E-3</v>
      </c>
      <c r="F32" s="85">
        <f t="shared" si="12"/>
        <v>3.3999999999991815</v>
      </c>
      <c r="G32" s="86">
        <f t="shared" si="0"/>
        <v>134.43599999996763</v>
      </c>
      <c r="H32" s="95"/>
      <c r="I32" s="71">
        <v>30</v>
      </c>
      <c r="J32" s="95">
        <v>11.1427</v>
      </c>
      <c r="K32" s="51">
        <v>11.1441</v>
      </c>
      <c r="L32" s="48">
        <f t="shared" si="1"/>
        <v>1.4000000000002899E-3</v>
      </c>
      <c r="M32" s="87">
        <f t="shared" si="2"/>
        <v>1.4000000000002899</v>
      </c>
      <c r="N32" s="88">
        <f t="shared" si="3"/>
        <v>55.356000000011463</v>
      </c>
      <c r="P32" s="249"/>
      <c r="Q32" s="71">
        <v>30</v>
      </c>
      <c r="R32" s="95">
        <v>11.1884</v>
      </c>
      <c r="S32" s="51">
        <f>11.1917-0.001</f>
        <v>11.190700000000001</v>
      </c>
      <c r="T32" s="24">
        <f t="shared" si="4"/>
        <v>2.3000000000017451E-3</v>
      </c>
      <c r="U32" s="49">
        <f t="shared" si="5"/>
        <v>2.3000000000017451</v>
      </c>
      <c r="V32" s="88">
        <f t="shared" si="6"/>
        <v>90.942000000069001</v>
      </c>
      <c r="W32" s="90"/>
      <c r="X32" s="71">
        <v>30</v>
      </c>
      <c r="Y32" s="95">
        <v>11.098100000000001</v>
      </c>
      <c r="Z32" s="51">
        <v>11.099600000000001</v>
      </c>
      <c r="AA32" s="24">
        <f t="shared" si="7"/>
        <v>1.5000000000000568E-3</v>
      </c>
      <c r="AB32" s="49">
        <f t="shared" si="8"/>
        <v>1.5000000000000568</v>
      </c>
      <c r="AC32" s="88">
        <f t="shared" si="9"/>
        <v>59.310000000002248</v>
      </c>
      <c r="AF32" s="94"/>
      <c r="AX32" s="61"/>
    </row>
    <row r="33" spans="1:50" x14ac:dyDescent="0.35">
      <c r="A33" s="96" t="s">
        <v>17</v>
      </c>
      <c r="B33" s="97"/>
      <c r="C33" s="61"/>
      <c r="D33" s="98"/>
      <c r="E33" s="52">
        <f>AVERAGE(E3:E32)</f>
        <v>3.1133333333331829E-3</v>
      </c>
      <c r="F33" s="99">
        <f>AVERAGE(F3:F32)</f>
        <v>3.1133333333331827</v>
      </c>
      <c r="G33" s="100">
        <f>AVERAGE(G3:G32)</f>
        <v>123.10119999999407</v>
      </c>
      <c r="H33" s="55"/>
      <c r="I33" s="61"/>
      <c r="J33" s="61"/>
      <c r="K33" s="96" t="s">
        <v>17</v>
      </c>
      <c r="L33" s="66">
        <f>AVERAGE(L3:L32)</f>
        <v>1.636666666666938E-3</v>
      </c>
      <c r="M33" s="101">
        <f>AVERAGE(M3:M32)</f>
        <v>1.6366666666669378</v>
      </c>
      <c r="N33" s="102">
        <f>AVERAGE(N3:N32)</f>
        <v>64.713800000010721</v>
      </c>
      <c r="P33" s="249"/>
      <c r="Q33" s="103"/>
      <c r="R33" s="49"/>
      <c r="S33" s="96" t="s">
        <v>17</v>
      </c>
      <c r="T33" s="52">
        <f>AVERAGE(T3:T32)</f>
        <v>2.1000000000003754E-3</v>
      </c>
      <c r="U33" s="53">
        <f>AVERAGE(U3:U32)</f>
        <v>2.1000000000003758</v>
      </c>
      <c r="V33" s="102">
        <f>AVERAGE(V3:V32)</f>
        <v>83.034000000014842</v>
      </c>
      <c r="Y33" s="61"/>
      <c r="Z33" s="96" t="s">
        <v>17</v>
      </c>
      <c r="AA33" s="52">
        <f>AVERAGE(AA3:AA32)</f>
        <v>1.2499999999999881E-3</v>
      </c>
      <c r="AB33" s="53">
        <f>AVERAGE(AB3:AB32)</f>
        <v>1.1933333333333158</v>
      </c>
      <c r="AC33" s="102">
        <f>AVERAGE(AC3:AC32)</f>
        <v>47.184399999999314</v>
      </c>
      <c r="AX33" s="104"/>
    </row>
    <row r="34" spans="1:50" x14ac:dyDescent="0.35">
      <c r="A34" s="36" t="s">
        <v>44</v>
      </c>
      <c r="B34" s="106"/>
      <c r="C34" s="61"/>
      <c r="D34" s="107"/>
      <c r="E34" s="54">
        <f>STDEV(E3:E32)</f>
        <v>6.4739975037191337E-4</v>
      </c>
      <c r="F34" s="54">
        <f>STDEV(F3:F32)</f>
        <v>0.64739975037191644</v>
      </c>
      <c r="G34" s="55">
        <f>STDEV(G3:G32)</f>
        <v>25.598186129705386</v>
      </c>
      <c r="H34" s="55"/>
      <c r="I34" s="61"/>
      <c r="J34" s="61"/>
      <c r="K34" s="36" t="s">
        <v>44</v>
      </c>
      <c r="L34" s="67">
        <f>STDEV(L3:L32)</f>
        <v>2.8825675017787888E-4</v>
      </c>
      <c r="M34" s="55">
        <f>STDEV(M3:M32)</f>
        <v>0.28825675017787872</v>
      </c>
      <c r="N34" s="108">
        <f>STDEV(N3:N32)</f>
        <v>11.397671902033323</v>
      </c>
      <c r="R34" s="49"/>
      <c r="S34" s="36" t="s">
        <v>44</v>
      </c>
      <c r="T34" s="54">
        <f>STDEV(T3:T32)</f>
        <v>6.5284523169849751E-4</v>
      </c>
      <c r="U34" s="54">
        <f>STDEV(U3:U32)</f>
        <v>0.65284523169849751</v>
      </c>
      <c r="V34" s="108">
        <f>STDEV(V3:V32)</f>
        <v>25.81350046135865</v>
      </c>
      <c r="Y34" s="61"/>
      <c r="Z34" s="36" t="s">
        <v>44</v>
      </c>
      <c r="AA34" s="54">
        <f>STDEV(AA3:AA32)</f>
        <v>4.9601863146320581E-4</v>
      </c>
      <c r="AB34" s="55">
        <f>STDEV(AB3:AB32)</f>
        <v>0.41930429517716727</v>
      </c>
      <c r="AC34" s="109">
        <f>STDEV(AC3:AC32)</f>
        <v>16.579291831305163</v>
      </c>
      <c r="AX34" s="104"/>
    </row>
    <row r="35" spans="1:50" x14ac:dyDescent="0.35">
      <c r="A35" s="105" t="s">
        <v>3</v>
      </c>
      <c r="B35" s="106"/>
      <c r="C35" s="61"/>
      <c r="D35" s="107"/>
      <c r="E35" s="50">
        <f>MIN(E3:E32)</f>
        <v>1.8999999999991246E-3</v>
      </c>
      <c r="F35" s="50">
        <f>MIN(F3:F32)</f>
        <v>1.8999999999991246</v>
      </c>
      <c r="G35" s="110">
        <f>MIN(G3:G32)</f>
        <v>75.125999999965387</v>
      </c>
      <c r="H35" s="110"/>
      <c r="I35" s="61"/>
      <c r="J35" s="61"/>
      <c r="K35" s="105" t="s">
        <v>3</v>
      </c>
      <c r="L35" s="68">
        <f>MIN(L3:L32)</f>
        <v>1.1000000000009891E-3</v>
      </c>
      <c r="M35" s="110">
        <f>MIN(M3:M32)</f>
        <v>1.1000000000009891</v>
      </c>
      <c r="N35" s="111">
        <f>MIN(N3:N32)</f>
        <v>43.494000000039108</v>
      </c>
      <c r="R35" s="61"/>
      <c r="S35" s="105" t="s">
        <v>3</v>
      </c>
      <c r="T35" s="54">
        <f>MAX(T3:T32)</f>
        <v>3.3999999999991815E-3</v>
      </c>
      <c r="U35" s="54">
        <f>MAX(U3:U32)</f>
        <v>3.3999999999991815</v>
      </c>
      <c r="V35" s="111">
        <f>MAX(V3:V32)</f>
        <v>134.43599999996763</v>
      </c>
      <c r="Y35" s="61"/>
      <c r="Z35" s="105" t="s">
        <v>3</v>
      </c>
      <c r="AA35" s="54">
        <f>MAX(AA3:AA32)</f>
        <v>2.2999999999999687E-3</v>
      </c>
      <c r="AB35" s="55">
        <f>MAX(AB3:AB32)</f>
        <v>1.9999999999988916</v>
      </c>
      <c r="AC35" s="112">
        <f>MAX(AC3:AC32)</f>
        <v>79.079999999956172</v>
      </c>
      <c r="AX35" s="104"/>
    </row>
    <row r="36" spans="1:50" ht="16" thickBot="1" x14ac:dyDescent="0.4">
      <c r="A36" s="113" t="s">
        <v>4</v>
      </c>
      <c r="B36" s="106"/>
      <c r="C36" s="61"/>
      <c r="D36" s="107"/>
      <c r="E36" s="56">
        <f>MAX(E3:E32)</f>
        <v>4.4000000000004036E-3</v>
      </c>
      <c r="F36" s="56">
        <f>MAX(F3:F32)</f>
        <v>4.4000000000004036</v>
      </c>
      <c r="G36" s="114">
        <f>MAX(G3:G32)</f>
        <v>173.97600000001594</v>
      </c>
      <c r="H36" s="110"/>
      <c r="I36" s="61"/>
      <c r="J36" s="61"/>
      <c r="K36" s="113" t="s">
        <v>4</v>
      </c>
      <c r="L36" s="69">
        <f>MAX(L3:L32)</f>
        <v>2.2999999999999687E-3</v>
      </c>
      <c r="M36" s="114">
        <f>MAX(M3:M32)</f>
        <v>2.2999999999999687</v>
      </c>
      <c r="N36" s="115">
        <f>MAX(N3:N32)</f>
        <v>90.941999999998757</v>
      </c>
      <c r="R36" s="61"/>
      <c r="S36" s="113" t="s">
        <v>4</v>
      </c>
      <c r="T36" s="57">
        <f>MIN(T3:T32)</f>
        <v>9.9999999999944578E-4</v>
      </c>
      <c r="U36" s="57">
        <f>MIN(U3:U32)</f>
        <v>0.99999999999944578</v>
      </c>
      <c r="V36" s="115">
        <f>MIN(V3:V32)</f>
        <v>39.539999999978086</v>
      </c>
      <c r="Y36" s="61"/>
      <c r="Z36" s="113" t="s">
        <v>4</v>
      </c>
      <c r="AA36" s="57">
        <f>MIN(AA3:AA32)</f>
        <v>6.0000000000037801E-4</v>
      </c>
      <c r="AB36" s="57">
        <f>MIN(AB3:AB32)</f>
        <v>0.60000000000037801</v>
      </c>
      <c r="AC36" s="115">
        <f>MIN(AC3:AC32)</f>
        <v>23.724000000014946</v>
      </c>
      <c r="AX36" s="104"/>
    </row>
    <row r="37" spans="1:50" x14ac:dyDescent="0.35">
      <c r="A37" s="116"/>
      <c r="B37" s="116"/>
      <c r="C37" s="61"/>
      <c r="D37" s="61"/>
      <c r="H37" s="61"/>
      <c r="I37" s="61"/>
      <c r="J37" s="61"/>
      <c r="K37" s="61"/>
      <c r="S37" s="61"/>
      <c r="Y37" s="61"/>
      <c r="Z37" s="61"/>
      <c r="AX37" s="104"/>
    </row>
    <row r="38" spans="1:50" x14ac:dyDescent="0.35">
      <c r="A38" s="116"/>
      <c r="B38" s="116"/>
      <c r="C38" s="61"/>
      <c r="D38" s="61"/>
      <c r="E38" s="61"/>
      <c r="F38" s="61"/>
      <c r="G38" s="61"/>
      <c r="H38" s="61"/>
      <c r="I38" s="61"/>
      <c r="R38" s="61"/>
      <c r="S38" s="61"/>
      <c r="Y38" s="89"/>
      <c r="AO38" s="61"/>
      <c r="AX38" s="104"/>
    </row>
    <row r="39" spans="1:50" x14ac:dyDescent="0.35">
      <c r="A39" s="116"/>
      <c r="B39" s="116"/>
      <c r="C39" s="61"/>
      <c r="D39" s="61"/>
      <c r="E39" s="61"/>
      <c r="F39" s="61"/>
      <c r="G39" s="61"/>
      <c r="H39" s="61"/>
      <c r="I39" s="61"/>
      <c r="AA39" s="61"/>
    </row>
    <row r="40" spans="1:50" x14ac:dyDescent="0.35">
      <c r="AA40" s="61"/>
    </row>
    <row r="41" spans="1:50" x14ac:dyDescent="0.35">
      <c r="AA41" s="61"/>
    </row>
  </sheetData>
  <mergeCells count="6">
    <mergeCell ref="C1:G1"/>
    <mergeCell ref="J1:N1"/>
    <mergeCell ref="R1:V1"/>
    <mergeCell ref="Y1:AC1"/>
    <mergeCell ref="A2:A32"/>
    <mergeCell ref="P2:P3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62"/>
  <sheetViews>
    <sheetView zoomScale="80" zoomScaleNormal="80" workbookViewId="0">
      <selection activeCell="A36" sqref="A36"/>
    </sheetView>
  </sheetViews>
  <sheetFormatPr baseColWidth="10" defaultRowHeight="15.5" x14ac:dyDescent="0.35"/>
  <cols>
    <col min="1" max="16384" width="10.6640625" style="77"/>
  </cols>
  <sheetData>
    <row r="1" spans="1:38" x14ac:dyDescent="0.35">
      <c r="A1" s="77" t="s">
        <v>27</v>
      </c>
      <c r="B1" s="61">
        <v>23.69</v>
      </c>
      <c r="C1" s="61" t="s">
        <v>0</v>
      </c>
      <c r="D1" s="61"/>
      <c r="E1" s="61"/>
      <c r="F1" s="61"/>
      <c r="G1" s="62" t="s">
        <v>45</v>
      </c>
      <c r="H1" s="63">
        <v>2.0999999999999999E-3</v>
      </c>
      <c r="I1" s="61" t="s">
        <v>35</v>
      </c>
      <c r="J1" s="61">
        <v>20</v>
      </c>
      <c r="K1" s="61"/>
      <c r="U1" s="63">
        <v>23.69</v>
      </c>
      <c r="V1" s="64" t="s">
        <v>5</v>
      </c>
      <c r="W1" s="64"/>
      <c r="X1" s="58" t="s">
        <v>45</v>
      </c>
      <c r="Y1" s="58"/>
      <c r="Z1" s="63">
        <v>2.0999999999999999E-3</v>
      </c>
      <c r="AA1" s="64" t="s">
        <v>6</v>
      </c>
      <c r="AB1" s="64">
        <v>20</v>
      </c>
      <c r="AC1" s="61" t="s">
        <v>2</v>
      </c>
      <c r="AD1" s="64"/>
      <c r="AE1" s="64"/>
      <c r="AG1" s="64"/>
      <c r="AH1" s="64"/>
      <c r="AI1" s="64"/>
      <c r="AJ1" s="64"/>
      <c r="AK1" s="64"/>
      <c r="AL1" s="64"/>
    </row>
    <row r="2" spans="1:38" x14ac:dyDescent="0.35">
      <c r="B2" s="61"/>
      <c r="C2" s="61"/>
      <c r="D2" s="61"/>
      <c r="E2" s="61"/>
      <c r="F2" s="61"/>
      <c r="G2" s="62" t="s">
        <v>46</v>
      </c>
      <c r="H2" s="63">
        <v>0.22439999999999999</v>
      </c>
      <c r="I2" s="61"/>
      <c r="J2" s="61"/>
      <c r="K2" s="61"/>
      <c r="U2" s="64"/>
      <c r="V2" s="64"/>
      <c r="W2" s="64"/>
      <c r="X2" s="58" t="s">
        <v>47</v>
      </c>
      <c r="Y2" s="58"/>
      <c r="Z2" s="63">
        <v>0.22439999999999999</v>
      </c>
      <c r="AA2" s="64"/>
      <c r="AB2" s="64"/>
      <c r="AC2" s="61"/>
      <c r="AD2" s="64"/>
      <c r="AL2" s="64"/>
    </row>
    <row r="3" spans="1:38" ht="16" thickBot="1" x14ac:dyDescent="0.4">
      <c r="B3" s="77" t="s">
        <v>10</v>
      </c>
      <c r="C3" s="61"/>
      <c r="D3" s="61"/>
      <c r="E3" s="61"/>
      <c r="F3" s="61"/>
      <c r="I3" s="61"/>
      <c r="K3" s="77" t="s">
        <v>19</v>
      </c>
      <c r="U3" s="77" t="s">
        <v>10</v>
      </c>
      <c r="AC3" s="64"/>
      <c r="AD3" s="77" t="s">
        <v>19</v>
      </c>
      <c r="AG3" s="64"/>
      <c r="AH3" s="64"/>
      <c r="AI3" s="64"/>
      <c r="AJ3" s="64"/>
      <c r="AK3" s="64"/>
      <c r="AL3" s="64"/>
    </row>
    <row r="4" spans="1:38" ht="39" customHeight="1" thickBot="1" x14ac:dyDescent="0.4">
      <c r="B4" s="79" t="s">
        <v>29</v>
      </c>
      <c r="C4" s="2" t="s">
        <v>28</v>
      </c>
      <c r="D4" s="2" t="s">
        <v>31</v>
      </c>
      <c r="E4" s="2" t="s">
        <v>30</v>
      </c>
      <c r="F4" s="2" t="s">
        <v>34</v>
      </c>
      <c r="G4" s="2" t="s">
        <v>32</v>
      </c>
      <c r="H4" s="2" t="s">
        <v>33</v>
      </c>
      <c r="I4" s="3" t="s">
        <v>9</v>
      </c>
      <c r="J4" s="117"/>
      <c r="K4" s="79" t="s">
        <v>29</v>
      </c>
      <c r="L4" s="2" t="s">
        <v>28</v>
      </c>
      <c r="M4" s="2" t="s">
        <v>31</v>
      </c>
      <c r="N4" s="2" t="s">
        <v>30</v>
      </c>
      <c r="O4" s="2" t="s">
        <v>34</v>
      </c>
      <c r="P4" s="2" t="s">
        <v>32</v>
      </c>
      <c r="Q4" s="2" t="s">
        <v>33</v>
      </c>
      <c r="R4" s="3" t="s">
        <v>9</v>
      </c>
      <c r="S4" s="117"/>
      <c r="T4" s="248" t="s">
        <v>41</v>
      </c>
      <c r="U4" s="79" t="s">
        <v>29</v>
      </c>
      <c r="V4" s="2" t="s">
        <v>28</v>
      </c>
      <c r="W4" s="2" t="s">
        <v>31</v>
      </c>
      <c r="X4" s="2" t="s">
        <v>30</v>
      </c>
      <c r="Y4" s="2" t="s">
        <v>34</v>
      </c>
      <c r="Z4" s="2" t="s">
        <v>32</v>
      </c>
      <c r="AA4" s="2" t="s">
        <v>33</v>
      </c>
      <c r="AB4" s="3" t="s">
        <v>9</v>
      </c>
      <c r="AC4" s="118"/>
      <c r="AD4" s="79" t="s">
        <v>29</v>
      </c>
      <c r="AE4" s="2" t="s">
        <v>28</v>
      </c>
      <c r="AF4" s="2" t="s">
        <v>31</v>
      </c>
      <c r="AG4" s="2" t="s">
        <v>30</v>
      </c>
      <c r="AH4" s="2" t="s">
        <v>34</v>
      </c>
      <c r="AI4" s="2" t="s">
        <v>32</v>
      </c>
      <c r="AJ4" s="2" t="s">
        <v>33</v>
      </c>
      <c r="AK4" s="3" t="s">
        <v>9</v>
      </c>
      <c r="AL4" s="118"/>
    </row>
    <row r="5" spans="1:38" ht="15.5" customHeight="1" x14ac:dyDescent="0.35">
      <c r="A5" s="248" t="s">
        <v>43</v>
      </c>
      <c r="B5" s="70">
        <v>1</v>
      </c>
      <c r="C5" s="9">
        <v>0.41</v>
      </c>
      <c r="D5" s="119">
        <f t="shared" ref="D5:D26" si="0">(C5-$H$2)/$H$1</f>
        <v>88.38095238095238</v>
      </c>
      <c r="E5" s="120">
        <v>20</v>
      </c>
      <c r="F5" s="119">
        <f>D5*E5</f>
        <v>1767.6190476190477</v>
      </c>
      <c r="G5" s="119">
        <f>F5/1000</f>
        <v>1.7676190476190476</v>
      </c>
      <c r="H5" s="119">
        <f>G5*0.5</f>
        <v>0.88380952380952382</v>
      </c>
      <c r="I5" s="121">
        <f t="shared" ref="I5:I13" si="1">(H5*$B$1)/1</f>
        <v>20.937447619047621</v>
      </c>
      <c r="K5" s="122">
        <v>1</v>
      </c>
      <c r="L5" s="9">
        <v>0.51500000000000001</v>
      </c>
      <c r="M5" s="119">
        <f t="shared" ref="M5:M34" si="2">(L5-$H$2)/$H$1</f>
        <v>138.38095238095241</v>
      </c>
      <c r="N5" s="120">
        <v>40</v>
      </c>
      <c r="O5" s="119">
        <f>M5*N5</f>
        <v>5535.2380952380963</v>
      </c>
      <c r="P5" s="119">
        <f>O5/1000</f>
        <v>5.5352380952380962</v>
      </c>
      <c r="Q5" s="119">
        <f>P5*0.5</f>
        <v>2.7676190476190481</v>
      </c>
      <c r="R5" s="121">
        <f t="shared" ref="R5:R13" si="3">(Q5*$B$1)/1</f>
        <v>65.564895238095247</v>
      </c>
      <c r="T5" s="248"/>
      <c r="U5" s="122">
        <v>1</v>
      </c>
      <c r="V5" s="8">
        <v>0.35399999999999998</v>
      </c>
      <c r="W5" s="72">
        <f t="shared" ref="W5:W10" si="4">(V5-$Z$2)/$Z$1</f>
        <v>61.714285714285715</v>
      </c>
      <c r="X5" s="63">
        <v>20</v>
      </c>
      <c r="Y5" s="73">
        <f t="shared" ref="Y5:Y10" si="5">W5*X5</f>
        <v>1234.2857142857142</v>
      </c>
      <c r="Z5" s="72">
        <f t="shared" ref="Z5:Z10" si="6">Y5/1000</f>
        <v>1.2342857142857142</v>
      </c>
      <c r="AA5" s="72">
        <f t="shared" ref="AA5:AA10" si="7">Z5*0.5</f>
        <v>0.6171428571428571</v>
      </c>
      <c r="AB5" s="74">
        <f t="shared" ref="AB5:AB34" si="8">(AA5*$U$1)/1</f>
        <v>14.620114285714285</v>
      </c>
      <c r="AC5" s="24"/>
      <c r="AD5" s="122">
        <v>1</v>
      </c>
      <c r="AE5" s="8">
        <v>0.41</v>
      </c>
      <c r="AF5" s="72">
        <f>(AE5-$Z$2)/$Z$1</f>
        <v>88.38095238095238</v>
      </c>
      <c r="AG5" s="63">
        <v>20</v>
      </c>
      <c r="AH5" s="73">
        <f>AF5*AG5</f>
        <v>1767.6190476190477</v>
      </c>
      <c r="AI5" s="72">
        <f>AH5/1000</f>
        <v>1.7676190476190476</v>
      </c>
      <c r="AJ5" s="72">
        <f>AI5*0.5</f>
        <v>0.88380952380952382</v>
      </c>
      <c r="AK5" s="74">
        <f t="shared" ref="AK5:AK34" si="9">(AJ5*$U$1)/1</f>
        <v>20.937447619047621</v>
      </c>
      <c r="AL5" s="64"/>
    </row>
    <row r="6" spans="1:38" x14ac:dyDescent="0.35">
      <c r="A6" s="248"/>
      <c r="B6" s="70">
        <v>2</v>
      </c>
      <c r="C6" s="8">
        <v>0.46800000000000003</v>
      </c>
      <c r="D6" s="72">
        <f t="shared" si="0"/>
        <v>116.00000000000003</v>
      </c>
      <c r="E6" s="63">
        <v>20</v>
      </c>
      <c r="F6" s="72">
        <f t="shared" ref="F6:F26" si="10">D6*E6</f>
        <v>2320.0000000000005</v>
      </c>
      <c r="G6" s="72">
        <f t="shared" ref="G6:G26" si="11">F6/1000</f>
        <v>2.3200000000000003</v>
      </c>
      <c r="H6" s="72">
        <f t="shared" ref="H6:H26" si="12">G6*0.5</f>
        <v>1.1600000000000001</v>
      </c>
      <c r="I6" s="74">
        <f t="shared" si="1"/>
        <v>27.480400000000007</v>
      </c>
      <c r="K6" s="70">
        <v>2</v>
      </c>
      <c r="L6" s="8">
        <v>0.51</v>
      </c>
      <c r="M6" s="72">
        <f t="shared" si="2"/>
        <v>136.00000000000003</v>
      </c>
      <c r="N6" s="63">
        <v>50</v>
      </c>
      <c r="O6" s="72">
        <f t="shared" ref="O6:O26" si="13">M6*N6</f>
        <v>6800.0000000000018</v>
      </c>
      <c r="P6" s="72">
        <f t="shared" ref="P6:P26" si="14">O6/1000</f>
        <v>6.8000000000000016</v>
      </c>
      <c r="Q6" s="72">
        <f t="shared" ref="Q6:Q26" si="15">P6*0.5</f>
        <v>3.4000000000000008</v>
      </c>
      <c r="R6" s="74">
        <f t="shared" si="3"/>
        <v>80.546000000000021</v>
      </c>
      <c r="T6" s="248"/>
      <c r="U6" s="70">
        <v>2</v>
      </c>
      <c r="V6" s="8">
        <v>0.36199999999999999</v>
      </c>
      <c r="W6" s="72">
        <f t="shared" si="4"/>
        <v>65.523809523809533</v>
      </c>
      <c r="X6" s="63">
        <v>20</v>
      </c>
      <c r="Y6" s="73">
        <f t="shared" si="5"/>
        <v>1310.4761904761906</v>
      </c>
      <c r="Z6" s="72">
        <f t="shared" si="6"/>
        <v>1.3104761904761906</v>
      </c>
      <c r="AA6" s="72">
        <f t="shared" si="7"/>
        <v>0.65523809523809529</v>
      </c>
      <c r="AB6" s="74">
        <f t="shared" si="8"/>
        <v>15.522590476190478</v>
      </c>
      <c r="AC6" s="24"/>
      <c r="AD6" s="70">
        <v>2</v>
      </c>
      <c r="AE6" s="8">
        <v>0.44600000000000001</v>
      </c>
      <c r="AF6" s="72">
        <f t="shared" ref="AF6:AF14" si="16">(AE6-$Z$2)/$Z$1</f>
        <v>105.52380952380953</v>
      </c>
      <c r="AG6" s="63">
        <v>40</v>
      </c>
      <c r="AH6" s="73">
        <f t="shared" ref="AH6:AH14" si="17">AF6*AG6</f>
        <v>4220.9523809523816</v>
      </c>
      <c r="AI6" s="72">
        <f t="shared" ref="AI6:AI14" si="18">AH6/1000</f>
        <v>4.2209523809523812</v>
      </c>
      <c r="AJ6" s="72">
        <f t="shared" ref="AJ6:AJ14" si="19">AI6*0.5</f>
        <v>2.1104761904761906</v>
      </c>
      <c r="AK6" s="74">
        <f t="shared" si="9"/>
        <v>49.997180952380958</v>
      </c>
      <c r="AL6" s="64"/>
    </row>
    <row r="7" spans="1:38" x14ac:dyDescent="0.35">
      <c r="A7" s="248"/>
      <c r="B7" s="70">
        <v>3</v>
      </c>
      <c r="C7" s="8">
        <v>0.46600000000000003</v>
      </c>
      <c r="D7" s="72">
        <f t="shared" si="0"/>
        <v>115.04761904761907</v>
      </c>
      <c r="E7" s="63">
        <v>20</v>
      </c>
      <c r="F7" s="72">
        <f t="shared" si="10"/>
        <v>2300.9523809523812</v>
      </c>
      <c r="G7" s="72">
        <f t="shared" si="11"/>
        <v>2.3009523809523813</v>
      </c>
      <c r="H7" s="72">
        <f t="shared" si="12"/>
        <v>1.1504761904761907</v>
      </c>
      <c r="I7" s="74">
        <f t="shared" si="1"/>
        <v>27.254780952380958</v>
      </c>
      <c r="K7" s="70">
        <v>3</v>
      </c>
      <c r="L7" s="8">
        <v>0.51700000000000002</v>
      </c>
      <c r="M7" s="72">
        <f t="shared" si="2"/>
        <v>139.33333333333334</v>
      </c>
      <c r="N7" s="63">
        <v>40</v>
      </c>
      <c r="O7" s="72">
        <f t="shared" si="13"/>
        <v>5573.3333333333339</v>
      </c>
      <c r="P7" s="72">
        <f t="shared" si="14"/>
        <v>5.5733333333333341</v>
      </c>
      <c r="Q7" s="72">
        <f t="shared" si="15"/>
        <v>2.7866666666666671</v>
      </c>
      <c r="R7" s="74">
        <f t="shared" si="3"/>
        <v>66.016133333333343</v>
      </c>
      <c r="T7" s="248"/>
      <c r="U7" s="70">
        <v>3</v>
      </c>
      <c r="V7" s="8">
        <v>0.35799999999999998</v>
      </c>
      <c r="W7" s="72">
        <f t="shared" si="4"/>
        <v>63.61904761904762</v>
      </c>
      <c r="X7" s="63">
        <v>20</v>
      </c>
      <c r="Y7" s="73">
        <f t="shared" si="5"/>
        <v>1272.3809523809523</v>
      </c>
      <c r="Z7" s="72">
        <f t="shared" si="6"/>
        <v>1.2723809523809524</v>
      </c>
      <c r="AA7" s="72">
        <f t="shared" si="7"/>
        <v>0.6361904761904762</v>
      </c>
      <c r="AB7" s="74">
        <f t="shared" si="8"/>
        <v>15.071352380952382</v>
      </c>
      <c r="AC7" s="24"/>
      <c r="AD7" s="70">
        <v>3</v>
      </c>
      <c r="AE7" s="8">
        <v>0.443</v>
      </c>
      <c r="AF7" s="72">
        <f t="shared" ref="AF7:AF13" si="20">(AE7-$Z$2)/$Z$1</f>
        <v>104.09523809523812</v>
      </c>
      <c r="AG7" s="63">
        <v>20</v>
      </c>
      <c r="AH7" s="73">
        <f t="shared" ref="AH7:AH13" si="21">AF7*AG7</f>
        <v>2081.9047619047624</v>
      </c>
      <c r="AI7" s="72">
        <f t="shared" ref="AI7:AI13" si="22">AH7/1000</f>
        <v>2.0819047619047626</v>
      </c>
      <c r="AJ7" s="72">
        <f t="shared" ref="AJ7:AJ13" si="23">AI7*0.5</f>
        <v>1.0409523809523813</v>
      </c>
      <c r="AK7" s="74">
        <f t="shared" si="9"/>
        <v>24.660161904761914</v>
      </c>
      <c r="AL7" s="64"/>
    </row>
    <row r="8" spans="1:38" x14ac:dyDescent="0.35">
      <c r="A8" s="248"/>
      <c r="B8" s="70">
        <v>4</v>
      </c>
      <c r="C8" s="8">
        <v>0.44900000000000001</v>
      </c>
      <c r="D8" s="72">
        <f t="shared" si="0"/>
        <v>106.95238095238096</v>
      </c>
      <c r="E8" s="63">
        <v>20</v>
      </c>
      <c r="F8" s="72">
        <f t="shared" si="10"/>
        <v>2139.0476190476193</v>
      </c>
      <c r="G8" s="72">
        <f t="shared" si="11"/>
        <v>2.1390476190476191</v>
      </c>
      <c r="H8" s="72">
        <f t="shared" si="12"/>
        <v>1.0695238095238095</v>
      </c>
      <c r="I8" s="74">
        <f t="shared" si="1"/>
        <v>25.337019047619048</v>
      </c>
      <c r="K8" s="70">
        <v>4</v>
      </c>
      <c r="L8" s="8">
        <v>0.51300000000000001</v>
      </c>
      <c r="M8" s="72">
        <f>(L8-$H$2)/$H$1</f>
        <v>137.42857142857144</v>
      </c>
      <c r="N8" s="63">
        <v>20</v>
      </c>
      <c r="O8" s="72">
        <f>M8*N8</f>
        <v>2748.5714285714289</v>
      </c>
      <c r="P8" s="72">
        <f>O8/1000</f>
        <v>2.7485714285714291</v>
      </c>
      <c r="Q8" s="72">
        <f>P8*0.5</f>
        <v>1.3742857142857146</v>
      </c>
      <c r="R8" s="74">
        <f t="shared" si="3"/>
        <v>32.556828571428582</v>
      </c>
      <c r="T8" s="248"/>
      <c r="U8" s="70">
        <v>4</v>
      </c>
      <c r="V8" s="8">
        <v>0.39600000000000002</v>
      </c>
      <c r="W8" s="72">
        <f t="shared" si="4"/>
        <v>81.714285714285737</v>
      </c>
      <c r="X8" s="63">
        <v>20</v>
      </c>
      <c r="Y8" s="73">
        <f t="shared" si="5"/>
        <v>1634.2857142857147</v>
      </c>
      <c r="Z8" s="72">
        <f t="shared" si="6"/>
        <v>1.6342857142857148</v>
      </c>
      <c r="AA8" s="72">
        <f t="shared" si="7"/>
        <v>0.81714285714285739</v>
      </c>
      <c r="AB8" s="74">
        <f t="shared" si="8"/>
        <v>19.358114285714294</v>
      </c>
      <c r="AC8" s="24"/>
      <c r="AD8" s="70">
        <v>4</v>
      </c>
      <c r="AE8" s="8">
        <v>0.43099999999999999</v>
      </c>
      <c r="AF8" s="72">
        <f t="shared" si="20"/>
        <v>98.380952380952394</v>
      </c>
      <c r="AG8" s="63">
        <v>30</v>
      </c>
      <c r="AH8" s="73">
        <f t="shared" si="21"/>
        <v>2951.428571428572</v>
      </c>
      <c r="AI8" s="72">
        <f t="shared" si="22"/>
        <v>2.951428571428572</v>
      </c>
      <c r="AJ8" s="72">
        <f t="shared" si="23"/>
        <v>1.475714285714286</v>
      </c>
      <c r="AK8" s="74">
        <f t="shared" si="9"/>
        <v>34.95967142857144</v>
      </c>
      <c r="AL8" s="64"/>
    </row>
    <row r="9" spans="1:38" x14ac:dyDescent="0.35">
      <c r="A9" s="248"/>
      <c r="B9" s="70">
        <v>5</v>
      </c>
      <c r="C9" s="8">
        <v>0.437</v>
      </c>
      <c r="D9" s="72">
        <f t="shared" si="0"/>
        <v>101.23809523809526</v>
      </c>
      <c r="E9" s="63">
        <v>20</v>
      </c>
      <c r="F9" s="72">
        <f t="shared" si="10"/>
        <v>2024.761904761905</v>
      </c>
      <c r="G9" s="72">
        <f t="shared" si="11"/>
        <v>2.0247619047619052</v>
      </c>
      <c r="H9" s="72">
        <f t="shared" si="12"/>
        <v>1.0123809523809526</v>
      </c>
      <c r="I9" s="74">
        <f t="shared" si="1"/>
        <v>23.983304761904769</v>
      </c>
      <c r="K9" s="70">
        <v>5</v>
      </c>
      <c r="L9" s="8">
        <v>0.52800000000000002</v>
      </c>
      <c r="M9" s="72">
        <f>(L9-$H$2)/$H$1</f>
        <v>144.57142857142858</v>
      </c>
      <c r="N9" s="63">
        <v>40</v>
      </c>
      <c r="O9" s="72">
        <f>M9*N9</f>
        <v>5782.8571428571431</v>
      </c>
      <c r="P9" s="72">
        <f>O9/1000</f>
        <v>5.7828571428571429</v>
      </c>
      <c r="Q9" s="72">
        <f>P9*0.5</f>
        <v>2.8914285714285715</v>
      </c>
      <c r="R9" s="74">
        <f t="shared" si="3"/>
        <v>68.49794285714286</v>
      </c>
      <c r="T9" s="248"/>
      <c r="U9" s="70">
        <v>5</v>
      </c>
      <c r="V9" s="8">
        <v>0.435</v>
      </c>
      <c r="W9" s="72">
        <f t="shared" si="4"/>
        <v>100.28571428571429</v>
      </c>
      <c r="X9" s="63">
        <v>20</v>
      </c>
      <c r="Y9" s="73">
        <f t="shared" si="5"/>
        <v>2005.7142857142858</v>
      </c>
      <c r="Z9" s="72">
        <f t="shared" si="6"/>
        <v>2.0057142857142858</v>
      </c>
      <c r="AA9" s="72">
        <f t="shared" si="7"/>
        <v>1.0028571428571429</v>
      </c>
      <c r="AB9" s="74">
        <f t="shared" si="8"/>
        <v>23.757685714285717</v>
      </c>
      <c r="AC9" s="24"/>
      <c r="AD9" s="70">
        <v>5</v>
      </c>
      <c r="AE9" s="8">
        <v>0.433</v>
      </c>
      <c r="AF9" s="72">
        <f t="shared" si="20"/>
        <v>99.333333333333343</v>
      </c>
      <c r="AG9" s="63">
        <v>20</v>
      </c>
      <c r="AH9" s="73">
        <f t="shared" si="21"/>
        <v>1986.666666666667</v>
      </c>
      <c r="AI9" s="72">
        <f t="shared" si="22"/>
        <v>1.986666666666667</v>
      </c>
      <c r="AJ9" s="72">
        <f t="shared" si="23"/>
        <v>0.99333333333333351</v>
      </c>
      <c r="AK9" s="74">
        <f t="shared" si="9"/>
        <v>23.532066666666672</v>
      </c>
      <c r="AL9" s="64"/>
    </row>
    <row r="10" spans="1:38" x14ac:dyDescent="0.35">
      <c r="A10" s="248"/>
      <c r="B10" s="70">
        <v>6</v>
      </c>
      <c r="C10" s="8">
        <v>0.438</v>
      </c>
      <c r="D10" s="72">
        <f t="shared" si="0"/>
        <v>101.71428571428572</v>
      </c>
      <c r="E10" s="63">
        <v>20</v>
      </c>
      <c r="F10" s="72">
        <f t="shared" si="10"/>
        <v>2034.2857142857144</v>
      </c>
      <c r="G10" s="72">
        <f t="shared" si="11"/>
        <v>2.0342857142857143</v>
      </c>
      <c r="H10" s="72">
        <f t="shared" si="12"/>
        <v>1.0171428571428571</v>
      </c>
      <c r="I10" s="74">
        <f t="shared" si="1"/>
        <v>24.096114285714286</v>
      </c>
      <c r="K10" s="70">
        <v>6</v>
      </c>
      <c r="L10" s="8">
        <v>0.53600000000000003</v>
      </c>
      <c r="M10" s="72">
        <f t="shared" si="2"/>
        <v>148.38095238095241</v>
      </c>
      <c r="N10" s="63">
        <v>20</v>
      </c>
      <c r="O10" s="72">
        <f t="shared" si="13"/>
        <v>2967.6190476190482</v>
      </c>
      <c r="P10" s="72">
        <f t="shared" si="14"/>
        <v>2.9676190476190483</v>
      </c>
      <c r="Q10" s="72">
        <f t="shared" si="15"/>
        <v>1.4838095238095241</v>
      </c>
      <c r="R10" s="74">
        <f t="shared" si="3"/>
        <v>35.15144761904763</v>
      </c>
      <c r="T10" s="248"/>
      <c r="U10" s="70">
        <v>6</v>
      </c>
      <c r="V10" s="8">
        <v>0.46600000000000003</v>
      </c>
      <c r="W10" s="72">
        <f t="shared" si="4"/>
        <v>115.04761904761907</v>
      </c>
      <c r="X10" s="63">
        <v>20</v>
      </c>
      <c r="Y10" s="73">
        <f t="shared" si="5"/>
        <v>2300.9523809523812</v>
      </c>
      <c r="Z10" s="72">
        <f t="shared" si="6"/>
        <v>2.3009523809523813</v>
      </c>
      <c r="AA10" s="72">
        <f t="shared" si="7"/>
        <v>1.1504761904761907</v>
      </c>
      <c r="AB10" s="74">
        <f t="shared" si="8"/>
        <v>27.254780952380958</v>
      </c>
      <c r="AC10" s="24"/>
      <c r="AD10" s="70">
        <v>6</v>
      </c>
      <c r="AE10" s="8">
        <v>0.47599999999999998</v>
      </c>
      <c r="AF10" s="72">
        <f t="shared" si="20"/>
        <v>119.80952380952381</v>
      </c>
      <c r="AG10" s="63">
        <v>30</v>
      </c>
      <c r="AH10" s="73">
        <f t="shared" si="21"/>
        <v>3594.2857142857142</v>
      </c>
      <c r="AI10" s="72">
        <f t="shared" si="22"/>
        <v>3.5942857142857143</v>
      </c>
      <c r="AJ10" s="72">
        <f t="shared" si="23"/>
        <v>1.7971428571428572</v>
      </c>
      <c r="AK10" s="74">
        <f t="shared" si="9"/>
        <v>42.574314285714287</v>
      </c>
      <c r="AL10" s="64"/>
    </row>
    <row r="11" spans="1:38" x14ac:dyDescent="0.35">
      <c r="A11" s="248"/>
      <c r="B11" s="70">
        <v>7</v>
      </c>
      <c r="C11" s="8">
        <v>0.498</v>
      </c>
      <c r="D11" s="72">
        <f t="shared" si="0"/>
        <v>130.28571428571431</v>
      </c>
      <c r="E11" s="63">
        <v>20</v>
      </c>
      <c r="F11" s="72">
        <f t="shared" si="10"/>
        <v>2605.7142857142862</v>
      </c>
      <c r="G11" s="72">
        <f t="shared" si="11"/>
        <v>2.6057142857142863</v>
      </c>
      <c r="H11" s="72">
        <f t="shared" si="12"/>
        <v>1.3028571428571432</v>
      </c>
      <c r="I11" s="74">
        <f t="shared" si="1"/>
        <v>30.864685714285724</v>
      </c>
      <c r="K11" s="70">
        <v>7</v>
      </c>
      <c r="L11" s="8">
        <v>0.57199999999999995</v>
      </c>
      <c r="M11" s="72">
        <f t="shared" si="2"/>
        <v>165.52380952380952</v>
      </c>
      <c r="N11" s="63">
        <v>30</v>
      </c>
      <c r="O11" s="72">
        <f t="shared" si="13"/>
        <v>4965.7142857142853</v>
      </c>
      <c r="P11" s="72">
        <f t="shared" si="14"/>
        <v>4.9657142857142853</v>
      </c>
      <c r="Q11" s="72">
        <f t="shared" si="15"/>
        <v>2.4828571428571427</v>
      </c>
      <c r="R11" s="74">
        <f t="shared" si="3"/>
        <v>58.818885714285713</v>
      </c>
      <c r="T11" s="248"/>
      <c r="U11" s="70">
        <v>7</v>
      </c>
      <c r="V11" s="8">
        <v>0.35099999999999998</v>
      </c>
      <c r="W11" s="72">
        <f t="shared" ref="W11:W14" si="24">(V11-$Z$2)/$Z$1</f>
        <v>60.285714285714285</v>
      </c>
      <c r="X11" s="63">
        <v>30</v>
      </c>
      <c r="Y11" s="73">
        <f t="shared" ref="Y11:Y14" si="25">W11*X11</f>
        <v>1808.5714285714284</v>
      </c>
      <c r="Z11" s="72">
        <f t="shared" ref="Z11:Z14" si="26">Y11/1000</f>
        <v>1.8085714285714285</v>
      </c>
      <c r="AA11" s="72">
        <f t="shared" ref="AA11:AA14" si="27">Z11*0.5</f>
        <v>0.90428571428571425</v>
      </c>
      <c r="AB11" s="74">
        <f t="shared" si="8"/>
        <v>21.422528571428572</v>
      </c>
      <c r="AC11" s="24"/>
      <c r="AD11" s="70">
        <v>7</v>
      </c>
      <c r="AE11" s="8">
        <v>0.40799999999999997</v>
      </c>
      <c r="AF11" s="72">
        <f t="shared" si="20"/>
        <v>87.428571428571431</v>
      </c>
      <c r="AG11" s="63">
        <v>20</v>
      </c>
      <c r="AH11" s="73">
        <f t="shared" si="21"/>
        <v>1748.5714285714287</v>
      </c>
      <c r="AI11" s="72">
        <f t="shared" si="22"/>
        <v>1.7485714285714287</v>
      </c>
      <c r="AJ11" s="72">
        <f t="shared" si="23"/>
        <v>0.87428571428571433</v>
      </c>
      <c r="AK11" s="74">
        <f t="shared" si="9"/>
        <v>20.711828571428573</v>
      </c>
      <c r="AL11" s="64"/>
    </row>
    <row r="12" spans="1:38" x14ac:dyDescent="0.35">
      <c r="A12" s="248"/>
      <c r="B12" s="70">
        <v>8</v>
      </c>
      <c r="C12" s="8">
        <v>0.53100000000000003</v>
      </c>
      <c r="D12" s="72">
        <f t="shared" si="0"/>
        <v>146.00000000000003</v>
      </c>
      <c r="E12" s="63">
        <v>20</v>
      </c>
      <c r="F12" s="72">
        <f t="shared" si="10"/>
        <v>2920.0000000000005</v>
      </c>
      <c r="G12" s="72">
        <f t="shared" si="11"/>
        <v>2.9200000000000004</v>
      </c>
      <c r="H12" s="72">
        <f t="shared" si="12"/>
        <v>1.4600000000000002</v>
      </c>
      <c r="I12" s="74">
        <f t="shared" si="1"/>
        <v>34.587400000000009</v>
      </c>
      <c r="K12" s="70">
        <v>8</v>
      </c>
      <c r="L12" s="8">
        <v>0.53800000000000003</v>
      </c>
      <c r="M12" s="72">
        <f t="shared" si="2"/>
        <v>149.33333333333337</v>
      </c>
      <c r="N12" s="63">
        <v>30</v>
      </c>
      <c r="O12" s="72">
        <f t="shared" si="13"/>
        <v>4480.0000000000009</v>
      </c>
      <c r="P12" s="72">
        <f t="shared" si="14"/>
        <v>4.4800000000000013</v>
      </c>
      <c r="Q12" s="72">
        <f t="shared" si="15"/>
        <v>2.2400000000000007</v>
      </c>
      <c r="R12" s="74">
        <f t="shared" si="3"/>
        <v>53.065600000000018</v>
      </c>
      <c r="T12" s="248"/>
      <c r="U12" s="70">
        <v>8</v>
      </c>
      <c r="V12" s="8">
        <v>0.374</v>
      </c>
      <c r="W12" s="72">
        <f>(V12-$Z$2)/$Z$1</f>
        <v>71.238095238095241</v>
      </c>
      <c r="X12" s="63">
        <v>20</v>
      </c>
      <c r="Y12" s="73">
        <f>W12*X12</f>
        <v>1424.7619047619048</v>
      </c>
      <c r="Z12" s="72">
        <f>Y12/1000</f>
        <v>1.4247619047619049</v>
      </c>
      <c r="AA12" s="72">
        <f>Z12*0.5</f>
        <v>0.71238095238095245</v>
      </c>
      <c r="AB12" s="74">
        <f t="shared" si="8"/>
        <v>16.876304761904766</v>
      </c>
      <c r="AC12" s="24"/>
      <c r="AD12" s="70">
        <v>8</v>
      </c>
      <c r="AE12" s="8">
        <v>0.42299999999999999</v>
      </c>
      <c r="AF12" s="72">
        <f t="shared" si="20"/>
        <v>94.571428571428584</v>
      </c>
      <c r="AG12" s="63">
        <v>20</v>
      </c>
      <c r="AH12" s="73">
        <f t="shared" si="21"/>
        <v>1891.4285714285716</v>
      </c>
      <c r="AI12" s="72">
        <f t="shared" si="22"/>
        <v>1.8914285714285715</v>
      </c>
      <c r="AJ12" s="72">
        <f t="shared" si="23"/>
        <v>0.94571428571428573</v>
      </c>
      <c r="AK12" s="74">
        <f t="shared" si="9"/>
        <v>22.403971428571431</v>
      </c>
      <c r="AL12" s="64"/>
    </row>
    <row r="13" spans="1:38" x14ac:dyDescent="0.35">
      <c r="A13" s="248"/>
      <c r="B13" s="70">
        <v>9</v>
      </c>
      <c r="C13" s="8">
        <v>0.46</v>
      </c>
      <c r="D13" s="72">
        <f t="shared" si="0"/>
        <v>112.19047619047622</v>
      </c>
      <c r="E13" s="63">
        <v>20</v>
      </c>
      <c r="F13" s="72">
        <f t="shared" si="10"/>
        <v>2243.8095238095243</v>
      </c>
      <c r="G13" s="72">
        <f t="shared" si="11"/>
        <v>2.2438095238095244</v>
      </c>
      <c r="H13" s="72">
        <f t="shared" si="12"/>
        <v>1.1219047619047622</v>
      </c>
      <c r="I13" s="74">
        <f t="shared" si="1"/>
        <v>26.577923809523817</v>
      </c>
      <c r="J13" s="61"/>
      <c r="K13" s="70">
        <v>9</v>
      </c>
      <c r="L13" s="8">
        <v>0.48699999999999999</v>
      </c>
      <c r="M13" s="72">
        <f t="shared" si="2"/>
        <v>125.04761904761905</v>
      </c>
      <c r="N13" s="63">
        <v>30</v>
      </c>
      <c r="O13" s="72">
        <f t="shared" si="13"/>
        <v>3751.4285714285716</v>
      </c>
      <c r="P13" s="72">
        <f t="shared" si="14"/>
        <v>3.7514285714285718</v>
      </c>
      <c r="Q13" s="72">
        <f t="shared" si="15"/>
        <v>1.8757142857142859</v>
      </c>
      <c r="R13" s="74">
        <f t="shared" si="3"/>
        <v>44.435671428571432</v>
      </c>
      <c r="T13" s="248"/>
      <c r="U13" s="70">
        <v>9</v>
      </c>
      <c r="V13" s="8">
        <v>0.49099999999999999</v>
      </c>
      <c r="W13" s="72">
        <f>(V13-$Z$2)/$Z$1</f>
        <v>126.95238095238096</v>
      </c>
      <c r="X13" s="63">
        <v>20</v>
      </c>
      <c r="Y13" s="73">
        <f>W13*X13</f>
        <v>2539.0476190476193</v>
      </c>
      <c r="Z13" s="72">
        <f>Y13/1000</f>
        <v>2.5390476190476194</v>
      </c>
      <c r="AA13" s="72">
        <f>Z13*0.5</f>
        <v>1.2695238095238097</v>
      </c>
      <c r="AB13" s="74">
        <f t="shared" si="8"/>
        <v>30.075019047619055</v>
      </c>
      <c r="AC13" s="24"/>
      <c r="AD13" s="70">
        <v>9</v>
      </c>
      <c r="AE13" s="8">
        <v>0.46899999999999997</v>
      </c>
      <c r="AF13" s="72">
        <f t="shared" si="20"/>
        <v>116.47619047619048</v>
      </c>
      <c r="AG13" s="63">
        <v>40</v>
      </c>
      <c r="AH13" s="73">
        <f t="shared" si="21"/>
        <v>4659.0476190476193</v>
      </c>
      <c r="AI13" s="72">
        <f t="shared" si="22"/>
        <v>4.6590476190476195</v>
      </c>
      <c r="AJ13" s="72">
        <f t="shared" si="23"/>
        <v>2.3295238095238098</v>
      </c>
      <c r="AK13" s="74">
        <f t="shared" si="9"/>
        <v>55.186419047619054</v>
      </c>
      <c r="AL13" s="64"/>
    </row>
    <row r="14" spans="1:38" x14ac:dyDescent="0.35">
      <c r="A14" s="248"/>
      <c r="B14" s="70">
        <v>10</v>
      </c>
      <c r="C14" s="8">
        <v>0.441</v>
      </c>
      <c r="D14" s="72">
        <f t="shared" si="0"/>
        <v>103.14285714285715</v>
      </c>
      <c r="E14" s="63">
        <v>20</v>
      </c>
      <c r="F14" s="72">
        <f t="shared" si="10"/>
        <v>2062.8571428571431</v>
      </c>
      <c r="G14" s="72">
        <f t="shared" si="11"/>
        <v>2.0628571428571432</v>
      </c>
      <c r="H14" s="72">
        <f t="shared" si="12"/>
        <v>1.0314285714285716</v>
      </c>
      <c r="I14" s="74">
        <f t="shared" ref="I14:I34" si="28">H14*$B$1/1</f>
        <v>24.434542857142862</v>
      </c>
      <c r="K14" s="70">
        <v>10</v>
      </c>
      <c r="L14" s="8">
        <v>0.496</v>
      </c>
      <c r="M14" s="72">
        <f t="shared" si="2"/>
        <v>129.33333333333334</v>
      </c>
      <c r="N14" s="63">
        <v>50</v>
      </c>
      <c r="O14" s="72">
        <f t="shared" si="13"/>
        <v>6466.666666666667</v>
      </c>
      <c r="P14" s="72">
        <f t="shared" si="14"/>
        <v>6.4666666666666668</v>
      </c>
      <c r="Q14" s="72">
        <f t="shared" si="15"/>
        <v>3.2333333333333334</v>
      </c>
      <c r="R14" s="74">
        <f t="shared" ref="R14:R34" si="29">Q14*$B$1/1</f>
        <v>76.597666666666669</v>
      </c>
      <c r="T14" s="248"/>
      <c r="U14" s="70">
        <v>10</v>
      </c>
      <c r="V14" s="8">
        <v>0.378</v>
      </c>
      <c r="W14" s="72">
        <f t="shared" si="24"/>
        <v>73.142857142857153</v>
      </c>
      <c r="X14" s="63">
        <v>20</v>
      </c>
      <c r="Y14" s="73">
        <f t="shared" si="25"/>
        <v>1462.8571428571431</v>
      </c>
      <c r="Z14" s="72">
        <f t="shared" si="26"/>
        <v>1.4628571428571431</v>
      </c>
      <c r="AA14" s="72">
        <f t="shared" si="27"/>
        <v>0.73142857142857154</v>
      </c>
      <c r="AB14" s="74">
        <f t="shared" si="8"/>
        <v>17.327542857142859</v>
      </c>
      <c r="AC14" s="24"/>
      <c r="AD14" s="70">
        <v>10</v>
      </c>
      <c r="AE14" s="8">
        <v>0.41799999999999998</v>
      </c>
      <c r="AF14" s="72">
        <f t="shared" si="16"/>
        <v>92.19047619047619</v>
      </c>
      <c r="AG14" s="63">
        <v>20</v>
      </c>
      <c r="AH14" s="73">
        <f t="shared" si="17"/>
        <v>1843.8095238095239</v>
      </c>
      <c r="AI14" s="72">
        <f t="shared" si="18"/>
        <v>1.8438095238095238</v>
      </c>
      <c r="AJ14" s="72">
        <f t="shared" si="19"/>
        <v>0.92190476190476189</v>
      </c>
      <c r="AK14" s="74">
        <f t="shared" si="9"/>
        <v>21.83992380952381</v>
      </c>
      <c r="AL14" s="64"/>
    </row>
    <row r="15" spans="1:38" x14ac:dyDescent="0.35">
      <c r="A15" s="248"/>
      <c r="B15" s="70">
        <v>11</v>
      </c>
      <c r="C15" s="8">
        <v>0.47</v>
      </c>
      <c r="D15" s="72">
        <f t="shared" si="0"/>
        <v>116.95238095238095</v>
      </c>
      <c r="E15" s="63">
        <v>20</v>
      </c>
      <c r="F15" s="72">
        <f t="shared" si="10"/>
        <v>2339.0476190476188</v>
      </c>
      <c r="G15" s="72">
        <f t="shared" si="11"/>
        <v>2.3390476190476188</v>
      </c>
      <c r="H15" s="72">
        <f t="shared" si="12"/>
        <v>1.1695238095238094</v>
      </c>
      <c r="I15" s="74">
        <f t="shared" si="28"/>
        <v>27.706019047619048</v>
      </c>
      <c r="K15" s="70">
        <v>11</v>
      </c>
      <c r="L15" s="8">
        <v>0.47499999999999998</v>
      </c>
      <c r="M15" s="72">
        <f t="shared" si="2"/>
        <v>119.33333333333333</v>
      </c>
      <c r="N15" s="63">
        <v>50</v>
      </c>
      <c r="O15" s="72">
        <f t="shared" si="13"/>
        <v>5966.6666666666661</v>
      </c>
      <c r="P15" s="72">
        <f t="shared" si="14"/>
        <v>5.9666666666666659</v>
      </c>
      <c r="Q15" s="72">
        <f t="shared" si="15"/>
        <v>2.9833333333333329</v>
      </c>
      <c r="R15" s="74">
        <f t="shared" si="29"/>
        <v>70.675166666666655</v>
      </c>
      <c r="T15" s="248"/>
      <c r="U15" s="70">
        <v>11</v>
      </c>
      <c r="V15" s="8">
        <v>0.46200000000000002</v>
      </c>
      <c r="W15" s="72">
        <f>(V15-$Z$2)/$Z$1</f>
        <v>113.14285714285717</v>
      </c>
      <c r="X15" s="63">
        <v>20</v>
      </c>
      <c r="Y15" s="73">
        <f>W15*X15</f>
        <v>2262.8571428571431</v>
      </c>
      <c r="Z15" s="72">
        <f>Y15/1000</f>
        <v>2.2628571428571429</v>
      </c>
      <c r="AA15" s="72">
        <f>Z15*0.5</f>
        <v>1.1314285714285715</v>
      </c>
      <c r="AB15" s="74">
        <f t="shared" si="8"/>
        <v>26.803542857142858</v>
      </c>
      <c r="AC15" s="24"/>
      <c r="AD15" s="70">
        <v>11</v>
      </c>
      <c r="AE15" s="8">
        <v>0.40600000000000003</v>
      </c>
      <c r="AF15" s="72">
        <f>(AE15-$Z$2)/$Z$1</f>
        <v>86.476190476190496</v>
      </c>
      <c r="AG15" s="63">
        <v>50</v>
      </c>
      <c r="AH15" s="73">
        <f>AF15*AG15</f>
        <v>4323.8095238095248</v>
      </c>
      <c r="AI15" s="72">
        <f>AH15/1000</f>
        <v>4.3238095238095244</v>
      </c>
      <c r="AJ15" s="72">
        <f>AI15*0.5</f>
        <v>2.1619047619047622</v>
      </c>
      <c r="AK15" s="74">
        <f t="shared" si="9"/>
        <v>51.215523809523823</v>
      </c>
      <c r="AL15" s="64"/>
    </row>
    <row r="16" spans="1:38" x14ac:dyDescent="0.35">
      <c r="A16" s="248"/>
      <c r="B16" s="70">
        <v>12</v>
      </c>
      <c r="C16" s="8">
        <v>0.42299999999999999</v>
      </c>
      <c r="D16" s="72">
        <f t="shared" si="0"/>
        <v>94.571428571428584</v>
      </c>
      <c r="E16" s="63">
        <v>20</v>
      </c>
      <c r="F16" s="72">
        <f t="shared" si="10"/>
        <v>1891.4285714285716</v>
      </c>
      <c r="G16" s="72">
        <f t="shared" si="11"/>
        <v>1.8914285714285715</v>
      </c>
      <c r="H16" s="72">
        <f t="shared" si="12"/>
        <v>0.94571428571428573</v>
      </c>
      <c r="I16" s="74">
        <f t="shared" si="28"/>
        <v>22.403971428571431</v>
      </c>
      <c r="K16" s="70">
        <v>12</v>
      </c>
      <c r="L16" s="8">
        <v>0.503</v>
      </c>
      <c r="M16" s="72">
        <f t="shared" si="2"/>
        <v>132.66666666666669</v>
      </c>
      <c r="N16" s="63">
        <v>50</v>
      </c>
      <c r="O16" s="72">
        <f t="shared" si="13"/>
        <v>6633.3333333333339</v>
      </c>
      <c r="P16" s="72">
        <f t="shared" si="14"/>
        <v>6.6333333333333337</v>
      </c>
      <c r="Q16" s="72">
        <f t="shared" si="15"/>
        <v>3.3166666666666669</v>
      </c>
      <c r="R16" s="74">
        <f t="shared" si="29"/>
        <v>78.571833333333345</v>
      </c>
      <c r="T16" s="248"/>
      <c r="U16" s="70">
        <v>12</v>
      </c>
      <c r="V16" s="8">
        <v>0.40600000000000003</v>
      </c>
      <c r="W16" s="72">
        <f>(V16-$Z$2)/$Z$1</f>
        <v>86.476190476190496</v>
      </c>
      <c r="X16" s="63">
        <v>20</v>
      </c>
      <c r="Y16" s="73">
        <f>W16*X16</f>
        <v>1729.5238095238099</v>
      </c>
      <c r="Z16" s="72">
        <f>Y16/1000</f>
        <v>1.7295238095238099</v>
      </c>
      <c r="AA16" s="72">
        <f>Z16*0.5</f>
        <v>0.86476190476190495</v>
      </c>
      <c r="AB16" s="74">
        <f t="shared" si="8"/>
        <v>20.486209523809528</v>
      </c>
      <c r="AC16" s="24"/>
      <c r="AD16" s="70">
        <v>12</v>
      </c>
      <c r="AE16" s="8">
        <v>0.41</v>
      </c>
      <c r="AF16" s="72">
        <f>(AE16-$Z$2)/$Z$1</f>
        <v>88.38095238095238</v>
      </c>
      <c r="AG16" s="63">
        <v>20</v>
      </c>
      <c r="AH16" s="73">
        <f>AF16*AG16</f>
        <v>1767.6190476190477</v>
      </c>
      <c r="AI16" s="72">
        <f>AH16/1000</f>
        <v>1.7676190476190476</v>
      </c>
      <c r="AJ16" s="72">
        <f>AI16*0.5</f>
        <v>0.88380952380952382</v>
      </c>
      <c r="AK16" s="74">
        <f t="shared" si="9"/>
        <v>20.937447619047621</v>
      </c>
      <c r="AL16" s="64"/>
    </row>
    <row r="17" spans="1:38" x14ac:dyDescent="0.35">
      <c r="A17" s="248"/>
      <c r="B17" s="70">
        <v>13</v>
      </c>
      <c r="C17" s="8">
        <v>0.52400000000000002</v>
      </c>
      <c r="D17" s="72">
        <f t="shared" si="0"/>
        <v>142.66666666666669</v>
      </c>
      <c r="E17" s="63">
        <v>20</v>
      </c>
      <c r="F17" s="72">
        <f t="shared" si="10"/>
        <v>2853.3333333333339</v>
      </c>
      <c r="G17" s="72">
        <f t="shared" si="11"/>
        <v>2.8533333333333339</v>
      </c>
      <c r="H17" s="72">
        <f t="shared" si="12"/>
        <v>1.426666666666667</v>
      </c>
      <c r="I17" s="74">
        <f t="shared" si="28"/>
        <v>33.797733333333341</v>
      </c>
      <c r="K17" s="70">
        <v>13</v>
      </c>
      <c r="L17" s="8">
        <v>0.47299999999999998</v>
      </c>
      <c r="M17" s="72">
        <f t="shared" si="2"/>
        <v>118.38095238095238</v>
      </c>
      <c r="N17" s="63">
        <v>50</v>
      </c>
      <c r="O17" s="72">
        <f t="shared" si="13"/>
        <v>5919.0476190476193</v>
      </c>
      <c r="P17" s="72">
        <f t="shared" si="14"/>
        <v>5.9190476190476193</v>
      </c>
      <c r="Q17" s="72">
        <f t="shared" si="15"/>
        <v>2.9595238095238097</v>
      </c>
      <c r="R17" s="74">
        <f t="shared" si="29"/>
        <v>70.111119047619056</v>
      </c>
      <c r="T17" s="248"/>
      <c r="U17" s="70">
        <v>13</v>
      </c>
      <c r="V17" s="8">
        <v>0.47899999999999998</v>
      </c>
      <c r="W17" s="72">
        <f t="shared" ref="W17:W22" si="30">(V17-$Z$2)/$Z$1</f>
        <v>121.23809523809524</v>
      </c>
      <c r="X17" s="63">
        <v>20</v>
      </c>
      <c r="Y17" s="73">
        <f t="shared" ref="Y17:Y26" si="31">W17*X17</f>
        <v>2424.7619047619046</v>
      </c>
      <c r="Z17" s="72">
        <f t="shared" ref="Z17:Z26" si="32">Y17/1000</f>
        <v>2.4247619047619047</v>
      </c>
      <c r="AA17" s="72">
        <f t="shared" ref="AA17:AA26" si="33">Z17*0.5</f>
        <v>1.2123809523809523</v>
      </c>
      <c r="AB17" s="74">
        <f t="shared" si="8"/>
        <v>28.721304761904761</v>
      </c>
      <c r="AC17" s="24"/>
      <c r="AD17" s="70">
        <v>13</v>
      </c>
      <c r="AE17" s="8">
        <v>0.41599999999999998</v>
      </c>
      <c r="AF17" s="72">
        <f t="shared" ref="AF17:AF34" si="34">(AE17-$Z$2)/$Z$1</f>
        <v>91.238095238095241</v>
      </c>
      <c r="AG17" s="63">
        <v>40</v>
      </c>
      <c r="AH17" s="73">
        <f t="shared" ref="AH17:AH22" si="35">AF17*AG17</f>
        <v>3649.5238095238096</v>
      </c>
      <c r="AI17" s="72">
        <f t="shared" ref="AI17:AI22" si="36">AH17/1000</f>
        <v>3.6495238095238096</v>
      </c>
      <c r="AJ17" s="72">
        <f t="shared" ref="AJ17:AJ22" si="37">AI17*0.5</f>
        <v>1.8247619047619048</v>
      </c>
      <c r="AK17" s="74">
        <f t="shared" si="9"/>
        <v>43.228609523809524</v>
      </c>
      <c r="AL17" s="64"/>
    </row>
    <row r="18" spans="1:38" x14ac:dyDescent="0.35">
      <c r="A18" s="248"/>
      <c r="B18" s="70">
        <v>14</v>
      </c>
      <c r="C18" s="8">
        <v>0.497</v>
      </c>
      <c r="D18" s="72">
        <f t="shared" si="0"/>
        <v>129.80952380952382</v>
      </c>
      <c r="E18" s="63">
        <v>20</v>
      </c>
      <c r="F18" s="72">
        <f t="shared" si="10"/>
        <v>2596.1904761904766</v>
      </c>
      <c r="G18" s="72">
        <f t="shared" si="11"/>
        <v>2.5961904761904764</v>
      </c>
      <c r="H18" s="72">
        <f t="shared" si="12"/>
        <v>1.2980952380952382</v>
      </c>
      <c r="I18" s="74">
        <f t="shared" si="28"/>
        <v>30.751876190476196</v>
      </c>
      <c r="K18" s="70">
        <v>14</v>
      </c>
      <c r="L18" s="8">
        <v>0.53200000000000003</v>
      </c>
      <c r="M18" s="72">
        <f t="shared" si="2"/>
        <v>146.47619047619051</v>
      </c>
      <c r="N18" s="63">
        <v>50</v>
      </c>
      <c r="O18" s="72">
        <f t="shared" si="13"/>
        <v>7323.8095238095257</v>
      </c>
      <c r="P18" s="72">
        <f t="shared" si="14"/>
        <v>7.3238095238095253</v>
      </c>
      <c r="Q18" s="72">
        <f t="shared" si="15"/>
        <v>3.6619047619047627</v>
      </c>
      <c r="R18" s="74">
        <f t="shared" si="29"/>
        <v>86.750523809523827</v>
      </c>
      <c r="T18" s="248"/>
      <c r="U18" s="70">
        <v>14</v>
      </c>
      <c r="V18" s="8">
        <v>0.48599999999999999</v>
      </c>
      <c r="W18" s="72">
        <f t="shared" si="30"/>
        <v>124.57142857142858</v>
      </c>
      <c r="X18" s="63">
        <v>20</v>
      </c>
      <c r="Y18" s="73">
        <f t="shared" si="31"/>
        <v>2491.4285714285716</v>
      </c>
      <c r="Z18" s="72">
        <f t="shared" si="32"/>
        <v>2.4914285714285715</v>
      </c>
      <c r="AA18" s="72">
        <f t="shared" si="33"/>
        <v>1.2457142857142858</v>
      </c>
      <c r="AB18" s="74">
        <f t="shared" si="8"/>
        <v>29.51097142857143</v>
      </c>
      <c r="AC18" s="24"/>
      <c r="AD18" s="70">
        <v>14</v>
      </c>
      <c r="AE18" s="8">
        <v>0.48599999999999999</v>
      </c>
      <c r="AF18" s="72">
        <f t="shared" si="34"/>
        <v>124.57142857142858</v>
      </c>
      <c r="AG18" s="63">
        <v>30</v>
      </c>
      <c r="AH18" s="73">
        <f t="shared" si="35"/>
        <v>3737.1428571428573</v>
      </c>
      <c r="AI18" s="72">
        <f t="shared" si="36"/>
        <v>3.7371428571428575</v>
      </c>
      <c r="AJ18" s="72">
        <f t="shared" si="37"/>
        <v>1.8685714285714288</v>
      </c>
      <c r="AK18" s="74">
        <f t="shared" si="9"/>
        <v>44.266457142857149</v>
      </c>
      <c r="AL18" s="64"/>
    </row>
    <row r="19" spans="1:38" x14ac:dyDescent="0.35">
      <c r="A19" s="248"/>
      <c r="B19" s="70">
        <v>15</v>
      </c>
      <c r="C19" s="8">
        <v>0.51</v>
      </c>
      <c r="D19" s="72">
        <f t="shared" si="0"/>
        <v>136.00000000000003</v>
      </c>
      <c r="E19" s="63">
        <v>20</v>
      </c>
      <c r="F19" s="72">
        <f t="shared" si="10"/>
        <v>2720.0000000000005</v>
      </c>
      <c r="G19" s="72">
        <f t="shared" si="11"/>
        <v>2.7200000000000006</v>
      </c>
      <c r="H19" s="72">
        <f t="shared" si="12"/>
        <v>1.3600000000000003</v>
      </c>
      <c r="I19" s="74">
        <f t="shared" si="28"/>
        <v>32.21840000000001</v>
      </c>
      <c r="K19" s="70">
        <v>15</v>
      </c>
      <c r="L19" s="8">
        <v>0.47099999999999997</v>
      </c>
      <c r="M19" s="72">
        <f t="shared" si="2"/>
        <v>117.42857142857143</v>
      </c>
      <c r="N19" s="63">
        <v>50</v>
      </c>
      <c r="O19" s="72">
        <f t="shared" si="13"/>
        <v>5871.4285714285716</v>
      </c>
      <c r="P19" s="72">
        <f t="shared" si="14"/>
        <v>5.8714285714285719</v>
      </c>
      <c r="Q19" s="72">
        <f t="shared" si="15"/>
        <v>2.9357142857142859</v>
      </c>
      <c r="R19" s="74">
        <f t="shared" si="29"/>
        <v>69.547071428571442</v>
      </c>
      <c r="T19" s="248"/>
      <c r="U19" s="70">
        <v>15</v>
      </c>
      <c r="V19" s="8">
        <v>0.432</v>
      </c>
      <c r="W19" s="72">
        <f t="shared" si="30"/>
        <v>98.857142857142861</v>
      </c>
      <c r="X19" s="63">
        <v>20</v>
      </c>
      <c r="Y19" s="73">
        <f t="shared" si="31"/>
        <v>1977.1428571428573</v>
      </c>
      <c r="Z19" s="72">
        <f t="shared" si="32"/>
        <v>1.9771428571428573</v>
      </c>
      <c r="AA19" s="72">
        <f t="shared" si="33"/>
        <v>0.98857142857142866</v>
      </c>
      <c r="AB19" s="74">
        <f t="shared" si="8"/>
        <v>23.419257142857145</v>
      </c>
      <c r="AC19" s="24"/>
      <c r="AD19" s="70">
        <v>15</v>
      </c>
      <c r="AE19" s="8">
        <v>0.46500000000000002</v>
      </c>
      <c r="AF19" s="72">
        <f t="shared" si="34"/>
        <v>114.5714285714286</v>
      </c>
      <c r="AG19" s="63">
        <v>30</v>
      </c>
      <c r="AH19" s="73">
        <f t="shared" si="35"/>
        <v>3437.1428571428578</v>
      </c>
      <c r="AI19" s="72">
        <f t="shared" si="36"/>
        <v>3.4371428571428577</v>
      </c>
      <c r="AJ19" s="72">
        <f t="shared" si="37"/>
        <v>1.7185714285714289</v>
      </c>
      <c r="AK19" s="74">
        <f t="shared" si="9"/>
        <v>40.71295714285715</v>
      </c>
      <c r="AL19" s="64"/>
    </row>
    <row r="20" spans="1:38" x14ac:dyDescent="0.35">
      <c r="A20" s="248"/>
      <c r="B20" s="70">
        <v>16</v>
      </c>
      <c r="C20" s="123">
        <f>0.393+0.013</f>
        <v>0.40600000000000003</v>
      </c>
      <c r="D20" s="124">
        <f>(C20-$H$2)/$H$1</f>
        <v>86.476190476190496</v>
      </c>
      <c r="E20" s="125">
        <v>20</v>
      </c>
      <c r="F20" s="72">
        <f>D20*E20</f>
        <v>1729.5238095238099</v>
      </c>
      <c r="G20" s="72">
        <f>F20/1000</f>
        <v>1.7295238095238099</v>
      </c>
      <c r="H20" s="72">
        <f>G20*0.5</f>
        <v>0.86476190476190495</v>
      </c>
      <c r="I20" s="126">
        <f t="shared" si="28"/>
        <v>20.486209523809528</v>
      </c>
      <c r="J20" s="61"/>
      <c r="K20" s="70">
        <v>16</v>
      </c>
      <c r="L20" s="8">
        <v>0.437</v>
      </c>
      <c r="M20" s="72">
        <f t="shared" si="2"/>
        <v>101.23809523809526</v>
      </c>
      <c r="N20" s="63">
        <v>50</v>
      </c>
      <c r="O20" s="72">
        <f t="shared" si="13"/>
        <v>5061.9047619047624</v>
      </c>
      <c r="P20" s="72">
        <f t="shared" si="14"/>
        <v>5.0619047619047626</v>
      </c>
      <c r="Q20" s="72">
        <f t="shared" si="15"/>
        <v>2.5309523809523813</v>
      </c>
      <c r="R20" s="74">
        <f t="shared" si="29"/>
        <v>59.958261904761919</v>
      </c>
      <c r="T20" s="248"/>
      <c r="U20" s="70">
        <v>16</v>
      </c>
      <c r="V20" s="8">
        <v>0.47899999999999998</v>
      </c>
      <c r="W20" s="72">
        <f>(V20-$Z$2)/$Z$1</f>
        <v>121.23809523809524</v>
      </c>
      <c r="X20" s="63">
        <v>20</v>
      </c>
      <c r="Y20" s="73">
        <f>W20*X20</f>
        <v>2424.7619047619046</v>
      </c>
      <c r="Z20" s="72">
        <f>Y20/1000</f>
        <v>2.4247619047619047</v>
      </c>
      <c r="AA20" s="72">
        <f>Z20*0.5</f>
        <v>1.2123809523809523</v>
      </c>
      <c r="AB20" s="74">
        <f t="shared" si="8"/>
        <v>28.721304761904761</v>
      </c>
      <c r="AC20" s="24"/>
      <c r="AD20" s="70">
        <v>16</v>
      </c>
      <c r="AE20" s="8">
        <v>0.45500000000000002</v>
      </c>
      <c r="AF20" s="72">
        <f>(AE20-$Z$2)/$Z$1</f>
        <v>109.80952380952382</v>
      </c>
      <c r="AG20" s="63">
        <v>50</v>
      </c>
      <c r="AH20" s="73">
        <f>AF20*AG20</f>
        <v>5490.4761904761908</v>
      </c>
      <c r="AI20" s="72">
        <f>AH20/1000</f>
        <v>5.4904761904761905</v>
      </c>
      <c r="AJ20" s="72">
        <f>AI20*0.5</f>
        <v>2.7452380952380953</v>
      </c>
      <c r="AK20" s="74">
        <f t="shared" si="9"/>
        <v>65.034690476190477</v>
      </c>
      <c r="AL20" s="64"/>
    </row>
    <row r="21" spans="1:38" x14ac:dyDescent="0.35">
      <c r="A21" s="248"/>
      <c r="B21" s="70">
        <v>17</v>
      </c>
      <c r="C21" s="123">
        <v>0.51400000000000001</v>
      </c>
      <c r="D21" s="124">
        <f t="shared" si="0"/>
        <v>137.90476190476193</v>
      </c>
      <c r="E21" s="125">
        <v>20</v>
      </c>
      <c r="F21" s="72">
        <f t="shared" si="10"/>
        <v>2758.0952380952385</v>
      </c>
      <c r="G21" s="72">
        <f t="shared" si="11"/>
        <v>2.7580952380952386</v>
      </c>
      <c r="H21" s="72">
        <f t="shared" si="12"/>
        <v>1.3790476190476193</v>
      </c>
      <c r="I21" s="126">
        <f t="shared" si="28"/>
        <v>32.669638095238106</v>
      </c>
      <c r="J21" s="61"/>
      <c r="K21" s="70">
        <v>17</v>
      </c>
      <c r="L21" s="123">
        <v>0.59899999999999998</v>
      </c>
      <c r="M21" s="124">
        <f t="shared" si="2"/>
        <v>178.38095238095238</v>
      </c>
      <c r="N21" s="125">
        <v>20</v>
      </c>
      <c r="O21" s="72">
        <f t="shared" si="13"/>
        <v>3567.6190476190477</v>
      </c>
      <c r="P21" s="72">
        <f t="shared" si="14"/>
        <v>3.5676190476190479</v>
      </c>
      <c r="Q21" s="72">
        <f t="shared" si="15"/>
        <v>1.783809523809524</v>
      </c>
      <c r="R21" s="126">
        <f t="shared" si="29"/>
        <v>42.258447619047622</v>
      </c>
      <c r="T21" s="248"/>
      <c r="U21" s="70">
        <v>17</v>
      </c>
      <c r="V21" s="8">
        <v>0.48199999999999998</v>
      </c>
      <c r="W21" s="72">
        <f t="shared" si="30"/>
        <v>122.66666666666667</v>
      </c>
      <c r="X21" s="63">
        <v>20</v>
      </c>
      <c r="Y21" s="73">
        <f t="shared" si="31"/>
        <v>2453.3333333333335</v>
      </c>
      <c r="Z21" s="72">
        <f t="shared" si="32"/>
        <v>2.4533333333333336</v>
      </c>
      <c r="AA21" s="72">
        <f t="shared" si="33"/>
        <v>1.2266666666666668</v>
      </c>
      <c r="AB21" s="74">
        <f t="shared" si="8"/>
        <v>29.059733333333337</v>
      </c>
      <c r="AC21" s="24"/>
      <c r="AD21" s="70">
        <v>17</v>
      </c>
      <c r="AE21" s="8">
        <v>0.48399999999999999</v>
      </c>
      <c r="AF21" s="72">
        <f>(AE21-$Z$2)/$Z$1</f>
        <v>123.61904761904762</v>
      </c>
      <c r="AG21" s="63">
        <v>50</v>
      </c>
      <c r="AH21" s="73">
        <f>AF21*AG21</f>
        <v>6180.9523809523807</v>
      </c>
      <c r="AI21" s="72">
        <f>AH21/1000</f>
        <v>6.1809523809523803</v>
      </c>
      <c r="AJ21" s="72">
        <f>AI21*0.5</f>
        <v>3.0904761904761902</v>
      </c>
      <c r="AK21" s="74">
        <f t="shared" si="9"/>
        <v>73.213380952380945</v>
      </c>
      <c r="AL21" s="64"/>
    </row>
    <row r="22" spans="1:38" x14ac:dyDescent="0.35">
      <c r="A22" s="248"/>
      <c r="B22" s="70">
        <v>18</v>
      </c>
      <c r="C22" s="123">
        <v>0.54700000000000004</v>
      </c>
      <c r="D22" s="124">
        <f t="shared" si="0"/>
        <v>153.61904761904765</v>
      </c>
      <c r="E22" s="125">
        <v>20</v>
      </c>
      <c r="F22" s="72">
        <f t="shared" si="10"/>
        <v>3072.3809523809532</v>
      </c>
      <c r="G22" s="72">
        <f t="shared" si="11"/>
        <v>3.0723809523809531</v>
      </c>
      <c r="H22" s="72">
        <f t="shared" si="12"/>
        <v>1.5361904761904766</v>
      </c>
      <c r="I22" s="126">
        <f t="shared" si="28"/>
        <v>36.392352380952389</v>
      </c>
      <c r="J22" s="61"/>
      <c r="K22" s="70">
        <v>18</v>
      </c>
      <c r="L22" s="123">
        <v>0.53700000000000003</v>
      </c>
      <c r="M22" s="124">
        <f t="shared" si="2"/>
        <v>148.85714285714289</v>
      </c>
      <c r="N22" s="125">
        <v>20</v>
      </c>
      <c r="O22" s="72">
        <f t="shared" si="13"/>
        <v>2977.1428571428578</v>
      </c>
      <c r="P22" s="72">
        <f t="shared" si="14"/>
        <v>2.9771428571428578</v>
      </c>
      <c r="Q22" s="72">
        <f t="shared" si="15"/>
        <v>1.4885714285714289</v>
      </c>
      <c r="R22" s="126">
        <f t="shared" si="29"/>
        <v>35.264257142857154</v>
      </c>
      <c r="T22" s="248"/>
      <c r="U22" s="70">
        <v>18</v>
      </c>
      <c r="V22" s="8">
        <v>0.371</v>
      </c>
      <c r="W22" s="72">
        <f t="shared" si="30"/>
        <v>69.809523809523824</v>
      </c>
      <c r="X22" s="63">
        <v>30</v>
      </c>
      <c r="Y22" s="73">
        <f t="shared" si="31"/>
        <v>2094.2857142857147</v>
      </c>
      <c r="Z22" s="72">
        <f t="shared" si="32"/>
        <v>2.0942857142857148</v>
      </c>
      <c r="AA22" s="72">
        <f t="shared" si="33"/>
        <v>1.0471428571428574</v>
      </c>
      <c r="AB22" s="74">
        <f t="shared" si="8"/>
        <v>24.806814285714292</v>
      </c>
      <c r="AC22" s="24"/>
      <c r="AD22" s="70">
        <v>18</v>
      </c>
      <c r="AE22" s="8">
        <v>0.41399999999999998</v>
      </c>
      <c r="AF22" s="72">
        <f t="shared" si="34"/>
        <v>90.285714285714292</v>
      </c>
      <c r="AG22" s="63">
        <v>50</v>
      </c>
      <c r="AH22" s="73">
        <f t="shared" si="35"/>
        <v>4514.2857142857147</v>
      </c>
      <c r="AI22" s="72">
        <f t="shared" si="36"/>
        <v>4.5142857142857142</v>
      </c>
      <c r="AJ22" s="72">
        <f t="shared" si="37"/>
        <v>2.2571428571428571</v>
      </c>
      <c r="AK22" s="72">
        <f t="shared" si="9"/>
        <v>53.471714285714285</v>
      </c>
      <c r="AL22" s="64"/>
    </row>
    <row r="23" spans="1:38" x14ac:dyDescent="0.35">
      <c r="A23" s="248"/>
      <c r="B23" s="70">
        <v>19</v>
      </c>
      <c r="C23" s="123">
        <v>0.39400000000000002</v>
      </c>
      <c r="D23" s="124">
        <f t="shared" si="0"/>
        <v>80.761904761904773</v>
      </c>
      <c r="E23" s="125">
        <v>20</v>
      </c>
      <c r="F23" s="72">
        <f t="shared" si="10"/>
        <v>1615.2380952380954</v>
      </c>
      <c r="G23" s="72">
        <f t="shared" si="11"/>
        <v>1.6152380952380954</v>
      </c>
      <c r="H23" s="72">
        <f t="shared" si="12"/>
        <v>0.80761904761904768</v>
      </c>
      <c r="I23" s="126">
        <f t="shared" si="28"/>
        <v>19.132495238095242</v>
      </c>
      <c r="J23" s="61"/>
      <c r="K23" s="70">
        <v>19</v>
      </c>
      <c r="L23" s="123">
        <v>0.58099999999999996</v>
      </c>
      <c r="M23" s="124">
        <f t="shared" si="2"/>
        <v>169.8095238095238</v>
      </c>
      <c r="N23" s="125">
        <v>20</v>
      </c>
      <c r="O23" s="72">
        <f t="shared" si="13"/>
        <v>3396.1904761904761</v>
      </c>
      <c r="P23" s="72">
        <f t="shared" si="14"/>
        <v>3.3961904761904762</v>
      </c>
      <c r="Q23" s="72">
        <f t="shared" si="15"/>
        <v>1.6980952380952381</v>
      </c>
      <c r="R23" s="126">
        <f t="shared" si="29"/>
        <v>40.227876190476195</v>
      </c>
      <c r="T23" s="248"/>
      <c r="U23" s="70">
        <v>19</v>
      </c>
      <c r="V23" s="8">
        <v>0.45200000000000001</v>
      </c>
      <c r="W23" s="72">
        <f>(V23-$Z$2)/$Z$1</f>
        <v>108.38095238095239</v>
      </c>
      <c r="X23" s="63">
        <v>20</v>
      </c>
      <c r="Y23" s="73">
        <f>W23*X23</f>
        <v>2167.6190476190477</v>
      </c>
      <c r="Z23" s="72">
        <f>Y23/1000</f>
        <v>2.1676190476190476</v>
      </c>
      <c r="AA23" s="72">
        <f>Z23*0.5</f>
        <v>1.0838095238095238</v>
      </c>
      <c r="AB23" s="74">
        <f t="shared" si="8"/>
        <v>25.67544761904762</v>
      </c>
      <c r="AC23" s="24"/>
      <c r="AD23" s="70">
        <v>19</v>
      </c>
      <c r="AE23" s="8">
        <v>0.47499999999999998</v>
      </c>
      <c r="AF23" s="72">
        <f t="shared" ref="AF23:AF30" si="38">(AE23-$Z$2)/$Z$1</f>
        <v>119.33333333333333</v>
      </c>
      <c r="AG23" s="63">
        <v>30</v>
      </c>
      <c r="AH23" s="73">
        <f t="shared" ref="AH23:AH30" si="39">AF23*AG23</f>
        <v>3580</v>
      </c>
      <c r="AI23" s="72">
        <f t="shared" ref="AI23:AI30" si="40">AH23/1000</f>
        <v>3.58</v>
      </c>
      <c r="AJ23" s="72">
        <f t="shared" ref="AJ23:AJ30" si="41">AI23*0.5</f>
        <v>1.79</v>
      </c>
      <c r="AK23" s="74">
        <f t="shared" si="9"/>
        <v>42.405100000000004</v>
      </c>
    </row>
    <row r="24" spans="1:38" x14ac:dyDescent="0.35">
      <c r="A24" s="248"/>
      <c r="B24" s="70">
        <v>20</v>
      </c>
      <c r="C24" s="123">
        <v>0.39600000000000002</v>
      </c>
      <c r="D24" s="124">
        <f t="shared" si="0"/>
        <v>81.714285714285737</v>
      </c>
      <c r="E24" s="125">
        <v>20</v>
      </c>
      <c r="F24" s="72">
        <f t="shared" si="10"/>
        <v>1634.2857142857147</v>
      </c>
      <c r="G24" s="72">
        <f t="shared" si="11"/>
        <v>1.6342857142857148</v>
      </c>
      <c r="H24" s="72">
        <f t="shared" si="12"/>
        <v>0.81714285714285739</v>
      </c>
      <c r="I24" s="126">
        <f t="shared" si="28"/>
        <v>19.358114285714294</v>
      </c>
      <c r="J24" s="61"/>
      <c r="K24" s="70">
        <v>20</v>
      </c>
      <c r="L24" s="123">
        <v>0.53500000000000003</v>
      </c>
      <c r="M24" s="124">
        <f t="shared" si="2"/>
        <v>147.90476190476193</v>
      </c>
      <c r="N24" s="125">
        <v>20</v>
      </c>
      <c r="O24" s="72">
        <f t="shared" si="13"/>
        <v>2958.0952380952385</v>
      </c>
      <c r="P24" s="72">
        <f t="shared" si="14"/>
        <v>2.9580952380952383</v>
      </c>
      <c r="Q24" s="72">
        <f t="shared" si="15"/>
        <v>1.4790476190476192</v>
      </c>
      <c r="R24" s="126">
        <f t="shared" si="29"/>
        <v>35.038638095238099</v>
      </c>
      <c r="T24" s="248"/>
      <c r="U24" s="70">
        <v>20</v>
      </c>
      <c r="V24" s="8">
        <v>0.45500000000000002</v>
      </c>
      <c r="W24" s="72">
        <f>(V24-$Z$2)/$Z$1</f>
        <v>109.80952380952382</v>
      </c>
      <c r="X24" s="63">
        <v>20</v>
      </c>
      <c r="Y24" s="73">
        <f>W24*X24</f>
        <v>2196.1904761904766</v>
      </c>
      <c r="Z24" s="72">
        <f>Y24/1000</f>
        <v>2.1961904761904765</v>
      </c>
      <c r="AA24" s="72">
        <f>Z24*0.5</f>
        <v>1.0980952380952382</v>
      </c>
      <c r="AB24" s="74">
        <f t="shared" si="8"/>
        <v>26.013876190476196</v>
      </c>
      <c r="AC24" s="24"/>
      <c r="AD24" s="70">
        <v>20</v>
      </c>
      <c r="AE24" s="8">
        <v>0.47099999999999997</v>
      </c>
      <c r="AF24" s="72">
        <f t="shared" si="38"/>
        <v>117.42857142857143</v>
      </c>
      <c r="AG24" s="63">
        <v>50</v>
      </c>
      <c r="AH24" s="73">
        <f t="shared" si="39"/>
        <v>5871.4285714285716</v>
      </c>
      <c r="AI24" s="72">
        <f t="shared" si="40"/>
        <v>5.8714285714285719</v>
      </c>
      <c r="AJ24" s="72">
        <f t="shared" si="41"/>
        <v>2.9357142857142859</v>
      </c>
      <c r="AK24" s="74">
        <f t="shared" si="9"/>
        <v>69.547071428571442</v>
      </c>
    </row>
    <row r="25" spans="1:38" x14ac:dyDescent="0.35">
      <c r="A25" s="248"/>
      <c r="B25" s="70">
        <v>21</v>
      </c>
      <c r="C25" s="123">
        <v>0.39900000000000002</v>
      </c>
      <c r="D25" s="124">
        <f t="shared" si="0"/>
        <v>83.142857142857167</v>
      </c>
      <c r="E25" s="125">
        <v>20</v>
      </c>
      <c r="F25" s="72">
        <f t="shared" si="10"/>
        <v>1662.8571428571433</v>
      </c>
      <c r="G25" s="72">
        <f t="shared" si="11"/>
        <v>1.6628571428571433</v>
      </c>
      <c r="H25" s="72">
        <f t="shared" si="12"/>
        <v>0.83142857142857163</v>
      </c>
      <c r="I25" s="126">
        <f t="shared" si="28"/>
        <v>19.696542857142862</v>
      </c>
      <c r="J25" s="61"/>
      <c r="K25" s="70">
        <v>21</v>
      </c>
      <c r="L25" s="123">
        <v>0.57399999999999995</v>
      </c>
      <c r="M25" s="124">
        <f t="shared" si="2"/>
        <v>166.47619047619048</v>
      </c>
      <c r="N25" s="125">
        <v>20</v>
      </c>
      <c r="O25" s="72">
        <f t="shared" si="13"/>
        <v>3329.5238095238096</v>
      </c>
      <c r="P25" s="72">
        <f t="shared" si="14"/>
        <v>3.3295238095238098</v>
      </c>
      <c r="Q25" s="72">
        <f t="shared" si="15"/>
        <v>1.6647619047619049</v>
      </c>
      <c r="R25" s="126">
        <f t="shared" si="29"/>
        <v>39.438209523809526</v>
      </c>
      <c r="T25" s="248"/>
      <c r="U25" s="70">
        <v>21</v>
      </c>
      <c r="V25" s="8">
        <v>0.47799999999999998</v>
      </c>
      <c r="W25" s="72">
        <f>(V25-$Z$2)/$Z$1</f>
        <v>120.76190476190476</v>
      </c>
      <c r="X25" s="63">
        <v>20</v>
      </c>
      <c r="Y25" s="73">
        <f>W25*X25</f>
        <v>2415.2380952380954</v>
      </c>
      <c r="Z25" s="72">
        <f>Y25/1000</f>
        <v>2.4152380952380956</v>
      </c>
      <c r="AA25" s="72">
        <f>Z25*0.5</f>
        <v>1.2076190476190478</v>
      </c>
      <c r="AB25" s="74">
        <f t="shared" si="8"/>
        <v>28.608495238095244</v>
      </c>
      <c r="AC25" s="24"/>
      <c r="AD25" s="70">
        <v>21</v>
      </c>
      <c r="AE25" s="8">
        <v>0.40400000000000003</v>
      </c>
      <c r="AF25" s="72">
        <f t="shared" si="38"/>
        <v>85.523809523809547</v>
      </c>
      <c r="AG25" s="63">
        <v>50</v>
      </c>
      <c r="AH25" s="73">
        <f t="shared" si="39"/>
        <v>4276.1904761904771</v>
      </c>
      <c r="AI25" s="72">
        <f t="shared" si="40"/>
        <v>4.276190476190477</v>
      </c>
      <c r="AJ25" s="72">
        <f t="shared" si="41"/>
        <v>2.1380952380952385</v>
      </c>
      <c r="AK25" s="74">
        <f t="shared" si="9"/>
        <v>50.651476190476203</v>
      </c>
    </row>
    <row r="26" spans="1:38" x14ac:dyDescent="0.35">
      <c r="A26" s="248"/>
      <c r="B26" s="70">
        <v>22</v>
      </c>
      <c r="C26" s="123">
        <v>0.41299999999999998</v>
      </c>
      <c r="D26" s="124">
        <f t="shared" si="0"/>
        <v>89.80952380952381</v>
      </c>
      <c r="E26" s="125">
        <v>20</v>
      </c>
      <c r="F26" s="72">
        <f t="shared" si="10"/>
        <v>1796.1904761904761</v>
      </c>
      <c r="G26" s="72">
        <f t="shared" si="11"/>
        <v>1.7961904761904761</v>
      </c>
      <c r="H26" s="72">
        <f t="shared" si="12"/>
        <v>0.89809523809523806</v>
      </c>
      <c r="I26" s="126">
        <f t="shared" si="28"/>
        <v>21.27587619047619</v>
      </c>
      <c r="J26" s="61"/>
      <c r="K26" s="70">
        <v>22</v>
      </c>
      <c r="L26" s="123">
        <v>0.57799999999999996</v>
      </c>
      <c r="M26" s="124">
        <f t="shared" si="2"/>
        <v>168.38095238095238</v>
      </c>
      <c r="N26" s="125">
        <v>20</v>
      </c>
      <c r="O26" s="72">
        <f t="shared" si="13"/>
        <v>3367.6190476190477</v>
      </c>
      <c r="P26" s="72">
        <f t="shared" si="14"/>
        <v>3.3676190476190477</v>
      </c>
      <c r="Q26" s="72">
        <f t="shared" si="15"/>
        <v>1.6838095238095239</v>
      </c>
      <c r="R26" s="126">
        <f t="shared" si="29"/>
        <v>39.889447619047623</v>
      </c>
      <c r="T26" s="248"/>
      <c r="U26" s="70">
        <v>22</v>
      </c>
      <c r="V26" s="8">
        <v>0.38600000000000001</v>
      </c>
      <c r="W26" s="72">
        <f>(V26-$Z$2)/$Z$1</f>
        <v>76.952380952380963</v>
      </c>
      <c r="X26" s="63">
        <v>20</v>
      </c>
      <c r="Y26" s="73">
        <f t="shared" si="31"/>
        <v>1539.0476190476193</v>
      </c>
      <c r="Z26" s="72">
        <f t="shared" si="32"/>
        <v>1.5390476190476192</v>
      </c>
      <c r="AA26" s="72">
        <f t="shared" si="33"/>
        <v>0.76952380952380961</v>
      </c>
      <c r="AB26" s="74">
        <f t="shared" si="8"/>
        <v>18.230019047619052</v>
      </c>
      <c r="AC26" s="24"/>
      <c r="AD26" s="70">
        <v>22</v>
      </c>
      <c r="AE26" s="8">
        <v>0.46100000000000002</v>
      </c>
      <c r="AF26" s="72">
        <f t="shared" si="38"/>
        <v>112.66666666666669</v>
      </c>
      <c r="AG26" s="63">
        <v>30</v>
      </c>
      <c r="AH26" s="73">
        <f t="shared" si="39"/>
        <v>3380.0000000000005</v>
      </c>
      <c r="AI26" s="72">
        <f t="shared" si="40"/>
        <v>3.3800000000000003</v>
      </c>
      <c r="AJ26" s="72">
        <f t="shared" si="41"/>
        <v>1.6900000000000002</v>
      </c>
      <c r="AK26" s="74">
        <f t="shared" si="9"/>
        <v>40.036100000000005</v>
      </c>
    </row>
    <row r="27" spans="1:38" x14ac:dyDescent="0.35">
      <c r="A27" s="248"/>
      <c r="B27" s="70">
        <v>23</v>
      </c>
      <c r="C27" s="123">
        <v>0.435</v>
      </c>
      <c r="D27" s="124">
        <f t="shared" ref="D27:D34" si="42">(C27-$H$2)/$H$1</f>
        <v>100.28571428571429</v>
      </c>
      <c r="E27" s="125">
        <v>20</v>
      </c>
      <c r="F27" s="72">
        <f t="shared" ref="F27:F34" si="43">D27*E27</f>
        <v>2005.7142857142858</v>
      </c>
      <c r="G27" s="72">
        <f t="shared" ref="G27:G34" si="44">F27/1000</f>
        <v>2.0057142857142858</v>
      </c>
      <c r="H27" s="72">
        <f t="shared" ref="H27:H34" si="45">G27*0.5</f>
        <v>1.0028571428571429</v>
      </c>
      <c r="I27" s="126">
        <f t="shared" si="28"/>
        <v>23.757685714285717</v>
      </c>
      <c r="J27" s="61"/>
      <c r="K27" s="70">
        <v>23</v>
      </c>
      <c r="L27" s="123">
        <v>0.45500000000000002</v>
      </c>
      <c r="M27" s="124">
        <f t="shared" si="2"/>
        <v>109.80952380952382</v>
      </c>
      <c r="N27" s="125">
        <v>30</v>
      </c>
      <c r="O27" s="72">
        <f t="shared" ref="O27:O34" si="46">M27*N27</f>
        <v>3294.2857142857147</v>
      </c>
      <c r="P27" s="72">
        <f t="shared" ref="P27:P34" si="47">O27/1000</f>
        <v>3.2942857142857145</v>
      </c>
      <c r="Q27" s="72">
        <f t="shared" ref="Q27:Q34" si="48">P27*0.5</f>
        <v>1.6471428571428572</v>
      </c>
      <c r="R27" s="126">
        <f t="shared" si="29"/>
        <v>39.020814285714287</v>
      </c>
      <c r="T27" s="248"/>
      <c r="U27" s="70">
        <v>23</v>
      </c>
      <c r="V27" s="8">
        <v>0.41099999999999998</v>
      </c>
      <c r="W27" s="72">
        <f>(V27-$Z$2)/$Z$1</f>
        <v>88.857142857142861</v>
      </c>
      <c r="X27" s="63">
        <v>20</v>
      </c>
      <c r="Y27" s="73">
        <f>W27*X27</f>
        <v>1777.1428571428573</v>
      </c>
      <c r="Z27" s="72">
        <f>Y27/1000</f>
        <v>1.7771428571428574</v>
      </c>
      <c r="AA27" s="72">
        <f>Z27*0.5</f>
        <v>0.88857142857142868</v>
      </c>
      <c r="AB27" s="74">
        <f t="shared" si="8"/>
        <v>21.050257142857145</v>
      </c>
      <c r="AC27" s="24"/>
      <c r="AD27" s="70">
        <v>23</v>
      </c>
      <c r="AE27" s="8">
        <v>0.45100000000000001</v>
      </c>
      <c r="AF27" s="72">
        <f t="shared" si="38"/>
        <v>107.90476190476193</v>
      </c>
      <c r="AG27" s="63">
        <v>50</v>
      </c>
      <c r="AH27" s="73">
        <f t="shared" si="39"/>
        <v>5395.2380952380963</v>
      </c>
      <c r="AI27" s="72">
        <f t="shared" si="40"/>
        <v>5.3952380952380965</v>
      </c>
      <c r="AJ27" s="72">
        <f t="shared" si="41"/>
        <v>2.6976190476190482</v>
      </c>
      <c r="AK27" s="74">
        <f t="shared" si="9"/>
        <v>63.906595238095257</v>
      </c>
    </row>
    <row r="28" spans="1:38" x14ac:dyDescent="0.35">
      <c r="A28" s="248"/>
      <c r="B28" s="70">
        <v>24</v>
      </c>
      <c r="C28" s="8">
        <f>0.565-0.007</f>
        <v>0.55799999999999994</v>
      </c>
      <c r="D28" s="72">
        <f>(C28-$H$2)/$H$1</f>
        <v>158.85714285714283</v>
      </c>
      <c r="E28" s="63">
        <v>20</v>
      </c>
      <c r="F28" s="72">
        <f>D28*E28</f>
        <v>3177.1428571428569</v>
      </c>
      <c r="G28" s="72">
        <f>F28/1000</f>
        <v>3.177142857142857</v>
      </c>
      <c r="H28" s="72">
        <f>G28*0.5</f>
        <v>1.5885714285714285</v>
      </c>
      <c r="I28" s="74">
        <f t="shared" si="28"/>
        <v>37.633257142857147</v>
      </c>
      <c r="J28" s="61"/>
      <c r="K28" s="70">
        <v>24</v>
      </c>
      <c r="L28" s="123">
        <v>0.57299999999999995</v>
      </c>
      <c r="M28" s="124">
        <f t="shared" si="2"/>
        <v>166</v>
      </c>
      <c r="N28" s="125">
        <v>20</v>
      </c>
      <c r="O28" s="72">
        <f t="shared" si="46"/>
        <v>3320</v>
      </c>
      <c r="P28" s="72">
        <f t="shared" si="47"/>
        <v>3.32</v>
      </c>
      <c r="Q28" s="72">
        <f t="shared" si="48"/>
        <v>1.66</v>
      </c>
      <c r="R28" s="126">
        <f t="shared" si="29"/>
        <v>39.325400000000002</v>
      </c>
      <c r="T28" s="248"/>
      <c r="U28" s="70">
        <v>24</v>
      </c>
      <c r="V28" s="8">
        <v>0.47299999999999998</v>
      </c>
      <c r="W28" s="72">
        <f t="shared" ref="W28:W34" si="49">(V28-$Z$2)/$Z$1</f>
        <v>118.38095238095238</v>
      </c>
      <c r="X28" s="63">
        <v>20</v>
      </c>
      <c r="Y28" s="73">
        <f>W28*X28</f>
        <v>2367.6190476190477</v>
      </c>
      <c r="Z28" s="72">
        <f t="shared" ref="Z28:Z34" si="50">Y28/1000</f>
        <v>2.3676190476190477</v>
      </c>
      <c r="AA28" s="72">
        <f t="shared" ref="AA28:AA34" si="51">Z28*0.5</f>
        <v>1.1838095238095239</v>
      </c>
      <c r="AB28" s="74">
        <f t="shared" si="8"/>
        <v>28.04444761904762</v>
      </c>
      <c r="AC28" s="24"/>
      <c r="AD28" s="70">
        <v>24</v>
      </c>
      <c r="AE28" s="8">
        <v>0.41599999999999998</v>
      </c>
      <c r="AF28" s="72">
        <f t="shared" si="38"/>
        <v>91.238095238095241</v>
      </c>
      <c r="AG28" s="63">
        <v>50</v>
      </c>
      <c r="AH28" s="73">
        <f t="shared" si="39"/>
        <v>4561.9047619047624</v>
      </c>
      <c r="AI28" s="72">
        <f t="shared" si="40"/>
        <v>4.5619047619047626</v>
      </c>
      <c r="AJ28" s="72">
        <f t="shared" si="41"/>
        <v>2.2809523809523813</v>
      </c>
      <c r="AK28" s="74">
        <f t="shared" si="9"/>
        <v>54.035761904761912</v>
      </c>
    </row>
    <row r="29" spans="1:38" x14ac:dyDescent="0.35">
      <c r="A29" s="248"/>
      <c r="B29" s="70">
        <v>25</v>
      </c>
      <c r="C29" s="123">
        <v>0.51500000000000001</v>
      </c>
      <c r="D29" s="124">
        <f t="shared" si="42"/>
        <v>138.38095238095241</v>
      </c>
      <c r="E29" s="125">
        <v>20</v>
      </c>
      <c r="F29" s="72">
        <f t="shared" si="43"/>
        <v>2767.6190476190482</v>
      </c>
      <c r="G29" s="72">
        <f t="shared" si="44"/>
        <v>2.7676190476190481</v>
      </c>
      <c r="H29" s="72">
        <f t="shared" si="45"/>
        <v>1.383809523809524</v>
      </c>
      <c r="I29" s="126">
        <f t="shared" si="28"/>
        <v>32.782447619047623</v>
      </c>
      <c r="J29" s="61"/>
      <c r="K29" s="70">
        <v>25</v>
      </c>
      <c r="L29" s="123">
        <v>0.51200000000000001</v>
      </c>
      <c r="M29" s="124">
        <f t="shared" si="2"/>
        <v>136.95238095238096</v>
      </c>
      <c r="N29" s="125">
        <v>40</v>
      </c>
      <c r="O29" s="72">
        <f t="shared" si="46"/>
        <v>5478.0952380952385</v>
      </c>
      <c r="P29" s="72">
        <f t="shared" si="47"/>
        <v>5.4780952380952384</v>
      </c>
      <c r="Q29" s="72">
        <f t="shared" si="48"/>
        <v>2.7390476190476192</v>
      </c>
      <c r="R29" s="126">
        <f t="shared" si="29"/>
        <v>64.888038095238102</v>
      </c>
      <c r="T29" s="248"/>
      <c r="U29" s="70">
        <v>25</v>
      </c>
      <c r="V29" s="8">
        <v>0.48699999999999999</v>
      </c>
      <c r="W29" s="72">
        <f>(V29-$Z$2)/$Z$1</f>
        <v>125.04761904761905</v>
      </c>
      <c r="X29" s="63">
        <v>20</v>
      </c>
      <c r="Y29" s="73">
        <f>W29*X29</f>
        <v>2500.9523809523812</v>
      </c>
      <c r="Z29" s="72">
        <f>Y29/1000</f>
        <v>2.500952380952381</v>
      </c>
      <c r="AA29" s="72">
        <f>Z29*0.5</f>
        <v>1.2504761904761905</v>
      </c>
      <c r="AB29" s="74">
        <f t="shared" si="8"/>
        <v>29.623780952380955</v>
      </c>
      <c r="AC29" s="24"/>
      <c r="AD29" s="70">
        <v>25</v>
      </c>
      <c r="AE29" s="8">
        <v>0.48899999999999999</v>
      </c>
      <c r="AF29" s="72">
        <f t="shared" si="38"/>
        <v>126.00000000000001</v>
      </c>
      <c r="AG29" s="63">
        <v>40</v>
      </c>
      <c r="AH29" s="73">
        <f t="shared" si="39"/>
        <v>5040.0000000000009</v>
      </c>
      <c r="AI29" s="72">
        <f t="shared" si="40"/>
        <v>5.0400000000000009</v>
      </c>
      <c r="AJ29" s="72">
        <f t="shared" si="41"/>
        <v>2.5200000000000005</v>
      </c>
      <c r="AK29" s="74">
        <f t="shared" si="9"/>
        <v>59.698800000000013</v>
      </c>
    </row>
    <row r="30" spans="1:38" x14ac:dyDescent="0.35">
      <c r="A30" s="248"/>
      <c r="B30" s="70">
        <v>26</v>
      </c>
      <c r="C30" s="123">
        <v>0.49399999999999999</v>
      </c>
      <c r="D30" s="124">
        <f t="shared" si="42"/>
        <v>128.38095238095238</v>
      </c>
      <c r="E30" s="125">
        <v>20</v>
      </c>
      <c r="F30" s="72">
        <f t="shared" si="43"/>
        <v>2567.6190476190477</v>
      </c>
      <c r="G30" s="72">
        <f t="shared" si="44"/>
        <v>2.5676190476190479</v>
      </c>
      <c r="H30" s="72">
        <f t="shared" si="45"/>
        <v>1.283809523809524</v>
      </c>
      <c r="I30" s="126">
        <f t="shared" si="28"/>
        <v>30.413447619047624</v>
      </c>
      <c r="J30" s="61"/>
      <c r="K30" s="70">
        <v>26</v>
      </c>
      <c r="L30" s="123">
        <v>0.54400000000000004</v>
      </c>
      <c r="M30" s="124">
        <f t="shared" si="2"/>
        <v>152.19047619047623</v>
      </c>
      <c r="N30" s="125">
        <v>40</v>
      </c>
      <c r="O30" s="72">
        <f t="shared" si="46"/>
        <v>6087.6190476190495</v>
      </c>
      <c r="P30" s="72">
        <f t="shared" si="47"/>
        <v>6.0876190476190493</v>
      </c>
      <c r="Q30" s="72">
        <f t="shared" si="48"/>
        <v>3.0438095238095246</v>
      </c>
      <c r="R30" s="126">
        <f t="shared" si="29"/>
        <v>72.107847619047647</v>
      </c>
      <c r="T30" s="248"/>
      <c r="U30" s="70">
        <v>26</v>
      </c>
      <c r="V30" s="8">
        <v>0.36499999999999999</v>
      </c>
      <c r="W30" s="72">
        <f>(V30-$Z$2)/$Z$1</f>
        <v>66.952380952380963</v>
      </c>
      <c r="X30" s="63">
        <v>20</v>
      </c>
      <c r="Y30" s="73">
        <f>W30*X30</f>
        <v>1339.0476190476193</v>
      </c>
      <c r="Z30" s="72">
        <f>Y30/1000</f>
        <v>1.3390476190476193</v>
      </c>
      <c r="AA30" s="72">
        <f>Z30*0.5</f>
        <v>0.66952380952380963</v>
      </c>
      <c r="AB30" s="74">
        <f t="shared" si="8"/>
        <v>15.861019047619051</v>
      </c>
      <c r="AC30" s="24"/>
      <c r="AD30" s="70">
        <v>26</v>
      </c>
      <c r="AE30" s="8">
        <v>0.45900000000000002</v>
      </c>
      <c r="AF30" s="72">
        <f t="shared" si="38"/>
        <v>111.71428571428574</v>
      </c>
      <c r="AG30" s="63">
        <v>20</v>
      </c>
      <c r="AH30" s="73">
        <f t="shared" si="39"/>
        <v>2234.2857142857147</v>
      </c>
      <c r="AI30" s="72">
        <f t="shared" si="40"/>
        <v>2.2342857142857149</v>
      </c>
      <c r="AJ30" s="72">
        <f t="shared" si="41"/>
        <v>1.1171428571428574</v>
      </c>
      <c r="AK30" s="74">
        <f t="shared" si="9"/>
        <v>26.465114285714293</v>
      </c>
    </row>
    <row r="31" spans="1:38" x14ac:dyDescent="0.35">
      <c r="A31" s="248"/>
      <c r="B31" s="70">
        <v>27</v>
      </c>
      <c r="C31" s="123">
        <v>0.55100000000000005</v>
      </c>
      <c r="D31" s="124">
        <f t="shared" si="42"/>
        <v>155.52380952380955</v>
      </c>
      <c r="E31" s="125">
        <v>20</v>
      </c>
      <c r="F31" s="72">
        <f t="shared" si="43"/>
        <v>3110.4761904761908</v>
      </c>
      <c r="G31" s="72">
        <f t="shared" si="44"/>
        <v>3.1104761904761906</v>
      </c>
      <c r="H31" s="72">
        <f t="shared" si="45"/>
        <v>1.5552380952380953</v>
      </c>
      <c r="I31" s="126">
        <f t="shared" si="28"/>
        <v>36.843590476190478</v>
      </c>
      <c r="J31" s="61"/>
      <c r="K31" s="70">
        <v>27</v>
      </c>
      <c r="L31" s="123">
        <v>0.46899999999999997</v>
      </c>
      <c r="M31" s="124">
        <f t="shared" si="2"/>
        <v>116.47619047619048</v>
      </c>
      <c r="N31" s="125">
        <v>50</v>
      </c>
      <c r="O31" s="72">
        <f t="shared" si="46"/>
        <v>5823.8095238095239</v>
      </c>
      <c r="P31" s="72">
        <f t="shared" si="47"/>
        <v>5.8238095238095235</v>
      </c>
      <c r="Q31" s="72">
        <f t="shared" si="48"/>
        <v>2.9119047619047618</v>
      </c>
      <c r="R31" s="126">
        <f t="shared" si="29"/>
        <v>68.983023809523814</v>
      </c>
      <c r="T31" s="248"/>
      <c r="U31" s="70">
        <v>27</v>
      </c>
      <c r="V31" s="8">
        <v>0.41299999999999998</v>
      </c>
      <c r="W31" s="72">
        <f t="shared" si="49"/>
        <v>89.80952380952381</v>
      </c>
      <c r="X31" s="63">
        <v>20</v>
      </c>
      <c r="Y31" s="73">
        <f t="shared" ref="Y31:Y34" si="52">W31*X31</f>
        <v>1796.1904761904761</v>
      </c>
      <c r="Z31" s="72">
        <f t="shared" si="50"/>
        <v>1.7961904761904761</v>
      </c>
      <c r="AA31" s="72">
        <f t="shared" si="51"/>
        <v>0.89809523809523806</v>
      </c>
      <c r="AB31" s="74">
        <f t="shared" si="8"/>
        <v>21.27587619047619</v>
      </c>
      <c r="AC31" s="24"/>
      <c r="AD31" s="70">
        <v>27</v>
      </c>
      <c r="AE31" s="8">
        <v>0.437</v>
      </c>
      <c r="AF31" s="72">
        <f t="shared" si="34"/>
        <v>101.23809523809526</v>
      </c>
      <c r="AG31" s="63">
        <v>20</v>
      </c>
      <c r="AH31" s="73">
        <f t="shared" ref="AH31:AH34" si="53">AF31*AG31</f>
        <v>2024.761904761905</v>
      </c>
      <c r="AI31" s="72">
        <f t="shared" ref="AI31:AI34" si="54">AH31/1000</f>
        <v>2.0247619047619052</v>
      </c>
      <c r="AJ31" s="72">
        <f t="shared" ref="AJ31:AJ34" si="55">AI31*0.5</f>
        <v>1.0123809523809526</v>
      </c>
      <c r="AK31" s="74">
        <f t="shared" si="9"/>
        <v>23.983304761904769</v>
      </c>
    </row>
    <row r="32" spans="1:38" x14ac:dyDescent="0.35">
      <c r="A32" s="248"/>
      <c r="B32" s="70">
        <v>28</v>
      </c>
      <c r="C32" s="123">
        <v>0.441</v>
      </c>
      <c r="D32" s="124">
        <f t="shared" si="42"/>
        <v>103.14285714285715</v>
      </c>
      <c r="E32" s="125">
        <v>20</v>
      </c>
      <c r="F32" s="72">
        <f t="shared" si="43"/>
        <v>2062.8571428571431</v>
      </c>
      <c r="G32" s="72">
        <f t="shared" si="44"/>
        <v>2.0628571428571432</v>
      </c>
      <c r="H32" s="72">
        <f t="shared" si="45"/>
        <v>1.0314285714285716</v>
      </c>
      <c r="I32" s="126">
        <f t="shared" si="28"/>
        <v>24.434542857142862</v>
      </c>
      <c r="J32" s="61"/>
      <c r="K32" s="70">
        <v>28</v>
      </c>
      <c r="L32" s="123">
        <v>0.49099999999999999</v>
      </c>
      <c r="M32" s="124">
        <f t="shared" si="2"/>
        <v>126.95238095238096</v>
      </c>
      <c r="N32" s="125">
        <v>50</v>
      </c>
      <c r="O32" s="72">
        <f t="shared" si="46"/>
        <v>6347.6190476190477</v>
      </c>
      <c r="P32" s="72">
        <f t="shared" si="47"/>
        <v>6.3476190476190473</v>
      </c>
      <c r="Q32" s="72">
        <f t="shared" si="48"/>
        <v>3.1738095238095236</v>
      </c>
      <c r="R32" s="126">
        <f t="shared" si="29"/>
        <v>75.187547619047621</v>
      </c>
      <c r="T32" s="248"/>
      <c r="U32" s="70">
        <v>28</v>
      </c>
      <c r="V32" s="8">
        <v>0.37</v>
      </c>
      <c r="W32" s="72">
        <f t="shared" si="49"/>
        <v>69.333333333333343</v>
      </c>
      <c r="X32" s="63">
        <v>20</v>
      </c>
      <c r="Y32" s="73">
        <f t="shared" si="52"/>
        <v>1386.666666666667</v>
      </c>
      <c r="Z32" s="72">
        <f t="shared" si="50"/>
        <v>1.3866666666666669</v>
      </c>
      <c r="AA32" s="72">
        <f t="shared" si="51"/>
        <v>0.69333333333333347</v>
      </c>
      <c r="AB32" s="74">
        <f t="shared" si="8"/>
        <v>16.42506666666667</v>
      </c>
      <c r="AC32" s="24"/>
      <c r="AD32" s="70">
        <v>28</v>
      </c>
      <c r="AE32" s="8">
        <v>0.41099999999999998</v>
      </c>
      <c r="AF32" s="72">
        <f t="shared" si="34"/>
        <v>88.857142857142861</v>
      </c>
      <c r="AG32" s="63">
        <v>50</v>
      </c>
      <c r="AH32" s="73">
        <f t="shared" si="53"/>
        <v>4442.8571428571431</v>
      </c>
      <c r="AI32" s="72">
        <f t="shared" si="54"/>
        <v>4.4428571428571431</v>
      </c>
      <c r="AJ32" s="72">
        <f t="shared" si="55"/>
        <v>2.2214285714285715</v>
      </c>
      <c r="AK32" s="74">
        <f t="shared" si="9"/>
        <v>52.625642857142864</v>
      </c>
    </row>
    <row r="33" spans="1:42" x14ac:dyDescent="0.35">
      <c r="A33" s="248"/>
      <c r="B33" s="70">
        <v>29</v>
      </c>
      <c r="C33" s="123">
        <v>0.46899999999999997</v>
      </c>
      <c r="D33" s="124">
        <f t="shared" si="42"/>
        <v>116.47619047619048</v>
      </c>
      <c r="E33" s="125">
        <v>20</v>
      </c>
      <c r="F33" s="72">
        <f t="shared" si="43"/>
        <v>2329.5238095238096</v>
      </c>
      <c r="G33" s="72">
        <f t="shared" si="44"/>
        <v>2.3295238095238098</v>
      </c>
      <c r="H33" s="72">
        <f t="shared" si="45"/>
        <v>1.1647619047619049</v>
      </c>
      <c r="I33" s="126">
        <f t="shared" si="28"/>
        <v>27.593209523809527</v>
      </c>
      <c r="J33" s="61"/>
      <c r="K33" s="70">
        <v>29</v>
      </c>
      <c r="L33" s="123">
        <v>0.57499999999999996</v>
      </c>
      <c r="M33" s="124">
        <f t="shared" si="2"/>
        <v>166.95238095238093</v>
      </c>
      <c r="N33" s="125">
        <v>30</v>
      </c>
      <c r="O33" s="72">
        <f t="shared" si="46"/>
        <v>5008.5714285714284</v>
      </c>
      <c r="P33" s="72">
        <f t="shared" si="47"/>
        <v>5.008571428571428</v>
      </c>
      <c r="Q33" s="72">
        <f t="shared" si="48"/>
        <v>2.504285714285714</v>
      </c>
      <c r="R33" s="126">
        <f t="shared" si="29"/>
        <v>59.326528571428568</v>
      </c>
      <c r="T33" s="248"/>
      <c r="U33" s="70">
        <v>29</v>
      </c>
      <c r="V33" s="8">
        <v>0.45100000000000001</v>
      </c>
      <c r="W33" s="72">
        <f t="shared" si="49"/>
        <v>107.90476190476193</v>
      </c>
      <c r="X33" s="63">
        <v>20</v>
      </c>
      <c r="Y33" s="73">
        <f t="shared" si="52"/>
        <v>2158.0952380952385</v>
      </c>
      <c r="Z33" s="72">
        <f t="shared" si="50"/>
        <v>2.1580952380952385</v>
      </c>
      <c r="AA33" s="72">
        <f t="shared" si="51"/>
        <v>1.0790476190476193</v>
      </c>
      <c r="AB33" s="74">
        <f t="shared" si="8"/>
        <v>25.5626380952381</v>
      </c>
      <c r="AC33" s="24"/>
      <c r="AD33" s="70">
        <v>29</v>
      </c>
      <c r="AE33" s="8">
        <v>0.41799999999999998</v>
      </c>
      <c r="AF33" s="72">
        <f t="shared" si="34"/>
        <v>92.19047619047619</v>
      </c>
      <c r="AG33" s="63">
        <v>50</v>
      </c>
      <c r="AH33" s="73">
        <f t="shared" si="53"/>
        <v>4609.5238095238092</v>
      </c>
      <c r="AI33" s="72">
        <f t="shared" si="54"/>
        <v>4.6095238095238091</v>
      </c>
      <c r="AJ33" s="72">
        <f t="shared" si="55"/>
        <v>2.3047619047619046</v>
      </c>
      <c r="AK33" s="74">
        <f t="shared" si="9"/>
        <v>54.599809523809519</v>
      </c>
    </row>
    <row r="34" spans="1:42" ht="16" thickBot="1" x14ac:dyDescent="0.4">
      <c r="A34" s="248"/>
      <c r="B34" s="71">
        <v>30</v>
      </c>
      <c r="C34" s="127">
        <v>0.42899999999999999</v>
      </c>
      <c r="D34" s="128">
        <f t="shared" si="42"/>
        <v>97.428571428571431</v>
      </c>
      <c r="E34" s="129">
        <v>20</v>
      </c>
      <c r="F34" s="130">
        <f t="shared" si="43"/>
        <v>1948.5714285714287</v>
      </c>
      <c r="G34" s="130">
        <f t="shared" si="44"/>
        <v>1.9485714285714286</v>
      </c>
      <c r="H34" s="130">
        <f t="shared" si="45"/>
        <v>0.97428571428571431</v>
      </c>
      <c r="I34" s="131">
        <f t="shared" si="28"/>
        <v>23.080828571428572</v>
      </c>
      <c r="J34" s="61"/>
      <c r="K34" s="71">
        <v>30</v>
      </c>
      <c r="L34" s="127">
        <v>0.55800000000000005</v>
      </c>
      <c r="M34" s="128">
        <f t="shared" si="2"/>
        <v>158.85714285714289</v>
      </c>
      <c r="N34" s="129">
        <v>20</v>
      </c>
      <c r="O34" s="130">
        <f t="shared" si="46"/>
        <v>3177.1428571428578</v>
      </c>
      <c r="P34" s="130">
        <f t="shared" si="47"/>
        <v>3.1771428571428579</v>
      </c>
      <c r="Q34" s="130">
        <f t="shared" si="48"/>
        <v>1.588571428571429</v>
      </c>
      <c r="R34" s="131">
        <f t="shared" si="29"/>
        <v>37.633257142857154</v>
      </c>
      <c r="T34" s="248"/>
      <c r="U34" s="71">
        <v>30</v>
      </c>
      <c r="V34" s="132">
        <v>0.46800000000000003</v>
      </c>
      <c r="W34" s="130">
        <f t="shared" si="49"/>
        <v>116.00000000000003</v>
      </c>
      <c r="X34" s="133">
        <v>20</v>
      </c>
      <c r="Y34" s="134">
        <f t="shared" si="52"/>
        <v>2320.0000000000005</v>
      </c>
      <c r="Z34" s="130">
        <f t="shared" si="50"/>
        <v>2.3200000000000003</v>
      </c>
      <c r="AA34" s="130">
        <f t="shared" si="51"/>
        <v>1.1600000000000001</v>
      </c>
      <c r="AB34" s="135">
        <f t="shared" si="8"/>
        <v>27.480400000000007</v>
      </c>
      <c r="AC34" s="28"/>
      <c r="AD34" s="71">
        <v>30</v>
      </c>
      <c r="AE34" s="132">
        <v>0.42899999999999999</v>
      </c>
      <c r="AF34" s="130">
        <f t="shared" si="34"/>
        <v>97.428571428571431</v>
      </c>
      <c r="AG34" s="133">
        <v>20</v>
      </c>
      <c r="AH34" s="134">
        <f t="shared" si="53"/>
        <v>1948.5714285714287</v>
      </c>
      <c r="AI34" s="130">
        <f t="shared" si="54"/>
        <v>1.9485714285714286</v>
      </c>
      <c r="AJ34" s="130">
        <f t="shared" si="55"/>
        <v>0.97428571428571431</v>
      </c>
      <c r="AK34" s="135">
        <f t="shared" si="9"/>
        <v>23.080828571428572</v>
      </c>
    </row>
    <row r="35" spans="1:42" x14ac:dyDescent="0.35">
      <c r="C35" s="136"/>
      <c r="F35" s="122" t="s">
        <v>17</v>
      </c>
      <c r="G35" s="136">
        <f>AVERAGE(G5:G34)</f>
        <v>2.3019047619047623</v>
      </c>
      <c r="H35" s="136">
        <f t="shared" ref="H35:I35" si="56">AVERAGE(H5:H34)</f>
        <v>1.1509523809523812</v>
      </c>
      <c r="I35" s="137">
        <f t="shared" si="56"/>
        <v>27.266061904761902</v>
      </c>
      <c r="J35" s="136"/>
      <c r="K35" s="136"/>
      <c r="L35" s="138"/>
      <c r="M35" s="136"/>
      <c r="N35" s="136"/>
      <c r="O35" s="122" t="s">
        <v>17</v>
      </c>
      <c r="P35" s="139">
        <f>AVERAGE(P5:P34)</f>
        <v>4.7993650793650788</v>
      </c>
      <c r="Q35" s="139">
        <f t="shared" ref="Q35:R35" si="57">AVERAGE(Q5:Q34)</f>
        <v>2.3996825396825394</v>
      </c>
      <c r="R35" s="140">
        <f t="shared" si="57"/>
        <v>56.848479365079363</v>
      </c>
      <c r="S35" s="138"/>
      <c r="T35" s="138"/>
      <c r="U35" s="138"/>
      <c r="V35" s="141"/>
      <c r="Y35" s="122" t="s">
        <v>17</v>
      </c>
      <c r="Z35" s="142">
        <f>AVERAGE(Z6:Z34)</f>
        <v>1.9855500821018064</v>
      </c>
      <c r="AA35" s="142">
        <f>AVERAGE(AA6:AA34)</f>
        <v>0.9927750410509032</v>
      </c>
      <c r="AB35" s="143">
        <f>AVERAGE(AB6:AB34)</f>
        <v>23.518840722495902</v>
      </c>
      <c r="AC35" s="141"/>
      <c r="AD35" s="141"/>
      <c r="AE35" s="91"/>
      <c r="AF35" s="141"/>
      <c r="AG35" s="141"/>
      <c r="AH35" s="70" t="s">
        <v>17</v>
      </c>
      <c r="AI35" s="91">
        <f>AVERAGE(AI3:AI34)</f>
        <v>3.5737142857142858</v>
      </c>
      <c r="AJ35" s="91">
        <f>AVERAGE(AJ3:AJ34)</f>
        <v>1.7868571428571429</v>
      </c>
      <c r="AK35" s="109">
        <f>AVERAGE(AK3:AK34)</f>
        <v>42.330645714285723</v>
      </c>
      <c r="AL35" s="91"/>
      <c r="AM35" s="91"/>
      <c r="AN35" s="91"/>
      <c r="AO35" s="91"/>
      <c r="AP35" s="91"/>
    </row>
    <row r="36" spans="1:42" x14ac:dyDescent="0.35">
      <c r="B36" s="144"/>
      <c r="C36" s="91"/>
      <c r="D36" s="144"/>
      <c r="E36" s="144"/>
      <c r="F36" s="70" t="s">
        <v>44</v>
      </c>
      <c r="G36" s="91">
        <f>STDEV(G5:G34)</f>
        <v>0.47049035033171405</v>
      </c>
      <c r="H36" s="91">
        <f t="shared" ref="H36:I36" si="58">STDEV(H5:H34)</f>
        <v>0.23524517516585702</v>
      </c>
      <c r="I36" s="109">
        <f t="shared" si="58"/>
        <v>5.572958199679193</v>
      </c>
      <c r="J36" s="91"/>
      <c r="K36" s="91"/>
      <c r="L36" s="141"/>
      <c r="M36" s="91"/>
      <c r="N36" s="91"/>
      <c r="O36" s="70" t="s">
        <v>44</v>
      </c>
      <c r="P36" s="141">
        <f>STDEV(P5:P34)</f>
        <v>1.4185118908807535</v>
      </c>
      <c r="Q36" s="141">
        <f t="shared" ref="Q36:R36" si="59">STDEV(Q5:Q34)</f>
        <v>0.70925594544037673</v>
      </c>
      <c r="R36" s="145">
        <f t="shared" si="59"/>
        <v>16.80227334748249</v>
      </c>
      <c r="S36" s="141"/>
      <c r="T36" s="141"/>
      <c r="U36" s="141"/>
      <c r="V36" s="141"/>
      <c r="Y36" s="70" t="s">
        <v>44</v>
      </c>
      <c r="Z36" s="141">
        <f>STDEV(Z6:Z34)</f>
        <v>0.42251572514620422</v>
      </c>
      <c r="AA36" s="141">
        <f>STDEV(AA6:AA34)</f>
        <v>0.21125786257310211</v>
      </c>
      <c r="AB36" s="145">
        <f>STDEV(AB6:AB34)</f>
        <v>5.0046987643567702</v>
      </c>
      <c r="AC36" s="141"/>
      <c r="AD36" s="141"/>
      <c r="AE36" s="91"/>
      <c r="AF36" s="141"/>
      <c r="AG36" s="141"/>
      <c r="AH36" s="70" t="s">
        <v>44</v>
      </c>
      <c r="AI36" s="91">
        <f>STDEV(AI3:AI34)</f>
        <v>1.3808332342010097</v>
      </c>
      <c r="AJ36" s="91">
        <f>STDEV(AJ3:AJ34)</f>
        <v>0.69041661710050484</v>
      </c>
      <c r="AK36" s="109">
        <f>STDEV(AK3:AK34)</f>
        <v>16.355969659110933</v>
      </c>
      <c r="AL36" s="91"/>
      <c r="AM36" s="91"/>
      <c r="AN36" s="91"/>
      <c r="AO36" s="91"/>
      <c r="AP36" s="91"/>
    </row>
    <row r="37" spans="1:42" x14ac:dyDescent="0.35">
      <c r="B37" s="144"/>
      <c r="C37" s="92"/>
      <c r="D37" s="144"/>
      <c r="E37" s="144"/>
      <c r="F37" s="70" t="s">
        <v>7</v>
      </c>
      <c r="G37" s="92">
        <f>MIN(G5:G34)</f>
        <v>1.6152380952380954</v>
      </c>
      <c r="H37" s="92">
        <f t="shared" ref="H37:I37" si="60">MIN(H5:H34)</f>
        <v>0.80761904761904768</v>
      </c>
      <c r="I37" s="112">
        <f t="shared" si="60"/>
        <v>19.132495238095242</v>
      </c>
      <c r="J37" s="92"/>
      <c r="K37" s="146"/>
      <c r="L37" s="147"/>
      <c r="M37" s="146"/>
      <c r="N37" s="146"/>
      <c r="O37" s="70" t="s">
        <v>7</v>
      </c>
      <c r="P37" s="147">
        <f>MIN(P5:P34)</f>
        <v>2.7485714285714291</v>
      </c>
      <c r="Q37" s="147">
        <f t="shared" ref="Q37:R37" si="61">MIN(Q5:Q34)</f>
        <v>1.3742857142857146</v>
      </c>
      <c r="R37" s="148">
        <f t="shared" si="61"/>
        <v>32.556828571428582</v>
      </c>
      <c r="S37" s="147"/>
      <c r="T37" s="147"/>
      <c r="U37" s="147"/>
      <c r="V37" s="141"/>
      <c r="Y37" s="70" t="s">
        <v>7</v>
      </c>
      <c r="Z37" s="141">
        <f>MIN(Z6:Z34)</f>
        <v>1.2723809523809524</v>
      </c>
      <c r="AA37" s="141">
        <f>MIN(AA6:AA34)</f>
        <v>0.6361904761904762</v>
      </c>
      <c r="AB37" s="145">
        <f>MIN(AB6:AB34)</f>
        <v>15.071352380952382</v>
      </c>
      <c r="AC37" s="141"/>
      <c r="AD37" s="141"/>
      <c r="AE37" s="91"/>
      <c r="AF37" s="141"/>
      <c r="AG37" s="141"/>
      <c r="AH37" s="70" t="s">
        <v>7</v>
      </c>
      <c r="AI37" s="91">
        <f>MIN(AI3:AI34)</f>
        <v>1.7485714285714287</v>
      </c>
      <c r="AJ37" s="91">
        <f>MIN(AJ3:AJ34)</f>
        <v>0.87428571428571433</v>
      </c>
      <c r="AK37" s="109">
        <f>MIN(AK3:AK34)</f>
        <v>20.711828571428573</v>
      </c>
      <c r="AL37" s="91"/>
      <c r="AM37" s="91"/>
      <c r="AN37" s="91"/>
      <c r="AO37" s="91"/>
      <c r="AP37" s="91"/>
    </row>
    <row r="38" spans="1:42" ht="16" thickBot="1" x14ac:dyDescent="0.4">
      <c r="B38" s="144"/>
      <c r="C38" s="92"/>
      <c r="D38" s="144"/>
      <c r="E38" s="144"/>
      <c r="F38" s="71" t="s">
        <v>8</v>
      </c>
      <c r="G38" s="149">
        <f>MAX(G5:G34)</f>
        <v>3.177142857142857</v>
      </c>
      <c r="H38" s="149">
        <f t="shared" ref="H38:I38" si="62">MAX(H5:H34)</f>
        <v>1.5885714285714285</v>
      </c>
      <c r="I38" s="150">
        <f t="shared" si="62"/>
        <v>37.633257142857147</v>
      </c>
      <c r="J38" s="92"/>
      <c r="K38" s="146"/>
      <c r="L38" s="147"/>
      <c r="M38" s="146"/>
      <c r="N38" s="146"/>
      <c r="O38" s="71" t="s">
        <v>8</v>
      </c>
      <c r="P38" s="151">
        <f>MAX(P5:P34)</f>
        <v>7.3238095238095253</v>
      </c>
      <c r="Q38" s="151">
        <f t="shared" ref="Q38:R38" si="63">MAX(Q5:Q34)</f>
        <v>3.6619047619047627</v>
      </c>
      <c r="R38" s="152">
        <f t="shared" si="63"/>
        <v>86.750523809523827</v>
      </c>
      <c r="S38" s="147"/>
      <c r="T38" s="147"/>
      <c r="U38" s="147"/>
      <c r="V38" s="141"/>
      <c r="Y38" s="71" t="s">
        <v>8</v>
      </c>
      <c r="Z38" s="153">
        <f>MAX(Z6:Z34)</f>
        <v>2.5390476190476194</v>
      </c>
      <c r="AA38" s="153">
        <f>MAX(AA6:AA34)</f>
        <v>1.2695238095238097</v>
      </c>
      <c r="AB38" s="154">
        <f>MAX(AB6:AB34)</f>
        <v>30.075019047619055</v>
      </c>
      <c r="AC38" s="141"/>
      <c r="AD38" s="141"/>
      <c r="AE38" s="91"/>
      <c r="AF38" s="141"/>
      <c r="AG38" s="141"/>
      <c r="AH38" s="71" t="s">
        <v>8</v>
      </c>
      <c r="AI38" s="155">
        <f>MAX(AI3:AI34)</f>
        <v>6.1809523809523803</v>
      </c>
      <c r="AJ38" s="155">
        <f>MAX(AJ3:AJ34)</f>
        <v>3.0904761904761902</v>
      </c>
      <c r="AK38" s="156">
        <f>MAX(AK3:AK34)</f>
        <v>73.213380952380945</v>
      </c>
      <c r="AL38" s="91"/>
      <c r="AM38" s="91"/>
      <c r="AN38" s="91"/>
      <c r="AO38" s="91"/>
      <c r="AP38" s="91"/>
    </row>
    <row r="39" spans="1:42" x14ac:dyDescent="0.35">
      <c r="B39" s="61"/>
      <c r="C39" s="61"/>
      <c r="D39" s="61"/>
      <c r="E39" s="64"/>
      <c r="F39" s="64"/>
      <c r="S39" s="61"/>
      <c r="T39" s="61"/>
      <c r="U39" s="61"/>
      <c r="V39" s="61"/>
    </row>
    <row r="40" spans="1:42" x14ac:dyDescent="0.35">
      <c r="B40" s="63"/>
    </row>
    <row r="42" spans="1:42" s="61" customFormat="1" x14ac:dyDescent="0.35">
      <c r="A42" s="249"/>
      <c r="B42" s="157"/>
      <c r="C42" s="59"/>
      <c r="D42" s="59"/>
      <c r="E42" s="59"/>
      <c r="F42" s="59"/>
      <c r="G42" s="59"/>
      <c r="H42" s="59"/>
      <c r="I42" s="59"/>
      <c r="J42" s="158"/>
      <c r="K42" s="157"/>
      <c r="L42" s="59"/>
      <c r="M42" s="59"/>
      <c r="N42" s="59"/>
      <c r="O42" s="59"/>
      <c r="P42" s="59"/>
      <c r="Q42" s="59"/>
      <c r="R42" s="59"/>
      <c r="S42" s="158"/>
      <c r="T42" s="249"/>
      <c r="U42" s="83"/>
      <c r="V42" s="60"/>
      <c r="W42" s="60"/>
      <c r="X42" s="60"/>
      <c r="Y42" s="60"/>
      <c r="Z42" s="60"/>
      <c r="AA42" s="60"/>
      <c r="AB42" s="60"/>
      <c r="AC42" s="64"/>
      <c r="AD42" s="83"/>
      <c r="AE42" s="60"/>
      <c r="AF42" s="60"/>
      <c r="AG42" s="60"/>
      <c r="AH42" s="60"/>
      <c r="AI42" s="60"/>
      <c r="AJ42" s="60"/>
      <c r="AK42" s="60"/>
      <c r="AL42" s="64"/>
    </row>
    <row r="43" spans="1:42" s="61" customFormat="1" ht="15" customHeight="1" x14ac:dyDescent="0.35">
      <c r="A43" s="249"/>
      <c r="B43" s="63"/>
      <c r="C43" s="8"/>
      <c r="D43" s="63"/>
      <c r="E43" s="63"/>
      <c r="F43" s="72"/>
      <c r="G43" s="72"/>
      <c r="H43" s="72"/>
      <c r="I43" s="72"/>
      <c r="K43" s="63"/>
      <c r="L43" s="8"/>
      <c r="M43" s="72"/>
      <c r="N43" s="63"/>
      <c r="O43" s="72"/>
      <c r="P43" s="72"/>
      <c r="Q43" s="72"/>
      <c r="R43" s="72"/>
      <c r="T43" s="250"/>
      <c r="U43" s="63"/>
      <c r="V43" s="8"/>
      <c r="W43" s="72"/>
      <c r="X43" s="63"/>
      <c r="Y43" s="73"/>
      <c r="Z43" s="72"/>
      <c r="AA43" s="72"/>
      <c r="AB43" s="72"/>
      <c r="AC43" s="64"/>
      <c r="AD43" s="63"/>
      <c r="AE43" s="8"/>
      <c r="AF43" s="72"/>
      <c r="AG43" s="63"/>
      <c r="AH43" s="63"/>
      <c r="AI43" s="72"/>
      <c r="AJ43" s="72"/>
      <c r="AK43" s="72"/>
      <c r="AL43" s="64"/>
    </row>
    <row r="44" spans="1:42" s="61" customFormat="1" x14ac:dyDescent="0.35">
      <c r="A44" s="249"/>
      <c r="B44" s="63"/>
      <c r="C44" s="8"/>
      <c r="D44" s="72"/>
      <c r="E44" s="63"/>
      <c r="F44" s="72"/>
      <c r="G44" s="72"/>
      <c r="H44" s="72"/>
      <c r="I44" s="72"/>
      <c r="K44" s="63"/>
      <c r="L44" s="8"/>
      <c r="M44" s="72"/>
      <c r="N44" s="63"/>
      <c r="O44" s="72"/>
      <c r="P44" s="72"/>
      <c r="Q44" s="72"/>
      <c r="R44" s="72"/>
      <c r="T44" s="250"/>
      <c r="U44" s="63"/>
      <c r="V44" s="8"/>
      <c r="W44" s="72"/>
      <c r="X44" s="63"/>
      <c r="Y44" s="73"/>
      <c r="Z44" s="72"/>
      <c r="AA44" s="72"/>
      <c r="AB44" s="72"/>
      <c r="AC44" s="64"/>
      <c r="AD44" s="63"/>
      <c r="AE44" s="8"/>
      <c r="AF44" s="72"/>
      <c r="AG44" s="63"/>
      <c r="AH44" s="63"/>
      <c r="AI44" s="72"/>
      <c r="AJ44" s="72"/>
      <c r="AK44" s="72"/>
      <c r="AL44" s="64"/>
    </row>
    <row r="45" spans="1:42" s="61" customFormat="1" x14ac:dyDescent="0.35">
      <c r="A45" s="249"/>
      <c r="B45" s="63"/>
      <c r="C45" s="8"/>
      <c r="D45" s="72"/>
      <c r="E45" s="63"/>
      <c r="F45" s="72"/>
      <c r="G45" s="72"/>
      <c r="H45" s="72"/>
      <c r="I45" s="72"/>
      <c r="K45" s="63"/>
      <c r="L45" s="8"/>
      <c r="M45" s="72"/>
      <c r="N45" s="63"/>
      <c r="O45" s="72"/>
      <c r="P45" s="72"/>
      <c r="Q45" s="72"/>
      <c r="R45" s="72"/>
      <c r="T45" s="250"/>
      <c r="U45" s="63"/>
      <c r="V45" s="8"/>
      <c r="W45" s="72"/>
      <c r="X45" s="63"/>
      <c r="Y45" s="73"/>
      <c r="Z45" s="72"/>
      <c r="AA45" s="72"/>
      <c r="AB45" s="72"/>
      <c r="AC45" s="64"/>
      <c r="AD45" s="63"/>
      <c r="AE45" s="8"/>
      <c r="AF45" s="72"/>
      <c r="AG45" s="63"/>
      <c r="AH45" s="63"/>
      <c r="AI45" s="72"/>
      <c r="AJ45" s="72"/>
      <c r="AK45" s="72"/>
      <c r="AL45" s="64"/>
    </row>
    <row r="46" spans="1:42" s="61" customFormat="1" x14ac:dyDescent="0.35">
      <c r="A46" s="249"/>
      <c r="B46" s="63"/>
      <c r="C46" s="8"/>
      <c r="D46" s="72"/>
      <c r="E46" s="63"/>
      <c r="F46" s="72"/>
      <c r="G46" s="72"/>
      <c r="H46" s="72"/>
      <c r="I46" s="72"/>
      <c r="K46" s="63"/>
      <c r="L46" s="8"/>
      <c r="M46" s="72"/>
      <c r="N46" s="63"/>
      <c r="O46" s="72"/>
      <c r="P46" s="72"/>
      <c r="Q46" s="72"/>
      <c r="R46" s="72"/>
      <c r="T46" s="250"/>
      <c r="U46" s="63"/>
      <c r="V46" s="8"/>
      <c r="W46" s="72"/>
      <c r="X46" s="63"/>
      <c r="Y46" s="73"/>
      <c r="Z46" s="72"/>
      <c r="AA46" s="72"/>
      <c r="AB46" s="72"/>
      <c r="AC46" s="64"/>
      <c r="AD46" s="63"/>
      <c r="AE46" s="8"/>
      <c r="AF46" s="72"/>
      <c r="AG46" s="63"/>
      <c r="AH46" s="63"/>
      <c r="AI46" s="72"/>
      <c r="AJ46" s="72"/>
      <c r="AK46" s="72"/>
      <c r="AL46" s="64"/>
    </row>
    <row r="47" spans="1:42" s="61" customFormat="1" x14ac:dyDescent="0.35">
      <c r="A47" s="249"/>
      <c r="B47" s="63"/>
      <c r="C47" s="8"/>
      <c r="D47" s="72"/>
      <c r="E47" s="63"/>
      <c r="F47" s="72"/>
      <c r="G47" s="72"/>
      <c r="H47" s="72"/>
      <c r="I47" s="72"/>
      <c r="K47" s="63"/>
      <c r="L47" s="8"/>
      <c r="M47" s="72"/>
      <c r="N47" s="63"/>
      <c r="O47" s="72"/>
      <c r="P47" s="72"/>
      <c r="Q47" s="72"/>
      <c r="R47" s="72"/>
      <c r="T47" s="250"/>
      <c r="U47" s="63"/>
      <c r="V47" s="8"/>
      <c r="W47" s="72"/>
      <c r="X47" s="63"/>
      <c r="Y47" s="73"/>
      <c r="Z47" s="72"/>
      <c r="AA47" s="72"/>
      <c r="AB47" s="72"/>
      <c r="AC47" s="64"/>
      <c r="AD47" s="63"/>
      <c r="AE47" s="8"/>
      <c r="AF47" s="72"/>
      <c r="AG47" s="63"/>
      <c r="AH47" s="63"/>
      <c r="AI47" s="72"/>
      <c r="AJ47" s="72"/>
      <c r="AK47" s="72"/>
      <c r="AL47" s="64"/>
    </row>
    <row r="48" spans="1:42" s="61" customFormat="1" x14ac:dyDescent="0.35">
      <c r="A48" s="249"/>
      <c r="B48" s="63"/>
      <c r="C48" s="8"/>
      <c r="D48" s="72"/>
      <c r="E48" s="63"/>
      <c r="F48" s="72"/>
      <c r="G48" s="72"/>
      <c r="H48" s="72"/>
      <c r="I48" s="72"/>
      <c r="K48" s="63"/>
      <c r="L48" s="8"/>
      <c r="M48" s="72"/>
      <c r="N48" s="63"/>
      <c r="O48" s="72"/>
      <c r="P48" s="72"/>
      <c r="Q48" s="72"/>
      <c r="R48" s="72"/>
      <c r="T48" s="250"/>
      <c r="U48" s="63"/>
      <c r="V48" s="8"/>
      <c r="W48" s="72"/>
      <c r="X48" s="63"/>
      <c r="Y48" s="73"/>
      <c r="Z48" s="72"/>
      <c r="AA48" s="72"/>
      <c r="AB48" s="72"/>
      <c r="AC48" s="64"/>
      <c r="AD48" s="63"/>
      <c r="AE48" s="8"/>
      <c r="AF48" s="72"/>
      <c r="AG48" s="63"/>
      <c r="AH48" s="63"/>
      <c r="AI48" s="72"/>
      <c r="AJ48" s="72"/>
      <c r="AK48" s="72"/>
      <c r="AL48" s="64"/>
    </row>
    <row r="49" spans="1:39" s="61" customFormat="1" x14ac:dyDescent="0.35">
      <c r="A49" s="249"/>
      <c r="B49" s="63"/>
      <c r="C49" s="8"/>
      <c r="D49" s="72"/>
      <c r="E49" s="8"/>
      <c r="F49" s="72"/>
      <c r="G49" s="72"/>
      <c r="H49" s="72"/>
      <c r="I49" s="72"/>
      <c r="K49" s="63"/>
      <c r="L49" s="8"/>
      <c r="M49" s="72"/>
      <c r="N49" s="8"/>
      <c r="O49" s="72"/>
      <c r="P49" s="72"/>
      <c r="Q49" s="72"/>
      <c r="R49" s="72"/>
      <c r="T49" s="250"/>
      <c r="U49" s="63"/>
      <c r="V49" s="8"/>
      <c r="W49" s="72"/>
      <c r="X49" s="63"/>
      <c r="Y49" s="73"/>
      <c r="Z49" s="72"/>
      <c r="AA49" s="72"/>
      <c r="AB49" s="72"/>
      <c r="AC49" s="64"/>
      <c r="AD49" s="63"/>
      <c r="AE49" s="8"/>
      <c r="AF49" s="72"/>
      <c r="AG49" s="63"/>
      <c r="AH49" s="63"/>
      <c r="AI49" s="72"/>
      <c r="AJ49" s="72"/>
      <c r="AK49" s="72"/>
      <c r="AL49" s="64"/>
    </row>
    <row r="50" spans="1:39" s="61" customFormat="1" x14ac:dyDescent="0.35">
      <c r="A50" s="249"/>
      <c r="B50" s="159"/>
      <c r="C50" s="123"/>
      <c r="D50" s="124"/>
      <c r="E50" s="123"/>
      <c r="F50" s="72"/>
      <c r="G50" s="72"/>
      <c r="H50" s="72"/>
      <c r="I50" s="124"/>
      <c r="K50" s="159"/>
      <c r="L50" s="123"/>
      <c r="M50" s="124"/>
      <c r="N50" s="123"/>
      <c r="O50" s="72"/>
      <c r="P50" s="72"/>
      <c r="Q50" s="72"/>
      <c r="R50" s="124"/>
      <c r="T50" s="250"/>
      <c r="U50" s="63"/>
      <c r="V50" s="8"/>
      <c r="W50" s="72"/>
      <c r="X50" s="63"/>
      <c r="Y50" s="73"/>
      <c r="Z50" s="72"/>
      <c r="AA50" s="72"/>
      <c r="AB50" s="72"/>
      <c r="AC50" s="64"/>
      <c r="AD50" s="63"/>
      <c r="AE50" s="8"/>
      <c r="AF50" s="72"/>
      <c r="AG50" s="63"/>
      <c r="AH50" s="63"/>
      <c r="AI50" s="72"/>
      <c r="AJ50" s="72"/>
      <c r="AK50" s="72"/>
      <c r="AL50" s="64"/>
    </row>
    <row r="51" spans="1:39" s="61" customFormat="1" x14ac:dyDescent="0.35">
      <c r="A51" s="249"/>
      <c r="B51" s="159"/>
      <c r="C51" s="123"/>
      <c r="D51" s="124"/>
      <c r="E51" s="123"/>
      <c r="F51" s="72"/>
      <c r="G51" s="72"/>
      <c r="H51" s="72"/>
      <c r="I51" s="124"/>
      <c r="K51" s="159"/>
      <c r="L51" s="123"/>
      <c r="M51" s="124"/>
      <c r="N51" s="123"/>
      <c r="O51" s="72"/>
      <c r="P51" s="72"/>
      <c r="Q51" s="72"/>
      <c r="R51" s="124"/>
      <c r="T51" s="250"/>
      <c r="U51" s="63"/>
      <c r="V51" s="8"/>
      <c r="W51" s="72"/>
      <c r="X51" s="63"/>
      <c r="Y51" s="73"/>
      <c r="Z51" s="72"/>
      <c r="AA51" s="72"/>
      <c r="AB51" s="72"/>
      <c r="AC51" s="64"/>
      <c r="AD51" s="63"/>
      <c r="AE51" s="8"/>
      <c r="AF51" s="72"/>
      <c r="AG51" s="63"/>
      <c r="AH51" s="63"/>
      <c r="AI51" s="72"/>
      <c r="AJ51" s="72"/>
      <c r="AK51" s="72"/>
      <c r="AL51" s="64"/>
    </row>
    <row r="52" spans="1:39" s="61" customFormat="1" x14ac:dyDescent="0.35">
      <c r="A52" s="249"/>
      <c r="B52" s="159"/>
      <c r="C52" s="123"/>
      <c r="D52" s="124"/>
      <c r="E52" s="123"/>
      <c r="F52" s="72"/>
      <c r="G52" s="72"/>
      <c r="H52" s="72"/>
      <c r="I52" s="124"/>
      <c r="K52" s="159"/>
      <c r="L52" s="123"/>
      <c r="M52" s="124"/>
      <c r="N52" s="123"/>
      <c r="O52" s="72"/>
      <c r="P52" s="72"/>
      <c r="Q52" s="72"/>
      <c r="R52" s="124"/>
      <c r="T52" s="250"/>
      <c r="U52" s="63"/>
      <c r="V52" s="8"/>
      <c r="W52" s="72"/>
      <c r="X52" s="63"/>
      <c r="Y52" s="73"/>
      <c r="Z52" s="72"/>
      <c r="AA52" s="72"/>
      <c r="AB52" s="72"/>
      <c r="AC52" s="64"/>
      <c r="AD52" s="63"/>
      <c r="AE52" s="8"/>
      <c r="AF52" s="72"/>
      <c r="AG52" s="63"/>
      <c r="AH52" s="63"/>
      <c r="AI52" s="72"/>
      <c r="AJ52" s="72"/>
      <c r="AK52" s="72"/>
      <c r="AL52" s="64"/>
    </row>
    <row r="53" spans="1:39" s="61" customFormat="1" x14ac:dyDescent="0.35">
      <c r="A53" s="249"/>
      <c r="B53" s="159"/>
      <c r="C53" s="123"/>
      <c r="D53" s="124"/>
      <c r="E53" s="123"/>
      <c r="F53" s="72"/>
      <c r="G53" s="72"/>
      <c r="H53" s="72"/>
      <c r="I53" s="124"/>
      <c r="K53" s="159"/>
      <c r="L53" s="123"/>
      <c r="M53" s="124"/>
      <c r="N53" s="123"/>
      <c r="O53" s="72"/>
      <c r="P53" s="72"/>
      <c r="Q53" s="72"/>
      <c r="R53" s="124"/>
      <c r="T53" s="250"/>
      <c r="U53" s="63"/>
      <c r="V53" s="8"/>
      <c r="W53" s="72"/>
      <c r="X53" s="63"/>
      <c r="Y53" s="73"/>
      <c r="Z53" s="72"/>
      <c r="AA53" s="72"/>
      <c r="AB53" s="72"/>
      <c r="AC53" s="64"/>
      <c r="AD53" s="63"/>
      <c r="AE53" s="8"/>
      <c r="AF53" s="72"/>
      <c r="AG53" s="63"/>
      <c r="AH53" s="63"/>
      <c r="AI53" s="72"/>
      <c r="AJ53" s="72"/>
      <c r="AK53" s="72"/>
      <c r="AL53" s="64"/>
    </row>
    <row r="54" spans="1:39" s="61" customFormat="1" x14ac:dyDescent="0.35">
      <c r="G54" s="160"/>
      <c r="H54" s="161"/>
      <c r="I54" s="160"/>
      <c r="P54" s="160"/>
      <c r="Q54" s="161"/>
      <c r="R54" s="160"/>
      <c r="T54" s="250"/>
      <c r="U54" s="64"/>
      <c r="V54" s="64"/>
      <c r="W54" s="64"/>
      <c r="Y54" s="63"/>
      <c r="Z54" s="72"/>
      <c r="AA54" s="162"/>
      <c r="AB54" s="72"/>
      <c r="AC54" s="64"/>
      <c r="AD54" s="64"/>
      <c r="AE54" s="64"/>
      <c r="AF54" s="64"/>
      <c r="AH54" s="63"/>
      <c r="AI54" s="72"/>
      <c r="AJ54" s="162"/>
      <c r="AK54" s="72"/>
      <c r="AL54" s="64"/>
    </row>
    <row r="55" spans="1:39" s="61" customFormat="1" x14ac:dyDescent="0.35">
      <c r="G55" s="163"/>
      <c r="H55" s="163"/>
      <c r="I55" s="163"/>
      <c r="P55" s="163"/>
      <c r="Q55" s="163"/>
      <c r="R55" s="163"/>
      <c r="T55" s="250"/>
      <c r="U55" s="64"/>
      <c r="V55" s="64"/>
      <c r="W55" s="64"/>
      <c r="Y55" s="63"/>
      <c r="Z55" s="72"/>
      <c r="AA55" s="72"/>
      <c r="AB55" s="72"/>
      <c r="AC55" s="64"/>
      <c r="AD55" s="64"/>
      <c r="AE55" s="64"/>
      <c r="AF55" s="64"/>
      <c r="AH55" s="63"/>
      <c r="AI55" s="72"/>
      <c r="AJ55" s="72"/>
      <c r="AK55" s="72"/>
      <c r="AL55" s="64"/>
    </row>
    <row r="56" spans="1:39" s="61" customFormat="1" x14ac:dyDescent="0.35">
      <c r="G56" s="164"/>
      <c r="H56" s="164"/>
      <c r="I56" s="164"/>
      <c r="P56" s="164"/>
      <c r="Q56" s="164"/>
      <c r="R56" s="164"/>
      <c r="T56" s="250"/>
      <c r="U56" s="64"/>
      <c r="V56" s="64"/>
      <c r="W56" s="64"/>
      <c r="Y56" s="63"/>
      <c r="Z56" s="72"/>
      <c r="AA56" s="162"/>
      <c r="AB56" s="72"/>
      <c r="AC56" s="64"/>
      <c r="AD56" s="64"/>
      <c r="AE56" s="64"/>
      <c r="AF56" s="64"/>
      <c r="AH56" s="63"/>
      <c r="AI56" s="72"/>
      <c r="AJ56" s="162"/>
      <c r="AK56" s="72"/>
      <c r="AL56" s="64"/>
    </row>
    <row r="57" spans="1:39" s="61" customFormat="1" x14ac:dyDescent="0.35">
      <c r="F57" s="64"/>
      <c r="G57" s="163"/>
      <c r="H57" s="163"/>
      <c r="I57" s="163"/>
      <c r="O57" s="64"/>
      <c r="P57" s="163"/>
      <c r="Q57" s="163"/>
      <c r="R57" s="163"/>
      <c r="T57" s="250"/>
      <c r="U57" s="64"/>
      <c r="V57" s="64"/>
      <c r="W57" s="64"/>
      <c r="Y57" s="63"/>
      <c r="Z57" s="72"/>
      <c r="AA57" s="72"/>
      <c r="AB57" s="72"/>
      <c r="AC57" s="64"/>
      <c r="AD57" s="64"/>
      <c r="AE57" s="64"/>
      <c r="AF57" s="64"/>
      <c r="AH57" s="63"/>
      <c r="AI57" s="72"/>
      <c r="AJ57" s="72"/>
      <c r="AK57" s="72"/>
      <c r="AL57" s="64"/>
    </row>
    <row r="58" spans="1:39" s="61" customFormat="1" x14ac:dyDescent="0.35">
      <c r="F58" s="64"/>
      <c r="G58" s="163"/>
      <c r="H58" s="163"/>
      <c r="I58" s="163"/>
      <c r="O58" s="64"/>
      <c r="P58" s="163"/>
      <c r="Q58" s="163"/>
      <c r="R58" s="163"/>
      <c r="U58" s="64"/>
      <c r="V58" s="64"/>
      <c r="W58" s="64"/>
      <c r="Y58" s="63"/>
      <c r="Z58" s="72"/>
      <c r="AA58" s="72"/>
      <c r="AB58" s="72"/>
      <c r="AC58" s="64"/>
      <c r="AD58" s="64"/>
      <c r="AE58" s="64"/>
      <c r="AF58" s="64"/>
      <c r="AH58" s="63"/>
      <c r="AI58" s="72"/>
      <c r="AJ58" s="72"/>
      <c r="AK58" s="72"/>
      <c r="AL58" s="64"/>
    </row>
    <row r="59" spans="1:39" x14ac:dyDescent="0.35">
      <c r="AC59" s="165"/>
      <c r="AL59" s="165"/>
      <c r="AM59" s="166"/>
    </row>
    <row r="60" spans="1:39" x14ac:dyDescent="0.35">
      <c r="AC60" s="165"/>
      <c r="AL60" s="165"/>
      <c r="AM60" s="166"/>
    </row>
    <row r="61" spans="1:39" x14ac:dyDescent="0.35">
      <c r="AC61" s="165"/>
      <c r="AL61" s="165"/>
      <c r="AM61" s="166"/>
    </row>
    <row r="62" spans="1:39" x14ac:dyDescent="0.35">
      <c r="AC62" s="165"/>
      <c r="AL62" s="165"/>
      <c r="AM62" s="166"/>
    </row>
  </sheetData>
  <mergeCells count="4">
    <mergeCell ref="A42:A53"/>
    <mergeCell ref="T42:T57"/>
    <mergeCell ref="T4:T34"/>
    <mergeCell ref="A5:A34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58"/>
  <sheetViews>
    <sheetView topLeftCell="U19" workbookViewId="0">
      <selection activeCell="AD1" sqref="AD1"/>
    </sheetView>
  </sheetViews>
  <sheetFormatPr baseColWidth="10" defaultRowHeight="15.5" x14ac:dyDescent="0.35"/>
  <cols>
    <col min="1" max="16384" width="10.6640625" style="77"/>
  </cols>
  <sheetData>
    <row r="1" spans="2:38" x14ac:dyDescent="0.35">
      <c r="C1" s="167" t="s">
        <v>24</v>
      </c>
      <c r="D1" s="168">
        <v>17.149999999999999</v>
      </c>
      <c r="F1" s="169" t="s">
        <v>48</v>
      </c>
      <c r="G1" s="170">
        <v>0.17699999999999999</v>
      </c>
      <c r="I1" s="171"/>
      <c r="J1" s="169" t="s">
        <v>48</v>
      </c>
      <c r="K1" s="170">
        <v>0.18099999999999999</v>
      </c>
      <c r="M1" s="169" t="s">
        <v>48</v>
      </c>
      <c r="N1" s="172">
        <v>0.186</v>
      </c>
      <c r="O1" s="76" t="s">
        <v>1</v>
      </c>
      <c r="P1" s="76">
        <v>20</v>
      </c>
      <c r="Q1" s="76" t="s">
        <v>2</v>
      </c>
      <c r="T1" s="173"/>
      <c r="U1" s="169" t="s">
        <v>48</v>
      </c>
      <c r="V1" s="174">
        <v>0.188</v>
      </c>
      <c r="W1" s="173"/>
      <c r="X1" s="169" t="s">
        <v>48</v>
      </c>
      <c r="Y1" s="174">
        <v>0.16400000000000001</v>
      </c>
      <c r="AB1" s="169" t="s">
        <v>48</v>
      </c>
      <c r="AC1" s="172">
        <v>0.186</v>
      </c>
      <c r="AD1" s="76" t="s">
        <v>35</v>
      </c>
      <c r="AE1" s="76">
        <v>20</v>
      </c>
      <c r="AF1" s="76" t="s">
        <v>2</v>
      </c>
      <c r="AG1" s="175">
        <v>17.149999999999999</v>
      </c>
      <c r="AH1" s="176" t="s">
        <v>0</v>
      </c>
    </row>
    <row r="2" spans="2:38" ht="16" thickBot="1" x14ac:dyDescent="0.4">
      <c r="C2" s="77" t="s">
        <v>10</v>
      </c>
      <c r="J2" s="77" t="s">
        <v>19</v>
      </c>
      <c r="R2" s="77" t="s">
        <v>10</v>
      </c>
      <c r="Y2" s="77" t="s">
        <v>19</v>
      </c>
    </row>
    <row r="3" spans="2:38" ht="30" customHeight="1" thickBot="1" x14ac:dyDescent="0.4">
      <c r="B3" s="251" t="s">
        <v>43</v>
      </c>
      <c r="C3" s="79" t="s">
        <v>29</v>
      </c>
      <c r="D3" s="177" t="s">
        <v>36</v>
      </c>
      <c r="E3" s="178" t="s">
        <v>56</v>
      </c>
      <c r="F3" s="178" t="s">
        <v>57</v>
      </c>
      <c r="G3" s="178" t="s">
        <v>37</v>
      </c>
      <c r="H3" s="3" t="s">
        <v>9</v>
      </c>
      <c r="I3" s="117"/>
      <c r="J3" s="79" t="s">
        <v>29</v>
      </c>
      <c r="K3" s="177" t="s">
        <v>36</v>
      </c>
      <c r="L3" s="178" t="s">
        <v>56</v>
      </c>
      <c r="M3" s="178" t="s">
        <v>57</v>
      </c>
      <c r="N3" s="178" t="s">
        <v>37</v>
      </c>
      <c r="O3" s="3" t="s">
        <v>9</v>
      </c>
      <c r="Q3" s="251" t="s">
        <v>41</v>
      </c>
      <c r="R3" s="79" t="s">
        <v>29</v>
      </c>
      <c r="S3" s="177" t="s">
        <v>36</v>
      </c>
      <c r="T3" s="178" t="s">
        <v>56</v>
      </c>
      <c r="U3" s="178" t="s">
        <v>57</v>
      </c>
      <c r="V3" s="178" t="s">
        <v>37</v>
      </c>
      <c r="W3" s="3" t="s">
        <v>9</v>
      </c>
      <c r="X3" s="117"/>
      <c r="Y3" s="79" t="s">
        <v>29</v>
      </c>
      <c r="Z3" s="177" t="s">
        <v>36</v>
      </c>
      <c r="AA3" s="178" t="s">
        <v>56</v>
      </c>
      <c r="AB3" s="178" t="s">
        <v>57</v>
      </c>
      <c r="AC3" s="178" t="s">
        <v>37</v>
      </c>
      <c r="AD3" s="3" t="s">
        <v>9</v>
      </c>
      <c r="AF3" s="157"/>
      <c r="AG3" s="157"/>
      <c r="AH3" s="83"/>
      <c r="AI3" s="83"/>
      <c r="AJ3" s="83"/>
      <c r="AK3" s="83"/>
      <c r="AL3" s="83"/>
    </row>
    <row r="4" spans="2:38" ht="16" customHeight="1" x14ac:dyDescent="0.35">
      <c r="B4" s="251"/>
      <c r="C4" s="122">
        <v>1</v>
      </c>
      <c r="D4" s="9">
        <v>3.4000000000000002E-2</v>
      </c>
      <c r="E4" s="119">
        <f t="shared" ref="E4:E10" si="0">(D4/$G$1)*100</f>
        <v>19.209039548022602</v>
      </c>
      <c r="F4" s="119">
        <f>E4*0.01</f>
        <v>0.19209039548022602</v>
      </c>
      <c r="G4" s="179">
        <f>F4*0.4</f>
        <v>7.6836158192090415E-2</v>
      </c>
      <c r="H4" s="121">
        <f t="shared" ref="H4:H33" si="1">(G4*$D$1)/1</f>
        <v>1.3177401129943505</v>
      </c>
      <c r="J4" s="70">
        <v>1</v>
      </c>
      <c r="K4" s="9">
        <v>3.1E-2</v>
      </c>
      <c r="L4" s="179">
        <f t="shared" ref="L4:L10" si="2">(K4/$G$1)*100</f>
        <v>17.514124293785311</v>
      </c>
      <c r="M4" s="119">
        <f>L4*0.01</f>
        <v>0.17514124293785313</v>
      </c>
      <c r="N4" s="179">
        <f>M4*0.4</f>
        <v>7.0056497175141258E-2</v>
      </c>
      <c r="O4" s="121">
        <f t="shared" ref="O4:O33" si="3">(N4*$D$1)/1</f>
        <v>1.2014689265536724</v>
      </c>
      <c r="Q4" s="251"/>
      <c r="R4" s="70">
        <v>1</v>
      </c>
      <c r="S4" s="9">
        <f>0.041-0.004</f>
        <v>3.7000000000000005E-2</v>
      </c>
      <c r="T4" s="180">
        <f>(S4/$V$1)*100</f>
        <v>19.680851063829792</v>
      </c>
      <c r="U4" s="180">
        <f>T4*0.01</f>
        <v>0.19680851063829793</v>
      </c>
      <c r="V4" s="179">
        <f>U4*0.4</f>
        <v>7.8723404255319179E-2</v>
      </c>
      <c r="W4" s="121">
        <f t="shared" ref="W4:W33" si="4">(V4*$AG$1)/1</f>
        <v>1.3501063829787239</v>
      </c>
      <c r="X4" s="64"/>
      <c r="Y4" s="70">
        <v>1</v>
      </c>
      <c r="Z4" s="9">
        <f>0.048-0.01</f>
        <v>3.7999999999999999E-2</v>
      </c>
      <c r="AA4" s="180">
        <f>(Z4/$V$1)*100</f>
        <v>20.212765957446805</v>
      </c>
      <c r="AB4" s="180">
        <f>AA4*0.01</f>
        <v>0.20212765957446807</v>
      </c>
      <c r="AC4" s="179">
        <f>AB4*0.4</f>
        <v>8.085106382978724E-2</v>
      </c>
      <c r="AD4" s="121">
        <f t="shared" ref="AD4:AD33" si="5">(AC4*$AG$1)/1</f>
        <v>1.386595744680851</v>
      </c>
      <c r="AF4" s="63"/>
      <c r="AG4" s="8"/>
      <c r="AH4" s="162"/>
      <c r="AI4" s="162"/>
      <c r="AJ4" s="72"/>
      <c r="AK4" s="72"/>
      <c r="AL4" s="72"/>
    </row>
    <row r="5" spans="2:38" ht="16" customHeight="1" x14ac:dyDescent="0.35">
      <c r="B5" s="251"/>
      <c r="C5" s="70">
        <v>2</v>
      </c>
      <c r="D5" s="8">
        <v>2.7E-2</v>
      </c>
      <c r="E5" s="91">
        <f t="shared" si="0"/>
        <v>15.254237288135593</v>
      </c>
      <c r="F5" s="72">
        <f t="shared" ref="F5:F33" si="6">E5*0.01</f>
        <v>0.15254237288135594</v>
      </c>
      <c r="G5" s="91">
        <f t="shared" ref="G5:G33" si="7">F5*0.4</f>
        <v>6.1016949152542382E-2</v>
      </c>
      <c r="H5" s="74">
        <f t="shared" si="1"/>
        <v>1.0464406779661017</v>
      </c>
      <c r="J5" s="70">
        <v>2</v>
      </c>
      <c r="K5" s="8">
        <v>4.8000000000000001E-2</v>
      </c>
      <c r="L5" s="91">
        <f t="shared" si="2"/>
        <v>27.118644067796609</v>
      </c>
      <c r="M5" s="72">
        <f t="shared" ref="M5:M21" si="8">L5*0.01</f>
        <v>0.2711864406779661</v>
      </c>
      <c r="N5" s="91">
        <f t="shared" ref="N5:N33" si="9">M5*0.4</f>
        <v>0.10847457627118645</v>
      </c>
      <c r="O5" s="74">
        <f t="shared" si="3"/>
        <v>1.8603389830508474</v>
      </c>
      <c r="Q5" s="251"/>
      <c r="R5" s="70">
        <v>2</v>
      </c>
      <c r="S5" s="8">
        <v>3.5000000000000003E-2</v>
      </c>
      <c r="T5" s="162">
        <f t="shared" ref="T5:T6" si="10">(S5/$V$1)*100</f>
        <v>18.617021276595747</v>
      </c>
      <c r="U5" s="162">
        <f t="shared" ref="U5:U13" si="11">T5*0.01</f>
        <v>0.18617021276595747</v>
      </c>
      <c r="V5" s="91">
        <f t="shared" ref="V5:V13" si="12">U5*0.4</f>
        <v>7.4468085106382989E-2</v>
      </c>
      <c r="W5" s="74">
        <f t="shared" si="4"/>
        <v>1.2771276595744681</v>
      </c>
      <c r="X5" s="64"/>
      <c r="Y5" s="70">
        <v>2</v>
      </c>
      <c r="Z5" s="8">
        <v>2.8000000000000001E-2</v>
      </c>
      <c r="AA5" s="162">
        <f t="shared" ref="AA5:AA6" si="13">(Z5/$V$1)*100</f>
        <v>14.893617021276595</v>
      </c>
      <c r="AB5" s="162">
        <f t="shared" ref="AB5:AB13" si="14">AA5*0.01</f>
        <v>0.14893617021276595</v>
      </c>
      <c r="AC5" s="91">
        <f t="shared" ref="AC5:AC13" si="15">AB5*0.4</f>
        <v>5.9574468085106386E-2</v>
      </c>
      <c r="AD5" s="74">
        <f t="shared" si="5"/>
        <v>1.0217021276595744</v>
      </c>
      <c r="AF5" s="63"/>
      <c r="AG5" s="8"/>
      <c r="AH5" s="162"/>
      <c r="AI5" s="162"/>
      <c r="AJ5" s="72"/>
      <c r="AK5" s="72"/>
      <c r="AL5" s="72"/>
    </row>
    <row r="6" spans="2:38" ht="16" customHeight="1" x14ac:dyDescent="0.35">
      <c r="B6" s="251"/>
      <c r="C6" s="70">
        <v>3</v>
      </c>
      <c r="D6" s="8">
        <f>0.085-0.019</f>
        <v>6.6000000000000003E-2</v>
      </c>
      <c r="E6" s="91">
        <f t="shared" si="0"/>
        <v>37.288135593220346</v>
      </c>
      <c r="F6" s="72">
        <f t="shared" si="6"/>
        <v>0.37288135593220345</v>
      </c>
      <c r="G6" s="91">
        <f t="shared" si="7"/>
        <v>0.14915254237288139</v>
      </c>
      <c r="H6" s="74">
        <f t="shared" si="1"/>
        <v>2.5579661016949156</v>
      </c>
      <c r="J6" s="70">
        <v>3</v>
      </c>
      <c r="K6" s="8">
        <f>0.08-0.025</f>
        <v>5.5E-2</v>
      </c>
      <c r="L6" s="91">
        <f t="shared" si="2"/>
        <v>31.073446327683619</v>
      </c>
      <c r="M6" s="72">
        <f t="shared" si="8"/>
        <v>0.31073446327683618</v>
      </c>
      <c r="N6" s="91">
        <f t="shared" si="9"/>
        <v>0.12429378531073448</v>
      </c>
      <c r="O6" s="74">
        <f t="shared" si="3"/>
        <v>2.1316384180790964</v>
      </c>
      <c r="Q6" s="251"/>
      <c r="R6" s="70">
        <v>3</v>
      </c>
      <c r="S6" s="8">
        <v>1.4999999999999999E-2</v>
      </c>
      <c r="T6" s="162">
        <f t="shared" si="10"/>
        <v>7.9787234042553186</v>
      </c>
      <c r="U6" s="162">
        <f t="shared" si="11"/>
        <v>7.9787234042553182E-2</v>
      </c>
      <c r="V6" s="91">
        <f t="shared" si="12"/>
        <v>3.1914893617021274E-2</v>
      </c>
      <c r="W6" s="74">
        <f t="shared" si="4"/>
        <v>0.54734042553191475</v>
      </c>
      <c r="X6" s="64"/>
      <c r="Y6" s="70">
        <v>3</v>
      </c>
      <c r="Z6" s="8">
        <v>3.5999999999999997E-2</v>
      </c>
      <c r="AA6" s="162">
        <f t="shared" si="13"/>
        <v>19.148936170212767</v>
      </c>
      <c r="AB6" s="162">
        <f t="shared" si="14"/>
        <v>0.19148936170212769</v>
      </c>
      <c r="AC6" s="91">
        <f t="shared" si="15"/>
        <v>7.6595744680851077E-2</v>
      </c>
      <c r="AD6" s="74">
        <f t="shared" si="5"/>
        <v>1.3136170212765959</v>
      </c>
      <c r="AF6" s="63"/>
      <c r="AG6" s="8"/>
      <c r="AH6" s="162"/>
      <c r="AI6" s="162"/>
      <c r="AJ6" s="72"/>
      <c r="AK6" s="72"/>
      <c r="AL6" s="72"/>
    </row>
    <row r="7" spans="2:38" ht="16" customHeight="1" x14ac:dyDescent="0.35">
      <c r="B7" s="251"/>
      <c r="C7" s="70">
        <v>4</v>
      </c>
      <c r="D7" s="8">
        <v>0.03</v>
      </c>
      <c r="E7" s="91">
        <f t="shared" si="0"/>
        <v>16.949152542372879</v>
      </c>
      <c r="F7" s="72">
        <f t="shared" si="6"/>
        <v>0.16949152542372878</v>
      </c>
      <c r="G7" s="91">
        <f t="shared" si="7"/>
        <v>6.7796610169491511E-2</v>
      </c>
      <c r="H7" s="74">
        <f t="shared" si="1"/>
        <v>1.1627118644067793</v>
      </c>
      <c r="J7" s="70">
        <v>4</v>
      </c>
      <c r="K7" s="8">
        <v>2.1999999999999999E-2</v>
      </c>
      <c r="L7" s="91">
        <f t="shared" si="2"/>
        <v>12.429378531073446</v>
      </c>
      <c r="M7" s="72">
        <f t="shared" si="8"/>
        <v>0.12429378531073447</v>
      </c>
      <c r="N7" s="91">
        <f t="shared" si="9"/>
        <v>4.9717514124293788E-2</v>
      </c>
      <c r="O7" s="74">
        <f t="shared" si="3"/>
        <v>0.85265536723163837</v>
      </c>
      <c r="Q7" s="251"/>
      <c r="R7" s="70">
        <v>4</v>
      </c>
      <c r="S7" s="8">
        <v>2.5000000000000001E-2</v>
      </c>
      <c r="T7" s="162">
        <f>(S7/$Y$1)*100</f>
        <v>15.24390243902439</v>
      </c>
      <c r="U7" s="162">
        <f t="shared" si="11"/>
        <v>0.1524390243902439</v>
      </c>
      <c r="V7" s="91">
        <f t="shared" si="12"/>
        <v>6.097560975609756E-2</v>
      </c>
      <c r="W7" s="74">
        <f t="shared" si="4"/>
        <v>1.0457317073170731</v>
      </c>
      <c r="X7" s="181"/>
      <c r="Y7" s="70">
        <v>4</v>
      </c>
      <c r="Z7" s="8">
        <v>2.9000000000000001E-2</v>
      </c>
      <c r="AA7" s="162">
        <f>(Z7/$Y$1)*100</f>
        <v>17.682926829268293</v>
      </c>
      <c r="AB7" s="162">
        <f t="shared" si="14"/>
        <v>0.17682926829268295</v>
      </c>
      <c r="AC7" s="91">
        <f t="shared" si="15"/>
        <v>7.0731707317073178E-2</v>
      </c>
      <c r="AD7" s="74">
        <f t="shared" si="5"/>
        <v>1.213048780487805</v>
      </c>
      <c r="AF7" s="63"/>
      <c r="AG7" s="8"/>
      <c r="AH7" s="162"/>
      <c r="AI7" s="162"/>
      <c r="AJ7" s="72"/>
      <c r="AK7" s="72"/>
      <c r="AL7" s="72"/>
    </row>
    <row r="8" spans="2:38" ht="16" customHeight="1" x14ac:dyDescent="0.35">
      <c r="B8" s="251"/>
      <c r="C8" s="70">
        <v>5</v>
      </c>
      <c r="D8" s="8">
        <f>0.027+0.005</f>
        <v>3.2000000000000001E-2</v>
      </c>
      <c r="E8" s="91">
        <f t="shared" si="0"/>
        <v>18.079096045197744</v>
      </c>
      <c r="F8" s="72">
        <f t="shared" si="6"/>
        <v>0.18079096045197746</v>
      </c>
      <c r="G8" s="91">
        <f t="shared" si="7"/>
        <v>7.2316384180790991E-2</v>
      </c>
      <c r="H8" s="74">
        <f t="shared" si="1"/>
        <v>1.2402259887005653</v>
      </c>
      <c r="J8" s="70">
        <v>5</v>
      </c>
      <c r="K8" s="8">
        <f>0.087-0.033</f>
        <v>5.3999999999999992E-2</v>
      </c>
      <c r="L8" s="91">
        <f t="shared" si="2"/>
        <v>30.508474576271183</v>
      </c>
      <c r="M8" s="72">
        <f t="shared" si="8"/>
        <v>0.30508474576271183</v>
      </c>
      <c r="N8" s="91">
        <f t="shared" si="9"/>
        <v>0.12203389830508474</v>
      </c>
      <c r="O8" s="74">
        <f t="shared" si="3"/>
        <v>2.092881355932203</v>
      </c>
      <c r="Q8" s="251"/>
      <c r="R8" s="70">
        <v>5</v>
      </c>
      <c r="S8" s="8">
        <v>1.7999999999999999E-2</v>
      </c>
      <c r="T8" s="162">
        <f>(S8/$Y$1)*100</f>
        <v>10.97560975609756</v>
      </c>
      <c r="U8" s="162">
        <f t="shared" si="11"/>
        <v>0.1097560975609756</v>
      </c>
      <c r="V8" s="91">
        <f t="shared" si="12"/>
        <v>4.3902439024390241E-2</v>
      </c>
      <c r="W8" s="74">
        <f t="shared" si="4"/>
        <v>0.75292682926829257</v>
      </c>
      <c r="X8" s="181"/>
      <c r="Y8" s="70">
        <v>5</v>
      </c>
      <c r="Z8" s="8">
        <v>1.7000000000000001E-2</v>
      </c>
      <c r="AA8" s="162">
        <f>(Z8/$Y$1)*100</f>
        <v>10.365853658536587</v>
      </c>
      <c r="AB8" s="162">
        <f t="shared" si="14"/>
        <v>0.10365853658536586</v>
      </c>
      <c r="AC8" s="91">
        <f t="shared" si="15"/>
        <v>4.1463414634146351E-2</v>
      </c>
      <c r="AD8" s="74">
        <f t="shared" si="5"/>
        <v>0.71109756097560983</v>
      </c>
      <c r="AF8" s="63"/>
      <c r="AG8" s="8"/>
      <c r="AH8" s="162"/>
      <c r="AI8" s="162"/>
      <c r="AJ8" s="72"/>
      <c r="AK8" s="72"/>
      <c r="AL8" s="72"/>
    </row>
    <row r="9" spans="2:38" ht="16" customHeight="1" x14ac:dyDescent="0.35">
      <c r="B9" s="251"/>
      <c r="C9" s="70">
        <v>6</v>
      </c>
      <c r="D9" s="8">
        <v>4.3999999999999997E-2</v>
      </c>
      <c r="E9" s="91">
        <f t="shared" si="0"/>
        <v>24.858757062146893</v>
      </c>
      <c r="F9" s="72">
        <f t="shared" si="6"/>
        <v>0.24858757062146894</v>
      </c>
      <c r="G9" s="91">
        <f t="shared" si="7"/>
        <v>9.9435028248587576E-2</v>
      </c>
      <c r="H9" s="74">
        <f t="shared" si="1"/>
        <v>1.7053107344632767</v>
      </c>
      <c r="J9" s="70">
        <v>6</v>
      </c>
      <c r="K9" s="8">
        <f>0.016+0.01</f>
        <v>2.6000000000000002E-2</v>
      </c>
      <c r="L9" s="91">
        <f t="shared" si="2"/>
        <v>14.689265536723168</v>
      </c>
      <c r="M9" s="72">
        <f t="shared" si="8"/>
        <v>0.14689265536723167</v>
      </c>
      <c r="N9" s="91">
        <f t="shared" si="9"/>
        <v>5.875706214689267E-2</v>
      </c>
      <c r="O9" s="74">
        <f t="shared" si="3"/>
        <v>1.0076836158192093</v>
      </c>
      <c r="Q9" s="251"/>
      <c r="R9" s="70">
        <v>6</v>
      </c>
      <c r="S9" s="8">
        <v>0.02</v>
      </c>
      <c r="T9" s="162">
        <f>(S9/$Y$1)*100</f>
        <v>12.195121951219512</v>
      </c>
      <c r="U9" s="162">
        <f t="shared" si="11"/>
        <v>0.12195121951219513</v>
      </c>
      <c r="V9" s="91">
        <f t="shared" si="12"/>
        <v>4.8780487804878057E-2</v>
      </c>
      <c r="W9" s="74">
        <f t="shared" si="4"/>
        <v>0.83658536585365861</v>
      </c>
      <c r="X9" s="181"/>
      <c r="Y9" s="70">
        <v>6</v>
      </c>
      <c r="Z9" s="8">
        <f>0.01+0.011</f>
        <v>2.0999999999999998E-2</v>
      </c>
      <c r="AA9" s="162">
        <f>(Z9/$Y$1)*100</f>
        <v>12.804878048780486</v>
      </c>
      <c r="AB9" s="162">
        <f t="shared" si="14"/>
        <v>0.12804878048780485</v>
      </c>
      <c r="AC9" s="91">
        <f t="shared" si="15"/>
        <v>5.1219512195121941E-2</v>
      </c>
      <c r="AD9" s="74">
        <f t="shared" si="5"/>
        <v>0.87841463414634124</v>
      </c>
      <c r="AF9" s="63"/>
      <c r="AG9" s="8"/>
      <c r="AH9" s="162"/>
      <c r="AI9" s="162"/>
      <c r="AJ9" s="72"/>
      <c r="AK9" s="72"/>
      <c r="AL9" s="72"/>
    </row>
    <row r="10" spans="2:38" ht="16" customHeight="1" x14ac:dyDescent="0.35">
      <c r="B10" s="251"/>
      <c r="C10" s="70">
        <v>7</v>
      </c>
      <c r="D10" s="8">
        <v>0.04</v>
      </c>
      <c r="E10" s="91">
        <f t="shared" si="0"/>
        <v>22.598870056497177</v>
      </c>
      <c r="F10" s="72">
        <f t="shared" si="6"/>
        <v>0.22598870056497178</v>
      </c>
      <c r="G10" s="91">
        <f t="shared" si="7"/>
        <v>9.0395480225988714E-2</v>
      </c>
      <c r="H10" s="74">
        <f t="shared" si="1"/>
        <v>1.5502824858757063</v>
      </c>
      <c r="J10" s="70">
        <v>7</v>
      </c>
      <c r="K10" s="8">
        <f>0.01+0.011</f>
        <v>2.0999999999999998E-2</v>
      </c>
      <c r="L10" s="91">
        <f t="shared" si="2"/>
        <v>11.864406779661016</v>
      </c>
      <c r="M10" s="72">
        <f t="shared" si="8"/>
        <v>0.11864406779661016</v>
      </c>
      <c r="N10" s="91">
        <f t="shared" si="9"/>
        <v>4.7457627118644069E-2</v>
      </c>
      <c r="O10" s="74">
        <f t="shared" si="3"/>
        <v>0.8138983050847457</v>
      </c>
      <c r="Q10" s="251"/>
      <c r="R10" s="70">
        <v>7</v>
      </c>
      <c r="S10" s="8">
        <f>0.038-0.005</f>
        <v>3.3000000000000002E-2</v>
      </c>
      <c r="T10" s="162">
        <f>(S10/$Y$1)*100</f>
        <v>20.121951219512198</v>
      </c>
      <c r="U10" s="162">
        <f t="shared" si="11"/>
        <v>0.20121951219512199</v>
      </c>
      <c r="V10" s="91">
        <f t="shared" si="12"/>
        <v>8.0487804878048796E-2</v>
      </c>
      <c r="W10" s="74">
        <f t="shared" si="4"/>
        <v>1.3803658536585368</v>
      </c>
      <c r="X10" s="181"/>
      <c r="Y10" s="70">
        <v>7</v>
      </c>
      <c r="Z10" s="8">
        <v>1.6E-2</v>
      </c>
      <c r="AA10" s="162">
        <f>(Z10/$Y$1)*100</f>
        <v>9.7560975609756095</v>
      </c>
      <c r="AB10" s="162">
        <f t="shared" si="14"/>
        <v>9.7560975609756101E-2</v>
      </c>
      <c r="AC10" s="91">
        <f t="shared" si="15"/>
        <v>3.9024390243902446E-2</v>
      </c>
      <c r="AD10" s="74">
        <f t="shared" si="5"/>
        <v>0.66926829268292687</v>
      </c>
      <c r="AF10" s="63"/>
      <c r="AG10" s="8"/>
      <c r="AH10" s="162"/>
      <c r="AI10" s="162"/>
      <c r="AJ10" s="72"/>
      <c r="AK10" s="72"/>
      <c r="AL10" s="72"/>
    </row>
    <row r="11" spans="2:38" ht="16" customHeight="1" x14ac:dyDescent="0.35">
      <c r="B11" s="251"/>
      <c r="C11" s="70">
        <v>8</v>
      </c>
      <c r="D11" s="8">
        <v>3.1E-2</v>
      </c>
      <c r="E11" s="72">
        <f t="shared" ref="E11:E16" si="16">(D11/$K$1)*100</f>
        <v>17.127071823204421</v>
      </c>
      <c r="F11" s="72">
        <f t="shared" si="6"/>
        <v>0.17127071823204421</v>
      </c>
      <c r="G11" s="91">
        <f t="shared" si="7"/>
        <v>6.8508287292817688E-2</v>
      </c>
      <c r="H11" s="74">
        <f t="shared" si="1"/>
        <v>1.1749171270718233</v>
      </c>
      <c r="I11" s="182"/>
      <c r="J11" s="70">
        <v>8</v>
      </c>
      <c r="K11" s="8">
        <f>0.018+0.01</f>
        <v>2.7999999999999997E-2</v>
      </c>
      <c r="L11" s="72">
        <f t="shared" ref="L11:L16" si="17">(K11/$K$1)*100</f>
        <v>15.469613259668508</v>
      </c>
      <c r="M11" s="72">
        <f t="shared" si="8"/>
        <v>0.15469613259668508</v>
      </c>
      <c r="N11" s="91">
        <f t="shared" si="9"/>
        <v>6.1878453038674036E-2</v>
      </c>
      <c r="O11" s="74">
        <f t="shared" si="3"/>
        <v>1.0612154696132596</v>
      </c>
      <c r="Q11" s="251"/>
      <c r="R11" s="70">
        <v>8</v>
      </c>
      <c r="S11" s="89">
        <f>0.007+0.003</f>
        <v>0.01</v>
      </c>
      <c r="T11" s="162">
        <f>(S11/$AC$1)*100</f>
        <v>5.376344086021505</v>
      </c>
      <c r="U11" s="162">
        <f t="shared" si="11"/>
        <v>5.3763440860215055E-2</v>
      </c>
      <c r="V11" s="91">
        <f t="shared" si="12"/>
        <v>2.1505376344086023E-2</v>
      </c>
      <c r="W11" s="74">
        <f t="shared" si="4"/>
        <v>0.36881720430107529</v>
      </c>
      <c r="X11" s="181"/>
      <c r="Y11" s="70">
        <v>8</v>
      </c>
      <c r="Z11" s="8">
        <v>1.2E-2</v>
      </c>
      <c r="AA11" s="162">
        <f>(Z11/$AC$1)*100</f>
        <v>6.4516129032258061</v>
      </c>
      <c r="AB11" s="162">
        <f t="shared" si="14"/>
        <v>6.4516129032258063E-2</v>
      </c>
      <c r="AC11" s="91">
        <f t="shared" si="15"/>
        <v>2.5806451612903226E-2</v>
      </c>
      <c r="AD11" s="74">
        <f t="shared" si="5"/>
        <v>0.44258064516129031</v>
      </c>
      <c r="AF11" s="63"/>
      <c r="AG11" s="8"/>
      <c r="AH11" s="162"/>
      <c r="AI11" s="162"/>
      <c r="AJ11" s="72"/>
      <c r="AK11" s="72"/>
      <c r="AL11" s="72"/>
    </row>
    <row r="12" spans="2:38" ht="16" customHeight="1" x14ac:dyDescent="0.35">
      <c r="B12" s="251"/>
      <c r="C12" s="70">
        <v>9</v>
      </c>
      <c r="D12" s="8">
        <v>4.2000000000000003E-2</v>
      </c>
      <c r="E12" s="72">
        <f t="shared" si="16"/>
        <v>23.204419889502763</v>
      </c>
      <c r="F12" s="72">
        <f t="shared" si="6"/>
        <v>0.23204419889502764</v>
      </c>
      <c r="G12" s="91">
        <f t="shared" si="7"/>
        <v>9.2817679558011068E-2</v>
      </c>
      <c r="H12" s="74">
        <f t="shared" si="1"/>
        <v>1.5918232044198897</v>
      </c>
      <c r="I12" s="182"/>
      <c r="J12" s="70">
        <v>9</v>
      </c>
      <c r="K12" s="8">
        <f>0.011+0.014</f>
        <v>2.5000000000000001E-2</v>
      </c>
      <c r="L12" s="72">
        <f t="shared" si="17"/>
        <v>13.812154696132598</v>
      </c>
      <c r="M12" s="72">
        <f t="shared" si="8"/>
        <v>0.13812154696132597</v>
      </c>
      <c r="N12" s="91">
        <f t="shared" si="9"/>
        <v>5.5248618784530391E-2</v>
      </c>
      <c r="O12" s="74">
        <f t="shared" si="3"/>
        <v>0.9475138121546961</v>
      </c>
      <c r="Q12" s="251"/>
      <c r="R12" s="70">
        <v>9</v>
      </c>
      <c r="S12" s="89">
        <v>1.6E-2</v>
      </c>
      <c r="T12" s="162">
        <f>(S12/$AC$1)*100</f>
        <v>8.6021505376344098</v>
      </c>
      <c r="U12" s="162">
        <f t="shared" si="11"/>
        <v>8.6021505376344107E-2</v>
      </c>
      <c r="V12" s="91">
        <f t="shared" si="12"/>
        <v>3.4408602150537641E-2</v>
      </c>
      <c r="W12" s="74">
        <f t="shared" si="4"/>
        <v>0.59010752688172052</v>
      </c>
      <c r="X12" s="181"/>
      <c r="Y12" s="70">
        <v>9</v>
      </c>
      <c r="Z12" s="8">
        <v>2.1000000000000001E-2</v>
      </c>
      <c r="AA12" s="162">
        <f>(Z12/$AC$1)*100</f>
        <v>11.290322580645162</v>
      </c>
      <c r="AB12" s="162">
        <f t="shared" si="14"/>
        <v>0.11290322580645162</v>
      </c>
      <c r="AC12" s="91">
        <f t="shared" si="15"/>
        <v>4.5161290322580649E-2</v>
      </c>
      <c r="AD12" s="74">
        <f t="shared" si="5"/>
        <v>0.77451612903225808</v>
      </c>
      <c r="AF12" s="63"/>
      <c r="AG12" s="8"/>
      <c r="AH12" s="162"/>
      <c r="AI12" s="162"/>
      <c r="AJ12" s="72"/>
      <c r="AK12" s="72"/>
      <c r="AL12" s="72"/>
    </row>
    <row r="13" spans="2:38" ht="16" customHeight="1" x14ac:dyDescent="0.35">
      <c r="B13" s="251"/>
      <c r="C13" s="70">
        <v>10</v>
      </c>
      <c r="D13" s="8">
        <v>4.4999999999999998E-2</v>
      </c>
      <c r="E13" s="72">
        <f t="shared" si="16"/>
        <v>24.861878453038674</v>
      </c>
      <c r="F13" s="72">
        <f t="shared" si="6"/>
        <v>0.24861878453038674</v>
      </c>
      <c r="G13" s="91">
        <f t="shared" si="7"/>
        <v>9.9447513812154706E-2</v>
      </c>
      <c r="H13" s="74">
        <f t="shared" si="1"/>
        <v>1.7055248618784531</v>
      </c>
      <c r="I13" s="182"/>
      <c r="J13" s="70">
        <v>10</v>
      </c>
      <c r="K13" s="8">
        <f>0.019+0.003</f>
        <v>2.1999999999999999E-2</v>
      </c>
      <c r="L13" s="72">
        <f t="shared" si="17"/>
        <v>12.154696132596685</v>
      </c>
      <c r="M13" s="72">
        <f t="shared" si="8"/>
        <v>0.12154696132596686</v>
      </c>
      <c r="N13" s="91">
        <f t="shared" si="9"/>
        <v>4.8618784530386747E-2</v>
      </c>
      <c r="O13" s="74">
        <f t="shared" si="3"/>
        <v>0.83381215469613268</v>
      </c>
      <c r="Q13" s="251"/>
      <c r="R13" s="70">
        <v>10</v>
      </c>
      <c r="S13" s="8">
        <f>0.008+0.003</f>
        <v>1.0999999999999999E-2</v>
      </c>
      <c r="T13" s="162">
        <f>(S13/$AC$1)*100</f>
        <v>5.9139784946236551</v>
      </c>
      <c r="U13" s="162">
        <f t="shared" si="11"/>
        <v>5.9139784946236555E-2</v>
      </c>
      <c r="V13" s="91">
        <f t="shared" si="12"/>
        <v>2.3655913978494623E-2</v>
      </c>
      <c r="W13" s="74">
        <f t="shared" si="4"/>
        <v>0.40569892473118274</v>
      </c>
      <c r="X13" s="181"/>
      <c r="Y13" s="70">
        <v>10</v>
      </c>
      <c r="Z13" s="8">
        <v>0.02</v>
      </c>
      <c r="AA13" s="162">
        <f>(Z13/$AC$1)*100</f>
        <v>10.75268817204301</v>
      </c>
      <c r="AB13" s="162">
        <f t="shared" si="14"/>
        <v>0.10752688172043011</v>
      </c>
      <c r="AC13" s="91">
        <f t="shared" si="15"/>
        <v>4.3010752688172046E-2</v>
      </c>
      <c r="AD13" s="74">
        <f t="shared" si="5"/>
        <v>0.73763440860215057</v>
      </c>
      <c r="AF13" s="63"/>
      <c r="AG13" s="8"/>
      <c r="AH13" s="162"/>
      <c r="AI13" s="162"/>
      <c r="AJ13" s="72"/>
      <c r="AK13" s="72"/>
      <c r="AL13" s="72"/>
    </row>
    <row r="14" spans="2:38" ht="16" customHeight="1" x14ac:dyDescent="0.35">
      <c r="B14" s="251"/>
      <c r="C14" s="70">
        <v>11</v>
      </c>
      <c r="D14" s="8">
        <f>0.025+0.003</f>
        <v>2.8000000000000001E-2</v>
      </c>
      <c r="E14" s="72">
        <f t="shared" si="16"/>
        <v>15.46961325966851</v>
      </c>
      <c r="F14" s="72">
        <f t="shared" si="6"/>
        <v>0.1546961325966851</v>
      </c>
      <c r="G14" s="91">
        <f t="shared" si="7"/>
        <v>6.1878453038674043E-2</v>
      </c>
      <c r="H14" s="74">
        <f t="shared" si="1"/>
        <v>1.0612154696132599</v>
      </c>
      <c r="I14" s="182"/>
      <c r="J14" s="70">
        <v>11</v>
      </c>
      <c r="K14" s="8">
        <v>0.04</v>
      </c>
      <c r="L14" s="72">
        <f t="shared" si="17"/>
        <v>22.099447513812155</v>
      </c>
      <c r="M14" s="72">
        <f t="shared" si="8"/>
        <v>0.22099447513812157</v>
      </c>
      <c r="N14" s="91">
        <f t="shared" si="9"/>
        <v>8.8397790055248629E-2</v>
      </c>
      <c r="O14" s="74">
        <f t="shared" si="3"/>
        <v>1.5160220994475138</v>
      </c>
      <c r="Q14" s="251"/>
      <c r="R14" s="70">
        <v>11</v>
      </c>
      <c r="S14" s="8">
        <v>3.1E-2</v>
      </c>
      <c r="T14" s="162">
        <f>(S14/$V$1)*100</f>
        <v>16.48936170212766</v>
      </c>
      <c r="U14" s="162">
        <f>T14*0.01</f>
        <v>0.16489361702127661</v>
      </c>
      <c r="V14" s="91">
        <f>U14*0.4</f>
        <v>6.595744680851065E-2</v>
      </c>
      <c r="W14" s="74">
        <f t="shared" si="4"/>
        <v>1.1311702127659575</v>
      </c>
      <c r="X14" s="181"/>
      <c r="Y14" s="70">
        <v>11</v>
      </c>
      <c r="Z14" s="8">
        <f>0.045-0.01</f>
        <v>3.4999999999999996E-2</v>
      </c>
      <c r="AA14" s="162">
        <f>(Z14/$V$1)*100</f>
        <v>18.617021276595743</v>
      </c>
      <c r="AB14" s="162">
        <f>AA14*0.01</f>
        <v>0.18617021276595744</v>
      </c>
      <c r="AC14" s="91">
        <f>AB14*0.4</f>
        <v>7.4468085106382975E-2</v>
      </c>
      <c r="AD14" s="74">
        <f t="shared" si="5"/>
        <v>1.2771276595744678</v>
      </c>
      <c r="AF14" s="63"/>
      <c r="AG14" s="8"/>
      <c r="AH14" s="162"/>
      <c r="AI14" s="162"/>
      <c r="AJ14" s="72"/>
      <c r="AK14" s="72"/>
      <c r="AL14" s="72"/>
    </row>
    <row r="15" spans="2:38" ht="16" customHeight="1" x14ac:dyDescent="0.35">
      <c r="B15" s="251"/>
      <c r="C15" s="70">
        <v>12</v>
      </c>
      <c r="D15" s="8">
        <v>3.5000000000000003E-2</v>
      </c>
      <c r="E15" s="72">
        <f t="shared" si="16"/>
        <v>19.33701657458564</v>
      </c>
      <c r="F15" s="72">
        <f t="shared" si="6"/>
        <v>0.19337016574585641</v>
      </c>
      <c r="G15" s="91">
        <f t="shared" si="7"/>
        <v>7.7348066298342566E-2</v>
      </c>
      <c r="H15" s="74">
        <f t="shared" si="1"/>
        <v>1.3265193370165749</v>
      </c>
      <c r="I15" s="182"/>
      <c r="J15" s="70">
        <v>12</v>
      </c>
      <c r="K15" s="8">
        <v>2.1000000000000001E-2</v>
      </c>
      <c r="L15" s="72">
        <f t="shared" si="17"/>
        <v>11.602209944751381</v>
      </c>
      <c r="M15" s="72">
        <f t="shared" si="8"/>
        <v>0.11602209944751382</v>
      </c>
      <c r="N15" s="91">
        <f t="shared" si="9"/>
        <v>4.6408839779005534E-2</v>
      </c>
      <c r="O15" s="74">
        <f t="shared" si="3"/>
        <v>0.79591160220994484</v>
      </c>
      <c r="Q15" s="251"/>
      <c r="R15" s="70">
        <v>12</v>
      </c>
      <c r="S15" s="8">
        <v>3.6999999999999998E-2</v>
      </c>
      <c r="T15" s="162">
        <f t="shared" ref="T15:T16" si="18">(S15/$V$1)*100</f>
        <v>19.680851063829785</v>
      </c>
      <c r="U15" s="162">
        <f t="shared" ref="U15:U22" si="19">T15*0.01</f>
        <v>0.19680851063829785</v>
      </c>
      <c r="V15" s="91">
        <f t="shared" ref="V15:V22" si="20">U15*0.4</f>
        <v>7.8723404255319152E-2</v>
      </c>
      <c r="W15" s="74">
        <f t="shared" si="4"/>
        <v>1.3501063829787234</v>
      </c>
      <c r="X15" s="181"/>
      <c r="Y15" s="70">
        <v>12</v>
      </c>
      <c r="Z15" s="8">
        <v>2.8000000000000001E-2</v>
      </c>
      <c r="AA15" s="162">
        <f t="shared" ref="AA15:AA16" si="21">(Z15/$V$1)*100</f>
        <v>14.893617021276595</v>
      </c>
      <c r="AB15" s="162">
        <f t="shared" ref="AB15:AB22" si="22">AA15*0.01</f>
        <v>0.14893617021276595</v>
      </c>
      <c r="AC15" s="91">
        <f t="shared" ref="AC15:AC22" si="23">AB15*0.4</f>
        <v>5.9574468085106386E-2</v>
      </c>
      <c r="AD15" s="74">
        <f t="shared" si="5"/>
        <v>1.0217021276595744</v>
      </c>
      <c r="AF15" s="63"/>
      <c r="AG15" s="8"/>
      <c r="AH15" s="162"/>
      <c r="AI15" s="162"/>
      <c r="AJ15" s="72"/>
      <c r="AK15" s="72"/>
      <c r="AL15" s="72"/>
    </row>
    <row r="16" spans="2:38" ht="16" customHeight="1" x14ac:dyDescent="0.35">
      <c r="B16" s="251"/>
      <c r="C16" s="70">
        <v>13</v>
      </c>
      <c r="D16" s="8">
        <v>3.9E-2</v>
      </c>
      <c r="E16" s="72">
        <f t="shared" si="16"/>
        <v>21.546961325966851</v>
      </c>
      <c r="F16" s="72">
        <f t="shared" si="6"/>
        <v>0.21546961325966851</v>
      </c>
      <c r="G16" s="91">
        <f t="shared" si="7"/>
        <v>8.6187845303867416E-2</v>
      </c>
      <c r="H16" s="74">
        <f t="shared" si="1"/>
        <v>1.478121546961326</v>
      </c>
      <c r="I16" s="182"/>
      <c r="J16" s="70">
        <v>13</v>
      </c>
      <c r="K16" s="8">
        <f>0.015+0.01</f>
        <v>2.5000000000000001E-2</v>
      </c>
      <c r="L16" s="72">
        <f t="shared" si="17"/>
        <v>13.812154696132598</v>
      </c>
      <c r="M16" s="72">
        <f t="shared" si="8"/>
        <v>0.13812154696132597</v>
      </c>
      <c r="N16" s="91">
        <f t="shared" si="9"/>
        <v>5.5248618784530391E-2</v>
      </c>
      <c r="O16" s="74">
        <f t="shared" si="3"/>
        <v>0.9475138121546961</v>
      </c>
      <c r="Q16" s="251"/>
      <c r="R16" s="70">
        <v>13</v>
      </c>
      <c r="S16" s="8">
        <v>0.01</v>
      </c>
      <c r="T16" s="162">
        <f t="shared" si="18"/>
        <v>5.3191489361702127</v>
      </c>
      <c r="U16" s="162">
        <f t="shared" si="19"/>
        <v>5.3191489361702128E-2</v>
      </c>
      <c r="V16" s="91">
        <f t="shared" si="20"/>
        <v>2.1276595744680854E-2</v>
      </c>
      <c r="W16" s="74">
        <f t="shared" si="4"/>
        <v>0.3648936170212766</v>
      </c>
      <c r="X16" s="181"/>
      <c r="Y16" s="70">
        <v>13</v>
      </c>
      <c r="Z16" s="8">
        <v>3.5999999999999997E-2</v>
      </c>
      <c r="AA16" s="162">
        <f t="shared" si="21"/>
        <v>19.148936170212767</v>
      </c>
      <c r="AB16" s="162">
        <f t="shared" si="22"/>
        <v>0.19148936170212769</v>
      </c>
      <c r="AC16" s="91">
        <f t="shared" si="23"/>
        <v>7.6595744680851077E-2</v>
      </c>
      <c r="AD16" s="74">
        <f t="shared" si="5"/>
        <v>1.3136170212765959</v>
      </c>
      <c r="AF16" s="63"/>
      <c r="AG16" s="8"/>
      <c r="AH16" s="162"/>
      <c r="AI16" s="162"/>
      <c r="AJ16" s="72"/>
      <c r="AK16" s="72"/>
      <c r="AL16" s="72"/>
    </row>
    <row r="17" spans="2:40" ht="16" customHeight="1" x14ac:dyDescent="0.35">
      <c r="B17" s="251"/>
      <c r="C17" s="70">
        <v>14</v>
      </c>
      <c r="D17" s="8">
        <v>5.5E-2</v>
      </c>
      <c r="E17" s="72">
        <f t="shared" ref="E17:E33" si="24">(D17/$N$1)*100</f>
        <v>29.56989247311828</v>
      </c>
      <c r="F17" s="72">
        <f t="shared" si="6"/>
        <v>0.29569892473118281</v>
      </c>
      <c r="G17" s="91">
        <f t="shared" si="7"/>
        <v>0.11827956989247312</v>
      </c>
      <c r="H17" s="74">
        <f t="shared" si="1"/>
        <v>2.0284946236559138</v>
      </c>
      <c r="I17" s="182"/>
      <c r="J17" s="70">
        <v>14</v>
      </c>
      <c r="K17" s="8">
        <v>5.5E-2</v>
      </c>
      <c r="L17" s="72">
        <f t="shared" ref="L17:L33" si="25">(K17/$N$1)*100</f>
        <v>29.56989247311828</v>
      </c>
      <c r="M17" s="72">
        <f t="shared" si="8"/>
        <v>0.29569892473118281</v>
      </c>
      <c r="N17" s="91">
        <f t="shared" si="9"/>
        <v>0.11827956989247312</v>
      </c>
      <c r="O17" s="74">
        <f t="shared" si="3"/>
        <v>2.0284946236559138</v>
      </c>
      <c r="Q17" s="251"/>
      <c r="R17" s="70">
        <v>14</v>
      </c>
      <c r="S17" s="8">
        <v>2.7E-2</v>
      </c>
      <c r="T17" s="162">
        <f>(S17/$Y$1)*100</f>
        <v>16.463414634146339</v>
      </c>
      <c r="U17" s="162">
        <f t="shared" si="19"/>
        <v>0.16463414634146339</v>
      </c>
      <c r="V17" s="91">
        <f t="shared" si="20"/>
        <v>6.5853658536585355E-2</v>
      </c>
      <c r="W17" s="74">
        <f t="shared" si="4"/>
        <v>1.1293902439024388</v>
      </c>
      <c r="X17" s="181"/>
      <c r="Y17" s="70">
        <v>14</v>
      </c>
      <c r="Z17" s="8">
        <v>3.3000000000000002E-2</v>
      </c>
      <c r="AA17" s="162">
        <f>(Z17/$Y$1)*100</f>
        <v>20.121951219512198</v>
      </c>
      <c r="AB17" s="162">
        <f t="shared" si="22"/>
        <v>0.20121951219512199</v>
      </c>
      <c r="AC17" s="91">
        <f t="shared" si="23"/>
        <v>8.0487804878048796E-2</v>
      </c>
      <c r="AD17" s="74">
        <f t="shared" si="5"/>
        <v>1.3803658536585368</v>
      </c>
      <c r="AF17" s="63"/>
      <c r="AG17" s="8"/>
      <c r="AH17" s="162"/>
      <c r="AI17" s="162"/>
      <c r="AJ17" s="72"/>
      <c r="AK17" s="72"/>
      <c r="AL17" s="72"/>
    </row>
    <row r="18" spans="2:40" ht="16" customHeight="1" x14ac:dyDescent="0.35">
      <c r="B18" s="251"/>
      <c r="C18" s="70">
        <v>15</v>
      </c>
      <c r="D18" s="8">
        <v>3.4000000000000002E-2</v>
      </c>
      <c r="E18" s="72">
        <f t="shared" si="24"/>
        <v>18.27956989247312</v>
      </c>
      <c r="F18" s="72">
        <f t="shared" si="6"/>
        <v>0.18279569892473121</v>
      </c>
      <c r="G18" s="91">
        <f t="shared" si="7"/>
        <v>7.3118279569892489E-2</v>
      </c>
      <c r="H18" s="74">
        <f t="shared" si="1"/>
        <v>1.2539784946236561</v>
      </c>
      <c r="I18" s="182"/>
      <c r="J18" s="70">
        <v>15</v>
      </c>
      <c r="K18" s="8">
        <v>3.4000000000000002E-2</v>
      </c>
      <c r="L18" s="72">
        <f t="shared" si="25"/>
        <v>18.27956989247312</v>
      </c>
      <c r="M18" s="72">
        <f t="shared" si="8"/>
        <v>0.18279569892473121</v>
      </c>
      <c r="N18" s="91">
        <f t="shared" si="9"/>
        <v>7.3118279569892489E-2</v>
      </c>
      <c r="O18" s="74">
        <f t="shared" si="3"/>
        <v>1.2539784946236561</v>
      </c>
      <c r="Q18" s="251"/>
      <c r="R18" s="70">
        <v>15</v>
      </c>
      <c r="S18" s="8">
        <f>0.038-0.006</f>
        <v>3.2000000000000001E-2</v>
      </c>
      <c r="T18" s="162">
        <f>(S18/$Y$1)*100</f>
        <v>19.512195121951219</v>
      </c>
      <c r="U18" s="162">
        <f t="shared" si="19"/>
        <v>0.1951219512195122</v>
      </c>
      <c r="V18" s="91">
        <f t="shared" si="20"/>
        <v>7.8048780487804892E-2</v>
      </c>
      <c r="W18" s="74">
        <f t="shared" si="4"/>
        <v>1.3385365853658537</v>
      </c>
      <c r="X18" s="181"/>
      <c r="Y18" s="70">
        <v>15</v>
      </c>
      <c r="Z18" s="8">
        <v>1.7000000000000001E-2</v>
      </c>
      <c r="AA18" s="162">
        <f>(Z18/$Y$1)*100</f>
        <v>10.365853658536587</v>
      </c>
      <c r="AB18" s="162">
        <f t="shared" si="22"/>
        <v>0.10365853658536586</v>
      </c>
      <c r="AC18" s="91">
        <f t="shared" si="23"/>
        <v>4.1463414634146351E-2</v>
      </c>
      <c r="AD18" s="74">
        <f t="shared" si="5"/>
        <v>0.71109756097560983</v>
      </c>
      <c r="AF18" s="63"/>
      <c r="AG18" s="8"/>
      <c r="AH18" s="162"/>
      <c r="AI18" s="162"/>
      <c r="AJ18" s="72"/>
      <c r="AK18" s="72"/>
      <c r="AL18" s="72"/>
    </row>
    <row r="19" spans="2:40" ht="16" customHeight="1" x14ac:dyDescent="0.35">
      <c r="B19" s="251"/>
      <c r="C19" s="70">
        <v>16</v>
      </c>
      <c r="D19" s="8">
        <v>0.05</v>
      </c>
      <c r="E19" s="72">
        <f t="shared" si="24"/>
        <v>26.881720430107531</v>
      </c>
      <c r="F19" s="72">
        <f t="shared" si="6"/>
        <v>0.26881720430107531</v>
      </c>
      <c r="G19" s="91">
        <f t="shared" si="7"/>
        <v>0.10752688172043012</v>
      </c>
      <c r="H19" s="74">
        <f t="shared" si="1"/>
        <v>1.8440860215053765</v>
      </c>
      <c r="I19" s="182"/>
      <c r="J19" s="70">
        <v>16</v>
      </c>
      <c r="K19" s="8">
        <v>0.02</v>
      </c>
      <c r="L19" s="72">
        <f t="shared" si="25"/>
        <v>10.75268817204301</v>
      </c>
      <c r="M19" s="72">
        <f t="shared" si="8"/>
        <v>0.10752688172043011</v>
      </c>
      <c r="N19" s="91">
        <f t="shared" si="9"/>
        <v>4.3010752688172046E-2</v>
      </c>
      <c r="O19" s="74">
        <f t="shared" si="3"/>
        <v>0.73763440860215057</v>
      </c>
      <c r="Q19" s="251"/>
      <c r="R19" s="70">
        <v>16</v>
      </c>
      <c r="S19" s="8">
        <v>1.7000000000000001E-2</v>
      </c>
      <c r="T19" s="162">
        <f>(S19/$Y$1)*100</f>
        <v>10.365853658536587</v>
      </c>
      <c r="U19" s="162">
        <f t="shared" si="19"/>
        <v>0.10365853658536586</v>
      </c>
      <c r="V19" s="91">
        <f t="shared" si="20"/>
        <v>4.1463414634146351E-2</v>
      </c>
      <c r="W19" s="74">
        <f t="shared" si="4"/>
        <v>0.71109756097560983</v>
      </c>
      <c r="X19" s="181"/>
      <c r="Y19" s="70">
        <v>16</v>
      </c>
      <c r="Z19" s="8">
        <f>0.01+0.008</f>
        <v>1.8000000000000002E-2</v>
      </c>
      <c r="AA19" s="162">
        <f>(Z19/$Y$1)*100</f>
        <v>10.975609756097562</v>
      </c>
      <c r="AB19" s="162">
        <f t="shared" si="22"/>
        <v>0.10975609756097562</v>
      </c>
      <c r="AC19" s="91">
        <f t="shared" si="23"/>
        <v>4.3902439024390255E-2</v>
      </c>
      <c r="AD19" s="74">
        <f t="shared" si="5"/>
        <v>0.7529268292682928</v>
      </c>
      <c r="AE19" s="182"/>
      <c r="AF19" s="63"/>
      <c r="AG19" s="8"/>
      <c r="AH19" s="162"/>
      <c r="AI19" s="162"/>
      <c r="AJ19" s="72"/>
      <c r="AK19" s="72"/>
      <c r="AL19" s="72"/>
      <c r="AM19" s="182"/>
      <c r="AN19" s="182"/>
    </row>
    <row r="20" spans="2:40" ht="16" customHeight="1" x14ac:dyDescent="0.35">
      <c r="B20" s="251"/>
      <c r="C20" s="70">
        <v>17</v>
      </c>
      <c r="D20" s="8">
        <v>3.2000000000000001E-2</v>
      </c>
      <c r="E20" s="72">
        <f t="shared" si="24"/>
        <v>17.20430107526882</v>
      </c>
      <c r="F20" s="72">
        <f t="shared" si="6"/>
        <v>0.17204301075268821</v>
      </c>
      <c r="G20" s="91">
        <f t="shared" si="7"/>
        <v>6.8817204301075283E-2</v>
      </c>
      <c r="H20" s="74">
        <f t="shared" si="1"/>
        <v>1.180215053763441</v>
      </c>
      <c r="I20" s="182"/>
      <c r="J20" s="70">
        <v>17</v>
      </c>
      <c r="K20" s="8">
        <f>0.017+0.01</f>
        <v>2.7000000000000003E-2</v>
      </c>
      <c r="L20" s="72">
        <f t="shared" si="25"/>
        <v>14.516129032258066</v>
      </c>
      <c r="M20" s="72">
        <f t="shared" si="8"/>
        <v>0.14516129032258066</v>
      </c>
      <c r="N20" s="91">
        <f t="shared" si="9"/>
        <v>5.8064516129032268E-2</v>
      </c>
      <c r="O20" s="74">
        <f t="shared" si="3"/>
        <v>0.99580645161290327</v>
      </c>
      <c r="Q20" s="251"/>
      <c r="R20" s="70">
        <v>17</v>
      </c>
      <c r="S20" s="8">
        <v>2.8000000000000001E-2</v>
      </c>
      <c r="T20" s="162">
        <f>(S20/$Y$1)*100</f>
        <v>17.073170731707314</v>
      </c>
      <c r="U20" s="162">
        <f t="shared" si="19"/>
        <v>0.17073170731707316</v>
      </c>
      <c r="V20" s="91">
        <f t="shared" si="20"/>
        <v>6.829268292682926E-2</v>
      </c>
      <c r="W20" s="74">
        <f t="shared" si="4"/>
        <v>1.1712195121951217</v>
      </c>
      <c r="X20" s="181"/>
      <c r="Y20" s="70">
        <v>17</v>
      </c>
      <c r="Z20" s="8">
        <v>1.6E-2</v>
      </c>
      <c r="AA20" s="162">
        <f>(Z20/$Y$1)*100</f>
        <v>9.7560975609756095</v>
      </c>
      <c r="AB20" s="162">
        <f t="shared" si="22"/>
        <v>9.7560975609756101E-2</v>
      </c>
      <c r="AC20" s="91">
        <f t="shared" si="23"/>
        <v>3.9024390243902446E-2</v>
      </c>
      <c r="AD20" s="74">
        <f t="shared" si="5"/>
        <v>0.66926829268292687</v>
      </c>
      <c r="AE20" s="182"/>
      <c r="AF20" s="63"/>
      <c r="AG20" s="8"/>
      <c r="AH20" s="162"/>
      <c r="AI20" s="162"/>
      <c r="AJ20" s="72"/>
      <c r="AK20" s="72"/>
      <c r="AL20" s="72"/>
      <c r="AM20" s="182"/>
      <c r="AN20" s="182"/>
    </row>
    <row r="21" spans="2:40" ht="16" customHeight="1" x14ac:dyDescent="0.35">
      <c r="B21" s="251"/>
      <c r="C21" s="70">
        <v>18</v>
      </c>
      <c r="D21" s="8">
        <f>0.028+0.006</f>
        <v>3.4000000000000002E-2</v>
      </c>
      <c r="E21" s="72">
        <f t="shared" si="24"/>
        <v>18.27956989247312</v>
      </c>
      <c r="F21" s="72">
        <f t="shared" si="6"/>
        <v>0.18279569892473121</v>
      </c>
      <c r="G21" s="91">
        <f t="shared" si="7"/>
        <v>7.3118279569892489E-2</v>
      </c>
      <c r="H21" s="74">
        <f t="shared" si="1"/>
        <v>1.2539784946236561</v>
      </c>
      <c r="I21" s="182"/>
      <c r="J21" s="70">
        <v>18</v>
      </c>
      <c r="K21" s="8">
        <f>0.058-0.005</f>
        <v>5.3000000000000005E-2</v>
      </c>
      <c r="L21" s="72">
        <f t="shared" si="25"/>
        <v>28.49462365591398</v>
      </c>
      <c r="M21" s="72">
        <f t="shared" si="8"/>
        <v>0.28494623655913981</v>
      </c>
      <c r="N21" s="91">
        <f t="shared" si="9"/>
        <v>0.11397849462365593</v>
      </c>
      <c r="O21" s="74">
        <f t="shared" si="3"/>
        <v>1.954731182795699</v>
      </c>
      <c r="Q21" s="251"/>
      <c r="R21" s="70">
        <v>18</v>
      </c>
      <c r="S21" s="89">
        <f>0.007+0.007</f>
        <v>1.4E-2</v>
      </c>
      <c r="T21" s="162">
        <f t="shared" ref="T21:T33" si="26">(S21/$AC$1)*100</f>
        <v>7.5268817204301079</v>
      </c>
      <c r="U21" s="162">
        <f t="shared" si="19"/>
        <v>7.5268817204301078E-2</v>
      </c>
      <c r="V21" s="91">
        <f t="shared" si="20"/>
        <v>3.0107526881720432E-2</v>
      </c>
      <c r="W21" s="74">
        <f t="shared" si="4"/>
        <v>0.51634408602150539</v>
      </c>
      <c r="X21" s="181"/>
      <c r="Y21" s="70">
        <v>18</v>
      </c>
      <c r="Z21" s="8">
        <f>0.012+0.003</f>
        <v>1.4999999999999999E-2</v>
      </c>
      <c r="AA21" s="162">
        <f>(Z21/$AC$1)*100</f>
        <v>8.064516129032258</v>
      </c>
      <c r="AB21" s="162">
        <f t="shared" si="22"/>
        <v>8.0645161290322578E-2</v>
      </c>
      <c r="AC21" s="91">
        <f t="shared" si="23"/>
        <v>3.2258064516129031E-2</v>
      </c>
      <c r="AD21" s="74">
        <f t="shared" si="5"/>
        <v>0.55322580645161279</v>
      </c>
      <c r="AE21" s="182"/>
      <c r="AF21" s="63"/>
      <c r="AG21" s="8"/>
      <c r="AH21" s="162"/>
      <c r="AI21" s="162"/>
      <c r="AJ21" s="72"/>
      <c r="AK21" s="72"/>
      <c r="AL21" s="72"/>
      <c r="AM21" s="182"/>
      <c r="AN21" s="182"/>
    </row>
    <row r="22" spans="2:40" ht="16" customHeight="1" x14ac:dyDescent="0.35">
      <c r="B22" s="251"/>
      <c r="C22" s="70">
        <v>19</v>
      </c>
      <c r="D22" s="8">
        <v>5.3999999999999999E-2</v>
      </c>
      <c r="E22" s="72">
        <f t="shared" si="24"/>
        <v>29.032258064516132</v>
      </c>
      <c r="F22" s="72">
        <f t="shared" si="6"/>
        <v>0.29032258064516131</v>
      </c>
      <c r="G22" s="91">
        <f t="shared" si="7"/>
        <v>0.11612903225806454</v>
      </c>
      <c r="H22" s="74">
        <f t="shared" si="1"/>
        <v>1.9916129032258065</v>
      </c>
      <c r="I22" s="182"/>
      <c r="J22" s="70">
        <v>19</v>
      </c>
      <c r="K22" s="8">
        <v>2.9000000000000001E-2</v>
      </c>
      <c r="L22" s="72">
        <f t="shared" si="25"/>
        <v>15.591397849462366</v>
      </c>
      <c r="M22" s="72">
        <f t="shared" ref="M22:M33" si="27">L22*0.01</f>
        <v>0.15591397849462366</v>
      </c>
      <c r="N22" s="91">
        <f t="shared" si="9"/>
        <v>6.2365591397849467E-2</v>
      </c>
      <c r="O22" s="74">
        <f t="shared" si="3"/>
        <v>1.0695698924731183</v>
      </c>
      <c r="Q22" s="251"/>
      <c r="R22" s="70">
        <v>19</v>
      </c>
      <c r="S22" s="89">
        <v>1.2E-2</v>
      </c>
      <c r="T22" s="162">
        <f t="shared" si="26"/>
        <v>6.4516129032258061</v>
      </c>
      <c r="U22" s="162">
        <f t="shared" si="19"/>
        <v>6.4516129032258063E-2</v>
      </c>
      <c r="V22" s="91">
        <f t="shared" si="20"/>
        <v>2.5806451612903226E-2</v>
      </c>
      <c r="W22" s="74">
        <f t="shared" si="4"/>
        <v>0.44258064516129031</v>
      </c>
      <c r="X22" s="64"/>
      <c r="Y22" s="70">
        <v>19</v>
      </c>
      <c r="Z22" s="8">
        <v>2.3E-2</v>
      </c>
      <c r="AA22" s="162">
        <f>(Z22/$AC$1)*100</f>
        <v>12.365591397849462</v>
      </c>
      <c r="AB22" s="162">
        <f t="shared" si="22"/>
        <v>0.12365591397849462</v>
      </c>
      <c r="AC22" s="91">
        <f t="shared" si="23"/>
        <v>4.9462365591397855E-2</v>
      </c>
      <c r="AD22" s="74">
        <f t="shared" si="5"/>
        <v>0.84827956989247311</v>
      </c>
      <c r="AE22" s="162"/>
      <c r="AF22" s="63"/>
      <c r="AG22" s="8"/>
      <c r="AH22" s="162"/>
      <c r="AI22" s="162"/>
      <c r="AJ22" s="72"/>
      <c r="AK22" s="72"/>
      <c r="AL22" s="72"/>
      <c r="AM22" s="162"/>
      <c r="AN22" s="162"/>
    </row>
    <row r="23" spans="2:40" x14ac:dyDescent="0.35">
      <c r="B23" s="251"/>
      <c r="C23" s="70">
        <v>20</v>
      </c>
      <c r="D23" s="8">
        <v>4.9000000000000002E-2</v>
      </c>
      <c r="E23" s="72">
        <f t="shared" si="24"/>
        <v>26.344086021505376</v>
      </c>
      <c r="F23" s="72">
        <f t="shared" si="6"/>
        <v>0.26344086021505375</v>
      </c>
      <c r="G23" s="91">
        <f t="shared" si="7"/>
        <v>0.10537634408602151</v>
      </c>
      <c r="H23" s="74">
        <f t="shared" si="1"/>
        <v>1.8072043010752687</v>
      </c>
      <c r="J23" s="70">
        <v>20</v>
      </c>
      <c r="K23" s="8">
        <v>4.5999999999999999E-2</v>
      </c>
      <c r="L23" s="72">
        <f t="shared" si="25"/>
        <v>24.731182795698924</v>
      </c>
      <c r="M23" s="72">
        <f t="shared" si="27"/>
        <v>0.24731182795698925</v>
      </c>
      <c r="N23" s="91">
        <f t="shared" si="9"/>
        <v>9.8924731182795711E-2</v>
      </c>
      <c r="O23" s="74">
        <f t="shared" si="3"/>
        <v>1.6965591397849462</v>
      </c>
      <c r="Q23" s="251"/>
      <c r="R23" s="70">
        <v>20</v>
      </c>
      <c r="S23" s="8">
        <v>3.7999999999999999E-2</v>
      </c>
      <c r="T23" s="162">
        <f t="shared" si="26"/>
        <v>20.43010752688172</v>
      </c>
      <c r="U23" s="162">
        <f t="shared" ref="U23:U33" si="28">T23*0.01</f>
        <v>0.20430107526881722</v>
      </c>
      <c r="V23" s="91">
        <f t="shared" ref="V23:V33" si="29">U23*0.4</f>
        <v>8.1720430107526887E-2</v>
      </c>
      <c r="W23" s="74">
        <f t="shared" si="4"/>
        <v>1.4015053763440859</v>
      </c>
      <c r="X23" s="64"/>
      <c r="Y23" s="70">
        <v>20</v>
      </c>
      <c r="Z23" s="8">
        <v>3.6999999999999998E-2</v>
      </c>
      <c r="AA23" s="162">
        <f t="shared" ref="AA23:AA33" si="30">(Z23/$AC$1)*100</f>
        <v>19.892473118279568</v>
      </c>
      <c r="AB23" s="162">
        <f t="shared" ref="AB23:AB33" si="31">AA23*0.01</f>
        <v>0.19892473118279569</v>
      </c>
      <c r="AC23" s="91">
        <f t="shared" ref="AC23:AC33" si="32">AB23*0.4</f>
        <v>7.9569892473118284E-2</v>
      </c>
      <c r="AD23" s="74">
        <f t="shared" si="5"/>
        <v>1.3646236559139784</v>
      </c>
      <c r="AE23" s="162"/>
      <c r="AF23" s="63"/>
      <c r="AG23" s="63"/>
      <c r="AH23" s="91"/>
      <c r="AI23" s="91"/>
      <c r="AJ23" s="91"/>
      <c r="AK23" s="91"/>
      <c r="AL23" s="91"/>
      <c r="AM23" s="162"/>
      <c r="AN23" s="162"/>
    </row>
    <row r="24" spans="2:40" x14ac:dyDescent="0.35">
      <c r="B24" s="251"/>
      <c r="C24" s="70">
        <v>21</v>
      </c>
      <c r="D24" s="8">
        <v>4.2000000000000003E-2</v>
      </c>
      <c r="E24" s="72">
        <f t="shared" si="24"/>
        <v>22.580645161290324</v>
      </c>
      <c r="F24" s="72">
        <f t="shared" si="6"/>
        <v>0.22580645161290325</v>
      </c>
      <c r="G24" s="91">
        <f t="shared" si="7"/>
        <v>9.0322580645161299E-2</v>
      </c>
      <c r="H24" s="74">
        <f t="shared" si="1"/>
        <v>1.5490322580645162</v>
      </c>
      <c r="J24" s="70">
        <v>21</v>
      </c>
      <c r="K24" s="8">
        <f>0.075-0.019</f>
        <v>5.5999999999999994E-2</v>
      </c>
      <c r="L24" s="72">
        <f t="shared" si="25"/>
        <v>30.107526881720425</v>
      </c>
      <c r="M24" s="72">
        <f t="shared" si="27"/>
        <v>0.30107526881720426</v>
      </c>
      <c r="N24" s="91">
        <f t="shared" si="9"/>
        <v>0.12043010752688171</v>
      </c>
      <c r="O24" s="74">
        <f t="shared" si="3"/>
        <v>2.0653763440860211</v>
      </c>
      <c r="Q24" s="251"/>
      <c r="R24" s="70">
        <v>21</v>
      </c>
      <c r="S24" s="8">
        <v>2.1000000000000001E-2</v>
      </c>
      <c r="T24" s="162">
        <f t="shared" si="26"/>
        <v>11.290322580645162</v>
      </c>
      <c r="U24" s="162">
        <f t="shared" si="28"/>
        <v>0.11290322580645162</v>
      </c>
      <c r="V24" s="91">
        <f t="shared" si="29"/>
        <v>4.5161290322580649E-2</v>
      </c>
      <c r="W24" s="74">
        <f t="shared" si="4"/>
        <v>0.77451612903225808</v>
      </c>
      <c r="X24" s="64"/>
      <c r="Y24" s="70">
        <v>21</v>
      </c>
      <c r="Z24" s="8">
        <v>2.1000000000000001E-2</v>
      </c>
      <c r="AA24" s="162">
        <f t="shared" si="30"/>
        <v>11.290322580645162</v>
      </c>
      <c r="AB24" s="162">
        <f t="shared" si="31"/>
        <v>0.11290322580645162</v>
      </c>
      <c r="AC24" s="91">
        <f t="shared" si="32"/>
        <v>4.5161290322580649E-2</v>
      </c>
      <c r="AD24" s="74">
        <f t="shared" si="5"/>
        <v>0.77451612903225808</v>
      </c>
      <c r="AF24" s="61"/>
      <c r="AG24" s="63"/>
      <c r="AH24" s="91"/>
      <c r="AI24" s="91"/>
      <c r="AJ24" s="91"/>
      <c r="AK24" s="91"/>
      <c r="AL24" s="91"/>
    </row>
    <row r="25" spans="2:40" x14ac:dyDescent="0.35">
      <c r="B25" s="251"/>
      <c r="C25" s="70">
        <v>22</v>
      </c>
      <c r="D25" s="8">
        <v>3.1E-2</v>
      </c>
      <c r="E25" s="72">
        <f t="shared" si="24"/>
        <v>16.666666666666664</v>
      </c>
      <c r="F25" s="72">
        <f t="shared" si="6"/>
        <v>0.16666666666666666</v>
      </c>
      <c r="G25" s="91">
        <f t="shared" si="7"/>
        <v>6.6666666666666666E-2</v>
      </c>
      <c r="H25" s="74">
        <f t="shared" si="1"/>
        <v>1.1433333333333333</v>
      </c>
      <c r="J25" s="70">
        <v>22</v>
      </c>
      <c r="K25" s="8">
        <f>0.015+0.005</f>
        <v>0.02</v>
      </c>
      <c r="L25" s="72">
        <f t="shared" si="25"/>
        <v>10.75268817204301</v>
      </c>
      <c r="M25" s="72">
        <f t="shared" si="27"/>
        <v>0.10752688172043011</v>
      </c>
      <c r="N25" s="91">
        <f t="shared" si="9"/>
        <v>4.3010752688172046E-2</v>
      </c>
      <c r="O25" s="74">
        <f t="shared" si="3"/>
        <v>0.73763440860215057</v>
      </c>
      <c r="Q25" s="251"/>
      <c r="R25" s="70">
        <v>22</v>
      </c>
      <c r="S25" s="8">
        <f>0.009+0.004</f>
        <v>1.2999999999999999E-2</v>
      </c>
      <c r="T25" s="162">
        <f t="shared" si="26"/>
        <v>6.9892473118279561</v>
      </c>
      <c r="U25" s="162">
        <f t="shared" si="28"/>
        <v>6.9892473118279563E-2</v>
      </c>
      <c r="V25" s="91">
        <f t="shared" si="29"/>
        <v>2.7956989247311825E-2</v>
      </c>
      <c r="W25" s="74">
        <f t="shared" si="4"/>
        <v>0.47946236559139777</v>
      </c>
      <c r="Y25" s="70">
        <v>22</v>
      </c>
      <c r="Z25" s="8">
        <v>1.4999999999999999E-2</v>
      </c>
      <c r="AA25" s="162">
        <f t="shared" si="30"/>
        <v>8.064516129032258</v>
      </c>
      <c r="AB25" s="162">
        <f t="shared" si="31"/>
        <v>8.0645161290322578E-2</v>
      </c>
      <c r="AC25" s="91">
        <f t="shared" si="32"/>
        <v>3.2258064516129031E-2</v>
      </c>
      <c r="AD25" s="74">
        <f t="shared" si="5"/>
        <v>0.55322580645161279</v>
      </c>
      <c r="AF25" s="61"/>
      <c r="AG25" s="63"/>
      <c r="AH25" s="91"/>
      <c r="AI25" s="91"/>
      <c r="AJ25" s="91"/>
      <c r="AK25" s="91"/>
      <c r="AL25" s="91"/>
    </row>
    <row r="26" spans="2:40" x14ac:dyDescent="0.35">
      <c r="B26" s="251"/>
      <c r="C26" s="70">
        <v>23</v>
      </c>
      <c r="D26" s="8">
        <v>5.7000000000000002E-2</v>
      </c>
      <c r="E26" s="72">
        <f t="shared" si="24"/>
        <v>30.64516129032258</v>
      </c>
      <c r="F26" s="72">
        <f t="shared" si="6"/>
        <v>0.30645161290322581</v>
      </c>
      <c r="G26" s="91">
        <f t="shared" si="7"/>
        <v>0.12258064516129033</v>
      </c>
      <c r="H26" s="74">
        <f t="shared" si="1"/>
        <v>2.1022580645161288</v>
      </c>
      <c r="J26" s="70">
        <v>23</v>
      </c>
      <c r="K26" s="8">
        <v>5.1999999999999998E-2</v>
      </c>
      <c r="L26" s="72">
        <f t="shared" si="25"/>
        <v>27.956989247311824</v>
      </c>
      <c r="M26" s="72">
        <f t="shared" si="27"/>
        <v>0.27956989247311825</v>
      </c>
      <c r="N26" s="91">
        <f t="shared" si="9"/>
        <v>0.1118279569892473</v>
      </c>
      <c r="O26" s="74">
        <f t="shared" si="3"/>
        <v>1.9178494623655911</v>
      </c>
      <c r="Q26" s="251"/>
      <c r="R26" s="70">
        <v>23</v>
      </c>
      <c r="S26" s="8">
        <v>2.8000000000000001E-2</v>
      </c>
      <c r="T26" s="162">
        <f t="shared" si="26"/>
        <v>15.053763440860216</v>
      </c>
      <c r="U26" s="162">
        <f t="shared" si="28"/>
        <v>0.15053763440860216</v>
      </c>
      <c r="V26" s="91">
        <f t="shared" si="29"/>
        <v>6.0215053763440864E-2</v>
      </c>
      <c r="W26" s="74">
        <f t="shared" si="4"/>
        <v>1.0326881720430108</v>
      </c>
      <c r="Y26" s="70">
        <v>23</v>
      </c>
      <c r="Z26" s="8">
        <v>0.03</v>
      </c>
      <c r="AA26" s="162">
        <f t="shared" si="30"/>
        <v>16.129032258064516</v>
      </c>
      <c r="AB26" s="162">
        <f t="shared" si="31"/>
        <v>0.16129032258064516</v>
      </c>
      <c r="AC26" s="91">
        <f t="shared" si="32"/>
        <v>6.4516129032258063E-2</v>
      </c>
      <c r="AD26" s="74">
        <f t="shared" si="5"/>
        <v>1.1064516129032256</v>
      </c>
      <c r="AF26" s="61"/>
      <c r="AG26" s="63"/>
      <c r="AH26" s="91"/>
      <c r="AI26" s="91"/>
      <c r="AJ26" s="91"/>
      <c r="AK26" s="91"/>
      <c r="AL26" s="91"/>
    </row>
    <row r="27" spans="2:40" x14ac:dyDescent="0.35">
      <c r="B27" s="251"/>
      <c r="C27" s="70">
        <v>24</v>
      </c>
      <c r="D27" s="8">
        <v>6.5000000000000002E-2</v>
      </c>
      <c r="E27" s="72">
        <f t="shared" si="24"/>
        <v>34.946236559139784</v>
      </c>
      <c r="F27" s="72">
        <f t="shared" si="6"/>
        <v>0.34946236559139787</v>
      </c>
      <c r="G27" s="91">
        <f t="shared" si="7"/>
        <v>0.13978494623655915</v>
      </c>
      <c r="H27" s="74">
        <f t="shared" si="1"/>
        <v>2.3973118279569894</v>
      </c>
      <c r="J27" s="70">
        <v>24</v>
      </c>
      <c r="K27" s="8">
        <v>2.1000000000000001E-2</v>
      </c>
      <c r="L27" s="72">
        <f t="shared" si="25"/>
        <v>11.290322580645162</v>
      </c>
      <c r="M27" s="72">
        <f t="shared" si="27"/>
        <v>0.11290322580645162</v>
      </c>
      <c r="N27" s="91">
        <f t="shared" si="9"/>
        <v>4.5161290322580649E-2</v>
      </c>
      <c r="O27" s="74">
        <f t="shared" si="3"/>
        <v>0.77451612903225808</v>
      </c>
      <c r="Q27" s="251"/>
      <c r="R27" s="70">
        <v>24</v>
      </c>
      <c r="S27" s="8">
        <v>3.9E-2</v>
      </c>
      <c r="T27" s="162">
        <f t="shared" si="26"/>
        <v>20.967741935483872</v>
      </c>
      <c r="U27" s="162">
        <f t="shared" si="28"/>
        <v>0.20967741935483872</v>
      </c>
      <c r="V27" s="91">
        <f t="shared" si="29"/>
        <v>8.387096774193549E-2</v>
      </c>
      <c r="W27" s="74">
        <f t="shared" si="4"/>
        <v>1.4383870967741936</v>
      </c>
      <c r="Y27" s="70">
        <v>24</v>
      </c>
      <c r="Z27" s="8">
        <v>1.9E-2</v>
      </c>
      <c r="AA27" s="162">
        <f t="shared" si="30"/>
        <v>10.21505376344086</v>
      </c>
      <c r="AB27" s="162">
        <f t="shared" si="31"/>
        <v>0.10215053763440861</v>
      </c>
      <c r="AC27" s="91">
        <f t="shared" si="32"/>
        <v>4.0860215053763443E-2</v>
      </c>
      <c r="AD27" s="74">
        <f t="shared" si="5"/>
        <v>0.70075268817204295</v>
      </c>
      <c r="AF27" s="61"/>
      <c r="AG27" s="63"/>
      <c r="AH27" s="91"/>
      <c r="AI27" s="91"/>
      <c r="AJ27" s="91"/>
      <c r="AK27" s="91"/>
      <c r="AL27" s="91"/>
    </row>
    <row r="28" spans="2:40" x14ac:dyDescent="0.35">
      <c r="B28" s="251"/>
      <c r="C28" s="70">
        <v>25</v>
      </c>
      <c r="D28" s="63">
        <v>3.5000000000000003E-2</v>
      </c>
      <c r="E28" s="72">
        <f t="shared" si="24"/>
        <v>18.817204301075272</v>
      </c>
      <c r="F28" s="72">
        <f t="shared" si="6"/>
        <v>0.18817204301075272</v>
      </c>
      <c r="G28" s="91">
        <f t="shared" si="7"/>
        <v>7.5268817204301092E-2</v>
      </c>
      <c r="H28" s="74">
        <f t="shared" si="1"/>
        <v>1.2908602150537636</v>
      </c>
      <c r="J28" s="70">
        <v>25</v>
      </c>
      <c r="K28" s="63">
        <v>0.03</v>
      </c>
      <c r="L28" s="72">
        <f t="shared" si="25"/>
        <v>16.129032258064516</v>
      </c>
      <c r="M28" s="72">
        <f t="shared" si="27"/>
        <v>0.16129032258064516</v>
      </c>
      <c r="N28" s="91">
        <f t="shared" si="9"/>
        <v>6.4516129032258063E-2</v>
      </c>
      <c r="O28" s="74">
        <f t="shared" si="3"/>
        <v>1.1064516129032256</v>
      </c>
      <c r="Q28" s="251"/>
      <c r="R28" s="70">
        <v>25</v>
      </c>
      <c r="S28" s="8">
        <v>1.7000000000000001E-2</v>
      </c>
      <c r="T28" s="162">
        <f t="shared" si="26"/>
        <v>9.1397849462365599</v>
      </c>
      <c r="U28" s="162">
        <f t="shared" si="28"/>
        <v>9.1397849462365607E-2</v>
      </c>
      <c r="V28" s="91">
        <f t="shared" si="29"/>
        <v>3.6559139784946244E-2</v>
      </c>
      <c r="W28" s="74">
        <f t="shared" si="4"/>
        <v>0.62698924731182804</v>
      </c>
      <c r="Y28" s="70">
        <v>25</v>
      </c>
      <c r="Z28" s="8">
        <f>0.045-0.01</f>
        <v>3.4999999999999996E-2</v>
      </c>
      <c r="AA28" s="162">
        <f t="shared" si="30"/>
        <v>18.817204301075265</v>
      </c>
      <c r="AB28" s="162">
        <f t="shared" si="31"/>
        <v>0.18817204301075266</v>
      </c>
      <c r="AC28" s="91">
        <f t="shared" si="32"/>
        <v>7.5268817204301064E-2</v>
      </c>
      <c r="AD28" s="74">
        <f t="shared" si="5"/>
        <v>1.2908602150537631</v>
      </c>
      <c r="AF28" s="61"/>
      <c r="AG28" s="61"/>
      <c r="AH28" s="61"/>
      <c r="AI28" s="61"/>
      <c r="AJ28" s="61"/>
      <c r="AK28" s="61"/>
      <c r="AL28" s="61"/>
    </row>
    <row r="29" spans="2:40" x14ac:dyDescent="0.35">
      <c r="B29" s="251"/>
      <c r="C29" s="70">
        <v>26</v>
      </c>
      <c r="D29" s="63">
        <v>2.9000000000000001E-2</v>
      </c>
      <c r="E29" s="91">
        <f t="shared" si="24"/>
        <v>15.591397849462366</v>
      </c>
      <c r="F29" s="91">
        <f t="shared" si="6"/>
        <v>0.15591397849462366</v>
      </c>
      <c r="G29" s="91">
        <f t="shared" si="7"/>
        <v>6.2365591397849467E-2</v>
      </c>
      <c r="H29" s="109">
        <f t="shared" si="1"/>
        <v>1.0695698924731183</v>
      </c>
      <c r="J29" s="70">
        <v>26</v>
      </c>
      <c r="K29" s="63">
        <f>0.015+0.01</f>
        <v>2.5000000000000001E-2</v>
      </c>
      <c r="L29" s="72">
        <f t="shared" si="25"/>
        <v>13.440860215053766</v>
      </c>
      <c r="M29" s="72">
        <f t="shared" si="27"/>
        <v>0.13440860215053765</v>
      </c>
      <c r="N29" s="91">
        <f t="shared" si="9"/>
        <v>5.3763440860215062E-2</v>
      </c>
      <c r="O29" s="74">
        <f t="shared" si="3"/>
        <v>0.92204301075268824</v>
      </c>
      <c r="Q29" s="251"/>
      <c r="R29" s="70">
        <v>26</v>
      </c>
      <c r="S29" s="8">
        <v>1.4999999999999999E-2</v>
      </c>
      <c r="T29" s="162">
        <f t="shared" si="26"/>
        <v>8.064516129032258</v>
      </c>
      <c r="U29" s="162">
        <f t="shared" si="28"/>
        <v>8.0645161290322578E-2</v>
      </c>
      <c r="V29" s="91">
        <f t="shared" si="29"/>
        <v>3.2258064516129031E-2</v>
      </c>
      <c r="W29" s="74">
        <f t="shared" si="4"/>
        <v>0.55322580645161279</v>
      </c>
      <c r="Y29" s="70">
        <v>26</v>
      </c>
      <c r="Z29" s="8">
        <v>4.1000000000000002E-2</v>
      </c>
      <c r="AA29" s="162">
        <f t="shared" si="30"/>
        <v>22.043010752688172</v>
      </c>
      <c r="AB29" s="162">
        <f t="shared" si="31"/>
        <v>0.22043010752688172</v>
      </c>
      <c r="AC29" s="91">
        <f t="shared" si="32"/>
        <v>8.8172043010752696E-2</v>
      </c>
      <c r="AD29" s="74">
        <f t="shared" si="5"/>
        <v>1.5121505376344087</v>
      </c>
    </row>
    <row r="30" spans="2:40" x14ac:dyDescent="0.35">
      <c r="B30" s="251"/>
      <c r="C30" s="70">
        <v>27</v>
      </c>
      <c r="D30" s="63">
        <v>4.3999999999999997E-2</v>
      </c>
      <c r="E30" s="91">
        <f t="shared" si="24"/>
        <v>23.65591397849462</v>
      </c>
      <c r="F30" s="91">
        <f t="shared" si="6"/>
        <v>0.23655913978494622</v>
      </c>
      <c r="G30" s="91">
        <f t="shared" si="7"/>
        <v>9.4623655913978491E-2</v>
      </c>
      <c r="H30" s="109">
        <f t="shared" si="1"/>
        <v>1.622795698924731</v>
      </c>
      <c r="J30" s="70">
        <v>27</v>
      </c>
      <c r="K30" s="63">
        <v>2.5999999999999999E-2</v>
      </c>
      <c r="L30" s="72">
        <f t="shared" si="25"/>
        <v>13.978494623655912</v>
      </c>
      <c r="M30" s="72">
        <f t="shared" si="27"/>
        <v>0.13978494623655913</v>
      </c>
      <c r="N30" s="91">
        <f t="shared" si="9"/>
        <v>5.5913978494623651E-2</v>
      </c>
      <c r="O30" s="74">
        <f t="shared" si="3"/>
        <v>0.95892473118279553</v>
      </c>
      <c r="Q30" s="251"/>
      <c r="R30" s="70">
        <v>27</v>
      </c>
      <c r="S30" s="8">
        <v>0.01</v>
      </c>
      <c r="T30" s="162">
        <f t="shared" si="26"/>
        <v>5.376344086021505</v>
      </c>
      <c r="U30" s="162">
        <f t="shared" si="28"/>
        <v>5.3763440860215055E-2</v>
      </c>
      <c r="V30" s="91">
        <f t="shared" si="29"/>
        <v>2.1505376344086023E-2</v>
      </c>
      <c r="W30" s="74">
        <f t="shared" si="4"/>
        <v>0.36881720430107529</v>
      </c>
      <c r="Y30" s="70">
        <v>27</v>
      </c>
      <c r="Z30" s="8">
        <f>0.012+0.005</f>
        <v>1.7000000000000001E-2</v>
      </c>
      <c r="AA30" s="162">
        <f t="shared" si="30"/>
        <v>9.1397849462365599</v>
      </c>
      <c r="AB30" s="162">
        <f t="shared" si="31"/>
        <v>9.1397849462365607E-2</v>
      </c>
      <c r="AC30" s="91">
        <f t="shared" si="32"/>
        <v>3.6559139784946244E-2</v>
      </c>
      <c r="AD30" s="74">
        <f t="shared" si="5"/>
        <v>0.62698924731182804</v>
      </c>
    </row>
    <row r="31" spans="2:40" x14ac:dyDescent="0.35">
      <c r="B31" s="251"/>
      <c r="C31" s="70">
        <v>28</v>
      </c>
      <c r="D31" s="63">
        <f>0.026+0.006</f>
        <v>3.2000000000000001E-2</v>
      </c>
      <c r="E31" s="91">
        <f t="shared" si="24"/>
        <v>17.20430107526882</v>
      </c>
      <c r="F31" s="91">
        <f t="shared" si="6"/>
        <v>0.17204301075268821</v>
      </c>
      <c r="G31" s="91">
        <f t="shared" si="7"/>
        <v>6.8817204301075283E-2</v>
      </c>
      <c r="H31" s="109">
        <f t="shared" si="1"/>
        <v>1.180215053763441</v>
      </c>
      <c r="J31" s="70">
        <v>28</v>
      </c>
      <c r="K31" s="63">
        <v>0.02</v>
      </c>
      <c r="L31" s="72">
        <f t="shared" si="25"/>
        <v>10.75268817204301</v>
      </c>
      <c r="M31" s="72">
        <f t="shared" si="27"/>
        <v>0.10752688172043011</v>
      </c>
      <c r="N31" s="91">
        <f t="shared" si="9"/>
        <v>4.3010752688172046E-2</v>
      </c>
      <c r="O31" s="74">
        <f t="shared" si="3"/>
        <v>0.73763440860215057</v>
      </c>
      <c r="Q31" s="251"/>
      <c r="R31" s="70">
        <v>28</v>
      </c>
      <c r="S31" s="8">
        <v>3.5999999999999997E-2</v>
      </c>
      <c r="T31" s="162">
        <f t="shared" si="26"/>
        <v>19.35483870967742</v>
      </c>
      <c r="U31" s="162">
        <f t="shared" si="28"/>
        <v>0.19354838709677422</v>
      </c>
      <c r="V31" s="91">
        <f t="shared" si="29"/>
        <v>7.7419354838709695E-2</v>
      </c>
      <c r="W31" s="74">
        <f t="shared" si="4"/>
        <v>1.3277419354838711</v>
      </c>
      <c r="Y31" s="70">
        <v>28</v>
      </c>
      <c r="Z31" s="8">
        <v>1.7000000000000001E-2</v>
      </c>
      <c r="AA31" s="162">
        <f>(Z31/$AC$1)*100</f>
        <v>9.1397849462365599</v>
      </c>
      <c r="AB31" s="162">
        <f t="shared" si="31"/>
        <v>9.1397849462365607E-2</v>
      </c>
      <c r="AC31" s="91">
        <f t="shared" si="32"/>
        <v>3.6559139784946244E-2</v>
      </c>
      <c r="AD31" s="74">
        <f t="shared" si="5"/>
        <v>0.62698924731182804</v>
      </c>
    </row>
    <row r="32" spans="2:40" x14ac:dyDescent="0.35">
      <c r="B32" s="251"/>
      <c r="C32" s="70">
        <v>29</v>
      </c>
      <c r="D32" s="63">
        <v>3.7999999999999999E-2</v>
      </c>
      <c r="E32" s="91">
        <f t="shared" si="24"/>
        <v>20.43010752688172</v>
      </c>
      <c r="F32" s="91">
        <f t="shared" si="6"/>
        <v>0.20430107526881722</v>
      </c>
      <c r="G32" s="91">
        <f t="shared" si="7"/>
        <v>8.1720430107526887E-2</v>
      </c>
      <c r="H32" s="109">
        <f t="shared" si="1"/>
        <v>1.4015053763440859</v>
      </c>
      <c r="J32" s="70">
        <v>29</v>
      </c>
      <c r="K32" s="63">
        <v>3.1E-2</v>
      </c>
      <c r="L32" s="72">
        <f t="shared" si="25"/>
        <v>16.666666666666664</v>
      </c>
      <c r="M32" s="72">
        <f t="shared" si="27"/>
        <v>0.16666666666666666</v>
      </c>
      <c r="N32" s="91">
        <f t="shared" si="9"/>
        <v>6.6666666666666666E-2</v>
      </c>
      <c r="O32" s="74">
        <f t="shared" si="3"/>
        <v>1.1433333333333333</v>
      </c>
      <c r="Q32" s="251"/>
      <c r="R32" s="70">
        <v>29</v>
      </c>
      <c r="S32" s="8">
        <v>3.9E-2</v>
      </c>
      <c r="T32" s="162">
        <f t="shared" si="26"/>
        <v>20.967741935483872</v>
      </c>
      <c r="U32" s="162">
        <f t="shared" si="28"/>
        <v>0.20967741935483872</v>
      </c>
      <c r="V32" s="91">
        <f t="shared" si="29"/>
        <v>8.387096774193549E-2</v>
      </c>
      <c r="W32" s="74">
        <f t="shared" si="4"/>
        <v>1.4383870967741936</v>
      </c>
      <c r="Y32" s="70">
        <v>29</v>
      </c>
      <c r="Z32" s="8">
        <v>2.1999999999999999E-2</v>
      </c>
      <c r="AA32" s="162">
        <f t="shared" si="30"/>
        <v>11.82795698924731</v>
      </c>
      <c r="AB32" s="162">
        <f t="shared" si="31"/>
        <v>0.11827956989247311</v>
      </c>
      <c r="AC32" s="91">
        <f t="shared" si="32"/>
        <v>4.7311827956989246E-2</v>
      </c>
      <c r="AD32" s="74">
        <f t="shared" si="5"/>
        <v>0.81139784946236548</v>
      </c>
    </row>
    <row r="33" spans="1:38" ht="16" thickBot="1" x14ac:dyDescent="0.4">
      <c r="B33" s="251"/>
      <c r="C33" s="71">
        <v>30</v>
      </c>
      <c r="D33" s="63">
        <v>4.9000000000000002E-2</v>
      </c>
      <c r="E33" s="91">
        <f t="shared" si="24"/>
        <v>26.344086021505376</v>
      </c>
      <c r="F33" s="91">
        <f t="shared" si="6"/>
        <v>0.26344086021505375</v>
      </c>
      <c r="G33" s="91">
        <f t="shared" si="7"/>
        <v>0.10537634408602151</v>
      </c>
      <c r="H33" s="109">
        <f t="shared" si="1"/>
        <v>1.8072043010752687</v>
      </c>
      <c r="J33" s="71">
        <v>30</v>
      </c>
      <c r="K33" s="133">
        <v>4.4999999999999998E-2</v>
      </c>
      <c r="L33" s="130">
        <f t="shared" si="25"/>
        <v>24.193548387096772</v>
      </c>
      <c r="M33" s="130">
        <f t="shared" si="27"/>
        <v>0.24193548387096772</v>
      </c>
      <c r="N33" s="155">
        <f t="shared" si="9"/>
        <v>9.6774193548387094E-2</v>
      </c>
      <c r="O33" s="135">
        <f t="shared" si="3"/>
        <v>1.6596774193548385</v>
      </c>
      <c r="Q33" s="251"/>
      <c r="R33" s="70">
        <v>30</v>
      </c>
      <c r="S33" s="8">
        <v>1.2E-2</v>
      </c>
      <c r="T33" s="162">
        <f t="shared" si="26"/>
        <v>6.4516129032258061</v>
      </c>
      <c r="U33" s="162">
        <f t="shared" si="28"/>
        <v>6.4516129032258063E-2</v>
      </c>
      <c r="V33" s="91">
        <f t="shared" si="29"/>
        <v>2.5806451612903226E-2</v>
      </c>
      <c r="W33" s="74">
        <f t="shared" si="4"/>
        <v>0.44258064516129031</v>
      </c>
      <c r="Y33" s="70">
        <v>30</v>
      </c>
      <c r="Z33" s="8">
        <v>1.2999999999999999E-2</v>
      </c>
      <c r="AA33" s="162">
        <f t="shared" si="30"/>
        <v>6.9892473118279561</v>
      </c>
      <c r="AB33" s="162">
        <f t="shared" si="31"/>
        <v>6.9892473118279563E-2</v>
      </c>
      <c r="AC33" s="91">
        <f t="shared" si="32"/>
        <v>2.7956989247311825E-2</v>
      </c>
      <c r="AD33" s="74">
        <f t="shared" si="5"/>
        <v>0.47946236559139777</v>
      </c>
    </row>
    <row r="34" spans="1:38" x14ac:dyDescent="0.35">
      <c r="A34" s="183"/>
      <c r="C34" s="122" t="s">
        <v>17</v>
      </c>
      <c r="D34" s="179">
        <f>AVERAGE(D4:D33)</f>
        <v>4.0766666666666666E-2</v>
      </c>
      <c r="E34" s="179">
        <f t="shared" ref="E34:H34" si="33">AVERAGE(E4:E33)</f>
        <v>22.275245591371004</v>
      </c>
      <c r="F34" s="179">
        <f t="shared" si="33"/>
        <v>0.22275245591371004</v>
      </c>
      <c r="G34" s="179">
        <f t="shared" si="33"/>
        <v>8.9100982365484013E-2</v>
      </c>
      <c r="H34" s="184">
        <f t="shared" si="33"/>
        <v>1.5280818475680504</v>
      </c>
      <c r="J34" s="122" t="s">
        <v>17</v>
      </c>
      <c r="K34" s="179">
        <f>AVERAGE(K4:K33)</f>
        <v>3.3600000000000012E-2</v>
      </c>
      <c r="L34" s="179">
        <f t="shared" ref="L34:O34" si="34">AVERAGE(L4:L33)</f>
        <v>18.378410581045237</v>
      </c>
      <c r="M34" s="179">
        <f t="shared" si="34"/>
        <v>0.18378410581045238</v>
      </c>
      <c r="N34" s="179">
        <f t="shared" si="34"/>
        <v>7.3513642324180936E-2</v>
      </c>
      <c r="O34" s="184">
        <f t="shared" si="34"/>
        <v>1.2607589658597029</v>
      </c>
      <c r="P34" s="185"/>
      <c r="Q34" s="91"/>
      <c r="R34" s="122" t="s">
        <v>17</v>
      </c>
      <c r="S34" s="179">
        <f>AVERAGE(S4:S33)</f>
        <v>2.3200000000000005E-2</v>
      </c>
      <c r="T34" s="179">
        <f t="shared" ref="T34:W34" si="35">AVERAGE(T4:T33)</f>
        <v>12.922472206877181</v>
      </c>
      <c r="U34" s="179">
        <f t="shared" si="35"/>
        <v>0.12922472206877178</v>
      </c>
      <c r="V34" s="179">
        <f t="shared" si="35"/>
        <v>5.1689888827508738E-2</v>
      </c>
      <c r="W34" s="184">
        <f t="shared" si="35"/>
        <v>0.88648159339177457</v>
      </c>
      <c r="X34" s="185"/>
      <c r="Y34" s="122" t="s">
        <v>17</v>
      </c>
      <c r="Z34" s="179">
        <f>AVERAGE(Z4:Z33)</f>
        <v>2.4200000000000006E-2</v>
      </c>
      <c r="AA34" s="179">
        <f t="shared" ref="AA34:AD34" si="36">AVERAGE(AA4:AA33)</f>
        <v>13.373909339642468</v>
      </c>
      <c r="AB34" s="179">
        <f t="shared" si="36"/>
        <v>0.13373909339642465</v>
      </c>
      <c r="AC34" s="179">
        <f t="shared" si="36"/>
        <v>5.3495637358569888E-2</v>
      </c>
      <c r="AD34" s="184">
        <f t="shared" si="36"/>
        <v>0.91745018069947348</v>
      </c>
      <c r="AE34" s="183"/>
      <c r="AF34" s="91"/>
      <c r="AG34" s="91"/>
      <c r="AH34" s="91"/>
      <c r="AI34" s="91"/>
      <c r="AJ34" s="91"/>
      <c r="AK34" s="91"/>
    </row>
    <row r="35" spans="1:38" x14ac:dyDescent="0.35">
      <c r="A35" s="183"/>
      <c r="C35" s="70" t="s">
        <v>44</v>
      </c>
      <c r="D35" s="91">
        <f>STDEV(D4:D33)</f>
        <v>1.0782115886434606E-2</v>
      </c>
      <c r="E35" s="91">
        <f t="shared" ref="E35:H35" si="37">STDEV(E4:E33)</f>
        <v>5.8340150040494869</v>
      </c>
      <c r="F35" s="91">
        <f t="shared" si="37"/>
        <v>5.8340150040494997E-2</v>
      </c>
      <c r="G35" s="91">
        <f t="shared" si="37"/>
        <v>2.3336060016198052E-2</v>
      </c>
      <c r="H35" s="109">
        <f t="shared" si="37"/>
        <v>0.40021342927779718</v>
      </c>
      <c r="J35" s="70" t="s">
        <v>44</v>
      </c>
      <c r="K35" s="91">
        <f>STDEV(K4:K33)</f>
        <v>1.2920446239758196E-2</v>
      </c>
      <c r="L35" s="91">
        <f t="shared" ref="L35:O35" si="38">STDEV(L4:L33)</f>
        <v>7.0850373949853562</v>
      </c>
      <c r="M35" s="91">
        <f t="shared" si="38"/>
        <v>7.085037394985369E-2</v>
      </c>
      <c r="N35" s="91">
        <f t="shared" si="38"/>
        <v>2.8340149579941503E-2</v>
      </c>
      <c r="O35" s="109">
        <f t="shared" si="38"/>
        <v>0.48603356529599701</v>
      </c>
      <c r="P35" s="185"/>
      <c r="Q35" s="91"/>
      <c r="R35" s="70" t="s">
        <v>44</v>
      </c>
      <c r="S35" s="91">
        <f>STDEV(S3:S33)</f>
        <v>1.0367056576915419E-2</v>
      </c>
      <c r="T35" s="91">
        <f t="shared" ref="T35:W35" si="39">STDEV(T3:T33)</f>
        <v>5.7597311707163952</v>
      </c>
      <c r="U35" s="91">
        <f t="shared" si="39"/>
        <v>5.7597311707164062E-2</v>
      </c>
      <c r="V35" s="91">
        <f t="shared" si="39"/>
        <v>2.3038924682865568E-2</v>
      </c>
      <c r="W35" s="109">
        <f t="shared" si="39"/>
        <v>0.39511755831114476</v>
      </c>
      <c r="X35" s="185"/>
      <c r="Y35" s="70" t="s">
        <v>44</v>
      </c>
      <c r="Z35" s="91">
        <f>STDEV(Z4:Z33)</f>
        <v>8.7430760782658337E-3</v>
      </c>
      <c r="AA35" s="91">
        <f t="shared" ref="AA35:AC35" si="40">STDEV(AA4:AA33)</f>
        <v>4.6414735692032005</v>
      </c>
      <c r="AB35" s="91">
        <f t="shared" si="40"/>
        <v>4.6414735692032139E-2</v>
      </c>
      <c r="AC35" s="91">
        <f t="shared" si="40"/>
        <v>1.856589427681277E-2</v>
      </c>
      <c r="AD35" s="109">
        <f>STDEV(AD4:AD33)</f>
        <v>0.31840508684733904</v>
      </c>
      <c r="AE35" s="183"/>
      <c r="AF35" s="91"/>
      <c r="AG35" s="91"/>
      <c r="AH35" s="91"/>
      <c r="AI35" s="91"/>
      <c r="AJ35" s="91"/>
      <c r="AK35" s="91"/>
    </row>
    <row r="36" spans="1:38" x14ac:dyDescent="0.35">
      <c r="A36" s="183"/>
      <c r="C36" s="70" t="s">
        <v>7</v>
      </c>
      <c r="D36" s="91">
        <f>MIN(D4:D33)</f>
        <v>2.7E-2</v>
      </c>
      <c r="E36" s="91">
        <f t="shared" ref="E36:H36" si="41">MIN(E4:E33)</f>
        <v>15.254237288135593</v>
      </c>
      <c r="F36" s="91">
        <f t="shared" si="41"/>
        <v>0.15254237288135594</v>
      </c>
      <c r="G36" s="91">
        <f t="shared" si="41"/>
        <v>6.1016949152542382E-2</v>
      </c>
      <c r="H36" s="109">
        <f t="shared" si="41"/>
        <v>1.0464406779661017</v>
      </c>
      <c r="J36" s="70" t="s">
        <v>7</v>
      </c>
      <c r="K36" s="91">
        <f>MIN(K4:K33)</f>
        <v>0.02</v>
      </c>
      <c r="L36" s="91">
        <f t="shared" ref="L36:O36" si="42">MIN(L4:L33)</f>
        <v>10.75268817204301</v>
      </c>
      <c r="M36" s="91">
        <f t="shared" si="42"/>
        <v>0.10752688172043011</v>
      </c>
      <c r="N36" s="91">
        <f t="shared" si="42"/>
        <v>4.3010752688172046E-2</v>
      </c>
      <c r="O36" s="109">
        <f t="shared" si="42"/>
        <v>0.73763440860215057</v>
      </c>
      <c r="P36" s="185"/>
      <c r="Q36" s="91"/>
      <c r="R36" s="70" t="s">
        <v>7</v>
      </c>
      <c r="S36" s="91">
        <f>MIN(S4:S33)</f>
        <v>0.01</v>
      </c>
      <c r="T36" s="91">
        <f t="shared" ref="T36:W36" si="43">MIN(T4:T33)</f>
        <v>5.3191489361702127</v>
      </c>
      <c r="U36" s="91">
        <f t="shared" si="43"/>
        <v>5.3191489361702128E-2</v>
      </c>
      <c r="V36" s="91">
        <f t="shared" si="43"/>
        <v>2.1276595744680854E-2</v>
      </c>
      <c r="W36" s="109">
        <f t="shared" si="43"/>
        <v>0.3648936170212766</v>
      </c>
      <c r="X36" s="185"/>
      <c r="Y36" s="70" t="s">
        <v>7</v>
      </c>
      <c r="Z36" s="91">
        <f>MIN(Z4:Z33)</f>
        <v>1.2E-2</v>
      </c>
      <c r="AA36" s="91">
        <f t="shared" ref="AA36:AD36" si="44">MIN(AA4:AA33)</f>
        <v>6.4516129032258061</v>
      </c>
      <c r="AB36" s="91">
        <f t="shared" si="44"/>
        <v>6.4516129032258063E-2</v>
      </c>
      <c r="AC36" s="91">
        <f t="shared" si="44"/>
        <v>2.5806451612903226E-2</v>
      </c>
      <c r="AD36" s="109">
        <f t="shared" si="44"/>
        <v>0.44258064516129031</v>
      </c>
      <c r="AE36" s="183"/>
      <c r="AF36" s="91"/>
      <c r="AG36" s="91"/>
      <c r="AH36" s="91"/>
      <c r="AI36" s="91"/>
      <c r="AJ36" s="91"/>
      <c r="AK36" s="91"/>
    </row>
    <row r="37" spans="1:38" s="61" customFormat="1" ht="16" thickBot="1" x14ac:dyDescent="0.4">
      <c r="A37" s="146"/>
      <c r="B37" s="186"/>
      <c r="C37" s="71" t="s">
        <v>8</v>
      </c>
      <c r="D37" s="155">
        <f>MAX(D4:D33)</f>
        <v>6.6000000000000003E-2</v>
      </c>
      <c r="E37" s="155">
        <f t="shared" ref="E37:H37" si="45">MAX(E4:E33)</f>
        <v>37.288135593220346</v>
      </c>
      <c r="F37" s="155">
        <f t="shared" si="45"/>
        <v>0.37288135593220345</v>
      </c>
      <c r="G37" s="155">
        <f t="shared" si="45"/>
        <v>0.14915254237288139</v>
      </c>
      <c r="H37" s="156">
        <f t="shared" si="45"/>
        <v>2.5579661016949156</v>
      </c>
      <c r="J37" s="71" t="s">
        <v>8</v>
      </c>
      <c r="K37" s="155">
        <f>MAX(K4:K33)</f>
        <v>5.5999999999999994E-2</v>
      </c>
      <c r="L37" s="155">
        <f t="shared" ref="L37:O37" si="46">MAX(L4:L33)</f>
        <v>31.073446327683619</v>
      </c>
      <c r="M37" s="155">
        <f t="shared" si="46"/>
        <v>0.31073446327683618</v>
      </c>
      <c r="N37" s="155">
        <f t="shared" si="46"/>
        <v>0.12429378531073448</v>
      </c>
      <c r="O37" s="156">
        <f t="shared" si="46"/>
        <v>2.1316384180790964</v>
      </c>
      <c r="P37" s="92"/>
      <c r="Q37" s="91"/>
      <c r="R37" s="71" t="s">
        <v>8</v>
      </c>
      <c r="S37" s="155">
        <f>MAX(S4:S33)</f>
        <v>3.9E-2</v>
      </c>
      <c r="T37" s="155">
        <f t="shared" ref="T37:W37" si="47">MAX(T4:T33)</f>
        <v>20.967741935483872</v>
      </c>
      <c r="U37" s="155">
        <f t="shared" si="47"/>
        <v>0.20967741935483872</v>
      </c>
      <c r="V37" s="155">
        <f t="shared" si="47"/>
        <v>8.387096774193549E-2</v>
      </c>
      <c r="W37" s="156">
        <f t="shared" si="47"/>
        <v>1.4383870967741936</v>
      </c>
      <c r="X37" s="91"/>
      <c r="Y37" s="71" t="s">
        <v>8</v>
      </c>
      <c r="Z37" s="155">
        <f>MAX(Z4:Z33)</f>
        <v>4.1000000000000002E-2</v>
      </c>
      <c r="AA37" s="155">
        <f t="shared" ref="AA37:AD37" si="48">MAX(AA4:AA33)</f>
        <v>22.043010752688172</v>
      </c>
      <c r="AB37" s="155">
        <f t="shared" si="48"/>
        <v>0.22043010752688172</v>
      </c>
      <c r="AC37" s="155">
        <f t="shared" si="48"/>
        <v>8.8172043010752696E-2</v>
      </c>
      <c r="AD37" s="156">
        <f t="shared" si="48"/>
        <v>1.5121505376344087</v>
      </c>
      <c r="AE37" s="146"/>
      <c r="AF37" s="91"/>
      <c r="AG37" s="91"/>
      <c r="AH37" s="91"/>
      <c r="AI37" s="91"/>
      <c r="AJ37" s="91"/>
      <c r="AK37" s="91"/>
      <c r="AL37" s="83"/>
    </row>
    <row r="38" spans="1:38" s="61" customFormat="1" x14ac:dyDescent="0.35">
      <c r="B38" s="186"/>
      <c r="C38" s="63"/>
      <c r="D38" s="8"/>
      <c r="E38" s="91"/>
      <c r="F38" s="72"/>
      <c r="G38" s="72"/>
      <c r="H38" s="72"/>
      <c r="J38" s="63"/>
      <c r="K38" s="8"/>
      <c r="L38" s="91"/>
      <c r="M38" s="72"/>
      <c r="N38" s="72"/>
      <c r="O38" s="72"/>
      <c r="Q38" s="186"/>
      <c r="R38" s="63"/>
      <c r="S38" s="8"/>
      <c r="T38" s="72"/>
      <c r="U38" s="162"/>
      <c r="V38" s="72"/>
      <c r="W38" s="72"/>
      <c r="X38" s="64"/>
      <c r="Y38" s="63"/>
      <c r="Z38" s="8"/>
      <c r="AA38" s="162"/>
      <c r="AB38" s="162"/>
      <c r="AC38" s="72"/>
      <c r="AD38" s="72"/>
      <c r="AF38" s="63"/>
      <c r="AG38" s="8"/>
      <c r="AH38" s="162"/>
      <c r="AI38" s="162"/>
      <c r="AJ38" s="72"/>
      <c r="AK38" s="72"/>
      <c r="AL38" s="72"/>
    </row>
    <row r="39" spans="1:38" s="61" customFormat="1" x14ac:dyDescent="0.35">
      <c r="B39" s="186"/>
      <c r="C39" s="63"/>
      <c r="D39" s="8"/>
      <c r="E39" s="91"/>
      <c r="F39" s="72"/>
      <c r="G39" s="72"/>
      <c r="H39" s="72"/>
      <c r="J39" s="63"/>
      <c r="K39" s="8"/>
      <c r="L39" s="91"/>
      <c r="M39" s="72"/>
      <c r="N39" s="72"/>
      <c r="O39" s="72"/>
      <c r="Q39" s="186"/>
      <c r="R39" s="63"/>
      <c r="S39" s="8"/>
      <c r="T39" s="72"/>
      <c r="U39" s="162"/>
      <c r="V39" s="72"/>
      <c r="W39" s="72"/>
      <c r="X39" s="64"/>
      <c r="Y39" s="63"/>
      <c r="Z39" s="8"/>
      <c r="AA39" s="162"/>
      <c r="AB39" s="162"/>
      <c r="AC39" s="72"/>
      <c r="AD39" s="72"/>
      <c r="AF39" s="63"/>
      <c r="AG39" s="8"/>
      <c r="AH39" s="162"/>
      <c r="AI39" s="162"/>
      <c r="AJ39" s="72"/>
      <c r="AK39" s="72"/>
      <c r="AL39" s="72"/>
    </row>
    <row r="40" spans="1:38" s="61" customFormat="1" x14ac:dyDescent="0.35">
      <c r="B40" s="186"/>
      <c r="C40" s="63"/>
      <c r="D40" s="8"/>
      <c r="E40" s="91"/>
      <c r="F40" s="72"/>
      <c r="G40" s="72"/>
      <c r="H40" s="72"/>
      <c r="J40" s="63"/>
      <c r="K40" s="8"/>
      <c r="L40" s="91"/>
      <c r="M40" s="72"/>
      <c r="N40" s="72"/>
      <c r="O40" s="72"/>
      <c r="Q40" s="186"/>
      <c r="R40" s="63"/>
      <c r="S40" s="8"/>
      <c r="T40" s="72"/>
      <c r="U40" s="162"/>
      <c r="V40" s="72"/>
      <c r="W40" s="72"/>
      <c r="X40" s="64"/>
      <c r="Y40" s="63"/>
      <c r="Z40" s="8"/>
      <c r="AA40" s="162"/>
      <c r="AB40" s="162"/>
      <c r="AC40" s="72"/>
      <c r="AD40" s="72"/>
      <c r="AF40" s="63"/>
      <c r="AG40" s="8"/>
      <c r="AH40" s="162"/>
      <c r="AI40" s="162"/>
      <c r="AJ40" s="72"/>
      <c r="AK40" s="72"/>
      <c r="AL40" s="72"/>
    </row>
    <row r="41" spans="1:38" s="61" customFormat="1" x14ac:dyDescent="0.35">
      <c r="B41" s="186"/>
      <c r="C41" s="63"/>
      <c r="D41" s="8"/>
      <c r="E41" s="91"/>
      <c r="F41" s="72"/>
      <c r="G41" s="72"/>
      <c r="H41" s="72"/>
      <c r="J41" s="63"/>
      <c r="K41" s="8"/>
      <c r="L41" s="91"/>
      <c r="M41" s="72"/>
      <c r="N41" s="72"/>
      <c r="O41" s="72"/>
      <c r="Q41" s="186"/>
      <c r="R41" s="63"/>
      <c r="S41" s="8"/>
      <c r="T41" s="72"/>
      <c r="U41" s="162"/>
      <c r="V41" s="72"/>
      <c r="W41" s="72"/>
      <c r="X41" s="64"/>
      <c r="Y41" s="63"/>
      <c r="Z41" s="8"/>
      <c r="AA41" s="162"/>
      <c r="AB41" s="162"/>
      <c r="AC41" s="72"/>
      <c r="AD41" s="72"/>
      <c r="AF41" s="63"/>
      <c r="AG41" s="8"/>
      <c r="AH41" s="162"/>
      <c r="AI41" s="162"/>
      <c r="AJ41" s="72"/>
      <c r="AK41" s="72"/>
      <c r="AL41" s="72"/>
    </row>
    <row r="42" spans="1:38" s="61" customFormat="1" x14ac:dyDescent="0.35">
      <c r="B42" s="186"/>
      <c r="C42" s="63"/>
      <c r="D42" s="8"/>
      <c r="E42" s="91"/>
      <c r="F42" s="72"/>
      <c r="G42" s="72"/>
      <c r="H42" s="72"/>
      <c r="J42" s="63"/>
      <c r="K42" s="8"/>
      <c r="L42" s="91"/>
      <c r="M42" s="72"/>
      <c r="N42" s="72"/>
      <c r="O42" s="72"/>
      <c r="Q42" s="186"/>
      <c r="R42" s="63"/>
      <c r="S42" s="8"/>
      <c r="T42" s="72"/>
      <c r="U42" s="162"/>
      <c r="V42" s="72"/>
      <c r="W42" s="72"/>
      <c r="X42" s="64"/>
      <c r="Y42" s="63"/>
      <c r="Z42" s="8"/>
      <c r="AA42" s="162"/>
      <c r="AB42" s="162"/>
      <c r="AC42" s="72"/>
      <c r="AD42" s="72"/>
      <c r="AF42" s="63"/>
      <c r="AG42" s="8"/>
      <c r="AH42" s="162"/>
      <c r="AI42" s="162"/>
      <c r="AJ42" s="72"/>
      <c r="AK42" s="72"/>
      <c r="AL42" s="72"/>
    </row>
    <row r="43" spans="1:38" s="61" customFormat="1" x14ac:dyDescent="0.35">
      <c r="B43" s="186"/>
      <c r="C43" s="63"/>
      <c r="D43" s="8"/>
      <c r="E43" s="91"/>
      <c r="F43" s="72"/>
      <c r="G43" s="72"/>
      <c r="H43" s="72"/>
      <c r="J43" s="63"/>
      <c r="K43" s="8"/>
      <c r="L43" s="91"/>
      <c r="M43" s="72"/>
      <c r="N43" s="72"/>
      <c r="O43" s="72"/>
      <c r="Q43" s="186"/>
      <c r="R43" s="63"/>
      <c r="S43" s="8"/>
      <c r="T43" s="72"/>
      <c r="U43" s="162"/>
      <c r="V43" s="72"/>
      <c r="W43" s="72"/>
      <c r="X43" s="64"/>
      <c r="Y43" s="63"/>
      <c r="Z43" s="8"/>
      <c r="AA43" s="162"/>
      <c r="AB43" s="162"/>
      <c r="AC43" s="72"/>
      <c r="AD43" s="72"/>
      <c r="AF43" s="63"/>
      <c r="AG43" s="8"/>
      <c r="AH43" s="162"/>
      <c r="AI43" s="162"/>
      <c r="AJ43" s="72"/>
      <c r="AK43" s="72"/>
      <c r="AL43" s="72"/>
    </row>
    <row r="44" spans="1:38" s="61" customFormat="1" x14ac:dyDescent="0.35">
      <c r="B44" s="186"/>
      <c r="C44" s="63"/>
      <c r="D44" s="8"/>
      <c r="E44" s="72"/>
      <c r="F44" s="72"/>
      <c r="G44" s="72"/>
      <c r="H44" s="72"/>
      <c r="I44" s="182"/>
      <c r="J44" s="63"/>
      <c r="K44" s="8"/>
      <c r="L44" s="72"/>
      <c r="M44" s="72"/>
      <c r="N44" s="72"/>
      <c r="O44" s="72"/>
      <c r="Q44" s="186"/>
      <c r="R44" s="63"/>
      <c r="S44" s="8"/>
      <c r="T44" s="72"/>
      <c r="U44" s="162"/>
      <c r="V44" s="72"/>
      <c r="W44" s="72"/>
      <c r="X44" s="64"/>
      <c r="Y44" s="63"/>
      <c r="Z44" s="8"/>
      <c r="AA44" s="162"/>
      <c r="AB44" s="162"/>
      <c r="AC44" s="72"/>
      <c r="AD44" s="72"/>
      <c r="AF44" s="63"/>
      <c r="AG44" s="8"/>
      <c r="AH44" s="162"/>
      <c r="AI44" s="162"/>
      <c r="AJ44" s="72"/>
      <c r="AK44" s="72"/>
      <c r="AL44" s="72"/>
    </row>
    <row r="45" spans="1:38" s="61" customFormat="1" x14ac:dyDescent="0.35">
      <c r="B45" s="186"/>
      <c r="C45" s="63"/>
      <c r="D45" s="8"/>
      <c r="E45" s="72"/>
      <c r="F45" s="72"/>
      <c r="G45" s="72"/>
      <c r="H45" s="72"/>
      <c r="I45" s="182"/>
      <c r="J45" s="63"/>
      <c r="K45" s="8"/>
      <c r="L45" s="72"/>
      <c r="M45" s="72"/>
      <c r="N45" s="72"/>
      <c r="O45" s="72"/>
      <c r="Q45" s="186"/>
      <c r="R45" s="63"/>
      <c r="S45" s="8"/>
      <c r="T45" s="72"/>
      <c r="U45" s="162"/>
      <c r="V45" s="72"/>
      <c r="W45" s="72"/>
      <c r="X45" s="64"/>
      <c r="Y45" s="63"/>
      <c r="Z45" s="8"/>
      <c r="AA45" s="162"/>
      <c r="AB45" s="162"/>
      <c r="AC45" s="72"/>
      <c r="AD45" s="72"/>
      <c r="AF45" s="63"/>
      <c r="AG45" s="8"/>
      <c r="AH45" s="162"/>
      <c r="AI45" s="162"/>
      <c r="AJ45" s="72"/>
      <c r="AK45" s="72"/>
      <c r="AL45" s="72"/>
    </row>
    <row r="46" spans="1:38" s="61" customFormat="1" x14ac:dyDescent="0.35">
      <c r="B46" s="186"/>
      <c r="C46" s="63"/>
      <c r="D46" s="8"/>
      <c r="E46" s="72"/>
      <c r="F46" s="72"/>
      <c r="G46" s="72"/>
      <c r="H46" s="72"/>
      <c r="I46" s="182"/>
      <c r="J46" s="63"/>
      <c r="K46" s="8"/>
      <c r="L46" s="72"/>
      <c r="M46" s="72"/>
      <c r="N46" s="72"/>
      <c r="O46" s="72"/>
      <c r="Q46" s="186"/>
      <c r="R46" s="63"/>
      <c r="S46" s="8"/>
      <c r="T46" s="72"/>
      <c r="U46" s="162"/>
      <c r="V46" s="72"/>
      <c r="W46" s="72"/>
      <c r="X46" s="64"/>
      <c r="Y46" s="63"/>
      <c r="Z46" s="8"/>
      <c r="AA46" s="162"/>
      <c r="AB46" s="162"/>
      <c r="AC46" s="72"/>
      <c r="AD46" s="72"/>
      <c r="AF46" s="63"/>
      <c r="AG46" s="8"/>
      <c r="AH46" s="162"/>
      <c r="AI46" s="162"/>
      <c r="AJ46" s="72"/>
      <c r="AK46" s="72"/>
      <c r="AL46" s="72"/>
    </row>
    <row r="47" spans="1:38" s="61" customFormat="1" x14ac:dyDescent="0.35">
      <c r="B47" s="186"/>
      <c r="C47" s="63"/>
      <c r="D47" s="8"/>
      <c r="E47" s="72"/>
      <c r="F47" s="72"/>
      <c r="G47" s="72"/>
      <c r="H47" s="72"/>
      <c r="I47" s="182"/>
      <c r="J47" s="63"/>
      <c r="K47" s="8"/>
      <c r="L47" s="72"/>
      <c r="M47" s="72"/>
      <c r="N47" s="72"/>
      <c r="O47" s="72"/>
      <c r="Q47" s="186"/>
      <c r="R47" s="63"/>
      <c r="S47" s="8"/>
      <c r="T47" s="72"/>
      <c r="U47" s="162"/>
      <c r="V47" s="72"/>
      <c r="W47" s="72"/>
      <c r="X47" s="64"/>
      <c r="Y47" s="63"/>
      <c r="Z47" s="8"/>
      <c r="AA47" s="162"/>
      <c r="AB47" s="162"/>
      <c r="AC47" s="72"/>
      <c r="AD47" s="72"/>
      <c r="AF47" s="63"/>
      <c r="AG47" s="8"/>
      <c r="AH47" s="162"/>
      <c r="AI47" s="162"/>
      <c r="AJ47" s="72"/>
      <c r="AK47" s="72"/>
      <c r="AL47" s="72"/>
    </row>
    <row r="48" spans="1:38" s="61" customFormat="1" x14ac:dyDescent="0.35">
      <c r="B48" s="186"/>
      <c r="C48" s="63"/>
      <c r="D48" s="8"/>
      <c r="E48" s="72"/>
      <c r="F48" s="72"/>
      <c r="G48" s="72"/>
      <c r="H48" s="72"/>
      <c r="I48" s="182"/>
      <c r="J48" s="63"/>
      <c r="K48" s="8"/>
      <c r="L48" s="72"/>
      <c r="M48" s="72"/>
      <c r="N48" s="72"/>
      <c r="O48" s="72"/>
      <c r="Q48" s="186"/>
      <c r="R48" s="63"/>
      <c r="S48" s="8"/>
      <c r="T48" s="72"/>
      <c r="U48" s="162"/>
      <c r="V48" s="72"/>
      <c r="W48" s="72"/>
      <c r="X48" s="181"/>
      <c r="Y48" s="63"/>
      <c r="Z48" s="8"/>
      <c r="AA48" s="162"/>
      <c r="AB48" s="162"/>
      <c r="AC48" s="72"/>
      <c r="AD48" s="72"/>
      <c r="AF48" s="63"/>
      <c r="AG48" s="8"/>
      <c r="AH48" s="162"/>
      <c r="AI48" s="162"/>
      <c r="AJ48" s="72"/>
      <c r="AK48" s="72"/>
      <c r="AL48" s="72"/>
    </row>
    <row r="49" spans="2:38" s="61" customFormat="1" x14ac:dyDescent="0.35">
      <c r="B49" s="186"/>
      <c r="C49" s="63"/>
      <c r="D49" s="8"/>
      <c r="E49" s="72"/>
      <c r="F49" s="72"/>
      <c r="G49" s="72"/>
      <c r="H49" s="72"/>
      <c r="I49" s="182"/>
      <c r="J49" s="63"/>
      <c r="K49" s="8"/>
      <c r="L49" s="72"/>
      <c r="M49" s="72"/>
      <c r="N49" s="72"/>
      <c r="O49" s="72"/>
      <c r="Q49" s="186"/>
      <c r="R49" s="63"/>
      <c r="S49" s="8"/>
      <c r="T49" s="72"/>
      <c r="U49" s="162"/>
      <c r="V49" s="72"/>
      <c r="W49" s="72"/>
      <c r="X49" s="181"/>
      <c r="Y49" s="63"/>
      <c r="Z49" s="8"/>
      <c r="AA49" s="162"/>
      <c r="AB49" s="162"/>
      <c r="AC49" s="72"/>
      <c r="AD49" s="72"/>
      <c r="AF49" s="63"/>
      <c r="AG49" s="8"/>
      <c r="AH49" s="162"/>
      <c r="AI49" s="162"/>
      <c r="AJ49" s="72"/>
      <c r="AK49" s="72"/>
      <c r="AL49" s="72"/>
    </row>
    <row r="50" spans="2:38" s="61" customFormat="1" x14ac:dyDescent="0.35">
      <c r="B50" s="186"/>
      <c r="C50" s="63"/>
      <c r="D50" s="8"/>
      <c r="E50" s="72"/>
      <c r="F50" s="72"/>
      <c r="G50" s="72"/>
      <c r="H50" s="72"/>
      <c r="I50" s="182"/>
      <c r="J50" s="63"/>
      <c r="K50" s="8"/>
      <c r="L50" s="72"/>
      <c r="M50" s="72"/>
      <c r="N50" s="72"/>
      <c r="O50" s="72"/>
      <c r="Q50" s="186"/>
      <c r="R50" s="63"/>
      <c r="S50" s="8"/>
      <c r="T50" s="72"/>
      <c r="U50" s="162"/>
      <c r="V50" s="72"/>
      <c r="W50" s="72"/>
      <c r="X50" s="181"/>
      <c r="Y50" s="63"/>
      <c r="Z50" s="8"/>
      <c r="AA50" s="162"/>
      <c r="AB50" s="162"/>
      <c r="AC50" s="72"/>
      <c r="AD50" s="72"/>
      <c r="AF50" s="63"/>
      <c r="AG50" s="8"/>
      <c r="AH50" s="162"/>
      <c r="AI50" s="162"/>
      <c r="AJ50" s="72"/>
      <c r="AK50" s="72"/>
      <c r="AL50" s="72"/>
    </row>
    <row r="51" spans="2:38" s="61" customFormat="1" x14ac:dyDescent="0.35">
      <c r="B51" s="186"/>
      <c r="C51" s="63"/>
      <c r="D51" s="8"/>
      <c r="E51" s="72"/>
      <c r="F51" s="72"/>
      <c r="G51" s="72"/>
      <c r="H51" s="72"/>
      <c r="I51" s="182"/>
      <c r="J51" s="63"/>
      <c r="K51" s="8"/>
      <c r="L51" s="72"/>
      <c r="M51" s="72"/>
      <c r="N51" s="72"/>
      <c r="O51" s="72"/>
      <c r="Q51" s="186"/>
      <c r="R51" s="63"/>
      <c r="S51" s="8"/>
      <c r="T51" s="72"/>
      <c r="U51" s="162"/>
      <c r="V51" s="72"/>
      <c r="W51" s="72"/>
      <c r="X51" s="181"/>
      <c r="Y51" s="63"/>
      <c r="Z51" s="8"/>
      <c r="AA51" s="162"/>
      <c r="AB51" s="162"/>
      <c r="AC51" s="72"/>
      <c r="AD51" s="72"/>
      <c r="AF51" s="63"/>
      <c r="AG51" s="8"/>
      <c r="AH51" s="162"/>
      <c r="AI51" s="162"/>
      <c r="AJ51" s="72"/>
      <c r="AK51" s="72"/>
      <c r="AL51" s="72"/>
    </row>
    <row r="52" spans="2:38" s="61" customFormat="1" x14ac:dyDescent="0.35">
      <c r="C52" s="63"/>
      <c r="D52" s="8"/>
      <c r="E52" s="72"/>
      <c r="F52" s="72"/>
      <c r="G52" s="72"/>
      <c r="H52" s="72"/>
      <c r="J52" s="63"/>
      <c r="K52" s="8"/>
      <c r="L52" s="72"/>
      <c r="M52" s="72"/>
      <c r="N52" s="72"/>
      <c r="O52" s="72"/>
      <c r="Q52" s="186"/>
      <c r="R52" s="63"/>
      <c r="S52" s="8"/>
      <c r="T52" s="72"/>
      <c r="U52" s="162"/>
      <c r="V52" s="72"/>
      <c r="W52" s="72"/>
      <c r="X52" s="181"/>
      <c r="Y52" s="63"/>
      <c r="Z52" s="8"/>
      <c r="AA52" s="162"/>
      <c r="AB52" s="162"/>
      <c r="AC52" s="72"/>
      <c r="AD52" s="72"/>
      <c r="AF52" s="63"/>
      <c r="AG52" s="8"/>
      <c r="AH52" s="162"/>
      <c r="AI52" s="162"/>
      <c r="AJ52" s="72"/>
      <c r="AK52" s="72"/>
      <c r="AL52" s="72"/>
    </row>
    <row r="53" spans="2:38" s="61" customFormat="1" x14ac:dyDescent="0.35">
      <c r="C53" s="63"/>
      <c r="D53" s="8"/>
      <c r="E53" s="72"/>
      <c r="F53" s="72"/>
      <c r="G53" s="72"/>
      <c r="H53" s="72"/>
      <c r="J53" s="63"/>
      <c r="K53" s="8"/>
      <c r="L53" s="72"/>
      <c r="M53" s="72"/>
      <c r="N53" s="72"/>
      <c r="O53" s="72"/>
      <c r="Q53" s="186"/>
      <c r="R53" s="63"/>
      <c r="S53" s="8"/>
      <c r="T53" s="72"/>
      <c r="U53" s="162"/>
      <c r="V53" s="72"/>
      <c r="W53" s="72"/>
      <c r="X53" s="181"/>
      <c r="Y53" s="63"/>
      <c r="Z53" s="8"/>
      <c r="AA53" s="162"/>
      <c r="AB53" s="162"/>
      <c r="AC53" s="72"/>
      <c r="AD53" s="72"/>
      <c r="AF53" s="63"/>
      <c r="AG53" s="8"/>
      <c r="AH53" s="162"/>
      <c r="AI53" s="162"/>
      <c r="AJ53" s="162"/>
      <c r="AK53" s="72"/>
      <c r="AL53" s="72"/>
    </row>
    <row r="54" spans="2:38" s="61" customFormat="1" x14ac:dyDescent="0.35">
      <c r="D54" s="63"/>
      <c r="E54" s="91"/>
      <c r="F54" s="91"/>
      <c r="G54" s="91"/>
      <c r="H54" s="91"/>
      <c r="K54" s="63"/>
      <c r="L54" s="91"/>
      <c r="M54" s="91"/>
      <c r="N54" s="91"/>
      <c r="O54" s="91"/>
      <c r="S54" s="63"/>
      <c r="T54" s="72"/>
      <c r="U54" s="72"/>
      <c r="V54" s="162"/>
      <c r="W54" s="72"/>
      <c r="X54" s="64"/>
      <c r="Z54" s="63"/>
      <c r="AA54" s="72"/>
      <c r="AB54" s="72"/>
      <c r="AC54" s="162"/>
      <c r="AD54" s="72"/>
      <c r="AG54" s="63"/>
      <c r="AH54" s="91"/>
      <c r="AI54" s="91"/>
      <c r="AJ54" s="91"/>
      <c r="AK54" s="91"/>
      <c r="AL54" s="91"/>
    </row>
    <row r="55" spans="2:38" s="61" customFormat="1" x14ac:dyDescent="0.35">
      <c r="D55" s="63"/>
      <c r="E55" s="91"/>
      <c r="F55" s="91"/>
      <c r="G55" s="91"/>
      <c r="H55" s="91"/>
      <c r="K55" s="63"/>
      <c r="L55" s="91"/>
      <c r="M55" s="91"/>
      <c r="N55" s="91"/>
      <c r="O55" s="91"/>
      <c r="S55" s="63"/>
      <c r="T55" s="72"/>
      <c r="U55" s="72"/>
      <c r="V55" s="72"/>
      <c r="W55" s="72"/>
      <c r="X55" s="64"/>
      <c r="Z55" s="63"/>
      <c r="AA55" s="72"/>
      <c r="AB55" s="72"/>
      <c r="AC55" s="72"/>
      <c r="AD55" s="72"/>
      <c r="AG55" s="63"/>
      <c r="AH55" s="91"/>
      <c r="AI55" s="91"/>
      <c r="AJ55" s="91"/>
      <c r="AK55" s="91"/>
      <c r="AL55" s="91"/>
    </row>
    <row r="56" spans="2:38" s="61" customFormat="1" x14ac:dyDescent="0.35">
      <c r="D56" s="63"/>
      <c r="E56" s="91"/>
      <c r="F56" s="91"/>
      <c r="G56" s="91"/>
      <c r="H56" s="91"/>
      <c r="K56" s="63"/>
      <c r="L56" s="91"/>
      <c r="M56" s="91"/>
      <c r="N56" s="91"/>
      <c r="O56" s="91"/>
      <c r="S56" s="63"/>
      <c r="T56" s="72"/>
      <c r="U56" s="72"/>
      <c r="V56" s="162"/>
      <c r="W56" s="72"/>
      <c r="X56" s="64"/>
      <c r="Z56" s="63"/>
      <c r="AA56" s="72"/>
      <c r="AB56" s="72"/>
      <c r="AC56" s="162"/>
      <c r="AD56" s="72"/>
      <c r="AG56" s="63"/>
      <c r="AH56" s="91"/>
      <c r="AI56" s="91"/>
      <c r="AJ56" s="91"/>
      <c r="AK56" s="91"/>
      <c r="AL56" s="91"/>
    </row>
    <row r="57" spans="2:38" s="61" customFormat="1" x14ac:dyDescent="0.35">
      <c r="D57" s="63"/>
      <c r="E57" s="91"/>
      <c r="F57" s="91"/>
      <c r="G57" s="91"/>
      <c r="H57" s="91"/>
      <c r="K57" s="63"/>
      <c r="L57" s="91"/>
      <c r="M57" s="91"/>
      <c r="N57" s="91"/>
      <c r="O57" s="91"/>
      <c r="S57" s="63"/>
      <c r="T57" s="72"/>
      <c r="U57" s="72"/>
      <c r="V57" s="72"/>
      <c r="W57" s="72"/>
      <c r="X57" s="64"/>
      <c r="Z57" s="63"/>
      <c r="AA57" s="72"/>
      <c r="AB57" s="72"/>
      <c r="AC57" s="72"/>
      <c r="AD57" s="72"/>
      <c r="AG57" s="63"/>
      <c r="AH57" s="91"/>
      <c r="AI57" s="91"/>
      <c r="AJ57" s="91"/>
      <c r="AK57" s="91"/>
      <c r="AL57" s="91"/>
    </row>
    <row r="58" spans="2:38" s="61" customFormat="1" x14ac:dyDescent="0.35">
      <c r="D58" s="63"/>
      <c r="E58" s="91"/>
      <c r="F58" s="91"/>
      <c r="G58" s="91"/>
      <c r="H58" s="91"/>
      <c r="K58" s="63"/>
      <c r="L58" s="91"/>
      <c r="M58" s="91"/>
      <c r="N58" s="91"/>
      <c r="O58" s="91"/>
      <c r="S58" s="63"/>
      <c r="T58" s="72"/>
      <c r="U58" s="72"/>
      <c r="V58" s="72"/>
      <c r="W58" s="72"/>
      <c r="Z58" s="63"/>
      <c r="AA58" s="72"/>
      <c r="AB58" s="72"/>
      <c r="AC58" s="72"/>
      <c r="AD58" s="72"/>
      <c r="AG58" s="63"/>
      <c r="AH58" s="91"/>
      <c r="AI58" s="91"/>
      <c r="AJ58" s="91"/>
      <c r="AK58" s="91"/>
      <c r="AL58" s="91"/>
    </row>
  </sheetData>
  <mergeCells count="2">
    <mergeCell ref="B3:B33"/>
    <mergeCell ref="Q3:Q33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Y65"/>
  <sheetViews>
    <sheetView topLeftCell="L1" workbookViewId="0">
      <selection activeCell="L39" sqref="L39"/>
    </sheetView>
  </sheetViews>
  <sheetFormatPr baseColWidth="10" defaultRowHeight="15.5" x14ac:dyDescent="0.35"/>
  <cols>
    <col min="1" max="16384" width="10.6640625" style="77"/>
  </cols>
  <sheetData>
    <row r="2" spans="2:23" ht="16" thickBot="1" x14ac:dyDescent="0.4">
      <c r="C2" s="77" t="s">
        <v>10</v>
      </c>
      <c r="H2" s="77" t="s">
        <v>19</v>
      </c>
      <c r="N2" s="77" t="s">
        <v>10</v>
      </c>
      <c r="S2" s="77" t="s">
        <v>19</v>
      </c>
    </row>
    <row r="3" spans="2:23" ht="30" customHeight="1" thickBot="1" x14ac:dyDescent="0.4">
      <c r="B3" s="248" t="s">
        <v>43</v>
      </c>
      <c r="C3" s="187" t="s">
        <v>23</v>
      </c>
      <c r="D3" s="188" t="s">
        <v>24</v>
      </c>
      <c r="E3" s="188" t="s">
        <v>25</v>
      </c>
      <c r="F3" s="189" t="s">
        <v>26</v>
      </c>
      <c r="G3" s="61"/>
      <c r="H3" s="187" t="s">
        <v>23</v>
      </c>
      <c r="I3" s="190" t="s">
        <v>24</v>
      </c>
      <c r="J3" s="190" t="s">
        <v>25</v>
      </c>
      <c r="K3" s="191" t="s">
        <v>26</v>
      </c>
      <c r="L3" s="61"/>
      <c r="M3" s="248" t="s">
        <v>41</v>
      </c>
      <c r="N3" s="187" t="s">
        <v>23</v>
      </c>
      <c r="O3" s="190" t="s">
        <v>24</v>
      </c>
      <c r="P3" s="190" t="s">
        <v>25</v>
      </c>
      <c r="Q3" s="191" t="s">
        <v>26</v>
      </c>
      <c r="S3" s="187" t="s">
        <v>23</v>
      </c>
      <c r="T3" s="190" t="s">
        <v>24</v>
      </c>
      <c r="U3" s="190" t="s">
        <v>25</v>
      </c>
      <c r="V3" s="191" t="s">
        <v>26</v>
      </c>
      <c r="W3" s="61"/>
    </row>
    <row r="4" spans="2:23" x14ac:dyDescent="0.35">
      <c r="B4" s="248"/>
      <c r="C4" s="192">
        <f>Protein!I5</f>
        <v>20.937447619047621</v>
      </c>
      <c r="D4" s="74">
        <f>Glucose!H4</f>
        <v>1.3177401129943505</v>
      </c>
      <c r="E4" s="86">
        <f>Lipids!G3</f>
        <v>94.895999999989542</v>
      </c>
      <c r="F4" s="193">
        <f>SUM(C4:E4)</f>
        <v>117.15118773203152</v>
      </c>
      <c r="G4" s="61"/>
      <c r="H4" s="192">
        <f>Protein!R5</f>
        <v>65.564895238095247</v>
      </c>
      <c r="I4" s="121">
        <f>Glucose!O4</f>
        <v>1.2014689265536724</v>
      </c>
      <c r="J4" s="194">
        <f>Lipids!N3</f>
        <v>51.402000000020678</v>
      </c>
      <c r="K4" s="195">
        <f>SUM(H4:J4)</f>
        <v>118.1683641646696</v>
      </c>
      <c r="L4" s="61"/>
      <c r="M4" s="248"/>
      <c r="N4" s="192">
        <f>Protein!AB9</f>
        <v>23.757685714285717</v>
      </c>
      <c r="O4" s="121">
        <f>Glucose!W4</f>
        <v>1.3501063829787239</v>
      </c>
      <c r="P4" s="196">
        <f>Lipids!V3</f>
        <v>39.539999999978086</v>
      </c>
      <c r="Q4" s="197">
        <f>SUM(N4:P4)</f>
        <v>64.64779209724253</v>
      </c>
      <c r="S4" s="192">
        <f>Protein!AK15</f>
        <v>51.215523809523823</v>
      </c>
      <c r="T4" s="121">
        <f>Glucose!AD4</f>
        <v>1.386595744680851</v>
      </c>
      <c r="U4" s="198">
        <f>Lipids!AC3</f>
        <v>27.678000000005731</v>
      </c>
      <c r="V4" s="195">
        <f>SUM(S4:U4)</f>
        <v>80.280119554210415</v>
      </c>
    </row>
    <row r="5" spans="2:23" x14ac:dyDescent="0.35">
      <c r="B5" s="248"/>
      <c r="C5" s="199">
        <f>Protein!I6</f>
        <v>27.480400000000007</v>
      </c>
      <c r="D5" s="74">
        <f>Glucose!H5</f>
        <v>1.0464406779661017</v>
      </c>
      <c r="E5" s="86">
        <f>Lipids!G4</f>
        <v>106.75800000003214</v>
      </c>
      <c r="F5" s="193">
        <f t="shared" ref="F5:F33" si="0">SUM(C5:E5)</f>
        <v>135.28484067799826</v>
      </c>
      <c r="G5" s="61"/>
      <c r="H5" s="199">
        <f>Protein!R6</f>
        <v>80.546000000000021</v>
      </c>
      <c r="I5" s="74">
        <f>Glucose!O5</f>
        <v>1.8603389830508474</v>
      </c>
      <c r="J5" s="88">
        <f>Lipids!N4</f>
        <v>55.355999999941226</v>
      </c>
      <c r="K5" s="193">
        <f t="shared" ref="K5:K33" si="1">SUM(H5:J5)</f>
        <v>137.76233898299211</v>
      </c>
      <c r="L5" s="61"/>
      <c r="M5" s="248"/>
      <c r="N5" s="199">
        <f>Protein!AB20</f>
        <v>28.721304761904761</v>
      </c>
      <c r="O5" s="74">
        <f>Glucose!W5</f>
        <v>1.2771276595744681</v>
      </c>
      <c r="P5" s="200">
        <f>Lipids!V4</f>
        <v>83.034000000017187</v>
      </c>
      <c r="Q5" s="201">
        <f t="shared" ref="Q5:Q33" si="2">SUM(N5:P5)</f>
        <v>113.03243242149642</v>
      </c>
      <c r="S5" s="199">
        <f>Protein!AK6</f>
        <v>49.997180952380958</v>
      </c>
      <c r="T5" s="74">
        <f>Glucose!AD5</f>
        <v>1.0217021276595744</v>
      </c>
      <c r="U5" s="202">
        <f>Lipids!AC4</f>
        <v>47.447999999959656</v>
      </c>
      <c r="V5" s="193">
        <f t="shared" ref="V5:V33" si="3">SUM(S5:U5)</f>
        <v>98.466883080000187</v>
      </c>
    </row>
    <row r="6" spans="2:23" x14ac:dyDescent="0.35">
      <c r="B6" s="248"/>
      <c r="C6" s="199">
        <f>Protein!I7</f>
        <v>27.254780952380958</v>
      </c>
      <c r="D6" s="74">
        <f>Glucose!H6</f>
        <v>2.5579661016949156</v>
      </c>
      <c r="E6" s="86">
        <f>Lipids!G5</f>
        <v>118.6200000000045</v>
      </c>
      <c r="F6" s="193">
        <f t="shared" si="0"/>
        <v>148.43274705408038</v>
      </c>
      <c r="G6" s="61"/>
      <c r="H6" s="199">
        <f>Protein!R7</f>
        <v>66.016133333333343</v>
      </c>
      <c r="I6" s="74">
        <f>Glucose!O6</f>
        <v>2.1316384180790964</v>
      </c>
      <c r="J6" s="88">
        <f>Lipids!N5</f>
        <v>55.356000000011463</v>
      </c>
      <c r="K6" s="193">
        <f t="shared" si="1"/>
        <v>123.5037717514239</v>
      </c>
      <c r="L6" s="61"/>
      <c r="M6" s="248"/>
      <c r="N6" s="199">
        <f>Protein!AB25</f>
        <v>28.608495238095244</v>
      </c>
      <c r="O6" s="74">
        <f>Glucose!W6</f>
        <v>0.54734042553191475</v>
      </c>
      <c r="P6" s="200">
        <f>Lipids!V5</f>
        <v>98.849999999980326</v>
      </c>
      <c r="Q6" s="201">
        <f t="shared" si="2"/>
        <v>128.00583566360748</v>
      </c>
      <c r="S6" s="199">
        <f>Protein!AK24</f>
        <v>69.547071428571442</v>
      </c>
      <c r="T6" s="74">
        <f>Glucose!AD6</f>
        <v>1.3136170212765959</v>
      </c>
      <c r="U6" s="202">
        <f>Lipids!AC5</f>
        <v>55.356000000011463</v>
      </c>
      <c r="V6" s="193">
        <f t="shared" si="3"/>
        <v>126.2166884498595</v>
      </c>
    </row>
    <row r="7" spans="2:23" x14ac:dyDescent="0.35">
      <c r="B7" s="248"/>
      <c r="C7" s="199">
        <f>Protein!I8</f>
        <v>25.337019047619048</v>
      </c>
      <c r="D7" s="74">
        <f>Glucose!H7</f>
        <v>1.1627118644067793</v>
      </c>
      <c r="E7" s="86">
        <f>Lipids!G6</f>
        <v>75.125999999965387</v>
      </c>
      <c r="F7" s="193">
        <f t="shared" si="0"/>
        <v>101.62573091199121</v>
      </c>
      <c r="G7" s="61"/>
      <c r="H7" s="199">
        <f>Protein!R9</f>
        <v>68.49794285714286</v>
      </c>
      <c r="I7" s="74">
        <f>Glucose!O7</f>
        <v>0.85265536723163837</v>
      </c>
      <c r="J7" s="88">
        <f>Lipids!N6</f>
        <v>43.494000000039108</v>
      </c>
      <c r="K7" s="193">
        <f t="shared" si="1"/>
        <v>112.8445982244136</v>
      </c>
      <c r="L7" s="61"/>
      <c r="M7" s="248"/>
      <c r="N7" s="199">
        <f>Protein!AB8</f>
        <v>19.358114285714294</v>
      </c>
      <c r="O7" s="74">
        <f>Glucose!W7</f>
        <v>1.0457317073170731</v>
      </c>
      <c r="P7" s="200">
        <f>Lipids!V6</f>
        <v>63.263999999993032</v>
      </c>
      <c r="Q7" s="201">
        <f t="shared" si="2"/>
        <v>83.6678459930244</v>
      </c>
      <c r="S7" s="199">
        <f>Protein!AK8</f>
        <v>34.95967142857144</v>
      </c>
      <c r="T7" s="74">
        <f>Glucose!AD7</f>
        <v>1.213048780487805</v>
      </c>
      <c r="U7" s="202">
        <f>Lipids!AC6</f>
        <v>35.585999999987301</v>
      </c>
      <c r="V7" s="193">
        <f t="shared" si="3"/>
        <v>71.758720209046544</v>
      </c>
    </row>
    <row r="8" spans="2:23" x14ac:dyDescent="0.35">
      <c r="B8" s="248"/>
      <c r="C8" s="199">
        <f>Protein!I9</f>
        <v>23.983304761904769</v>
      </c>
      <c r="D8" s="74">
        <f>Glucose!H8</f>
        <v>1.2402259887005653</v>
      </c>
      <c r="E8" s="86">
        <f>Lipids!G7</f>
        <v>83.034000000017187</v>
      </c>
      <c r="F8" s="193">
        <f t="shared" si="0"/>
        <v>108.25753075062252</v>
      </c>
      <c r="G8" s="61"/>
      <c r="H8" s="199">
        <f>Protein!R8</f>
        <v>32.556828571428582</v>
      </c>
      <c r="I8" s="74">
        <f>Glucose!O8</f>
        <v>2.092881355932203</v>
      </c>
      <c r="J8" s="88">
        <f>Lipids!N7</f>
        <v>47.448000000029893</v>
      </c>
      <c r="K8" s="193">
        <f t="shared" si="1"/>
        <v>82.097709927390682</v>
      </c>
      <c r="L8" s="61"/>
      <c r="M8" s="248"/>
      <c r="N8" s="199">
        <f>Protein!AB5</f>
        <v>14.620114285714285</v>
      </c>
      <c r="O8" s="74">
        <f>Glucose!W8</f>
        <v>0.75292682926829257</v>
      </c>
      <c r="P8" s="200">
        <f>Lipids!V7</f>
        <v>43.494000000039108</v>
      </c>
      <c r="Q8" s="201">
        <f t="shared" si="2"/>
        <v>58.867041115021685</v>
      </c>
      <c r="S8" s="199">
        <f>Protein!AK9</f>
        <v>23.532066666666672</v>
      </c>
      <c r="T8" s="74">
        <f>Glucose!AD8</f>
        <v>0.71109756097560983</v>
      </c>
      <c r="U8" s="202">
        <f>Lipids!AC7</f>
        <v>27.678000000005731</v>
      </c>
      <c r="V8" s="193">
        <f t="shared" si="3"/>
        <v>51.921164227648013</v>
      </c>
    </row>
    <row r="9" spans="2:23" x14ac:dyDescent="0.35">
      <c r="B9" s="248"/>
      <c r="C9" s="199">
        <f>Protein!I10</f>
        <v>24.096114285714286</v>
      </c>
      <c r="D9" s="74">
        <f>Glucose!H9</f>
        <v>1.7053107344632767</v>
      </c>
      <c r="E9" s="86">
        <f>Lipids!G8</f>
        <v>142.34400000001943</v>
      </c>
      <c r="F9" s="193">
        <f t="shared" si="0"/>
        <v>168.145425020197</v>
      </c>
      <c r="G9" s="61"/>
      <c r="H9" s="199">
        <f>Protein!R10</f>
        <v>35.15144761904763</v>
      </c>
      <c r="I9" s="74">
        <f>Glucose!O9</f>
        <v>1.0076836158192093</v>
      </c>
      <c r="J9" s="88">
        <f>Lipids!N8</f>
        <v>67.218000000054047</v>
      </c>
      <c r="K9" s="193">
        <f t="shared" si="1"/>
        <v>103.37713123492088</v>
      </c>
      <c r="L9" s="61"/>
      <c r="M9" s="248"/>
      <c r="N9" s="199">
        <f>Protein!AB10</f>
        <v>27.254780952380958</v>
      </c>
      <c r="O9" s="74">
        <f>Glucose!W9</f>
        <v>0.83658536585365861</v>
      </c>
      <c r="P9" s="200">
        <f>Lipids!V8</f>
        <v>51.402000000090915</v>
      </c>
      <c r="Q9" s="201">
        <f t="shared" si="2"/>
        <v>79.493366318325528</v>
      </c>
      <c r="S9" s="199">
        <f>Protein!AK10</f>
        <v>42.574314285714287</v>
      </c>
      <c r="T9" s="74">
        <f>Glucose!AD9</f>
        <v>0.87841463414634124</v>
      </c>
      <c r="U9" s="202">
        <f>Lipids!AC8</f>
        <v>51.402000000000001</v>
      </c>
      <c r="V9" s="193">
        <f t="shared" si="3"/>
        <v>94.854728919860634</v>
      </c>
    </row>
    <row r="10" spans="2:23" x14ac:dyDescent="0.35">
      <c r="B10" s="248"/>
      <c r="C10" s="199">
        <f>Protein!I11</f>
        <v>30.864685714285724</v>
      </c>
      <c r="D10" s="74">
        <f>Glucose!H10</f>
        <v>1.5502824858757063</v>
      </c>
      <c r="E10" s="86">
        <f>Lipids!G9</f>
        <v>130.48199999997684</v>
      </c>
      <c r="F10" s="193">
        <f t="shared" si="0"/>
        <v>162.89696820013828</v>
      </c>
      <c r="G10" s="61"/>
      <c r="H10" s="199">
        <f>Protein!R11</f>
        <v>58.818885714285713</v>
      </c>
      <c r="I10" s="74">
        <f>Glucose!O10</f>
        <v>0.8138983050847457</v>
      </c>
      <c r="J10" s="88">
        <f>Lipids!N9</f>
        <v>67.218000000054047</v>
      </c>
      <c r="K10" s="193">
        <f t="shared" si="1"/>
        <v>126.85078401942451</v>
      </c>
      <c r="L10" s="61"/>
      <c r="M10" s="248"/>
      <c r="N10" s="199">
        <f>Protein!AB11</f>
        <v>21.422528571428572</v>
      </c>
      <c r="O10" s="74">
        <f>Glucose!W10</f>
        <v>1.3803658536585368</v>
      </c>
      <c r="P10" s="200">
        <f>Lipids!V9</f>
        <v>102.80400000004136</v>
      </c>
      <c r="Q10" s="201">
        <f t="shared" si="2"/>
        <v>125.60689442512846</v>
      </c>
      <c r="S10" s="199">
        <f>Protein!AK25</f>
        <v>50.651476190476203</v>
      </c>
      <c r="T10" s="74">
        <f>Glucose!AD10</f>
        <v>0.66926829268292687</v>
      </c>
      <c r="U10" s="202">
        <f>Lipids!AC9</f>
        <v>23.724000000014946</v>
      </c>
      <c r="V10" s="193">
        <f t="shared" si="3"/>
        <v>75.044744483174071</v>
      </c>
    </row>
    <row r="11" spans="2:23" x14ac:dyDescent="0.35">
      <c r="B11" s="248"/>
      <c r="C11" s="199">
        <f>Protein!I12</f>
        <v>34.587400000000009</v>
      </c>
      <c r="D11" s="74">
        <f>Glucose!H11</f>
        <v>1.1749171270718233</v>
      </c>
      <c r="E11" s="86">
        <f>Lipids!G10</f>
        <v>114.66599999994347</v>
      </c>
      <c r="F11" s="193">
        <f t="shared" si="0"/>
        <v>150.4283171270153</v>
      </c>
      <c r="G11" s="61"/>
      <c r="H11" s="199">
        <f>Protein!R12</f>
        <v>53.065600000000018</v>
      </c>
      <c r="I11" s="74">
        <f>Glucose!O11</f>
        <v>1.0612154696132596</v>
      </c>
      <c r="J11" s="88">
        <f>Lipids!N10</f>
        <v>71.172000000044832</v>
      </c>
      <c r="K11" s="193">
        <f t="shared" si="1"/>
        <v>125.29881546965811</v>
      </c>
      <c r="L11" s="61"/>
      <c r="M11" s="248"/>
      <c r="N11" s="199">
        <f>Protein!AB24</f>
        <v>26.013876190476196</v>
      </c>
      <c r="O11" s="74">
        <f>Glucose!W11</f>
        <v>0.36881720430107529</v>
      </c>
      <c r="P11" s="200">
        <f>Lipids!V10</f>
        <v>79.079999999956172</v>
      </c>
      <c r="Q11" s="201">
        <f t="shared" si="2"/>
        <v>105.46269339473344</v>
      </c>
      <c r="S11" s="199">
        <f>Protein!AK28</f>
        <v>54.035761904761912</v>
      </c>
      <c r="T11" s="74">
        <f>Glucose!AD11</f>
        <v>0.44258064516129031</v>
      </c>
      <c r="U11" s="202">
        <f>Lipids!AC10</f>
        <v>23.724000000014946</v>
      </c>
      <c r="V11" s="193">
        <f t="shared" si="3"/>
        <v>78.202342549938152</v>
      </c>
    </row>
    <row r="12" spans="2:23" x14ac:dyDescent="0.35">
      <c r="B12" s="248"/>
      <c r="C12" s="199">
        <f>Protein!I13</f>
        <v>26.577923809523817</v>
      </c>
      <c r="D12" s="74">
        <f>Glucose!H12</f>
        <v>1.5918232044198897</v>
      </c>
      <c r="E12" s="86">
        <f>Lipids!G11</f>
        <v>94.895999999989542</v>
      </c>
      <c r="F12" s="193">
        <f t="shared" si="0"/>
        <v>123.06574701393325</v>
      </c>
      <c r="G12" s="61"/>
      <c r="H12" s="199">
        <f>Protein!R13</f>
        <v>44.435671428571432</v>
      </c>
      <c r="I12" s="74">
        <f>Glucose!O12</f>
        <v>0.9475138121546961</v>
      </c>
      <c r="J12" s="88">
        <f>Lipids!N11</f>
        <v>71.172000000044832</v>
      </c>
      <c r="K12" s="193">
        <f t="shared" si="1"/>
        <v>116.55518524077095</v>
      </c>
      <c r="L12" s="61"/>
      <c r="M12" s="248"/>
      <c r="N12" s="199">
        <f>Protein!AB13</f>
        <v>30.075019047619055</v>
      </c>
      <c r="O12" s="74">
        <f>Glucose!W12</f>
        <v>0.59010752688172052</v>
      </c>
      <c r="P12" s="200">
        <f>Lipids!V11</f>
        <v>67.218000000054047</v>
      </c>
      <c r="Q12" s="201">
        <f t="shared" si="2"/>
        <v>97.883126574554822</v>
      </c>
      <c r="S12" s="199">
        <f>Protein!AK13</f>
        <v>55.186419047619054</v>
      </c>
      <c r="T12" s="74">
        <f>Glucose!AD12</f>
        <v>0.77451612903225808</v>
      </c>
      <c r="U12" s="202">
        <f>Lipids!AC11</f>
        <v>31.631999999996516</v>
      </c>
      <c r="V12" s="193">
        <f t="shared" si="3"/>
        <v>87.592935176647828</v>
      </c>
    </row>
    <row r="13" spans="2:23" x14ac:dyDescent="0.35">
      <c r="B13" s="248"/>
      <c r="C13" s="199">
        <f>Protein!I14</f>
        <v>24.434542857142862</v>
      </c>
      <c r="D13" s="74">
        <f>Glucose!H13</f>
        <v>1.7055248618784531</v>
      </c>
      <c r="E13" s="86">
        <f>Lipids!G12</f>
        <v>86.988000000007972</v>
      </c>
      <c r="F13" s="193">
        <f t="shared" si="0"/>
        <v>113.12806771902929</v>
      </c>
      <c r="G13" s="61"/>
      <c r="H13" s="199">
        <f>Protein!R14</f>
        <v>76.597666666666669</v>
      </c>
      <c r="I13" s="74">
        <f>Glucose!O13</f>
        <v>0.83381215469613268</v>
      </c>
      <c r="J13" s="88">
        <f>Lipids!N12</f>
        <v>63.263999999993032</v>
      </c>
      <c r="K13" s="193">
        <f t="shared" si="1"/>
        <v>140.69547882135583</v>
      </c>
      <c r="L13" s="61"/>
      <c r="M13" s="248"/>
      <c r="N13" s="199">
        <f>Protein!AB14</f>
        <v>17.327542857142859</v>
      </c>
      <c r="O13" s="74">
        <f>Glucose!W13</f>
        <v>0.40569892473118274</v>
      </c>
      <c r="P13" s="200">
        <f>Lipids!V12</f>
        <v>86.988000000007972</v>
      </c>
      <c r="Q13" s="201">
        <f t="shared" si="2"/>
        <v>104.72124178188201</v>
      </c>
      <c r="S13" s="199">
        <f>Protein!AK14</f>
        <v>21.83992380952381</v>
      </c>
      <c r="T13" s="74">
        <f>Glucose!AD13</f>
        <v>0.73763440860215057</v>
      </c>
      <c r="U13" s="202">
        <f>Lipids!AC12</f>
        <v>31.631999999996516</v>
      </c>
      <c r="V13" s="193">
        <f t="shared" si="3"/>
        <v>54.209558218122481</v>
      </c>
    </row>
    <row r="14" spans="2:23" x14ac:dyDescent="0.35">
      <c r="B14" s="248"/>
      <c r="C14" s="199">
        <f>Protein!I15</f>
        <v>27.706019047619048</v>
      </c>
      <c r="D14" s="74">
        <f>Glucose!H14</f>
        <v>1.0612154696132599</v>
      </c>
      <c r="E14" s="86">
        <f>Lipids!G13</f>
        <v>122.57399999999528</v>
      </c>
      <c r="F14" s="193">
        <f t="shared" si="0"/>
        <v>151.34123451722758</v>
      </c>
      <c r="G14" s="61"/>
      <c r="H14" s="199">
        <f>Protein!R15</f>
        <v>70.675166666666655</v>
      </c>
      <c r="I14" s="74">
        <f>Glucose!O14</f>
        <v>1.5160220994475138</v>
      </c>
      <c r="J14" s="88">
        <f>Lipids!N13</f>
        <v>63.263999999993032</v>
      </c>
      <c r="K14" s="193">
        <f t="shared" si="1"/>
        <v>135.4551887661072</v>
      </c>
      <c r="L14" s="61"/>
      <c r="M14" s="248"/>
      <c r="N14" s="199">
        <f>Protein!AB30</f>
        <v>15.861019047619051</v>
      </c>
      <c r="O14" s="74">
        <f>Glucose!W14</f>
        <v>1.1311702127659575</v>
      </c>
      <c r="P14" s="200">
        <f>Lipids!V13</f>
        <v>94.895999999989542</v>
      </c>
      <c r="Q14" s="201">
        <f t="shared" si="2"/>
        <v>111.88818926037455</v>
      </c>
      <c r="S14" s="199">
        <f>Protein!AK5</f>
        <v>20.937447619047621</v>
      </c>
      <c r="T14" s="74">
        <f>Glucose!AD14</f>
        <v>1.2771276595744678</v>
      </c>
      <c r="U14" s="202">
        <f>Lipids!AC13</f>
        <v>79.079999999956172</v>
      </c>
      <c r="V14" s="193">
        <f t="shared" si="3"/>
        <v>101.29457527857826</v>
      </c>
    </row>
    <row r="15" spans="2:23" x14ac:dyDescent="0.35">
      <c r="B15" s="248"/>
      <c r="C15" s="199">
        <f>Protein!I16</f>
        <v>22.403971428571431</v>
      </c>
      <c r="D15" s="74">
        <f>Glucose!H15</f>
        <v>1.3265193370165749</v>
      </c>
      <c r="E15" s="86">
        <f>Lipids!G14</f>
        <v>114.66599999994347</v>
      </c>
      <c r="F15" s="193">
        <f t="shared" si="0"/>
        <v>138.39649076553147</v>
      </c>
      <c r="G15" s="61"/>
      <c r="H15" s="199">
        <f>Protein!R16</f>
        <v>78.571833333333345</v>
      </c>
      <c r="I15" s="74">
        <f>Glucose!O15</f>
        <v>0.79591160220994484</v>
      </c>
      <c r="J15" s="88">
        <f>Lipids!N14</f>
        <v>75.126000000035617</v>
      </c>
      <c r="K15" s="193">
        <f t="shared" si="1"/>
        <v>154.49374493557889</v>
      </c>
      <c r="L15" s="61"/>
      <c r="M15" s="248"/>
      <c r="N15" s="199">
        <f>Protein!AB16</f>
        <v>20.486209523809528</v>
      </c>
      <c r="O15" s="74">
        <f>Glucose!W15</f>
        <v>1.3501063829787234</v>
      </c>
      <c r="P15" s="200">
        <f>Lipids!V14</f>
        <v>71.171999999974602</v>
      </c>
      <c r="Q15" s="201">
        <f t="shared" si="2"/>
        <v>93.008315906762846</v>
      </c>
      <c r="S15" s="199">
        <f>Protein!AK26</f>
        <v>40.036100000000005</v>
      </c>
      <c r="T15" s="74">
        <f>Glucose!AD15</f>
        <v>1.0217021276595744</v>
      </c>
      <c r="U15" s="202">
        <f>Lipids!AC14</f>
        <v>31.631999999996516</v>
      </c>
      <c r="V15" s="193">
        <f t="shared" si="3"/>
        <v>72.689802127656094</v>
      </c>
    </row>
    <row r="16" spans="2:23" x14ac:dyDescent="0.35">
      <c r="B16" s="248"/>
      <c r="C16" s="199">
        <f>Protein!I17</f>
        <v>33.797733333333341</v>
      </c>
      <c r="D16" s="74">
        <f>Glucose!H16</f>
        <v>1.478121546961326</v>
      </c>
      <c r="E16" s="86">
        <f>Lipids!G15</f>
        <v>173.97600000001594</v>
      </c>
      <c r="F16" s="193">
        <f t="shared" si="0"/>
        <v>209.25185488031062</v>
      </c>
      <c r="G16" s="61"/>
      <c r="H16" s="199">
        <f>Protein!R17</f>
        <v>70.111119047619056</v>
      </c>
      <c r="I16" s="74">
        <f>Glucose!O16</f>
        <v>0.9475138121546961</v>
      </c>
      <c r="J16" s="88">
        <f>Lipids!N15</f>
        <v>90.941999999998757</v>
      </c>
      <c r="K16" s="193">
        <f t="shared" si="1"/>
        <v>162.00063285977251</v>
      </c>
      <c r="L16" s="61"/>
      <c r="M16" s="248"/>
      <c r="N16" s="199">
        <f>Protein!AB17</f>
        <v>28.721304761904761</v>
      </c>
      <c r="O16" s="74">
        <f>Glucose!W16</f>
        <v>0.3648936170212766</v>
      </c>
      <c r="P16" s="200">
        <f>Lipids!V15</f>
        <v>98.850000000050571</v>
      </c>
      <c r="Q16" s="201">
        <f t="shared" si="2"/>
        <v>127.93619837897661</v>
      </c>
      <c r="S16" s="199">
        <f>Protein!AK17</f>
        <v>43.228609523809524</v>
      </c>
      <c r="T16" s="74">
        <f>Glucose!AD16</f>
        <v>1.3136170212765959</v>
      </c>
      <c r="U16" s="202">
        <f>Lipids!AC15</f>
        <v>31.631999999996516</v>
      </c>
      <c r="V16" s="193">
        <f t="shared" si="3"/>
        <v>76.174226545082632</v>
      </c>
    </row>
    <row r="17" spans="1:25" x14ac:dyDescent="0.35">
      <c r="B17" s="248"/>
      <c r="C17" s="199">
        <f>Protein!I18</f>
        <v>30.751876190476196</v>
      </c>
      <c r="D17" s="74">
        <f>Glucose!H17</f>
        <v>2.0284946236559138</v>
      </c>
      <c r="E17" s="86">
        <f>Lipids!G16</f>
        <v>146.29800000001023</v>
      </c>
      <c r="F17" s="193">
        <f t="shared" si="0"/>
        <v>179.07837081414235</v>
      </c>
      <c r="G17" s="61"/>
      <c r="H17" s="199">
        <f>Protein!R18</f>
        <v>86.750523809523827</v>
      </c>
      <c r="I17" s="74">
        <f>Glucose!O17</f>
        <v>2.0284946236559138</v>
      </c>
      <c r="J17" s="88">
        <f>Lipids!N16</f>
        <v>71.172000000044832</v>
      </c>
      <c r="K17" s="193">
        <f t="shared" si="1"/>
        <v>159.95101843322459</v>
      </c>
      <c r="L17" s="61"/>
      <c r="M17" s="248"/>
      <c r="N17" s="199">
        <f>Protein!AB18</f>
        <v>29.51097142857143</v>
      </c>
      <c r="O17" s="74">
        <f>Glucose!W17</f>
        <v>1.1293902439024388</v>
      </c>
      <c r="P17" s="200">
        <f>Lipids!V16</f>
        <v>75.125999999965387</v>
      </c>
      <c r="Q17" s="201">
        <f t="shared" si="2"/>
        <v>105.76636167243926</v>
      </c>
      <c r="S17" s="199">
        <f>Protein!AK18</f>
        <v>44.266457142857149</v>
      </c>
      <c r="T17" s="74">
        <f>Glucose!AD17</f>
        <v>1.3803658536585368</v>
      </c>
      <c r="U17" s="202">
        <f>Lipids!AC16</f>
        <v>31.631999999996516</v>
      </c>
      <c r="V17" s="193">
        <f t="shared" si="3"/>
        <v>77.278822996512204</v>
      </c>
    </row>
    <row r="18" spans="1:25" x14ac:dyDescent="0.35">
      <c r="B18" s="248"/>
      <c r="C18" s="199">
        <f>Protein!I19</f>
        <v>32.21840000000001</v>
      </c>
      <c r="D18" s="74">
        <f>Glucose!H18</f>
        <v>1.2539784946236561</v>
      </c>
      <c r="E18" s="86">
        <f>Lipids!G17</f>
        <v>170.02199999995494</v>
      </c>
      <c r="F18" s="193">
        <f t="shared" si="0"/>
        <v>203.4943784945786</v>
      </c>
      <c r="G18" s="61"/>
      <c r="H18" s="199">
        <f>Protein!R19</f>
        <v>69.547071428571442</v>
      </c>
      <c r="I18" s="74">
        <f>Glucose!O18</f>
        <v>1.2539784946236561</v>
      </c>
      <c r="J18" s="88">
        <f>Lipids!N17</f>
        <v>71.172000000044832</v>
      </c>
      <c r="K18" s="193">
        <f t="shared" si="1"/>
        <v>141.97304992323993</v>
      </c>
      <c r="L18" s="61"/>
      <c r="M18" s="248"/>
      <c r="N18" s="199">
        <f>Protein!AB19</f>
        <v>23.419257142857145</v>
      </c>
      <c r="O18" s="74">
        <f>Glucose!W18</f>
        <v>1.3385365853658537</v>
      </c>
      <c r="P18" s="200">
        <f>Lipids!V17</f>
        <v>79.080000000026402</v>
      </c>
      <c r="Q18" s="201">
        <f t="shared" si="2"/>
        <v>103.83779372824941</v>
      </c>
      <c r="S18" s="199">
        <f>Protein!AK19</f>
        <v>40.71295714285715</v>
      </c>
      <c r="T18" s="74">
        <f>Glucose!AD18</f>
        <v>0.71109756097560983</v>
      </c>
      <c r="U18" s="202">
        <f>Lipids!AC17</f>
        <v>39.539999999978086</v>
      </c>
      <c r="V18" s="193">
        <f t="shared" si="3"/>
        <v>80.964054703810845</v>
      </c>
    </row>
    <row r="19" spans="1:25" x14ac:dyDescent="0.35">
      <c r="B19" s="248"/>
      <c r="C19" s="199">
        <f>Protein!I20</f>
        <v>20.486209523809528</v>
      </c>
      <c r="D19" s="74">
        <f>Glucose!H19</f>
        <v>1.8440860215053765</v>
      </c>
      <c r="E19" s="86">
        <f>Lipids!G18</f>
        <v>102.80400000004136</v>
      </c>
      <c r="F19" s="193">
        <f t="shared" si="0"/>
        <v>125.13429554535625</v>
      </c>
      <c r="G19" s="61"/>
      <c r="H19" s="199">
        <f>Protein!R20</f>
        <v>59.958261904761919</v>
      </c>
      <c r="I19" s="74">
        <f>Glucose!O19</f>
        <v>0.73763440860215057</v>
      </c>
      <c r="J19" s="88">
        <f>Lipids!N18</f>
        <v>47.447999999959656</v>
      </c>
      <c r="K19" s="193">
        <f t="shared" si="1"/>
        <v>108.14389631332372</v>
      </c>
      <c r="L19" s="61"/>
      <c r="M19" s="248"/>
      <c r="N19" s="199">
        <f>Protein!AB6</f>
        <v>15.522590476190478</v>
      </c>
      <c r="O19" s="74">
        <f>Glucose!W19</f>
        <v>0.71109756097560983</v>
      </c>
      <c r="P19" s="200">
        <f>Lipids!V18</f>
        <v>134.43599999996763</v>
      </c>
      <c r="Q19" s="201">
        <f t="shared" si="2"/>
        <v>150.66968803713371</v>
      </c>
      <c r="S19" s="199">
        <f>Protein!AK20</f>
        <v>65.034690476190477</v>
      </c>
      <c r="T19" s="74">
        <f>Glucose!AD19</f>
        <v>0.7529268292682928</v>
      </c>
      <c r="U19" s="202">
        <f>Lipids!AC18</f>
        <v>59.310000000002248</v>
      </c>
      <c r="V19" s="193">
        <f t="shared" si="3"/>
        <v>125.09761730546101</v>
      </c>
    </row>
    <row r="20" spans="1:25" x14ac:dyDescent="0.35">
      <c r="B20" s="248"/>
      <c r="C20" s="203">
        <f>Protein!I21</f>
        <v>32.669638095238106</v>
      </c>
      <c r="D20" s="74">
        <f>Glucose!H20</f>
        <v>1.180215053763441</v>
      </c>
      <c r="E20" s="86">
        <f>Lipids!G19</f>
        <v>142.34400000001943</v>
      </c>
      <c r="F20" s="193">
        <f t="shared" si="0"/>
        <v>176.19385314902098</v>
      </c>
      <c r="G20" s="61"/>
      <c r="H20" s="203">
        <f>Protein!R21</f>
        <v>42.258447619047622</v>
      </c>
      <c r="I20" s="74">
        <f>Glucose!O20</f>
        <v>0.99580645161290327</v>
      </c>
      <c r="J20" s="88">
        <f>Lipids!N19</f>
        <v>63.263999999993032</v>
      </c>
      <c r="K20" s="193">
        <f t="shared" si="1"/>
        <v>106.51825407065355</v>
      </c>
      <c r="L20" s="61"/>
      <c r="M20" s="248"/>
      <c r="N20" s="199">
        <f>Protein!AB21</f>
        <v>29.059733333333337</v>
      </c>
      <c r="O20" s="74">
        <f>Glucose!W20</f>
        <v>1.1712195121951217</v>
      </c>
      <c r="P20" s="200">
        <f>Lipids!V19</f>
        <v>130.48199999997684</v>
      </c>
      <c r="Q20" s="201">
        <f t="shared" si="2"/>
        <v>160.7129528455053</v>
      </c>
      <c r="S20" s="199">
        <f>Protein!AK27</f>
        <v>63.906595238095257</v>
      </c>
      <c r="T20" s="74">
        <f>Glucose!AD20</f>
        <v>0.66926829268292687</v>
      </c>
      <c r="U20" s="202">
        <f>Lipids!AC19</f>
        <v>75.126000000035617</v>
      </c>
      <c r="V20" s="193">
        <f t="shared" si="3"/>
        <v>139.7018635308138</v>
      </c>
    </row>
    <row r="21" spans="1:25" x14ac:dyDescent="0.35">
      <c r="B21" s="248"/>
      <c r="C21" s="203">
        <f>Protein!I22</f>
        <v>36.392352380952389</v>
      </c>
      <c r="D21" s="74">
        <f>Glucose!H21</f>
        <v>1.2539784946236561</v>
      </c>
      <c r="E21" s="86">
        <f>Lipids!G20</f>
        <v>130.48199999997684</v>
      </c>
      <c r="F21" s="193">
        <f t="shared" si="0"/>
        <v>168.12833087555288</v>
      </c>
      <c r="G21" s="61"/>
      <c r="H21" s="203">
        <f>Protein!R22</f>
        <v>35.264257142857154</v>
      </c>
      <c r="I21" s="74">
        <f>Glucose!O21</f>
        <v>1.954731182795699</v>
      </c>
      <c r="J21" s="88">
        <f>Lipids!N20</f>
        <v>83.034000000227906</v>
      </c>
      <c r="K21" s="193">
        <f t="shared" si="1"/>
        <v>120.25298832588075</v>
      </c>
      <c r="L21" s="61"/>
      <c r="M21" s="248"/>
      <c r="N21" s="199">
        <f>Protein!AB22</f>
        <v>24.806814285714292</v>
      </c>
      <c r="O21" s="74">
        <f>Glucose!W21</f>
        <v>0.51634408602150539</v>
      </c>
      <c r="P21" s="200">
        <f>Lipids!V20</f>
        <v>59.310000000002248</v>
      </c>
      <c r="Q21" s="201">
        <f t="shared" si="2"/>
        <v>84.633158371738048</v>
      </c>
      <c r="S21" s="199">
        <f>Protein!AK22</f>
        <v>53.471714285714285</v>
      </c>
      <c r="T21" s="74">
        <f>Glucose!AD21</f>
        <v>0.55322580645161279</v>
      </c>
      <c r="U21" s="202">
        <f>Lipids!AC20</f>
        <v>51.402000000020678</v>
      </c>
      <c r="V21" s="193">
        <f t="shared" si="3"/>
        <v>105.42694009218658</v>
      </c>
    </row>
    <row r="22" spans="1:25" x14ac:dyDescent="0.35">
      <c r="B22" s="248"/>
      <c r="C22" s="203">
        <f>Protein!I23</f>
        <v>19.132495238095242</v>
      </c>
      <c r="D22" s="74">
        <f>Glucose!H22</f>
        <v>1.9916129032258065</v>
      </c>
      <c r="E22" s="86">
        <f>Lipids!G21</f>
        <v>106.75799999989167</v>
      </c>
      <c r="F22" s="193">
        <f t="shared" si="0"/>
        <v>127.88210814121271</v>
      </c>
      <c r="G22" s="61"/>
      <c r="H22" s="203">
        <f>Protein!R23</f>
        <v>40.227876190476195</v>
      </c>
      <c r="I22" s="74">
        <f>Glucose!O22</f>
        <v>1.0695698924731183</v>
      </c>
      <c r="J22" s="88">
        <f>Lipids!N21</f>
        <v>79.079999999815698</v>
      </c>
      <c r="K22" s="193">
        <f t="shared" si="1"/>
        <v>120.377446082765</v>
      </c>
      <c r="L22" s="61"/>
      <c r="M22" s="248"/>
      <c r="N22" s="199">
        <f>Protein!AB23</f>
        <v>25.67544761904762</v>
      </c>
      <c r="O22" s="74">
        <f>Glucose!W22</f>
        <v>0.44258064516129031</v>
      </c>
      <c r="P22" s="200">
        <f>Lipids!V21</f>
        <v>90.942000000069001</v>
      </c>
      <c r="Q22" s="201">
        <f t="shared" si="2"/>
        <v>117.06002826427792</v>
      </c>
      <c r="S22" s="199">
        <f>Protein!AK23</f>
        <v>42.405100000000004</v>
      </c>
      <c r="T22" s="74">
        <f>Glucose!AD22</f>
        <v>0.84827956989247311</v>
      </c>
      <c r="U22" s="202">
        <f>Lipids!AC21</f>
        <v>55.356000000011463</v>
      </c>
      <c r="V22" s="193">
        <f t="shared" si="3"/>
        <v>98.60937956990395</v>
      </c>
    </row>
    <row r="23" spans="1:25" x14ac:dyDescent="0.35">
      <c r="B23" s="248"/>
      <c r="C23" s="203">
        <f>Protein!I24</f>
        <v>19.358114285714294</v>
      </c>
      <c r="D23" s="74">
        <f>Glucose!H23</f>
        <v>1.8072043010752687</v>
      </c>
      <c r="E23" s="86">
        <f>Lipids!G22</f>
        <v>142.34400000023015</v>
      </c>
      <c r="F23" s="193">
        <f t="shared" si="0"/>
        <v>163.50931858701972</v>
      </c>
      <c r="G23" s="61"/>
      <c r="H23" s="203">
        <f>Protein!R24</f>
        <v>35.038638095238099</v>
      </c>
      <c r="I23" s="74">
        <f>Glucose!O23</f>
        <v>1.6965591397849462</v>
      </c>
      <c r="J23" s="88">
        <f>Lipids!N22</f>
        <v>63.263999999852558</v>
      </c>
      <c r="K23" s="193">
        <f t="shared" si="1"/>
        <v>99.999197234875595</v>
      </c>
      <c r="L23" s="61"/>
      <c r="M23" s="248"/>
      <c r="N23" s="199">
        <f>Protein!AB12</f>
        <v>16.876304761904766</v>
      </c>
      <c r="O23" s="74">
        <f>Glucose!W23</f>
        <v>1.4015053763440859</v>
      </c>
      <c r="P23" s="200">
        <f>Lipids!V22</f>
        <v>114.66600000001371</v>
      </c>
      <c r="Q23" s="201">
        <f t="shared" si="2"/>
        <v>132.94381013826256</v>
      </c>
      <c r="S23" s="199">
        <f>Protein!AK7</f>
        <v>24.660161904761914</v>
      </c>
      <c r="T23" s="74">
        <f>Glucose!AD23</f>
        <v>1.3646236559139784</v>
      </c>
      <c r="U23" s="202">
        <f>Lipids!AC22</f>
        <v>71.171999999974602</v>
      </c>
      <c r="V23" s="193">
        <f t="shared" si="3"/>
        <v>97.196785560650497</v>
      </c>
    </row>
    <row r="24" spans="1:25" x14ac:dyDescent="0.35">
      <c r="B24" s="248"/>
      <c r="C24" s="203">
        <f>Protein!I25</f>
        <v>19.696542857142862</v>
      </c>
      <c r="D24" s="74">
        <f>Glucose!H24</f>
        <v>1.5490322580645162</v>
      </c>
      <c r="E24" s="86">
        <f>Lipids!G23</f>
        <v>150.25199999993077</v>
      </c>
      <c r="F24" s="193">
        <f t="shared" si="0"/>
        <v>171.49757511513815</v>
      </c>
      <c r="G24" s="61"/>
      <c r="H24" s="203">
        <f>Protein!R25</f>
        <v>39.438209523809526</v>
      </c>
      <c r="I24" s="74">
        <f>Glucose!O24</f>
        <v>2.0653763440860211</v>
      </c>
      <c r="J24" s="88">
        <f>Lipids!N23</f>
        <v>55.356000000151937</v>
      </c>
      <c r="K24" s="193">
        <f t="shared" si="1"/>
        <v>96.859585868047475</v>
      </c>
      <c r="L24" s="61"/>
      <c r="M24" s="248"/>
      <c r="N24" s="199">
        <f>Protein!AB7</f>
        <v>15.071352380952382</v>
      </c>
      <c r="O24" s="74">
        <f>Glucose!W24</f>
        <v>0.77451612903225808</v>
      </c>
      <c r="P24" s="200">
        <f>Lipids!V23</f>
        <v>59.310000000002248</v>
      </c>
      <c r="Q24" s="201">
        <f t="shared" si="2"/>
        <v>75.155868509986888</v>
      </c>
      <c r="S24" s="199">
        <f>Protein!AK11</f>
        <v>20.711828571428573</v>
      </c>
      <c r="T24" s="74">
        <f>Glucose!AD24</f>
        <v>0.77451612903225808</v>
      </c>
      <c r="U24" s="202">
        <f>Lipids!AC23</f>
        <v>59.310000000002248</v>
      </c>
      <c r="V24" s="193">
        <f t="shared" si="3"/>
        <v>80.796344700463081</v>
      </c>
    </row>
    <row r="25" spans="1:25" x14ac:dyDescent="0.35">
      <c r="B25" s="248"/>
      <c r="C25" s="203">
        <f>Protein!I26</f>
        <v>21.27587619047619</v>
      </c>
      <c r="D25" s="74">
        <f>Glucose!H25</f>
        <v>1.1433333333333333</v>
      </c>
      <c r="E25" s="86">
        <f>Lipids!G24</f>
        <v>158.15999999991234</v>
      </c>
      <c r="F25" s="193">
        <f t="shared" si="0"/>
        <v>180.57920952372186</v>
      </c>
      <c r="G25" s="61"/>
      <c r="H25" s="203">
        <f>Protein!R26</f>
        <v>39.889447619047623</v>
      </c>
      <c r="I25" s="74">
        <f>Glucose!O25</f>
        <v>0.73763440860215057</v>
      </c>
      <c r="J25" s="88">
        <f>Lipids!N24</f>
        <v>83.034000000017187</v>
      </c>
      <c r="K25" s="193">
        <f t="shared" si="1"/>
        <v>123.66108202766696</v>
      </c>
      <c r="L25" s="61"/>
      <c r="M25" s="248"/>
      <c r="N25" s="199">
        <f>Protein!AB26</f>
        <v>18.230019047619052</v>
      </c>
      <c r="O25" s="74">
        <f>Glucose!W25</f>
        <v>0.47946236559139777</v>
      </c>
      <c r="P25" s="200">
        <f>Lipids!V24</f>
        <v>71.172000000044832</v>
      </c>
      <c r="Q25" s="201">
        <f t="shared" si="2"/>
        <v>89.881481413255287</v>
      </c>
      <c r="S25" s="199">
        <f>Protein!AK16</f>
        <v>20.937447619047621</v>
      </c>
      <c r="T25" s="74">
        <f>Glucose!AD25</f>
        <v>0.55322580645161279</v>
      </c>
      <c r="U25" s="202">
        <f>Lipids!AC24</f>
        <v>59.31</v>
      </c>
      <c r="V25" s="193">
        <f t="shared" si="3"/>
        <v>80.800673425499241</v>
      </c>
    </row>
    <row r="26" spans="1:25" x14ac:dyDescent="0.35">
      <c r="A26" s="144"/>
      <c r="B26" s="248"/>
      <c r="C26" s="203">
        <f>Protein!I27</f>
        <v>23.757685714285717</v>
      </c>
      <c r="D26" s="74">
        <f>Glucose!H26</f>
        <v>2.1022580645161288</v>
      </c>
      <c r="E26" s="86">
        <f>Lipids!G25</f>
        <v>154.2059999999918</v>
      </c>
      <c r="F26" s="193">
        <f t="shared" si="0"/>
        <v>180.06594377879364</v>
      </c>
      <c r="G26" s="204"/>
      <c r="H26" s="203">
        <f>Protein!R27</f>
        <v>39.020814285714287</v>
      </c>
      <c r="I26" s="74">
        <f>Glucose!O26</f>
        <v>1.9178494623655911</v>
      </c>
      <c r="J26" s="88">
        <f>Lipids!N25</f>
        <v>59.310000000002248</v>
      </c>
      <c r="K26" s="193">
        <f t="shared" si="1"/>
        <v>100.24866374808212</v>
      </c>
      <c r="L26" s="205"/>
      <c r="M26" s="248"/>
      <c r="N26" s="199">
        <f>Protein!AB27</f>
        <v>21.050257142857145</v>
      </c>
      <c r="O26" s="74">
        <f>Glucose!W26</f>
        <v>1.0326881720430108</v>
      </c>
      <c r="P26" s="200">
        <f>Lipids!V25</f>
        <v>59.310000000002248</v>
      </c>
      <c r="Q26" s="201">
        <f t="shared" si="2"/>
        <v>81.392945314902406</v>
      </c>
      <c r="S26" s="199">
        <f>Protein!AK21</f>
        <v>73.213380952380945</v>
      </c>
      <c r="T26" s="74">
        <f>Glucose!AD26</f>
        <v>1.1064516129032256</v>
      </c>
      <c r="U26" s="202">
        <f>Lipids!AC25</f>
        <v>47.448000000029893</v>
      </c>
      <c r="V26" s="193">
        <f t="shared" si="3"/>
        <v>121.76783256531407</v>
      </c>
    </row>
    <row r="27" spans="1:25" x14ac:dyDescent="0.35">
      <c r="A27" s="144"/>
      <c r="B27" s="248"/>
      <c r="C27" s="203">
        <f>Protein!I28</f>
        <v>37.633257142857147</v>
      </c>
      <c r="D27" s="74">
        <f>Glucose!H27</f>
        <v>2.3973118279569894</v>
      </c>
      <c r="E27" s="86">
        <f>Lipids!G26</f>
        <v>122.57399999999528</v>
      </c>
      <c r="F27" s="193">
        <f t="shared" si="0"/>
        <v>162.60456897080942</v>
      </c>
      <c r="G27" s="204"/>
      <c r="H27" s="203">
        <f>Protein!R28</f>
        <v>39.325400000000002</v>
      </c>
      <c r="I27" s="74">
        <f>Glucose!O27</f>
        <v>0.77451612903225808</v>
      </c>
      <c r="J27" s="88">
        <f>Lipids!N26</f>
        <v>75.126000000035617</v>
      </c>
      <c r="K27" s="193">
        <f t="shared" si="1"/>
        <v>115.22591612906788</v>
      </c>
      <c r="L27" s="205"/>
      <c r="M27" s="248"/>
      <c r="N27" s="199">
        <f>Protein!AB28</f>
        <v>28.04444761904762</v>
      </c>
      <c r="O27" s="74">
        <f>Glucose!W27</f>
        <v>1.4383870967741936</v>
      </c>
      <c r="P27" s="200">
        <f>Lipids!V26</f>
        <v>106.75800000003214</v>
      </c>
      <c r="Q27" s="201">
        <f t="shared" si="2"/>
        <v>136.24083471585396</v>
      </c>
      <c r="S27" s="199">
        <f>Protein!AK12</f>
        <v>22.403971428571431</v>
      </c>
      <c r="T27" s="74">
        <f>Glucose!AD27</f>
        <v>0.70075268817204295</v>
      </c>
      <c r="U27" s="202">
        <f>Lipids!AC26</f>
        <v>27.678000000005731</v>
      </c>
      <c r="V27" s="193">
        <f t="shared" si="3"/>
        <v>50.782724116749208</v>
      </c>
    </row>
    <row r="28" spans="1:25" x14ac:dyDescent="0.35">
      <c r="A28" s="144"/>
      <c r="B28" s="248"/>
      <c r="C28" s="203">
        <f>Protein!I29</f>
        <v>32.782447619047623</v>
      </c>
      <c r="D28" s="74">
        <f>Glucose!H28</f>
        <v>1.2908602150537636</v>
      </c>
      <c r="E28" s="86">
        <f>Lipids!G27</f>
        <v>110.71199999995268</v>
      </c>
      <c r="F28" s="193">
        <f t="shared" si="0"/>
        <v>144.78530783405407</v>
      </c>
      <c r="G28" s="144"/>
      <c r="H28" s="203">
        <f>Protein!R29</f>
        <v>64.888038095238102</v>
      </c>
      <c r="I28" s="74">
        <f>Glucose!O28</f>
        <v>1.1064516129032256</v>
      </c>
      <c r="J28" s="88">
        <f>Lipids!N27</f>
        <v>51.401999999950441</v>
      </c>
      <c r="K28" s="193">
        <f t="shared" si="1"/>
        <v>117.39648970809176</v>
      </c>
      <c r="L28" s="206"/>
      <c r="M28" s="248"/>
      <c r="N28" s="199">
        <f>Protein!AB29</f>
        <v>29.623780952380955</v>
      </c>
      <c r="O28" s="74">
        <f>Glucose!W28</f>
        <v>0.62698924731182804</v>
      </c>
      <c r="P28" s="200">
        <f>Lipids!V27</f>
        <v>67.218000000054047</v>
      </c>
      <c r="Q28" s="201">
        <f t="shared" si="2"/>
        <v>97.468770199746828</v>
      </c>
      <c r="S28" s="199">
        <f>Protein!AK29</f>
        <v>59.698800000000013</v>
      </c>
      <c r="T28" s="74">
        <f>Glucose!AD28</f>
        <v>1.2908602150537631</v>
      </c>
      <c r="U28" s="202">
        <f>Lipids!AC27</f>
        <v>67.217999999983817</v>
      </c>
      <c r="V28" s="193">
        <f t="shared" si="3"/>
        <v>128.20766021503761</v>
      </c>
    </row>
    <row r="29" spans="1:25" x14ac:dyDescent="0.35">
      <c r="A29" s="144"/>
      <c r="B29" s="248"/>
      <c r="C29" s="203">
        <f>Protein!I30</f>
        <v>30.413447619047624</v>
      </c>
      <c r="D29" s="109">
        <f>Glucose!H29</f>
        <v>1.0695698924731183</v>
      </c>
      <c r="E29" s="86">
        <f>Lipids!G28</f>
        <v>126.52799999998606</v>
      </c>
      <c r="F29" s="193">
        <f t="shared" si="0"/>
        <v>158.01101751150679</v>
      </c>
      <c r="G29" s="144"/>
      <c r="H29" s="203">
        <f>Protein!R30</f>
        <v>72.107847619047647</v>
      </c>
      <c r="I29" s="74">
        <f>Glucose!O29</f>
        <v>0.92204301075268824</v>
      </c>
      <c r="J29" s="88">
        <f>Lipids!N28</f>
        <v>67.217999999983817</v>
      </c>
      <c r="K29" s="193">
        <f t="shared" si="1"/>
        <v>140.24789062978414</v>
      </c>
      <c r="L29" s="206"/>
      <c r="M29" s="248"/>
      <c r="N29" s="199">
        <f>Protein!AB15</f>
        <v>26.803542857142858</v>
      </c>
      <c r="O29" s="74">
        <f>Glucose!W29</f>
        <v>0.55322580645161279</v>
      </c>
      <c r="P29" s="200">
        <f>Lipids!V28</f>
        <v>43.494000000039108</v>
      </c>
      <c r="Q29" s="201">
        <f t="shared" si="2"/>
        <v>70.850768663633573</v>
      </c>
      <c r="S29" s="199">
        <f>Protein!AK30</f>
        <v>26.465114285714293</v>
      </c>
      <c r="T29" s="74">
        <f>Glucose!AD29</f>
        <v>1.5121505376344087</v>
      </c>
      <c r="U29" s="202">
        <f>Lipids!AC28</f>
        <v>39.539999999978086</v>
      </c>
      <c r="V29" s="193">
        <f t="shared" si="3"/>
        <v>67.517264823326784</v>
      </c>
    </row>
    <row r="30" spans="1:25" x14ac:dyDescent="0.35">
      <c r="A30" s="144"/>
      <c r="B30" s="248"/>
      <c r="C30" s="203">
        <f>Protein!I31</f>
        <v>36.843590476190478</v>
      </c>
      <c r="D30" s="109">
        <f>Glucose!H30</f>
        <v>1.622795698924731</v>
      </c>
      <c r="E30" s="86">
        <f>Lipids!G29</f>
        <v>134.43600000003786</v>
      </c>
      <c r="F30" s="193">
        <f t="shared" si="0"/>
        <v>172.90238617515308</v>
      </c>
      <c r="G30" s="144"/>
      <c r="H30" s="203">
        <f>Protein!R31</f>
        <v>68.983023809523814</v>
      </c>
      <c r="I30" s="74">
        <f>Glucose!O30</f>
        <v>0.95892473118279553</v>
      </c>
      <c r="J30" s="88">
        <f>Lipids!N29</f>
        <v>63.263999999993032</v>
      </c>
      <c r="K30" s="193">
        <f t="shared" si="1"/>
        <v>133.20594854069964</v>
      </c>
      <c r="L30" s="206"/>
      <c r="M30" s="248"/>
      <c r="N30" s="199">
        <f>Protein!AB31</f>
        <v>21.27587619047619</v>
      </c>
      <c r="O30" s="74">
        <f>Glucose!W30</f>
        <v>0.36881720430107529</v>
      </c>
      <c r="P30" s="200">
        <f>Lipids!V29</f>
        <v>90.941999999998757</v>
      </c>
      <c r="Q30" s="201">
        <f t="shared" si="2"/>
        <v>112.58669339477602</v>
      </c>
      <c r="S30" s="199">
        <f>Protein!AK31</f>
        <v>23.983304761904769</v>
      </c>
      <c r="T30" s="74">
        <f>Glucose!AD30</f>
        <v>0.62698924731182804</v>
      </c>
      <c r="U30" s="202">
        <f>Lipids!AC29</f>
        <v>43.493999999968871</v>
      </c>
      <c r="V30" s="193">
        <f t="shared" si="3"/>
        <v>68.104294009185466</v>
      </c>
    </row>
    <row r="31" spans="1:25" x14ac:dyDescent="0.35">
      <c r="B31" s="248"/>
      <c r="C31" s="203">
        <f>Protein!I32</f>
        <v>24.434542857142862</v>
      </c>
      <c r="D31" s="109">
        <f>Glucose!H31</f>
        <v>1.180215053763441</v>
      </c>
      <c r="E31" s="86">
        <f>Lipids!G30</f>
        <v>110.71199999995268</v>
      </c>
      <c r="F31" s="193">
        <f t="shared" si="0"/>
        <v>136.32675791085899</v>
      </c>
      <c r="H31" s="203">
        <f>Protein!R32</f>
        <v>75.187547619047621</v>
      </c>
      <c r="I31" s="74">
        <f>Glucose!O31</f>
        <v>0.73763440860215057</v>
      </c>
      <c r="J31" s="88">
        <f>Lipids!N30</f>
        <v>67.217999999983817</v>
      </c>
      <c r="K31" s="193">
        <f t="shared" si="1"/>
        <v>143.1431820276336</v>
      </c>
      <c r="M31" s="248"/>
      <c r="N31" s="199">
        <f>Protein!AB32</f>
        <v>16.42506666666667</v>
      </c>
      <c r="O31" s="74">
        <f>Glucose!W31</f>
        <v>1.3277419354838711</v>
      </c>
      <c r="P31" s="200">
        <f>Lipids!V30</f>
        <v>126.52799999998606</v>
      </c>
      <c r="Q31" s="201">
        <f t="shared" si="2"/>
        <v>144.2808086021366</v>
      </c>
      <c r="S31" s="199">
        <f>Protein!AK32</f>
        <v>52.625642857142864</v>
      </c>
      <c r="T31" s="74">
        <f>Glucose!AD31</f>
        <v>0.62698924731182804</v>
      </c>
      <c r="U31" s="202">
        <f>Lipids!AC30</f>
        <v>71.172000000044832</v>
      </c>
      <c r="V31" s="193">
        <f t="shared" si="3"/>
        <v>124.42463210449952</v>
      </c>
    </row>
    <row r="32" spans="1:25" x14ac:dyDescent="0.35">
      <c r="B32" s="248"/>
      <c r="C32" s="203">
        <f>Protein!I33</f>
        <v>27.593209523809527</v>
      </c>
      <c r="D32" s="109">
        <f>Glucose!H32</f>
        <v>1.4015053763440859</v>
      </c>
      <c r="E32" s="86">
        <f>Lipids!G31</f>
        <v>90.942000000069001</v>
      </c>
      <c r="F32" s="193">
        <f t="shared" si="0"/>
        <v>119.93671490022261</v>
      </c>
      <c r="G32" s="207"/>
      <c r="H32" s="203">
        <f>Protein!R33</f>
        <v>59.326528571428568</v>
      </c>
      <c r="I32" s="74">
        <f>Glucose!O32</f>
        <v>1.1433333333333333</v>
      </c>
      <c r="J32" s="88">
        <f>Lipids!N31</f>
        <v>63.263999999993032</v>
      </c>
      <c r="K32" s="193">
        <f t="shared" si="1"/>
        <v>123.73386190475493</v>
      </c>
      <c r="L32" s="207"/>
      <c r="M32" s="248"/>
      <c r="N32" s="199">
        <f>Protein!AB33</f>
        <v>25.5626380952381</v>
      </c>
      <c r="O32" s="74">
        <f>Glucose!W32</f>
        <v>1.4383870967741936</v>
      </c>
      <c r="P32" s="200">
        <f>Lipids!V31</f>
        <v>110.71200000002293</v>
      </c>
      <c r="Q32" s="201">
        <f t="shared" si="2"/>
        <v>137.71302519203522</v>
      </c>
      <c r="R32" s="207"/>
      <c r="S32" s="199">
        <f>Protein!AK33</f>
        <v>54.599809523809519</v>
      </c>
      <c r="T32" s="74">
        <f>Glucose!AD32</f>
        <v>0.81139784946236548</v>
      </c>
      <c r="U32" s="202">
        <f>Lipids!AC31</f>
        <v>59.310000000002248</v>
      </c>
      <c r="V32" s="193">
        <f t="shared" si="3"/>
        <v>114.72120737327413</v>
      </c>
      <c r="W32" s="207"/>
      <c r="X32" s="207"/>
      <c r="Y32" s="207"/>
    </row>
    <row r="33" spans="1:25" ht="16" thickBot="1" x14ac:dyDescent="0.4">
      <c r="B33" s="248"/>
      <c r="C33" s="208">
        <f>Protein!I34</f>
        <v>23.080828571428572</v>
      </c>
      <c r="D33" s="156">
        <f>Glucose!H33</f>
        <v>1.8072043010752687</v>
      </c>
      <c r="E33" s="209">
        <f>Lipids!G32</f>
        <v>134.43599999996763</v>
      </c>
      <c r="F33" s="210">
        <f t="shared" si="0"/>
        <v>159.32403287247149</v>
      </c>
      <c r="G33" s="207"/>
      <c r="H33" s="208">
        <f>Protein!R34</f>
        <v>37.633257142857154</v>
      </c>
      <c r="I33" s="135">
        <f>Glucose!O33</f>
        <v>1.6596774193548385</v>
      </c>
      <c r="J33" s="211">
        <f>Lipids!N32</f>
        <v>55.356000000011463</v>
      </c>
      <c r="K33" s="210">
        <f t="shared" si="1"/>
        <v>94.648934562223445</v>
      </c>
      <c r="L33" s="207"/>
      <c r="M33" s="248"/>
      <c r="N33" s="199">
        <f>Protein!AB34</f>
        <v>27.480400000000007</v>
      </c>
      <c r="O33" s="74">
        <f>Glucose!W33</f>
        <v>0.44258064516129031</v>
      </c>
      <c r="P33" s="200">
        <f>Lipids!V32</f>
        <v>90.942000000069001</v>
      </c>
      <c r="Q33" s="201">
        <f t="shared" si="2"/>
        <v>118.8649806452303</v>
      </c>
      <c r="R33" s="207"/>
      <c r="S33" s="212">
        <f>Protein!AK34</f>
        <v>23.080828571428572</v>
      </c>
      <c r="T33" s="135">
        <f>Glucose!AD33</f>
        <v>0.47946236559139777</v>
      </c>
      <c r="U33" s="213">
        <f>Lipids!AC32</f>
        <v>59.310000000002248</v>
      </c>
      <c r="V33" s="210">
        <f t="shared" si="3"/>
        <v>82.870290937022219</v>
      </c>
      <c r="W33" s="207"/>
      <c r="X33" s="207"/>
      <c r="Y33" s="207"/>
    </row>
    <row r="34" spans="1:25" x14ac:dyDescent="0.35">
      <c r="A34" s="77" t="s">
        <v>17</v>
      </c>
      <c r="B34" s="244"/>
      <c r="C34" s="215">
        <f>AVERAGE(C4:C33)</f>
        <v>27.266061904761902</v>
      </c>
      <c r="D34" s="215">
        <f t="shared" ref="D34:F34" si="4">AVERAGE(D4:D33)</f>
        <v>1.5280818475680504</v>
      </c>
      <c r="E34" s="215">
        <f>AVERAGE(E4:E33)</f>
        <v>123.10119999999407</v>
      </c>
      <c r="F34" s="216">
        <f t="shared" si="4"/>
        <v>151.89534375232404</v>
      </c>
      <c r="G34" s="207"/>
      <c r="H34" s="217">
        <f>AVERAGE(H4:H33)</f>
        <v>56.848479365079363</v>
      </c>
      <c r="I34" s="217">
        <f t="shared" ref="I34" si="5">AVERAGE(I4:I33)</f>
        <v>1.2607589658597029</v>
      </c>
      <c r="J34" s="217">
        <f t="shared" ref="J34" si="6">AVERAGE(J4:J33)</f>
        <v>64.713800000010721</v>
      </c>
      <c r="K34" s="218">
        <f t="shared" ref="K34" si="7">AVERAGE(K4:K33)</f>
        <v>122.82303833094981</v>
      </c>
      <c r="L34" s="207"/>
      <c r="M34" s="77" t="s">
        <v>17</v>
      </c>
      <c r="N34" s="215">
        <f>AVERAGE(N4:N33)</f>
        <v>23.222216507936512</v>
      </c>
      <c r="O34" s="215">
        <f t="shared" ref="O34" si="8">AVERAGE(O4:O33)</f>
        <v>0.88648159339177457</v>
      </c>
      <c r="P34" s="215">
        <f t="shared" ref="P34" si="9">AVERAGE(P4:P33)</f>
        <v>83.034000000014842</v>
      </c>
      <c r="Q34" s="216">
        <f t="shared" ref="Q34" si="10">AVERAGE(Q4:Q33)</f>
        <v>107.14269810134311</v>
      </c>
      <c r="R34" s="207"/>
      <c r="S34" s="215">
        <f>AVERAGE(S4:S33)</f>
        <v>42.330645714285716</v>
      </c>
      <c r="T34" s="215">
        <f t="shared" ref="T34" si="11">AVERAGE(T4:T33)</f>
        <v>0.91745018069947348</v>
      </c>
      <c r="U34" s="216">
        <f t="shared" ref="U34" si="12">AVERAGE(U4:U33)</f>
        <v>47.184399999999314</v>
      </c>
      <c r="V34" s="219">
        <f t="shared" ref="V34" si="13">AVERAGE(V4:V33)</f>
        <v>90.432495894984513</v>
      </c>
      <c r="W34" s="207"/>
      <c r="X34" s="207"/>
      <c r="Y34" s="207"/>
    </row>
    <row r="35" spans="1:25" x14ac:dyDescent="0.35">
      <c r="A35" s="77" t="s">
        <v>44</v>
      </c>
      <c r="B35" s="214"/>
      <c r="C35" s="220">
        <f>STDEV(C4:C33)</f>
        <v>5.572958199679193</v>
      </c>
      <c r="D35" s="220">
        <f t="shared" ref="D35:F35" si="14">STDEV(D4:D33)</f>
        <v>0.40021342927779718</v>
      </c>
      <c r="E35" s="220">
        <f t="shared" si="14"/>
        <v>25.598186129705386</v>
      </c>
      <c r="F35" s="199">
        <f t="shared" si="14"/>
        <v>27.396434236467726</v>
      </c>
      <c r="G35" s="207"/>
      <c r="H35" s="220">
        <f>STDEV(H4:H33)</f>
        <v>16.80227334748249</v>
      </c>
      <c r="I35" s="220">
        <f t="shared" ref="I35:K35" si="15">STDEV(I4:I33)</f>
        <v>0.48603356529599701</v>
      </c>
      <c r="J35" s="220">
        <f t="shared" si="15"/>
        <v>11.397671902033323</v>
      </c>
      <c r="K35" s="199">
        <f t="shared" si="15"/>
        <v>19.573638615878956</v>
      </c>
      <c r="L35" s="207"/>
      <c r="M35" s="77" t="s">
        <v>44</v>
      </c>
      <c r="N35" s="220">
        <f>STDEV(N4:N33)</f>
        <v>5.1790826862902453</v>
      </c>
      <c r="O35" s="220">
        <f t="shared" ref="O35:Q35" si="16">STDEV(O4:O33)</f>
        <v>0.39511755831114476</v>
      </c>
      <c r="P35" s="220">
        <f t="shared" si="16"/>
        <v>25.81350046135865</v>
      </c>
      <c r="Q35" s="199">
        <f t="shared" si="16"/>
        <v>26.11789601674116</v>
      </c>
      <c r="R35" s="207"/>
      <c r="S35" s="220">
        <f>STDEV(S4:S33)</f>
        <v>16.355969659110958</v>
      </c>
      <c r="T35" s="220">
        <f t="shared" ref="T35:V35" si="17">STDEV(T4:T33)</f>
        <v>0.31840508684733904</v>
      </c>
      <c r="U35" s="199">
        <f t="shared" si="17"/>
        <v>16.579291831305163</v>
      </c>
      <c r="V35" s="74">
        <f t="shared" si="17"/>
        <v>24.114840053215485</v>
      </c>
      <c r="W35" s="207"/>
      <c r="X35" s="207"/>
      <c r="Y35" s="207"/>
    </row>
    <row r="36" spans="1:25" x14ac:dyDescent="0.35">
      <c r="A36" s="77" t="s">
        <v>49</v>
      </c>
      <c r="B36" s="214"/>
      <c r="C36" s="221">
        <f>MIN(C4:C33)</f>
        <v>19.132495238095242</v>
      </c>
      <c r="D36" s="221">
        <f t="shared" ref="D36:F36" si="18">MIN(D4:D33)</f>
        <v>1.0464406779661017</v>
      </c>
      <c r="E36" s="221">
        <f t="shared" si="18"/>
        <v>75.125999999965387</v>
      </c>
      <c r="F36" s="202">
        <f t="shared" si="18"/>
        <v>101.62573091199121</v>
      </c>
      <c r="G36" s="207"/>
      <c r="H36" s="221">
        <f>MIN(H4:H33)</f>
        <v>32.556828571428582</v>
      </c>
      <c r="I36" s="221">
        <f t="shared" ref="I36:K36" si="19">MIN(I4:I33)</f>
        <v>0.73763440860215057</v>
      </c>
      <c r="J36" s="221">
        <f t="shared" si="19"/>
        <v>43.494000000039108</v>
      </c>
      <c r="K36" s="202">
        <f t="shared" si="19"/>
        <v>82.097709927390682</v>
      </c>
      <c r="L36" s="207"/>
      <c r="M36" s="77" t="s">
        <v>49</v>
      </c>
      <c r="N36" s="221">
        <f>MIN(N4:N33)</f>
        <v>14.620114285714285</v>
      </c>
      <c r="O36" s="221">
        <f t="shared" ref="O36:Q36" si="20">MIN(O4:O33)</f>
        <v>0.3648936170212766</v>
      </c>
      <c r="P36" s="221">
        <f t="shared" si="20"/>
        <v>39.539999999978086</v>
      </c>
      <c r="Q36" s="202">
        <f t="shared" si="20"/>
        <v>58.867041115021685</v>
      </c>
      <c r="R36" s="207"/>
      <c r="S36" s="221">
        <f>MIN(S4:S33)</f>
        <v>20.711828571428573</v>
      </c>
      <c r="T36" s="221">
        <f t="shared" ref="T36:V36" si="21">MIN(T4:T33)</f>
        <v>0.44258064516129031</v>
      </c>
      <c r="U36" s="202">
        <f t="shared" si="21"/>
        <v>23.724000000014946</v>
      </c>
      <c r="V36" s="86">
        <f t="shared" si="21"/>
        <v>50.782724116749208</v>
      </c>
      <c r="W36" s="207"/>
      <c r="X36" s="207"/>
      <c r="Y36" s="207"/>
    </row>
    <row r="37" spans="1:25" ht="16" thickBot="1" x14ac:dyDescent="0.4">
      <c r="A37" s="77" t="s">
        <v>50</v>
      </c>
      <c r="B37" s="214"/>
      <c r="C37" s="222">
        <f>MAX(C4:C33)</f>
        <v>37.633257142857147</v>
      </c>
      <c r="D37" s="222">
        <f t="shared" ref="D37:F37" si="22">MAX(D4:D33)</f>
        <v>2.5579661016949156</v>
      </c>
      <c r="E37" s="222">
        <f t="shared" si="22"/>
        <v>173.97600000001594</v>
      </c>
      <c r="F37" s="213">
        <f t="shared" si="22"/>
        <v>209.25185488031062</v>
      </c>
      <c r="G37" s="207"/>
      <c r="H37" s="222">
        <f>MAX(H4:H33)</f>
        <v>86.750523809523827</v>
      </c>
      <c r="I37" s="222">
        <f t="shared" ref="I37:K37" si="23">MAX(I4:I33)</f>
        <v>2.1316384180790964</v>
      </c>
      <c r="J37" s="222">
        <f t="shared" si="23"/>
        <v>90.941999999998757</v>
      </c>
      <c r="K37" s="213">
        <f t="shared" si="23"/>
        <v>162.00063285977251</v>
      </c>
      <c r="L37" s="207"/>
      <c r="M37" s="77" t="s">
        <v>50</v>
      </c>
      <c r="N37" s="222">
        <f>MAX(N4:N33)</f>
        <v>30.075019047619055</v>
      </c>
      <c r="O37" s="222">
        <f t="shared" ref="O37:Q37" si="24">MAX(O4:O33)</f>
        <v>1.4383870967741936</v>
      </c>
      <c r="P37" s="222">
        <f t="shared" si="24"/>
        <v>134.43599999996763</v>
      </c>
      <c r="Q37" s="213">
        <f t="shared" si="24"/>
        <v>160.7129528455053</v>
      </c>
      <c r="R37" s="207"/>
      <c r="S37" s="222">
        <f>MAX(S4:S33)</f>
        <v>73.213380952380945</v>
      </c>
      <c r="T37" s="222">
        <f t="shared" ref="T37:V37" si="25">MAX(T4:T33)</f>
        <v>1.5121505376344087</v>
      </c>
      <c r="U37" s="213">
        <f t="shared" si="25"/>
        <v>79.079999999956172</v>
      </c>
      <c r="V37" s="209">
        <f t="shared" si="25"/>
        <v>139.7018635308138</v>
      </c>
      <c r="W37" s="207"/>
      <c r="X37" s="207"/>
      <c r="Y37" s="207"/>
    </row>
    <row r="38" spans="1:25" x14ac:dyDescent="0.35">
      <c r="B38" s="214"/>
      <c r="C38" s="223"/>
      <c r="D38" s="223"/>
      <c r="E38" s="223"/>
      <c r="F38" s="223"/>
      <c r="G38" s="207"/>
      <c r="H38" s="72"/>
      <c r="I38" s="72"/>
      <c r="J38" s="163"/>
      <c r="K38" s="163"/>
      <c r="L38" s="207"/>
      <c r="M38" s="116"/>
      <c r="N38" s="72"/>
      <c r="O38" s="72"/>
      <c r="P38" s="163"/>
      <c r="Q38" s="163"/>
      <c r="R38" s="207"/>
      <c r="S38" s="72"/>
      <c r="T38" s="72"/>
      <c r="U38" s="163"/>
      <c r="V38" s="163"/>
      <c r="W38" s="207"/>
      <c r="X38" s="207"/>
      <c r="Y38" s="207"/>
    </row>
    <row r="39" spans="1:25" x14ac:dyDescent="0.35">
      <c r="B39" s="214"/>
      <c r="C39" s="224"/>
      <c r="D39" s="224"/>
      <c r="E39" s="224"/>
      <c r="F39" s="224"/>
      <c r="G39" s="163"/>
      <c r="H39" s="124"/>
      <c r="I39" s="72"/>
      <c r="J39" s="163"/>
      <c r="K39" s="163"/>
      <c r="L39" s="163"/>
      <c r="M39" s="225"/>
      <c r="N39" s="72"/>
      <c r="O39" s="72"/>
      <c r="P39" s="163"/>
      <c r="Q39" s="163"/>
      <c r="R39" s="163"/>
      <c r="S39" s="72"/>
      <c r="T39" s="72"/>
      <c r="U39" s="163"/>
      <c r="V39" s="163"/>
      <c r="W39" s="207"/>
      <c r="X39" s="207"/>
      <c r="Y39" s="207"/>
    </row>
    <row r="40" spans="1:25" x14ac:dyDescent="0.35">
      <c r="B40" s="214"/>
      <c r="C40" s="224"/>
      <c r="D40" s="224"/>
      <c r="E40" s="224"/>
      <c r="F40" s="224"/>
      <c r="G40" s="163"/>
      <c r="H40" s="124"/>
      <c r="I40" s="72"/>
      <c r="J40" s="163"/>
      <c r="K40" s="163"/>
      <c r="L40" s="163"/>
      <c r="M40" s="225"/>
      <c r="N40" s="72"/>
      <c r="O40" s="72"/>
      <c r="P40" s="163"/>
      <c r="Q40" s="163"/>
      <c r="R40" s="163"/>
      <c r="S40" s="72"/>
      <c r="T40" s="72"/>
      <c r="U40" s="163"/>
      <c r="V40" s="163"/>
      <c r="W40" s="207"/>
      <c r="X40" s="207"/>
      <c r="Y40" s="207"/>
    </row>
    <row r="41" spans="1:25" x14ac:dyDescent="0.35">
      <c r="B41" s="214"/>
      <c r="C41" s="224"/>
      <c r="D41" s="224"/>
      <c r="E41" s="224"/>
      <c r="F41" s="224"/>
      <c r="G41" s="163"/>
      <c r="H41" s="124"/>
      <c r="I41" s="72"/>
      <c r="J41" s="163"/>
      <c r="K41" s="163"/>
      <c r="L41" s="163"/>
      <c r="M41" s="225"/>
      <c r="N41" s="72"/>
      <c r="O41" s="72"/>
      <c r="P41" s="163"/>
      <c r="Q41" s="163"/>
      <c r="R41" s="163"/>
      <c r="S41" s="72"/>
      <c r="T41" s="72"/>
      <c r="U41" s="163"/>
      <c r="V41" s="163"/>
      <c r="W41" s="207"/>
      <c r="X41" s="207"/>
      <c r="Y41" s="207"/>
    </row>
    <row r="42" spans="1:25" x14ac:dyDescent="0.35">
      <c r="B42" s="214"/>
      <c r="C42" s="224"/>
      <c r="D42" s="224"/>
      <c r="E42" s="224"/>
      <c r="F42" s="224"/>
      <c r="G42" s="163"/>
      <c r="H42" s="124"/>
      <c r="I42" s="72"/>
      <c r="J42" s="163"/>
      <c r="K42" s="163"/>
      <c r="L42" s="163"/>
      <c r="M42" s="225"/>
      <c r="N42" s="72"/>
      <c r="O42" s="72"/>
      <c r="P42" s="163"/>
      <c r="Q42" s="163"/>
      <c r="R42" s="163"/>
      <c r="S42" s="72"/>
      <c r="T42" s="72"/>
      <c r="U42" s="163"/>
      <c r="V42" s="163"/>
      <c r="W42" s="207"/>
      <c r="X42" s="207"/>
      <c r="Y42" s="207"/>
    </row>
    <row r="43" spans="1:25" x14ac:dyDescent="0.35">
      <c r="C43" s="226"/>
      <c r="D43" s="226"/>
      <c r="E43" s="226"/>
      <c r="F43" s="226"/>
      <c r="G43" s="163"/>
      <c r="H43" s="72"/>
      <c r="I43" s="72"/>
      <c r="J43" s="163"/>
      <c r="K43" s="163"/>
      <c r="L43" s="163"/>
      <c r="M43" s="225"/>
      <c r="N43" s="72"/>
      <c r="O43" s="72"/>
      <c r="P43" s="163"/>
      <c r="Q43" s="163"/>
      <c r="R43" s="163"/>
      <c r="S43" s="72"/>
      <c r="T43" s="72"/>
      <c r="U43" s="163"/>
      <c r="V43" s="163"/>
      <c r="W43" s="207"/>
      <c r="X43" s="207"/>
      <c r="Y43" s="207"/>
    </row>
    <row r="44" spans="1:25" x14ac:dyDescent="0.35">
      <c r="G44" s="207"/>
      <c r="H44" s="72"/>
      <c r="I44" s="72"/>
      <c r="J44" s="163"/>
      <c r="K44" s="163"/>
      <c r="L44" s="207"/>
      <c r="M44" s="116"/>
      <c r="N44" s="72"/>
      <c r="O44" s="72"/>
      <c r="P44" s="163"/>
      <c r="Q44" s="163"/>
      <c r="R44" s="207"/>
      <c r="S44" s="72"/>
      <c r="T44" s="72"/>
      <c r="U44" s="163"/>
      <c r="V44" s="163"/>
      <c r="W44" s="207"/>
      <c r="X44" s="207"/>
      <c r="Y44" s="207"/>
    </row>
    <row r="45" spans="1:25" x14ac:dyDescent="0.35">
      <c r="G45" s="207"/>
      <c r="H45" s="124"/>
      <c r="I45" s="72"/>
      <c r="J45" s="163"/>
      <c r="K45" s="163"/>
      <c r="L45" s="207"/>
      <c r="M45" s="116"/>
      <c r="N45" s="72"/>
      <c r="O45" s="72"/>
      <c r="P45" s="163"/>
      <c r="Q45" s="163"/>
      <c r="R45" s="207"/>
      <c r="S45" s="72"/>
      <c r="T45" s="72"/>
      <c r="U45" s="163"/>
      <c r="V45" s="163"/>
      <c r="W45" s="207"/>
      <c r="X45" s="207"/>
      <c r="Y45" s="207"/>
    </row>
    <row r="46" spans="1:25" x14ac:dyDescent="0.35">
      <c r="G46" s="207"/>
      <c r="H46" s="124"/>
      <c r="I46" s="72"/>
      <c r="J46" s="163"/>
      <c r="K46" s="163"/>
      <c r="L46" s="207"/>
      <c r="M46" s="116"/>
      <c r="N46" s="72"/>
      <c r="O46" s="72"/>
      <c r="P46" s="163"/>
      <c r="Q46" s="163"/>
      <c r="R46" s="207"/>
      <c r="S46" s="72"/>
      <c r="T46" s="72"/>
      <c r="U46" s="163"/>
      <c r="V46" s="163"/>
      <c r="W46" s="207"/>
      <c r="X46" s="207"/>
      <c r="Y46" s="207"/>
    </row>
    <row r="47" spans="1:25" x14ac:dyDescent="0.35">
      <c r="G47" s="207"/>
      <c r="H47" s="160"/>
      <c r="I47" s="160"/>
      <c r="J47" s="160"/>
      <c r="K47" s="160"/>
      <c r="L47" s="207"/>
      <c r="M47" s="207"/>
      <c r="N47" s="227"/>
      <c r="O47" s="227"/>
      <c r="P47" s="227"/>
      <c r="Q47" s="227"/>
      <c r="R47" s="207"/>
      <c r="S47" s="227"/>
      <c r="T47" s="227"/>
      <c r="U47" s="227"/>
      <c r="V47" s="227"/>
      <c r="W47" s="207"/>
      <c r="X47" s="207"/>
      <c r="Y47" s="207"/>
    </row>
    <row r="48" spans="1:25" x14ac:dyDescent="0.35">
      <c r="G48" s="207"/>
      <c r="H48" s="163"/>
      <c r="I48" s="163"/>
      <c r="J48" s="163"/>
      <c r="K48" s="163"/>
      <c r="L48" s="207"/>
      <c r="M48" s="207"/>
      <c r="N48" s="91"/>
      <c r="O48" s="91"/>
      <c r="P48" s="91"/>
      <c r="Q48" s="91"/>
      <c r="R48" s="207"/>
      <c r="S48" s="91"/>
      <c r="T48" s="91"/>
      <c r="U48" s="91"/>
      <c r="V48" s="91"/>
      <c r="W48" s="207"/>
      <c r="X48" s="207"/>
      <c r="Y48" s="207"/>
    </row>
    <row r="49" spans="7:25" x14ac:dyDescent="0.35">
      <c r="G49" s="207"/>
      <c r="H49" s="164"/>
      <c r="I49" s="164"/>
      <c r="J49" s="164"/>
      <c r="K49" s="164"/>
      <c r="L49" s="207"/>
      <c r="M49" s="207"/>
      <c r="N49" s="91"/>
      <c r="O49" s="91"/>
      <c r="P49" s="91"/>
      <c r="Q49" s="91"/>
      <c r="R49" s="207"/>
      <c r="S49" s="91"/>
      <c r="T49" s="91"/>
      <c r="U49" s="91"/>
      <c r="V49" s="91"/>
      <c r="W49" s="207"/>
      <c r="X49" s="207"/>
      <c r="Y49" s="207"/>
    </row>
    <row r="50" spans="7:25" x14ac:dyDescent="0.35">
      <c r="G50" s="207"/>
      <c r="H50" s="163"/>
      <c r="I50" s="163"/>
      <c r="J50" s="163"/>
      <c r="K50" s="163"/>
      <c r="L50" s="207"/>
      <c r="M50" s="207"/>
      <c r="N50" s="91"/>
      <c r="O50" s="91"/>
      <c r="P50" s="91"/>
      <c r="Q50" s="91"/>
      <c r="R50" s="207"/>
      <c r="S50" s="91"/>
      <c r="T50" s="91"/>
      <c r="U50" s="91"/>
      <c r="V50" s="91"/>
      <c r="W50" s="207"/>
      <c r="X50" s="207"/>
      <c r="Y50" s="207"/>
    </row>
    <row r="51" spans="7:25" x14ac:dyDescent="0.35">
      <c r="G51" s="207"/>
      <c r="H51" s="163"/>
      <c r="I51" s="163"/>
      <c r="J51" s="163"/>
      <c r="K51" s="163"/>
      <c r="L51" s="207"/>
      <c r="M51" s="207"/>
      <c r="N51" s="91"/>
      <c r="O51" s="91"/>
      <c r="P51" s="91"/>
      <c r="Q51" s="91"/>
      <c r="R51" s="207"/>
      <c r="S51" s="91"/>
      <c r="T51" s="91"/>
      <c r="U51" s="91"/>
      <c r="V51" s="91"/>
      <c r="W51" s="207"/>
      <c r="X51" s="207"/>
      <c r="Y51" s="207"/>
    </row>
    <row r="52" spans="7:25" x14ac:dyDescent="0.35">
      <c r="G52" s="207"/>
      <c r="H52" s="207"/>
      <c r="I52" s="207"/>
      <c r="J52" s="163"/>
      <c r="K52" s="207"/>
      <c r="L52" s="207"/>
      <c r="M52" s="207"/>
      <c r="N52" s="207"/>
      <c r="O52" s="207"/>
      <c r="P52" s="207"/>
      <c r="Q52" s="207"/>
      <c r="R52" s="207"/>
      <c r="S52" s="207"/>
      <c r="T52" s="207"/>
      <c r="U52" s="207"/>
      <c r="V52" s="207"/>
      <c r="W52" s="207"/>
      <c r="X52" s="207"/>
      <c r="Y52" s="207"/>
    </row>
    <row r="53" spans="7:25" x14ac:dyDescent="0.35">
      <c r="J53" s="61"/>
      <c r="N53" s="61"/>
      <c r="O53" s="61"/>
      <c r="P53" s="61"/>
      <c r="Q53" s="61"/>
      <c r="R53" s="61"/>
      <c r="S53" s="61"/>
      <c r="T53" s="61"/>
      <c r="U53" s="61"/>
      <c r="V53" s="61"/>
      <c r="W53" s="61"/>
    </row>
    <row r="54" spans="7:25" x14ac:dyDescent="0.35">
      <c r="N54" s="61"/>
      <c r="O54" s="61"/>
      <c r="P54" s="61"/>
      <c r="Q54" s="61"/>
      <c r="R54" s="61"/>
      <c r="S54" s="61"/>
      <c r="T54" s="61"/>
      <c r="U54" s="61"/>
      <c r="V54" s="61"/>
      <c r="W54" s="61"/>
    </row>
    <row r="55" spans="7:25" x14ac:dyDescent="0.35">
      <c r="N55" s="61"/>
      <c r="O55" s="61"/>
      <c r="P55" s="61"/>
      <c r="Q55" s="61"/>
      <c r="R55" s="61"/>
      <c r="S55" s="61"/>
      <c r="T55" s="61"/>
      <c r="U55" s="61"/>
      <c r="V55" s="61"/>
      <c r="W55" s="61"/>
    </row>
    <row r="58" spans="7:25" x14ac:dyDescent="0.35">
      <c r="U58" s="61"/>
    </row>
    <row r="59" spans="7:25" x14ac:dyDescent="0.35">
      <c r="U59" s="61"/>
    </row>
    <row r="60" spans="7:25" x14ac:dyDescent="0.35">
      <c r="U60" s="163"/>
    </row>
    <row r="61" spans="7:25" x14ac:dyDescent="0.35">
      <c r="U61" s="163"/>
    </row>
    <row r="62" spans="7:25" x14ac:dyDescent="0.35">
      <c r="U62" s="163"/>
    </row>
    <row r="63" spans="7:25" x14ac:dyDescent="0.35">
      <c r="U63" s="61"/>
    </row>
    <row r="64" spans="7:25" x14ac:dyDescent="0.35">
      <c r="U64" s="61"/>
    </row>
    <row r="65" spans="21:21" x14ac:dyDescent="0.35">
      <c r="U65" s="61"/>
    </row>
  </sheetData>
  <mergeCells count="2">
    <mergeCell ref="M3:M33"/>
    <mergeCell ref="B3:B33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B63"/>
  <sheetViews>
    <sheetView topLeftCell="M1" workbookViewId="0">
      <selection activeCell="M3" sqref="M3"/>
    </sheetView>
  </sheetViews>
  <sheetFormatPr baseColWidth="10" defaultRowHeight="15.5" x14ac:dyDescent="0.35"/>
  <cols>
    <col min="1" max="15" width="10.6640625" style="77"/>
    <col min="16" max="16" width="10.6640625" style="77" customWidth="1"/>
    <col min="17" max="17" width="11.6640625" style="77" customWidth="1"/>
    <col min="18" max="21" width="10.6640625" style="77"/>
    <col min="22" max="22" width="10.6640625" style="61"/>
    <col min="23" max="23" width="11.83203125" style="61" customWidth="1"/>
    <col min="24" max="27" width="10.6640625" style="77"/>
    <col min="28" max="28" width="17.33203125" style="77" bestFit="1" customWidth="1"/>
    <col min="29" max="16384" width="10.6640625" style="77"/>
  </cols>
  <sheetData>
    <row r="1" spans="2:28" x14ac:dyDescent="0.35">
      <c r="C1" s="77" t="s">
        <v>43</v>
      </c>
      <c r="H1" s="77" t="s">
        <v>41</v>
      </c>
      <c r="N1" s="77" t="s">
        <v>43</v>
      </c>
      <c r="S1" s="77" t="s">
        <v>41</v>
      </c>
    </row>
    <row r="2" spans="2:28" ht="16" thickBot="1" x14ac:dyDescent="0.4">
      <c r="C2" s="77" t="s">
        <v>39</v>
      </c>
      <c r="D2" s="77" t="s">
        <v>39</v>
      </c>
      <c r="H2" s="77" t="s">
        <v>10</v>
      </c>
      <c r="I2" s="77" t="s">
        <v>10</v>
      </c>
      <c r="N2" s="77" t="s">
        <v>19</v>
      </c>
      <c r="O2" s="77" t="s">
        <v>19</v>
      </c>
      <c r="S2" s="77" t="s">
        <v>19</v>
      </c>
      <c r="T2" s="77" t="s">
        <v>19</v>
      </c>
    </row>
    <row r="3" spans="2:28" ht="16" thickBot="1" x14ac:dyDescent="0.4">
      <c r="B3" s="228" t="s">
        <v>29</v>
      </c>
      <c r="C3" s="229" t="s">
        <v>22</v>
      </c>
      <c r="D3" s="230" t="s">
        <v>38</v>
      </c>
      <c r="E3" s="231" t="s">
        <v>58</v>
      </c>
      <c r="F3" s="61"/>
      <c r="G3" s="228" t="s">
        <v>29</v>
      </c>
      <c r="H3" s="229" t="s">
        <v>22</v>
      </c>
      <c r="I3" s="232" t="s">
        <v>38</v>
      </c>
      <c r="J3" s="231" t="s">
        <v>58</v>
      </c>
      <c r="K3" s="89"/>
      <c r="L3" s="89"/>
      <c r="M3" s="228" t="s">
        <v>29</v>
      </c>
      <c r="N3" s="229" t="s">
        <v>22</v>
      </c>
      <c r="O3" s="232" t="s">
        <v>38</v>
      </c>
      <c r="P3" s="231" t="s">
        <v>58</v>
      </c>
      <c r="Q3" s="61"/>
      <c r="R3" s="228" t="s">
        <v>29</v>
      </c>
      <c r="S3" s="229" t="s">
        <v>22</v>
      </c>
      <c r="T3" s="232" t="s">
        <v>38</v>
      </c>
      <c r="U3" s="231" t="s">
        <v>58</v>
      </c>
      <c r="V3" s="72"/>
    </row>
    <row r="4" spans="2:28" x14ac:dyDescent="0.35">
      <c r="B4" s="233">
        <v>1</v>
      </c>
      <c r="C4" s="234">
        <f>Lipids!F3</f>
        <v>2.3999999999997357</v>
      </c>
      <c r="D4" s="72">
        <f>Protein!H5</f>
        <v>0.88380952380952382</v>
      </c>
      <c r="E4" s="86">
        <f>C4/D4</f>
        <v>2.7155172413790112</v>
      </c>
      <c r="F4" s="72"/>
      <c r="G4" s="233">
        <v>1</v>
      </c>
      <c r="H4" s="70">
        <f>Lipids!U3</f>
        <v>0.99999999999944578</v>
      </c>
      <c r="I4" s="235">
        <f>Protein!AA5</f>
        <v>0.6171428571428571</v>
      </c>
      <c r="J4" s="74">
        <f>H4/I4</f>
        <v>1.6203703703694725</v>
      </c>
      <c r="K4" s="72"/>
      <c r="L4" s="72"/>
      <c r="M4" s="233">
        <v>1</v>
      </c>
      <c r="N4" s="233">
        <f>Lipids!M3</f>
        <v>1.300000000000523</v>
      </c>
      <c r="O4" s="235">
        <f>Protein!Q5</f>
        <v>2.7676190476190481</v>
      </c>
      <c r="P4" s="86">
        <f>N4/O4</f>
        <v>0.46971782518945249</v>
      </c>
      <c r="Q4" s="164"/>
      <c r="R4" s="233">
        <v>1</v>
      </c>
      <c r="S4" s="70">
        <f>Lipids!AB3</f>
        <v>0.70000000000014495</v>
      </c>
      <c r="T4" s="235">
        <f>Protein!AJ5</f>
        <v>0.88380952380952382</v>
      </c>
      <c r="U4" s="74">
        <f>S4/T4</f>
        <v>0.7920258620691295</v>
      </c>
      <c r="V4" s="72"/>
      <c r="W4" s="92"/>
      <c r="AB4" s="236"/>
    </row>
    <row r="5" spans="2:28" x14ac:dyDescent="0.35">
      <c r="B5" s="233">
        <v>2</v>
      </c>
      <c r="C5" s="234">
        <f>Lipids!F4</f>
        <v>2.7000000000008129</v>
      </c>
      <c r="D5" s="72">
        <f>Protein!H6</f>
        <v>1.1600000000000001</v>
      </c>
      <c r="E5" s="86">
        <f t="shared" ref="E5:E33" si="0">C5/D5</f>
        <v>2.3275862068972524</v>
      </c>
      <c r="F5" s="72"/>
      <c r="G5" s="233">
        <v>2</v>
      </c>
      <c r="H5" s="70">
        <f>Lipids!U4</f>
        <v>2.1000000000004349</v>
      </c>
      <c r="I5" s="235">
        <f>Protein!AA6</f>
        <v>0.65523809523809529</v>
      </c>
      <c r="J5" s="74">
        <f t="shared" ref="J5:J33" si="1">H5/I5</f>
        <v>3.2049418604657798</v>
      </c>
      <c r="K5" s="72"/>
      <c r="L5" s="72"/>
      <c r="M5" s="233">
        <v>2</v>
      </c>
      <c r="N5" s="233">
        <f>Lipids!M4</f>
        <v>1.3999999999985135</v>
      </c>
      <c r="O5" s="235">
        <f>Protein!Q6</f>
        <v>3.4000000000000008</v>
      </c>
      <c r="P5" s="86">
        <f t="shared" ref="P5:P33" si="2">N5/O5</f>
        <v>0.41176470588191566</v>
      </c>
      <c r="Q5" s="164"/>
      <c r="R5" s="233">
        <v>2</v>
      </c>
      <c r="S5" s="70">
        <f>Lipids!AB4</f>
        <v>1.1999999999989797</v>
      </c>
      <c r="T5" s="235">
        <f>Protein!AJ6</f>
        <v>2.1104761904761906</v>
      </c>
      <c r="U5" s="74">
        <f t="shared" ref="U5:U33" si="3">S5/T5</f>
        <v>0.56859205776124933</v>
      </c>
      <c r="V5" s="163"/>
      <c r="W5" s="92"/>
      <c r="AB5" s="236"/>
    </row>
    <row r="6" spans="2:28" x14ac:dyDescent="0.35">
      <c r="B6" s="233">
        <v>3</v>
      </c>
      <c r="C6" s="234">
        <f>Lipids!F5</f>
        <v>3.0000000000001137</v>
      </c>
      <c r="D6" s="72">
        <f>Protein!H7</f>
        <v>1.1504761904761907</v>
      </c>
      <c r="E6" s="86">
        <f t="shared" si="0"/>
        <v>2.6076158940398337</v>
      </c>
      <c r="F6" s="72"/>
      <c r="G6" s="233">
        <v>3</v>
      </c>
      <c r="H6" s="70">
        <f>Lipids!U5</f>
        <v>2.4999999999995026</v>
      </c>
      <c r="I6" s="235">
        <f>Protein!AA7</f>
        <v>0.6361904761904762</v>
      </c>
      <c r="J6" s="74">
        <f t="shared" si="1"/>
        <v>3.9296407185620925</v>
      </c>
      <c r="K6" s="72"/>
      <c r="L6" s="72"/>
      <c r="M6" s="233">
        <v>3</v>
      </c>
      <c r="N6" s="233">
        <f>Lipids!M5</f>
        <v>1.4000000000002899</v>
      </c>
      <c r="O6" s="235">
        <f>Protein!Q7</f>
        <v>2.7866666666666671</v>
      </c>
      <c r="P6" s="86">
        <f t="shared" si="2"/>
        <v>0.50239234449771164</v>
      </c>
      <c r="Q6" s="164"/>
      <c r="R6" s="233">
        <v>3</v>
      </c>
      <c r="S6" s="70">
        <f>Lipids!AB5</f>
        <v>1.4000000000002899</v>
      </c>
      <c r="T6" s="235">
        <f>Protein!AJ7</f>
        <v>1.0409523809523813</v>
      </c>
      <c r="U6" s="74">
        <f t="shared" si="3"/>
        <v>1.3449222323882013</v>
      </c>
      <c r="V6" s="72"/>
      <c r="W6" s="92"/>
      <c r="AB6" s="236"/>
    </row>
    <row r="7" spans="2:28" x14ac:dyDescent="0.35">
      <c r="B7" s="233">
        <v>4</v>
      </c>
      <c r="C7" s="234">
        <f>Lipids!F6</f>
        <v>1.8999999999991246</v>
      </c>
      <c r="D7" s="72">
        <f>Protein!H8</f>
        <v>1.0695238095238095</v>
      </c>
      <c r="E7" s="86">
        <f t="shared" si="0"/>
        <v>1.7764915405156552</v>
      </c>
      <c r="F7" s="72"/>
      <c r="G7" s="233">
        <v>4</v>
      </c>
      <c r="H7" s="70">
        <f>Lipids!U6</f>
        <v>1.5999999999998238</v>
      </c>
      <c r="I7" s="235">
        <f>Protein!AA8</f>
        <v>0.81714285714285739</v>
      </c>
      <c r="J7" s="74">
        <f t="shared" si="1"/>
        <v>1.9580419580417419</v>
      </c>
      <c r="K7" s="72"/>
      <c r="L7" s="72"/>
      <c r="M7" s="233">
        <v>4</v>
      </c>
      <c r="N7" s="233">
        <f>Lipids!M6</f>
        <v>1.1000000000009891</v>
      </c>
      <c r="O7" s="235">
        <f>Protein!Q8</f>
        <v>1.3742857142857146</v>
      </c>
      <c r="P7" s="86">
        <f t="shared" si="2"/>
        <v>0.80041580041651994</v>
      </c>
      <c r="Q7" s="164"/>
      <c r="R7" s="233">
        <v>4</v>
      </c>
      <c r="S7" s="70">
        <f>Lipids!AB6</f>
        <v>0.89999999999967883</v>
      </c>
      <c r="T7" s="235">
        <f>Protein!AJ8</f>
        <v>1.475714285714286</v>
      </c>
      <c r="U7" s="74">
        <f t="shared" si="3"/>
        <v>0.60987415295234759</v>
      </c>
      <c r="V7" s="163"/>
      <c r="W7" s="92"/>
      <c r="AB7" s="236"/>
    </row>
    <row r="8" spans="2:28" x14ac:dyDescent="0.35">
      <c r="B8" s="233">
        <v>5</v>
      </c>
      <c r="C8" s="234">
        <f>Lipids!F7</f>
        <v>2.1000000000004349</v>
      </c>
      <c r="D8" s="72">
        <f>Protein!H9</f>
        <v>1.0123809523809526</v>
      </c>
      <c r="E8" s="86">
        <f t="shared" si="0"/>
        <v>2.0743179680154809</v>
      </c>
      <c r="F8" s="72"/>
      <c r="G8" s="233">
        <v>5</v>
      </c>
      <c r="H8" s="70">
        <f>Lipids!U7</f>
        <v>1.1000000000009891</v>
      </c>
      <c r="I8" s="235">
        <f>Protein!AA9</f>
        <v>1.0028571428571429</v>
      </c>
      <c r="J8" s="74">
        <f t="shared" si="1"/>
        <v>1.0968660968670831</v>
      </c>
      <c r="K8" s="72"/>
      <c r="L8" s="72"/>
      <c r="M8" s="233">
        <v>5</v>
      </c>
      <c r="N8" s="233">
        <f>Lipids!M7</f>
        <v>1.200000000000756</v>
      </c>
      <c r="O8" s="235">
        <f>Protein!Q9</f>
        <v>2.8914285714285715</v>
      </c>
      <c r="P8" s="86">
        <f t="shared" si="2"/>
        <v>0.41501976284611125</v>
      </c>
      <c r="Q8" s="164"/>
      <c r="R8" s="233">
        <v>5</v>
      </c>
      <c r="S8" s="70">
        <f>Lipids!AB7</f>
        <v>0.70000000000014495</v>
      </c>
      <c r="T8" s="235">
        <f>Protein!AJ9</f>
        <v>0.99333333333333351</v>
      </c>
      <c r="U8" s="74">
        <f t="shared" si="3"/>
        <v>0.70469798657732696</v>
      </c>
      <c r="V8" s="72"/>
      <c r="W8" s="92"/>
      <c r="AB8" s="236"/>
    </row>
    <row r="9" spans="2:28" x14ac:dyDescent="0.35">
      <c r="B9" s="233">
        <v>6</v>
      </c>
      <c r="C9" s="234">
        <f>Lipids!F8</f>
        <v>3.6000000000004917</v>
      </c>
      <c r="D9" s="72">
        <f>Protein!H10</f>
        <v>1.0171428571428571</v>
      </c>
      <c r="E9" s="86">
        <f t="shared" si="0"/>
        <v>3.5393258426971128</v>
      </c>
      <c r="F9" s="72"/>
      <c r="G9" s="233">
        <v>6</v>
      </c>
      <c r="H9" s="70">
        <f>Lipids!U8</f>
        <v>1.3000000000022993</v>
      </c>
      <c r="I9" s="235">
        <f>Protein!AA10</f>
        <v>1.1504761904761907</v>
      </c>
      <c r="J9" s="74">
        <f t="shared" si="1"/>
        <v>1.129966887419217</v>
      </c>
      <c r="K9" s="72"/>
      <c r="L9" s="72"/>
      <c r="M9" s="233">
        <v>6</v>
      </c>
      <c r="N9" s="233">
        <f>Lipids!M8</f>
        <v>1.7000000000013671</v>
      </c>
      <c r="O9" s="235">
        <f>Protein!Q10</f>
        <v>1.4838095238095241</v>
      </c>
      <c r="P9" s="86">
        <f t="shared" si="2"/>
        <v>1.1456996148918068</v>
      </c>
      <c r="Q9" s="164"/>
      <c r="R9" s="233">
        <v>6</v>
      </c>
      <c r="S9" s="70">
        <f>Lipids!AB8</f>
        <v>1.3</v>
      </c>
      <c r="T9" s="235">
        <f>Protein!AJ10</f>
        <v>1.7971428571428572</v>
      </c>
      <c r="U9" s="74">
        <f t="shared" si="3"/>
        <v>0.72337042925278217</v>
      </c>
      <c r="V9" s="72"/>
      <c r="W9" s="92"/>
      <c r="AB9" s="236"/>
    </row>
    <row r="10" spans="2:28" x14ac:dyDescent="0.35">
      <c r="B10" s="233">
        <v>7</v>
      </c>
      <c r="C10" s="234">
        <f>Lipids!F9</f>
        <v>3.2999999999994145</v>
      </c>
      <c r="D10" s="72">
        <f>Protein!H11</f>
        <v>1.3028571428571432</v>
      </c>
      <c r="E10" s="86">
        <f t="shared" si="0"/>
        <v>2.5328947368416554</v>
      </c>
      <c r="F10" s="72"/>
      <c r="G10" s="233">
        <v>7</v>
      </c>
      <c r="H10" s="70">
        <f>Lipids!U9</f>
        <v>2.6000000000010459</v>
      </c>
      <c r="I10" s="235">
        <f>Protein!AA11</f>
        <v>0.90428571428571425</v>
      </c>
      <c r="J10" s="74">
        <f t="shared" si="1"/>
        <v>2.8751974723550271</v>
      </c>
      <c r="K10" s="72"/>
      <c r="L10" s="72"/>
      <c r="M10" s="233">
        <v>7</v>
      </c>
      <c r="N10" s="233">
        <f>Lipids!M9</f>
        <v>1.7000000000013671</v>
      </c>
      <c r="O10" s="235">
        <f>Protein!Q11</f>
        <v>2.4828571428571427</v>
      </c>
      <c r="P10" s="86">
        <f t="shared" si="2"/>
        <v>0.68469505178421008</v>
      </c>
      <c r="Q10" s="164"/>
      <c r="R10" s="233">
        <v>7</v>
      </c>
      <c r="S10" s="70">
        <f>Lipids!AB9</f>
        <v>0.60000000000037801</v>
      </c>
      <c r="T10" s="235">
        <f>Protein!AJ11</f>
        <v>0.87428571428571433</v>
      </c>
      <c r="U10" s="74">
        <f t="shared" si="3"/>
        <v>0.68627450980435389</v>
      </c>
      <c r="V10" s="72"/>
      <c r="W10" s="92"/>
      <c r="AB10" s="236"/>
    </row>
    <row r="11" spans="2:28" x14ac:dyDescent="0.35">
      <c r="B11" s="233">
        <v>8</v>
      </c>
      <c r="C11" s="237">
        <f>Lipids!F10</f>
        <v>2.8999999999985704</v>
      </c>
      <c r="D11" s="72">
        <f>Protein!H12</f>
        <v>1.4600000000000002</v>
      </c>
      <c r="E11" s="86">
        <f t="shared" si="0"/>
        <v>1.9863013698620342</v>
      </c>
      <c r="F11" s="72"/>
      <c r="G11" s="233">
        <v>8</v>
      </c>
      <c r="H11" s="70">
        <f>Lipids!U10</f>
        <v>1.9999999999988916</v>
      </c>
      <c r="I11" s="235">
        <f>Protein!AA12</f>
        <v>0.71238095238095245</v>
      </c>
      <c r="J11" s="74">
        <f t="shared" si="1"/>
        <v>2.8074866310144864</v>
      </c>
      <c r="K11" s="72"/>
      <c r="L11" s="72"/>
      <c r="M11" s="233">
        <v>8</v>
      </c>
      <c r="N11" s="233">
        <f>Lipids!M10</f>
        <v>1.800000000001134</v>
      </c>
      <c r="O11" s="235">
        <f>Protein!Q12</f>
        <v>2.2400000000000007</v>
      </c>
      <c r="P11" s="86">
        <f t="shared" si="2"/>
        <v>0.80357142857193464</v>
      </c>
      <c r="Q11" s="164"/>
      <c r="R11" s="233">
        <v>8</v>
      </c>
      <c r="S11" s="70">
        <f>Lipids!AB10</f>
        <v>0.60000000000037801</v>
      </c>
      <c r="T11" s="235">
        <f>Protein!AJ12</f>
        <v>0.94571428571428573</v>
      </c>
      <c r="U11" s="74">
        <f t="shared" si="3"/>
        <v>0.63444108761369278</v>
      </c>
      <c r="V11" s="72"/>
      <c r="W11" s="92"/>
      <c r="AB11" s="236"/>
    </row>
    <row r="12" spans="2:28" x14ac:dyDescent="0.35">
      <c r="B12" s="233">
        <v>9</v>
      </c>
      <c r="C12" s="234">
        <f>Lipids!F11</f>
        <v>2.3999999999997357</v>
      </c>
      <c r="D12" s="72">
        <f>Protein!H13</f>
        <v>1.1219047619047622</v>
      </c>
      <c r="E12" s="86">
        <f t="shared" si="0"/>
        <v>2.1392190152798998</v>
      </c>
      <c r="F12" s="72"/>
      <c r="G12" s="233">
        <v>9</v>
      </c>
      <c r="H12" s="70">
        <f>Lipids!U11</f>
        <v>1.7000000000013671</v>
      </c>
      <c r="I12" s="235">
        <f>Protein!AA13</f>
        <v>1.2695238095238097</v>
      </c>
      <c r="J12" s="74">
        <f t="shared" si="1"/>
        <v>1.3390847711938749</v>
      </c>
      <c r="K12" s="72"/>
      <c r="L12" s="72"/>
      <c r="M12" s="233">
        <v>9</v>
      </c>
      <c r="N12" s="233">
        <f>Lipids!M11</f>
        <v>1.800000000001134</v>
      </c>
      <c r="O12" s="235">
        <f>Protein!Q13</f>
        <v>1.8757142857142859</v>
      </c>
      <c r="P12" s="86">
        <f t="shared" si="2"/>
        <v>0.95963442498156415</v>
      </c>
      <c r="Q12" s="164"/>
      <c r="R12" s="233">
        <v>9</v>
      </c>
      <c r="S12" s="70">
        <f>Lipids!AB11</f>
        <v>0.79999999999991189</v>
      </c>
      <c r="T12" s="235">
        <f>Protein!AJ13</f>
        <v>2.3295238095238098</v>
      </c>
      <c r="U12" s="74">
        <f t="shared" si="3"/>
        <v>0.34341782502040369</v>
      </c>
      <c r="V12" s="72"/>
      <c r="W12" s="92"/>
      <c r="AB12" s="236"/>
    </row>
    <row r="13" spans="2:28" x14ac:dyDescent="0.35">
      <c r="B13" s="233">
        <v>10</v>
      </c>
      <c r="C13" s="234">
        <f>Lipids!F12</f>
        <v>2.2000000000002018</v>
      </c>
      <c r="D13" s="72">
        <f>Protein!H14</f>
        <v>1.0314285714285716</v>
      </c>
      <c r="E13" s="86">
        <f t="shared" si="0"/>
        <v>2.1329639889198631</v>
      </c>
      <c r="F13" s="72"/>
      <c r="G13" s="233">
        <v>10</v>
      </c>
      <c r="H13" s="70">
        <f>Lipids!U12</f>
        <v>2.2000000000002018</v>
      </c>
      <c r="I13" s="235">
        <f>Protein!AA14</f>
        <v>0.73142857142857154</v>
      </c>
      <c r="J13" s="74">
        <f t="shared" si="1"/>
        <v>3.0078125000002753</v>
      </c>
      <c r="K13" s="72"/>
      <c r="L13" s="72"/>
      <c r="M13" s="233">
        <v>10</v>
      </c>
      <c r="N13" s="233">
        <f>Lipids!M12</f>
        <v>1.5999999999998238</v>
      </c>
      <c r="O13" s="235">
        <f>Protein!Q14</f>
        <v>3.2333333333333334</v>
      </c>
      <c r="P13" s="86">
        <f t="shared" si="2"/>
        <v>0.49484536082468777</v>
      </c>
      <c r="Q13" s="164"/>
      <c r="R13" s="233">
        <v>10</v>
      </c>
      <c r="S13" s="70">
        <f>Lipids!AB12</f>
        <v>0.79999999999991189</v>
      </c>
      <c r="T13" s="235">
        <f>Protein!AJ14</f>
        <v>0.92190476190476189</v>
      </c>
      <c r="U13" s="74">
        <f t="shared" si="3"/>
        <v>0.86776859504122672</v>
      </c>
      <c r="V13" s="163"/>
      <c r="W13" s="92"/>
      <c r="AB13" s="236"/>
    </row>
    <row r="14" spans="2:28" x14ac:dyDescent="0.35">
      <c r="B14" s="233">
        <v>11</v>
      </c>
      <c r="C14" s="234">
        <f>Lipids!F13</f>
        <v>3.0999999999998806</v>
      </c>
      <c r="D14" s="72">
        <f>Protein!H15</f>
        <v>1.1695238095238094</v>
      </c>
      <c r="E14" s="86">
        <f t="shared" si="0"/>
        <v>2.6506514657979436</v>
      </c>
      <c r="F14" s="72"/>
      <c r="G14" s="233">
        <v>11</v>
      </c>
      <c r="H14" s="70">
        <f>Lipids!U13</f>
        <v>2.3999999999997357</v>
      </c>
      <c r="I14" s="235">
        <f>Protein!AA15</f>
        <v>1.1314285714285715</v>
      </c>
      <c r="J14" s="74">
        <f t="shared" si="1"/>
        <v>2.1212121212118875</v>
      </c>
      <c r="K14" s="72"/>
      <c r="L14" s="72"/>
      <c r="M14" s="233">
        <v>11</v>
      </c>
      <c r="N14" s="233">
        <f>Lipids!M13</f>
        <v>1.5999999999998238</v>
      </c>
      <c r="O14" s="235">
        <f>Protein!Q15</f>
        <v>2.9833333333333329</v>
      </c>
      <c r="P14" s="86">
        <f t="shared" si="2"/>
        <v>0.53631284916195221</v>
      </c>
      <c r="Q14" s="164"/>
      <c r="R14" s="233">
        <v>11</v>
      </c>
      <c r="S14" s="70">
        <f>Lipids!AB13</f>
        <v>1.9999999999988916</v>
      </c>
      <c r="T14" s="235">
        <f>Protein!AJ15</f>
        <v>2.1619047619047622</v>
      </c>
      <c r="U14" s="74">
        <f t="shared" si="3"/>
        <v>0.92511013215807747</v>
      </c>
      <c r="V14" s="163"/>
      <c r="W14" s="92"/>
      <c r="AB14" s="236"/>
    </row>
    <row r="15" spans="2:28" x14ac:dyDescent="0.35">
      <c r="B15" s="233">
        <v>12</v>
      </c>
      <c r="C15" s="234">
        <f>Lipids!F14</f>
        <v>2.8999999999985704</v>
      </c>
      <c r="D15" s="72">
        <f>Protein!H16</f>
        <v>0.94571428571428573</v>
      </c>
      <c r="E15" s="86">
        <f t="shared" si="0"/>
        <v>3.0664652567960715</v>
      </c>
      <c r="F15" s="72"/>
      <c r="G15" s="233">
        <v>12</v>
      </c>
      <c r="H15" s="70">
        <f>Lipids!U14</f>
        <v>1.7999999999993577</v>
      </c>
      <c r="I15" s="235">
        <f>Protein!AA16</f>
        <v>0.86476190476190495</v>
      </c>
      <c r="J15" s="74">
        <f t="shared" si="1"/>
        <v>2.0814977973560849</v>
      </c>
      <c r="K15" s="72"/>
      <c r="L15" s="72"/>
      <c r="M15" s="233">
        <v>12</v>
      </c>
      <c r="N15" s="233">
        <f>Lipids!M14</f>
        <v>1.900000000000901</v>
      </c>
      <c r="O15" s="235">
        <f>Protein!Q16</f>
        <v>3.3166666666666669</v>
      </c>
      <c r="P15" s="86">
        <f t="shared" si="2"/>
        <v>0.5728643216083118</v>
      </c>
      <c r="Q15" s="164"/>
      <c r="R15" s="233">
        <v>12</v>
      </c>
      <c r="S15" s="70">
        <f>Lipids!AB14</f>
        <v>0.79999999999991189</v>
      </c>
      <c r="T15" s="235">
        <f>Protein!AJ16</f>
        <v>0.88380952380952382</v>
      </c>
      <c r="U15" s="74">
        <f t="shared" si="3"/>
        <v>0.90517241379300373</v>
      </c>
      <c r="V15" s="163"/>
      <c r="W15" s="92"/>
      <c r="AB15" s="236"/>
    </row>
    <row r="16" spans="2:28" x14ac:dyDescent="0.35">
      <c r="B16" s="233">
        <v>13</v>
      </c>
      <c r="C16" s="234">
        <f>Lipids!F15</f>
        <v>4.4000000000004036</v>
      </c>
      <c r="D16" s="72">
        <f>Protein!H17</f>
        <v>1.426666666666667</v>
      </c>
      <c r="E16" s="86">
        <f t="shared" si="0"/>
        <v>3.0841121495329924</v>
      </c>
      <c r="F16" s="72"/>
      <c r="G16" s="233">
        <v>13</v>
      </c>
      <c r="H16" s="70">
        <f>Lipids!U15</f>
        <v>2.500000000001279</v>
      </c>
      <c r="I16" s="235">
        <f>Protein!AA17</f>
        <v>1.2123809523809523</v>
      </c>
      <c r="J16" s="74">
        <f t="shared" si="1"/>
        <v>2.0620581304016836</v>
      </c>
      <c r="K16" s="72"/>
      <c r="L16" s="72"/>
      <c r="M16" s="233">
        <v>13</v>
      </c>
      <c r="N16" s="233">
        <f>Lipids!M15</f>
        <v>2.2999999999999687</v>
      </c>
      <c r="O16" s="235">
        <f>Protein!Q17</f>
        <v>2.9595238095238097</v>
      </c>
      <c r="P16" s="86">
        <f t="shared" si="2"/>
        <v>0.77715205148832411</v>
      </c>
      <c r="Q16" s="164"/>
      <c r="R16" s="233">
        <v>13</v>
      </c>
      <c r="S16" s="70">
        <f>Lipids!AB15</f>
        <v>0.79999999999991189</v>
      </c>
      <c r="T16" s="235">
        <f>Protein!AJ17</f>
        <v>1.8247619047619048</v>
      </c>
      <c r="U16" s="74">
        <f t="shared" si="3"/>
        <v>0.43841336116905399</v>
      </c>
      <c r="V16" s="163"/>
      <c r="W16" s="92"/>
      <c r="AB16" s="236"/>
    </row>
    <row r="17" spans="2:28" x14ac:dyDescent="0.35">
      <c r="B17" s="233">
        <v>14</v>
      </c>
      <c r="C17" s="234">
        <f>Lipids!F16</f>
        <v>3.7000000000002586</v>
      </c>
      <c r="D17" s="72">
        <f>Protein!H18</f>
        <v>1.2980952380952382</v>
      </c>
      <c r="E17" s="86">
        <f t="shared" si="0"/>
        <v>2.8503301540720991</v>
      </c>
      <c r="F17" s="72"/>
      <c r="G17" s="233">
        <v>14</v>
      </c>
      <c r="H17" s="70">
        <f>Lipids!U16</f>
        <v>1.8999999999991246</v>
      </c>
      <c r="I17" s="235">
        <f>Protein!AA18</f>
        <v>1.2457142857142858</v>
      </c>
      <c r="J17" s="74">
        <f t="shared" si="1"/>
        <v>1.5252293577974623</v>
      </c>
      <c r="K17" s="72"/>
      <c r="L17" s="72"/>
      <c r="M17" s="233">
        <v>14</v>
      </c>
      <c r="N17" s="233">
        <f>Lipids!M16</f>
        <v>1.800000000001134</v>
      </c>
      <c r="O17" s="235">
        <f>Protein!Q18</f>
        <v>3.6619047619047627</v>
      </c>
      <c r="P17" s="86">
        <f t="shared" si="2"/>
        <v>0.49154746423958134</v>
      </c>
      <c r="Q17" s="164"/>
      <c r="R17" s="233">
        <v>14</v>
      </c>
      <c r="S17" s="70">
        <f>Lipids!AB16</f>
        <v>0.79999999999991189</v>
      </c>
      <c r="T17" s="235">
        <f>Protein!AJ18</f>
        <v>1.8685714285714288</v>
      </c>
      <c r="U17" s="74">
        <f t="shared" si="3"/>
        <v>0.42813455657487637</v>
      </c>
      <c r="V17" s="163"/>
      <c r="W17" s="92"/>
      <c r="AB17" s="236"/>
    </row>
    <row r="18" spans="2:28" x14ac:dyDescent="0.35">
      <c r="B18" s="233">
        <v>15</v>
      </c>
      <c r="C18" s="234">
        <f>Lipids!F17</f>
        <v>4.2999999999988603</v>
      </c>
      <c r="D18" s="72">
        <f>Protein!H19</f>
        <v>1.3600000000000003</v>
      </c>
      <c r="E18" s="86">
        <f t="shared" si="0"/>
        <v>3.1617647058815144</v>
      </c>
      <c r="F18" s="72"/>
      <c r="G18" s="233">
        <v>15</v>
      </c>
      <c r="H18" s="70">
        <f>Lipids!U17</f>
        <v>2.0000000000006679</v>
      </c>
      <c r="I18" s="235">
        <f>Protein!AA19</f>
        <v>0.98857142857142866</v>
      </c>
      <c r="J18" s="74">
        <f t="shared" si="1"/>
        <v>2.0231213872839127</v>
      </c>
      <c r="K18" s="72"/>
      <c r="L18" s="72"/>
      <c r="M18" s="233">
        <v>15</v>
      </c>
      <c r="N18" s="233">
        <f>Lipids!M17</f>
        <v>1.800000000001134</v>
      </c>
      <c r="O18" s="235">
        <f>Protein!Q19</f>
        <v>2.9357142857142859</v>
      </c>
      <c r="P18" s="86">
        <f t="shared" si="2"/>
        <v>0.61313868613177314</v>
      </c>
      <c r="Q18" s="164"/>
      <c r="R18" s="233">
        <v>15</v>
      </c>
      <c r="S18" s="70">
        <f>Lipids!AB17</f>
        <v>0.99999999999944578</v>
      </c>
      <c r="T18" s="235">
        <f>Protein!AJ19</f>
        <v>1.7185714285714289</v>
      </c>
      <c r="U18" s="74">
        <f t="shared" si="3"/>
        <v>0.58187863674115703</v>
      </c>
      <c r="V18" s="163"/>
      <c r="W18" s="92"/>
      <c r="AB18" s="236"/>
    </row>
    <row r="19" spans="2:28" x14ac:dyDescent="0.35">
      <c r="B19" s="233">
        <v>16</v>
      </c>
      <c r="C19" s="234">
        <f>Lipids!F18</f>
        <v>2.6000000000010459</v>
      </c>
      <c r="D19" s="72">
        <f>Protein!H20</f>
        <v>0.86476190476190495</v>
      </c>
      <c r="E19" s="86">
        <f t="shared" si="0"/>
        <v>3.0066079295166275</v>
      </c>
      <c r="F19" s="72"/>
      <c r="G19" s="233">
        <v>16</v>
      </c>
      <c r="H19" s="70">
        <f>Lipids!U18</f>
        <v>3.3999999999991815</v>
      </c>
      <c r="I19" s="235">
        <f>Protein!AA20</f>
        <v>1.2123809523809523</v>
      </c>
      <c r="J19" s="74">
        <f t="shared" si="1"/>
        <v>2.8043990573441797</v>
      </c>
      <c r="K19" s="72"/>
      <c r="L19" s="72"/>
      <c r="M19" s="233">
        <v>16</v>
      </c>
      <c r="N19" s="233">
        <f>Lipids!M18</f>
        <v>1.1999999999989797</v>
      </c>
      <c r="O19" s="235">
        <f>Protein!Q20</f>
        <v>2.5309523809523813</v>
      </c>
      <c r="P19" s="86">
        <f t="shared" si="2"/>
        <v>0.47412982126018005</v>
      </c>
      <c r="Q19" s="164"/>
      <c r="R19" s="233">
        <v>16</v>
      </c>
      <c r="S19" s="70">
        <f>Lipids!AB18</f>
        <v>1.5000000000000568</v>
      </c>
      <c r="T19" s="235">
        <f>Protein!AJ20</f>
        <v>2.7452380952380953</v>
      </c>
      <c r="U19" s="74">
        <f t="shared" si="3"/>
        <v>0.5464006938421716</v>
      </c>
      <c r="V19" s="72"/>
      <c r="W19" s="92"/>
      <c r="AB19" s="236"/>
    </row>
    <row r="20" spans="2:28" x14ac:dyDescent="0.35">
      <c r="B20" s="233">
        <v>17</v>
      </c>
      <c r="C20" s="234">
        <f>Lipids!F19</f>
        <v>3.6000000000004917</v>
      </c>
      <c r="D20" s="72">
        <f>Protein!H21</f>
        <v>1.3790476190476193</v>
      </c>
      <c r="E20" s="86">
        <f t="shared" si="0"/>
        <v>2.6104972375694167</v>
      </c>
      <c r="F20" s="72"/>
      <c r="G20" s="233">
        <v>17</v>
      </c>
      <c r="H20" s="70">
        <f>Lipids!U19</f>
        <v>3.2999999999994145</v>
      </c>
      <c r="I20" s="235">
        <f>Protein!AA21</f>
        <v>1.2266666666666668</v>
      </c>
      <c r="J20" s="74">
        <f t="shared" si="1"/>
        <v>2.6902173913038703</v>
      </c>
      <c r="K20" s="72"/>
      <c r="L20" s="72"/>
      <c r="M20" s="233">
        <v>17</v>
      </c>
      <c r="N20" s="233">
        <f>Lipids!M19</f>
        <v>1.5999999999998238</v>
      </c>
      <c r="O20" s="235">
        <f>Protein!Q21</f>
        <v>1.783809523809524</v>
      </c>
      <c r="P20" s="86">
        <f t="shared" si="2"/>
        <v>0.89695675387069662</v>
      </c>
      <c r="Q20" s="164"/>
      <c r="R20" s="233">
        <v>17</v>
      </c>
      <c r="S20" s="70">
        <f>Lipids!AB19</f>
        <v>1.900000000000901</v>
      </c>
      <c r="T20" s="235">
        <f>Protein!AJ21</f>
        <v>3.0904761904761902</v>
      </c>
      <c r="U20" s="74">
        <f t="shared" si="3"/>
        <v>0.61479198767363519</v>
      </c>
      <c r="V20" s="163"/>
      <c r="W20" s="92"/>
      <c r="AB20" s="236"/>
    </row>
    <row r="21" spans="2:28" x14ac:dyDescent="0.35">
      <c r="B21" s="233">
        <v>18</v>
      </c>
      <c r="C21" s="234">
        <f>Lipids!F20</f>
        <v>3.2999999999994145</v>
      </c>
      <c r="D21" s="72">
        <f>Protein!H22</f>
        <v>1.5361904761904766</v>
      </c>
      <c r="E21" s="86">
        <f t="shared" si="0"/>
        <v>2.1481711097330343</v>
      </c>
      <c r="F21" s="72"/>
      <c r="G21" s="233">
        <v>18</v>
      </c>
      <c r="H21" s="70">
        <f>Lipids!U20</f>
        <v>1.5000000000000568</v>
      </c>
      <c r="I21" s="235">
        <f>Protein!AA22</f>
        <v>1.0471428571428574</v>
      </c>
      <c r="J21" s="74">
        <f t="shared" si="1"/>
        <v>1.4324693042292491</v>
      </c>
      <c r="K21" s="72"/>
      <c r="L21" s="72"/>
      <c r="M21" s="233">
        <v>18</v>
      </c>
      <c r="N21" s="233">
        <f>Lipids!M20</f>
        <v>2.1000000000057639</v>
      </c>
      <c r="O21" s="235">
        <f>Protein!Q22</f>
        <v>1.4885714285714289</v>
      </c>
      <c r="P21" s="86">
        <f t="shared" si="2"/>
        <v>1.4107485604645245</v>
      </c>
      <c r="Q21" s="164"/>
      <c r="R21" s="233">
        <v>18</v>
      </c>
      <c r="S21" s="70">
        <f>Lipids!AB20</f>
        <v>1.300000000000523</v>
      </c>
      <c r="T21" s="235">
        <f>Protein!AJ22</f>
        <v>2.2571428571428571</v>
      </c>
      <c r="U21" s="74">
        <f t="shared" si="3"/>
        <v>0.57594936708883926</v>
      </c>
      <c r="V21" s="163"/>
      <c r="W21" s="92"/>
      <c r="AB21" s="236"/>
    </row>
    <row r="22" spans="2:28" x14ac:dyDescent="0.35">
      <c r="B22" s="233">
        <v>19</v>
      </c>
      <c r="C22" s="234">
        <f>Lipids!F21</f>
        <v>2.6999999999972601</v>
      </c>
      <c r="D22" s="72">
        <f>Protein!H23</f>
        <v>0.80761904761904768</v>
      </c>
      <c r="E22" s="86">
        <f t="shared" si="0"/>
        <v>3.343160377355098</v>
      </c>
      <c r="F22" s="72"/>
      <c r="G22" s="233">
        <v>19</v>
      </c>
      <c r="H22" s="70">
        <f>Lipids!U21</f>
        <v>2.3000000000017451</v>
      </c>
      <c r="I22" s="235">
        <f>Protein!AA23</f>
        <v>1.0838095238095238</v>
      </c>
      <c r="J22" s="74">
        <f t="shared" si="1"/>
        <v>2.1221441124796416</v>
      </c>
      <c r="K22" s="72"/>
      <c r="L22" s="72"/>
      <c r="M22" s="233">
        <v>19</v>
      </c>
      <c r="N22" s="233">
        <f>Lipids!M21</f>
        <v>1.9999999999953388</v>
      </c>
      <c r="O22" s="235">
        <f>Protein!Q23</f>
        <v>1.6980952380952381</v>
      </c>
      <c r="P22" s="86">
        <f t="shared" si="2"/>
        <v>1.1777902411638284</v>
      </c>
      <c r="Q22" s="164"/>
      <c r="R22" s="233">
        <v>19</v>
      </c>
      <c r="S22" s="70">
        <f>Lipids!AB21</f>
        <v>1.4000000000002899</v>
      </c>
      <c r="T22" s="235">
        <f>Protein!AJ23</f>
        <v>1.79</v>
      </c>
      <c r="U22" s="74">
        <f t="shared" si="3"/>
        <v>0.78212290502809489</v>
      </c>
      <c r="V22" s="72"/>
      <c r="W22" s="92"/>
      <c r="AB22" s="236"/>
    </row>
    <row r="23" spans="2:28" x14ac:dyDescent="0.35">
      <c r="B23" s="233">
        <v>20</v>
      </c>
      <c r="C23" s="234">
        <f>Lipids!F22</f>
        <v>3.6000000000058208</v>
      </c>
      <c r="D23" s="72">
        <f>Protein!H24</f>
        <v>0.81714285714285739</v>
      </c>
      <c r="E23" s="86">
        <f t="shared" si="0"/>
        <v>4.4055944056015273</v>
      </c>
      <c r="F23" s="72"/>
      <c r="G23" s="233">
        <v>20</v>
      </c>
      <c r="H23" s="70">
        <f>Lipids!U22</f>
        <v>2.9000000000003467</v>
      </c>
      <c r="I23" s="235">
        <f>Protein!AA24</f>
        <v>1.0980952380952382</v>
      </c>
      <c r="J23" s="74">
        <f t="shared" si="1"/>
        <v>2.6409366869040447</v>
      </c>
      <c r="K23" s="72"/>
      <c r="L23" s="72"/>
      <c r="M23" s="233">
        <v>20</v>
      </c>
      <c r="N23" s="233">
        <f>Lipids!M22</f>
        <v>1.5999999999962711</v>
      </c>
      <c r="O23" s="235">
        <f>Protein!Q24</f>
        <v>1.4790476190476192</v>
      </c>
      <c r="P23" s="86">
        <f t="shared" si="2"/>
        <v>1.0817772054063648</v>
      </c>
      <c r="Q23" s="164"/>
      <c r="R23" s="233">
        <v>20</v>
      </c>
      <c r="S23" s="70">
        <f>Lipids!AB22</f>
        <v>1.7999999999993577</v>
      </c>
      <c r="T23" s="235">
        <f>Protein!AJ24</f>
        <v>2.9357142857142859</v>
      </c>
      <c r="U23" s="74">
        <f t="shared" si="3"/>
        <v>0.61313868613116806</v>
      </c>
      <c r="V23" s="163"/>
      <c r="W23" s="92"/>
      <c r="AB23" s="236"/>
    </row>
    <row r="24" spans="2:28" x14ac:dyDescent="0.35">
      <c r="B24" s="233">
        <v>21</v>
      </c>
      <c r="C24" s="234">
        <f>Lipids!F23</f>
        <v>3.7999999999982492</v>
      </c>
      <c r="D24" s="72">
        <f>Protein!H25</f>
        <v>0.83142857142857163</v>
      </c>
      <c r="E24" s="86">
        <f t="shared" si="0"/>
        <v>4.570446735393082</v>
      </c>
      <c r="F24" s="72"/>
      <c r="G24" s="233">
        <v>21</v>
      </c>
      <c r="H24" s="70">
        <f>Lipids!U23</f>
        <v>1.5000000000000568</v>
      </c>
      <c r="I24" s="235">
        <f>Protein!AA25</f>
        <v>1.2076190476190478</v>
      </c>
      <c r="J24" s="74">
        <f t="shared" si="1"/>
        <v>1.2421135646688166</v>
      </c>
      <c r="K24" s="72"/>
      <c r="L24" s="72"/>
      <c r="M24" s="233">
        <v>21</v>
      </c>
      <c r="N24" s="233">
        <f>Lipids!M23</f>
        <v>1.4000000000038426</v>
      </c>
      <c r="O24" s="235">
        <f>Protein!Q25</f>
        <v>1.6647619047619049</v>
      </c>
      <c r="P24" s="86">
        <f t="shared" si="2"/>
        <v>0.8409610984004775</v>
      </c>
      <c r="Q24" s="164"/>
      <c r="R24" s="233">
        <v>21</v>
      </c>
      <c r="S24" s="70">
        <f>Lipids!AB23</f>
        <v>1.5000000000000568</v>
      </c>
      <c r="T24" s="235">
        <f>Protein!AJ25</f>
        <v>2.1380952380952385</v>
      </c>
      <c r="U24" s="74">
        <f t="shared" si="3"/>
        <v>0.70155902004456994</v>
      </c>
      <c r="V24" s="163"/>
      <c r="W24" s="92"/>
      <c r="AB24" s="236"/>
    </row>
    <row r="25" spans="2:28" x14ac:dyDescent="0.35">
      <c r="B25" s="233">
        <v>22</v>
      </c>
      <c r="C25" s="234">
        <f>Lipids!F24</f>
        <v>3.9999999999977831</v>
      </c>
      <c r="D25" s="72">
        <f>Protein!H26</f>
        <v>0.89809523809523806</v>
      </c>
      <c r="E25" s="86">
        <f t="shared" si="0"/>
        <v>4.4538706256603104</v>
      </c>
      <c r="F25" s="72"/>
      <c r="G25" s="233">
        <v>22</v>
      </c>
      <c r="H25" s="70">
        <f>Lipids!U24</f>
        <v>1.800000000001134</v>
      </c>
      <c r="I25" s="235">
        <f>Protein!AA26</f>
        <v>0.76952380952380961</v>
      </c>
      <c r="J25" s="74">
        <f t="shared" si="1"/>
        <v>2.3391089108925627</v>
      </c>
      <c r="K25" s="72"/>
      <c r="L25" s="72"/>
      <c r="M25" s="233">
        <v>22</v>
      </c>
      <c r="N25" s="233">
        <f>Lipids!M24</f>
        <v>2.1000000000004349</v>
      </c>
      <c r="O25" s="235">
        <f>Protein!Q26</f>
        <v>1.6838095238095239</v>
      </c>
      <c r="P25" s="86">
        <f t="shared" si="2"/>
        <v>1.2471719457016157</v>
      </c>
      <c r="Q25" s="164"/>
      <c r="R25" s="233">
        <v>22</v>
      </c>
      <c r="S25" s="70">
        <f>Lipids!AB24</f>
        <v>1.5</v>
      </c>
      <c r="T25" s="235">
        <f>Protein!AJ26</f>
        <v>1.6900000000000002</v>
      </c>
      <c r="U25" s="74">
        <f t="shared" si="3"/>
        <v>0.88757396449704129</v>
      </c>
      <c r="V25" s="163"/>
      <c r="W25" s="92"/>
      <c r="AB25" s="236"/>
    </row>
    <row r="26" spans="2:28" x14ac:dyDescent="0.35">
      <c r="B26" s="233">
        <v>23</v>
      </c>
      <c r="C26" s="234">
        <f>Lipids!F25</f>
        <v>3.8999999999997925</v>
      </c>
      <c r="D26" s="72">
        <f>Protein!H27</f>
        <v>1.0028571428571429</v>
      </c>
      <c r="E26" s="86">
        <f t="shared" si="0"/>
        <v>3.8888888888886819</v>
      </c>
      <c r="F26" s="72"/>
      <c r="G26" s="233">
        <v>23</v>
      </c>
      <c r="H26" s="70">
        <f>Lipids!U25</f>
        <v>1.5000000000000568</v>
      </c>
      <c r="I26" s="235">
        <f>Protein!AA27</f>
        <v>0.88857142857142868</v>
      </c>
      <c r="J26" s="74">
        <f t="shared" si="1"/>
        <v>1.688102893890739</v>
      </c>
      <c r="K26" s="72"/>
      <c r="L26" s="72"/>
      <c r="M26" s="233">
        <v>23</v>
      </c>
      <c r="N26" s="233">
        <f>Lipids!M25</f>
        <v>1.5000000000000568</v>
      </c>
      <c r="O26" s="235">
        <f>Protein!Q27</f>
        <v>1.6471428571428572</v>
      </c>
      <c r="P26" s="86">
        <f t="shared" si="2"/>
        <v>0.91066782307028593</v>
      </c>
      <c r="Q26" s="164"/>
      <c r="R26" s="233">
        <v>23</v>
      </c>
      <c r="S26" s="70">
        <f>Lipids!AB25</f>
        <v>1.200000000000756</v>
      </c>
      <c r="T26" s="235">
        <f>Protein!AJ27</f>
        <v>2.6976190476190482</v>
      </c>
      <c r="U26" s="74">
        <f t="shared" si="3"/>
        <v>0.44483671668165703</v>
      </c>
      <c r="V26" s="72"/>
      <c r="W26" s="92"/>
      <c r="AB26" s="236"/>
    </row>
    <row r="27" spans="2:28" x14ac:dyDescent="0.35">
      <c r="B27" s="233">
        <v>24</v>
      </c>
      <c r="C27" s="234">
        <f>Lipids!F26</f>
        <v>3.0999999999998806</v>
      </c>
      <c r="D27" s="72">
        <f>Protein!H28</f>
        <v>1.5885714285714285</v>
      </c>
      <c r="E27" s="86">
        <f t="shared" si="0"/>
        <v>1.9514388489207881</v>
      </c>
      <c r="F27" s="72"/>
      <c r="G27" s="233">
        <v>24</v>
      </c>
      <c r="H27" s="70">
        <f>Lipids!U26</f>
        <v>2.7000000000008129</v>
      </c>
      <c r="I27" s="235">
        <f>Protein!AA28</f>
        <v>1.1838095238095239</v>
      </c>
      <c r="J27" s="74">
        <f t="shared" si="1"/>
        <v>2.280772325020799</v>
      </c>
      <c r="K27" s="72"/>
      <c r="L27" s="72"/>
      <c r="M27" s="233">
        <v>24</v>
      </c>
      <c r="N27" s="233">
        <f>Lipids!M26</f>
        <v>1.900000000000901</v>
      </c>
      <c r="O27" s="235">
        <f>Protein!Q28</f>
        <v>1.66</v>
      </c>
      <c r="P27" s="86">
        <f t="shared" si="2"/>
        <v>1.1445783132535547</v>
      </c>
      <c r="Q27" s="164"/>
      <c r="R27" s="233">
        <v>24</v>
      </c>
      <c r="S27" s="70">
        <f>Lipids!AB26</f>
        <v>0.70000000000014495</v>
      </c>
      <c r="T27" s="235">
        <f>Protein!AJ28</f>
        <v>2.2809523809523813</v>
      </c>
      <c r="U27" s="74">
        <f t="shared" si="3"/>
        <v>0.3068893528184351</v>
      </c>
      <c r="V27" s="72"/>
      <c r="W27" s="92"/>
      <c r="AB27" s="236"/>
    </row>
    <row r="28" spans="2:28" x14ac:dyDescent="0.35">
      <c r="B28" s="233">
        <v>25</v>
      </c>
      <c r="C28" s="234">
        <f>Lipids!F27</f>
        <v>2.7999999999988034</v>
      </c>
      <c r="D28" s="72">
        <f>Protein!H29</f>
        <v>1.383809523809524</v>
      </c>
      <c r="E28" s="86">
        <f t="shared" si="0"/>
        <v>2.0233998623528859</v>
      </c>
      <c r="F28" s="72"/>
      <c r="G28" s="233">
        <v>25</v>
      </c>
      <c r="H28" s="70">
        <f>Lipids!U27</f>
        <v>1.7000000000013671</v>
      </c>
      <c r="I28" s="235">
        <f>Protein!AA29</f>
        <v>1.2504761904761905</v>
      </c>
      <c r="J28" s="74">
        <f t="shared" si="1"/>
        <v>1.3594821020574528</v>
      </c>
      <c r="K28" s="72"/>
      <c r="L28" s="72"/>
      <c r="M28" s="233">
        <v>25</v>
      </c>
      <c r="N28" s="233">
        <f>Lipids!M27</f>
        <v>1.2999999999987466</v>
      </c>
      <c r="O28" s="235">
        <f>Protein!Q29</f>
        <v>2.7390476190476192</v>
      </c>
      <c r="P28" s="86">
        <f t="shared" si="2"/>
        <v>0.47461752433890259</v>
      </c>
      <c r="Q28" s="164"/>
      <c r="R28" s="233">
        <v>25</v>
      </c>
      <c r="S28" s="70">
        <f>Lipids!AB27</f>
        <v>1.6999999999995907</v>
      </c>
      <c r="T28" s="235">
        <f>Protein!AJ29</f>
        <v>2.5200000000000005</v>
      </c>
      <c r="U28" s="74">
        <f t="shared" si="3"/>
        <v>0.67460317460301211</v>
      </c>
      <c r="V28" s="72"/>
      <c r="W28" s="92"/>
      <c r="AB28" s="236"/>
    </row>
    <row r="29" spans="2:28" x14ac:dyDescent="0.35">
      <c r="B29" s="233">
        <v>26</v>
      </c>
      <c r="C29" s="234">
        <f>Lipids!F28</f>
        <v>3.1999999999996476</v>
      </c>
      <c r="D29" s="72">
        <f>Protein!H30</f>
        <v>1.283809523809524</v>
      </c>
      <c r="E29" s="86">
        <f t="shared" si="0"/>
        <v>2.4925816023736123</v>
      </c>
      <c r="F29" s="72"/>
      <c r="G29" s="233">
        <v>26</v>
      </c>
      <c r="H29" s="70">
        <f>Lipids!U28</f>
        <v>1.1000000000009891</v>
      </c>
      <c r="I29" s="235">
        <f>Protein!AA30</f>
        <v>0.66952380952380963</v>
      </c>
      <c r="J29" s="74">
        <f t="shared" si="1"/>
        <v>1.6429587482233832</v>
      </c>
      <c r="K29" s="72"/>
      <c r="L29" s="72"/>
      <c r="M29" s="233">
        <v>26</v>
      </c>
      <c r="N29" s="233">
        <f>Lipids!M28</f>
        <v>1.6999999999995907</v>
      </c>
      <c r="O29" s="235">
        <f>Protein!Q30</f>
        <v>3.0438095238095246</v>
      </c>
      <c r="P29" s="86">
        <f t="shared" si="2"/>
        <v>0.55851063829773773</v>
      </c>
      <c r="Q29" s="164"/>
      <c r="R29" s="233">
        <v>26</v>
      </c>
      <c r="S29" s="70">
        <f>Lipids!AB28</f>
        <v>0.99999999999944578</v>
      </c>
      <c r="T29" s="235">
        <f>Protein!AJ30</f>
        <v>1.1171428571428574</v>
      </c>
      <c r="U29" s="74">
        <f t="shared" si="3"/>
        <v>0.89514066496114053</v>
      </c>
      <c r="V29" s="72"/>
      <c r="W29" s="92"/>
      <c r="AB29" s="236"/>
    </row>
    <row r="30" spans="2:28" x14ac:dyDescent="0.35">
      <c r="B30" s="233">
        <v>27</v>
      </c>
      <c r="C30" s="234">
        <f>Lipids!F29</f>
        <v>3.4000000000009578</v>
      </c>
      <c r="D30" s="72">
        <f>Protein!H31</f>
        <v>1.5552380952380953</v>
      </c>
      <c r="E30" s="86">
        <f t="shared" si="0"/>
        <v>2.1861604409069231</v>
      </c>
      <c r="F30" s="72"/>
      <c r="G30" s="233">
        <v>27</v>
      </c>
      <c r="H30" s="70">
        <f>Lipids!U29</f>
        <v>2.2999999999999687</v>
      </c>
      <c r="I30" s="235">
        <f>Protein!AA31</f>
        <v>0.89809523809523806</v>
      </c>
      <c r="J30" s="74">
        <f t="shared" si="1"/>
        <v>2.560975609756063</v>
      </c>
      <c r="K30" s="72"/>
      <c r="L30" s="72"/>
      <c r="M30" s="233">
        <v>27</v>
      </c>
      <c r="N30" s="233">
        <f>Lipids!M29</f>
        <v>1.5999999999998238</v>
      </c>
      <c r="O30" s="235">
        <f>Protein!Q31</f>
        <v>2.9119047619047618</v>
      </c>
      <c r="P30" s="86">
        <f t="shared" si="2"/>
        <v>0.54946852003264601</v>
      </c>
      <c r="Q30" s="164"/>
      <c r="R30" s="233">
        <v>27</v>
      </c>
      <c r="S30" s="70">
        <f>Lipids!AB29</f>
        <v>1.0999999999992127</v>
      </c>
      <c r="T30" s="235">
        <f>Protein!AJ31</f>
        <v>1.0123809523809526</v>
      </c>
      <c r="U30" s="74">
        <f t="shared" si="3"/>
        <v>1.0865475070547255</v>
      </c>
      <c r="V30" s="163"/>
      <c r="W30" s="92"/>
      <c r="AB30" s="236"/>
    </row>
    <row r="31" spans="2:28" x14ac:dyDescent="0.35">
      <c r="B31" s="233">
        <v>28</v>
      </c>
      <c r="C31" s="234">
        <f>Lipids!F30</f>
        <v>2.7999999999988034</v>
      </c>
      <c r="D31" s="72">
        <f>Protein!H32</f>
        <v>1.0314285714285716</v>
      </c>
      <c r="E31" s="86">
        <f t="shared" si="0"/>
        <v>2.7146814404420527</v>
      </c>
      <c r="F31" s="72"/>
      <c r="G31" s="233">
        <v>28</v>
      </c>
      <c r="H31" s="70">
        <f>Lipids!U30</f>
        <v>3.1999999999996476</v>
      </c>
      <c r="I31" s="235">
        <f>Protein!AA32</f>
        <v>0.69333333333333347</v>
      </c>
      <c r="J31" s="74">
        <f t="shared" si="1"/>
        <v>4.615384615384106</v>
      </c>
      <c r="K31" s="72"/>
      <c r="L31" s="72"/>
      <c r="M31" s="233">
        <v>28</v>
      </c>
      <c r="N31" s="233">
        <f>Lipids!M30</f>
        <v>1.6999999999995907</v>
      </c>
      <c r="O31" s="235">
        <f>Protein!Q32</f>
        <v>3.1738095238095236</v>
      </c>
      <c r="P31" s="86">
        <f t="shared" si="2"/>
        <v>0.53563390847699033</v>
      </c>
      <c r="Q31" s="164"/>
      <c r="R31" s="233">
        <v>28</v>
      </c>
      <c r="S31" s="70">
        <f>Lipids!AB30</f>
        <v>1.800000000001134</v>
      </c>
      <c r="T31" s="235">
        <f>Protein!AJ32</f>
        <v>2.2214285714285715</v>
      </c>
      <c r="U31" s="74">
        <f t="shared" si="3"/>
        <v>0.8102893890680346</v>
      </c>
      <c r="V31" s="163"/>
      <c r="W31" s="92"/>
      <c r="AB31" s="236"/>
    </row>
    <row r="32" spans="2:28" x14ac:dyDescent="0.35">
      <c r="B32" s="233">
        <v>29</v>
      </c>
      <c r="C32" s="234">
        <f>Lipids!F31</f>
        <v>2.3000000000017451</v>
      </c>
      <c r="D32" s="72">
        <f>Protein!H33</f>
        <v>1.1647619047619049</v>
      </c>
      <c r="E32" s="86">
        <f t="shared" si="0"/>
        <v>1.9746524938690369</v>
      </c>
      <c r="F32" s="72"/>
      <c r="G32" s="233">
        <v>29</v>
      </c>
      <c r="H32" s="70">
        <f>Lipids!U31</f>
        <v>2.8000000000005798</v>
      </c>
      <c r="I32" s="235">
        <f>Protein!AA33</f>
        <v>1.0790476190476193</v>
      </c>
      <c r="J32" s="74">
        <f t="shared" si="1"/>
        <v>2.5948808473085685</v>
      </c>
      <c r="K32" s="72"/>
      <c r="L32" s="72"/>
      <c r="M32" s="233">
        <v>29</v>
      </c>
      <c r="N32" s="233">
        <f>Lipids!M31</f>
        <v>1.5999999999998238</v>
      </c>
      <c r="O32" s="235">
        <f>Protein!Q33</f>
        <v>2.504285714285714</v>
      </c>
      <c r="P32" s="86">
        <f t="shared" si="2"/>
        <v>0.63890473474037468</v>
      </c>
      <c r="Q32" s="164"/>
      <c r="R32" s="233">
        <v>29</v>
      </c>
      <c r="S32" s="70">
        <f>Lipids!AB31</f>
        <v>1.5000000000000568</v>
      </c>
      <c r="T32" s="235">
        <f>Protein!AJ33</f>
        <v>2.3047619047619046</v>
      </c>
      <c r="U32" s="74">
        <f t="shared" si="3"/>
        <v>0.65082644628101649</v>
      </c>
      <c r="V32" s="163"/>
      <c r="W32" s="92"/>
      <c r="AB32" s="236"/>
    </row>
    <row r="33" spans="2:28" ht="16" thickBot="1" x14ac:dyDescent="0.4">
      <c r="B33" s="238">
        <v>30</v>
      </c>
      <c r="C33" s="239">
        <f>Lipids!F32</f>
        <v>3.3999999999991815</v>
      </c>
      <c r="D33" s="130">
        <f>Protein!H34</f>
        <v>0.97428571428571431</v>
      </c>
      <c r="E33" s="209">
        <f t="shared" si="0"/>
        <v>3.4897360703803915</v>
      </c>
      <c r="F33" s="72"/>
      <c r="G33" s="238">
        <v>30</v>
      </c>
      <c r="H33" s="71">
        <f>Lipids!U32</f>
        <v>2.3000000000017451</v>
      </c>
      <c r="I33" s="240">
        <f>Protein!AA34</f>
        <v>1.1600000000000001</v>
      </c>
      <c r="J33" s="135">
        <f t="shared" si="1"/>
        <v>1.9827586206911594</v>
      </c>
      <c r="K33" s="72"/>
      <c r="L33" s="72"/>
      <c r="M33" s="238">
        <v>30</v>
      </c>
      <c r="N33" s="238">
        <f>Lipids!M32</f>
        <v>1.4000000000002899</v>
      </c>
      <c r="O33" s="240">
        <f>Protein!Q34</f>
        <v>1.588571428571429</v>
      </c>
      <c r="P33" s="211">
        <f t="shared" si="2"/>
        <v>0.88129496402895924</v>
      </c>
      <c r="Q33" s="164"/>
      <c r="R33" s="238">
        <v>30</v>
      </c>
      <c r="S33" s="71">
        <f>Lipids!AB32</f>
        <v>1.5000000000000568</v>
      </c>
      <c r="T33" s="240">
        <f>Protein!AJ34</f>
        <v>0.97428571428571431</v>
      </c>
      <c r="U33" s="135">
        <f t="shared" si="3"/>
        <v>1.5395894428153076</v>
      </c>
      <c r="V33" s="163"/>
      <c r="W33" s="92"/>
      <c r="AB33" s="236"/>
    </row>
    <row r="34" spans="2:28" x14ac:dyDescent="0.35">
      <c r="C34" s="77" t="s">
        <v>17</v>
      </c>
      <c r="E34" s="226">
        <f>AVERAGE(E4:E33)</f>
        <v>2.7968481868497292</v>
      </c>
      <c r="F34" s="241"/>
      <c r="G34" s="241"/>
      <c r="I34" s="77" t="s">
        <v>17</v>
      </c>
      <c r="J34" s="226">
        <f>AVERAGE(J4:J33)</f>
        <v>2.2259744283498244</v>
      </c>
      <c r="K34" s="226"/>
      <c r="L34" s="226"/>
      <c r="M34" s="226"/>
      <c r="O34" s="77" t="s">
        <v>17</v>
      </c>
      <c r="P34" s="185">
        <f>AVERAGE(P4:P33)</f>
        <v>0.75006612483409973</v>
      </c>
      <c r="Q34" s="185"/>
      <c r="R34" s="146"/>
      <c r="S34" s="183"/>
      <c r="T34" s="77" t="s">
        <v>17</v>
      </c>
      <c r="U34" s="185">
        <f>AVERAGE(U4:U33)</f>
        <v>0.72281177191685775</v>
      </c>
      <c r="V34" s="92"/>
      <c r="W34" s="164"/>
      <c r="X34" s="226"/>
      <c r="Y34" s="241"/>
      <c r="AB34" s="236"/>
    </row>
    <row r="35" spans="2:28" x14ac:dyDescent="0.35">
      <c r="C35" s="77" t="s">
        <v>44</v>
      </c>
      <c r="E35" s="226">
        <f>STDEV(E4:E33)</f>
        <v>0.78126408928078028</v>
      </c>
      <c r="F35" s="162"/>
      <c r="G35" s="162"/>
      <c r="I35" s="77" t="s">
        <v>44</v>
      </c>
      <c r="J35" s="226">
        <f>STDEV(J4:J33)</f>
        <v>0.81509889520962431</v>
      </c>
      <c r="K35" s="226"/>
      <c r="L35" s="226"/>
      <c r="M35" s="226"/>
      <c r="O35" s="77" t="s">
        <v>44</v>
      </c>
      <c r="P35" s="185">
        <f>STDEV(P4:P33)</f>
        <v>0.281478395735689</v>
      </c>
      <c r="Q35" s="91"/>
      <c r="R35" s="183"/>
      <c r="S35" s="183"/>
      <c r="T35" s="77" t="s">
        <v>44</v>
      </c>
      <c r="U35" s="185">
        <f>STDEV(U4:U33)</f>
        <v>0.26694849659848308</v>
      </c>
      <c r="V35" s="91"/>
      <c r="W35" s="162"/>
      <c r="X35" s="226"/>
      <c r="Y35" s="162"/>
      <c r="AB35" s="236"/>
    </row>
    <row r="36" spans="2:28" x14ac:dyDescent="0.35">
      <c r="E36" s="226"/>
      <c r="F36" s="241"/>
      <c r="P36" s="241"/>
      <c r="Q36" s="241"/>
      <c r="V36" s="164"/>
      <c r="W36" s="164"/>
      <c r="X36" s="226"/>
      <c r="Y36" s="241"/>
      <c r="AB36" s="236"/>
    </row>
    <row r="37" spans="2:28" x14ac:dyDescent="0.35">
      <c r="E37" s="226"/>
      <c r="F37" s="241"/>
      <c r="P37" s="241"/>
      <c r="Q37" s="241"/>
      <c r="V37" s="164"/>
      <c r="W37" s="164"/>
      <c r="X37" s="226"/>
      <c r="Y37" s="241"/>
      <c r="AB37" s="236"/>
    </row>
    <row r="38" spans="2:28" x14ac:dyDescent="0.35">
      <c r="E38" s="226"/>
      <c r="F38" s="241"/>
      <c r="P38" s="241"/>
      <c r="Q38" s="241"/>
      <c r="V38" s="164"/>
      <c r="W38" s="164"/>
      <c r="X38" s="226"/>
      <c r="Y38" s="241"/>
      <c r="AB38" s="236"/>
    </row>
    <row r="39" spans="2:28" x14ac:dyDescent="0.35">
      <c r="AB39" s="236"/>
    </row>
    <row r="40" spans="2:28" x14ac:dyDescent="0.35">
      <c r="AB40" s="236"/>
    </row>
    <row r="41" spans="2:28" x14ac:dyDescent="0.35">
      <c r="AB41" s="236"/>
    </row>
    <row r="42" spans="2:28" x14ac:dyDescent="0.35">
      <c r="AB42" s="236"/>
    </row>
    <row r="43" spans="2:28" x14ac:dyDescent="0.35">
      <c r="AB43" s="236"/>
    </row>
    <row r="44" spans="2:28" x14ac:dyDescent="0.35">
      <c r="AB44" s="236"/>
    </row>
    <row r="45" spans="2:28" x14ac:dyDescent="0.35">
      <c r="AB45" s="236"/>
    </row>
    <row r="46" spans="2:28" x14ac:dyDescent="0.35">
      <c r="AB46" s="236"/>
    </row>
    <row r="47" spans="2:28" x14ac:dyDescent="0.35">
      <c r="AB47" s="236"/>
    </row>
    <row r="48" spans="2:28" x14ac:dyDescent="0.35">
      <c r="AB48" s="236"/>
    </row>
    <row r="49" spans="28:28" x14ac:dyDescent="0.35">
      <c r="AB49" s="236"/>
    </row>
    <row r="50" spans="28:28" x14ac:dyDescent="0.35">
      <c r="AB50" s="236"/>
    </row>
    <row r="51" spans="28:28" x14ac:dyDescent="0.35">
      <c r="AB51" s="236"/>
    </row>
    <row r="52" spans="28:28" x14ac:dyDescent="0.35">
      <c r="AB52" s="236"/>
    </row>
    <row r="53" spans="28:28" x14ac:dyDescent="0.35">
      <c r="AB53" s="236"/>
    </row>
    <row r="54" spans="28:28" x14ac:dyDescent="0.35">
      <c r="AB54" s="236"/>
    </row>
    <row r="55" spans="28:28" x14ac:dyDescent="0.35">
      <c r="AB55" s="236"/>
    </row>
    <row r="56" spans="28:28" x14ac:dyDescent="0.35">
      <c r="AB56" s="236"/>
    </row>
    <row r="57" spans="28:28" x14ac:dyDescent="0.35">
      <c r="AB57" s="236"/>
    </row>
    <row r="58" spans="28:28" x14ac:dyDescent="0.35">
      <c r="AB58" s="236"/>
    </row>
    <row r="59" spans="28:28" x14ac:dyDescent="0.35">
      <c r="AB59" s="236"/>
    </row>
    <row r="60" spans="28:28" x14ac:dyDescent="0.35">
      <c r="AB60" s="236"/>
    </row>
    <row r="61" spans="28:28" x14ac:dyDescent="0.35">
      <c r="AB61" s="236"/>
    </row>
    <row r="62" spans="28:28" x14ac:dyDescent="0.35">
      <c r="AB62" s="236"/>
    </row>
    <row r="63" spans="28:28" x14ac:dyDescent="0.35">
      <c r="AB63" s="23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D7430-F6DF-41CB-AC0B-F90936BC5257}">
  <dimension ref="B1:C7"/>
  <sheetViews>
    <sheetView workbookViewId="0">
      <selection activeCell="D11" sqref="D11"/>
    </sheetView>
  </sheetViews>
  <sheetFormatPr baseColWidth="10" defaultRowHeight="15.5" x14ac:dyDescent="0.35"/>
  <sheetData>
    <row r="1" spans="2:3" x14ac:dyDescent="0.35">
      <c r="B1" t="s">
        <v>13</v>
      </c>
      <c r="C1" t="s">
        <v>59</v>
      </c>
    </row>
    <row r="2" spans="2:3" x14ac:dyDescent="0.35">
      <c r="B2" t="s">
        <v>51</v>
      </c>
      <c r="C2" t="s">
        <v>60</v>
      </c>
    </row>
    <row r="3" spans="2:3" x14ac:dyDescent="0.35">
      <c r="B3" t="s">
        <v>52</v>
      </c>
      <c r="C3" t="s">
        <v>61</v>
      </c>
    </row>
    <row r="4" spans="2:3" x14ac:dyDescent="0.35">
      <c r="B4" t="s">
        <v>53</v>
      </c>
      <c r="C4" t="s">
        <v>62</v>
      </c>
    </row>
    <row r="5" spans="2:3" x14ac:dyDescent="0.35">
      <c r="B5" t="s">
        <v>54</v>
      </c>
      <c r="C5" t="s">
        <v>63</v>
      </c>
    </row>
    <row r="6" spans="2:3" x14ac:dyDescent="0.35">
      <c r="B6" t="s">
        <v>18</v>
      </c>
      <c r="C6" t="s">
        <v>64</v>
      </c>
    </row>
    <row r="7" spans="2:3" x14ac:dyDescent="0.35">
      <c r="B7" t="s">
        <v>58</v>
      </c>
      <c r="C7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TDW + CL</vt:lpstr>
      <vt:lpstr>Lipids</vt:lpstr>
      <vt:lpstr>Protein</vt:lpstr>
      <vt:lpstr>Glucose</vt:lpstr>
      <vt:lpstr>Energy</vt:lpstr>
      <vt:lpstr>ratio</vt:lpstr>
      <vt:lpstr>Codebook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Fabián Guzmán Rivas</dc:creator>
  <cp:lastModifiedBy>Fabián Guzmán Rivas</cp:lastModifiedBy>
  <dcterms:created xsi:type="dcterms:W3CDTF">2018-04-27T14:55:46Z</dcterms:created>
  <dcterms:modified xsi:type="dcterms:W3CDTF">2021-09-09T16:23:00Z</dcterms:modified>
</cp:coreProperties>
</file>