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441efba30d93b84b/Documentos/UFPA/ARTIGOS_2021/Energy contribution to TKD_Charles/"/>
    </mc:Choice>
  </mc:AlternateContent>
  <xr:revisionPtr revIDLastSave="84" documentId="8_{6B162CD5-ECB2-4182-9030-006420AD2E5A}" xr6:coauthVersionLast="47" xr6:coauthVersionMax="47" xr10:uidLastSave="{A4E50F0B-FA51-45B8-8BA0-DE33EC60A13E}"/>
  <bookViews>
    <workbookView xWindow="-120" yWindow="-120" windowWidth="20730" windowHeight="11160" tabRatio="821" activeTab="3" xr2:uid="{00000000-000D-0000-FFFF-FFFF00000000}"/>
  </bookViews>
  <sheets>
    <sheet name="Energy contributions by round" sheetId="1" r:id="rId1"/>
    <sheet name="Metabolics" sheetId="2" r:id="rId2"/>
    <sheet name="CARACTERIZATION" sheetId="5" r:id="rId3"/>
    <sheet name="VO2" sheetId="1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I18" i="5"/>
  <c r="K18" i="5"/>
  <c r="E18" i="5"/>
  <c r="G17" i="5"/>
  <c r="I17" i="5"/>
  <c r="K17" i="5"/>
  <c r="E17" i="5"/>
  <c r="N47" i="16" l="1"/>
  <c r="M47" i="16"/>
  <c r="J47" i="16"/>
  <c r="I47" i="16"/>
  <c r="F47" i="16"/>
  <c r="E47" i="16"/>
  <c r="C47" i="16"/>
  <c r="B47" i="16"/>
  <c r="N32" i="16"/>
  <c r="M32" i="16"/>
  <c r="J32" i="16"/>
  <c r="I32" i="16"/>
  <c r="F32" i="16"/>
  <c r="E32" i="16"/>
  <c r="C32" i="16"/>
  <c r="B32" i="16"/>
  <c r="N46" i="16"/>
  <c r="M46" i="16"/>
  <c r="J46" i="16"/>
  <c r="I46" i="16"/>
  <c r="F46" i="16"/>
  <c r="E46" i="16"/>
  <c r="C46" i="16"/>
  <c r="B46" i="16"/>
  <c r="N31" i="16"/>
  <c r="M31" i="16"/>
  <c r="J31" i="16"/>
  <c r="I31" i="16"/>
  <c r="F31" i="16"/>
  <c r="E31" i="16"/>
  <c r="C31" i="16"/>
  <c r="B31" i="16"/>
  <c r="C16" i="16"/>
  <c r="E16" i="16"/>
  <c r="F16" i="16"/>
  <c r="F18" i="16" s="1"/>
  <c r="I16" i="16"/>
  <c r="J16" i="16"/>
  <c r="J18" i="16" s="1"/>
  <c r="M16" i="16"/>
  <c r="N16" i="16"/>
  <c r="N18" i="16" s="1"/>
  <c r="B16" i="16"/>
  <c r="C15" i="16"/>
  <c r="E15" i="16"/>
  <c r="F15" i="16"/>
  <c r="F17" i="16" s="1"/>
  <c r="I15" i="16"/>
  <c r="J15" i="16"/>
  <c r="J17" i="16" s="1"/>
  <c r="M15" i="16"/>
  <c r="N15" i="16"/>
  <c r="N17" i="16" s="1"/>
  <c r="B15" i="16"/>
  <c r="G44" i="16"/>
  <c r="G43" i="16"/>
  <c r="G42" i="16"/>
  <c r="G41" i="16"/>
  <c r="G40" i="16"/>
  <c r="G39" i="16"/>
  <c r="G38" i="16"/>
  <c r="G37" i="16"/>
  <c r="G36" i="16"/>
  <c r="K44" i="16"/>
  <c r="K43" i="16"/>
  <c r="K42" i="16"/>
  <c r="K41" i="16"/>
  <c r="K40" i="16"/>
  <c r="K39" i="16"/>
  <c r="K38" i="16"/>
  <c r="K37" i="16"/>
  <c r="K36" i="16"/>
  <c r="O44" i="16"/>
  <c r="O43" i="16"/>
  <c r="O42" i="16"/>
  <c r="O41" i="16"/>
  <c r="O40" i="16"/>
  <c r="O39" i="16"/>
  <c r="O38" i="16"/>
  <c r="O37" i="16"/>
  <c r="O36" i="16"/>
  <c r="O29" i="16"/>
  <c r="O28" i="16"/>
  <c r="O27" i="16"/>
  <c r="O26" i="16"/>
  <c r="O25" i="16"/>
  <c r="O24" i="16"/>
  <c r="O23" i="16"/>
  <c r="O22" i="16"/>
  <c r="O21" i="16"/>
  <c r="K29" i="16"/>
  <c r="K28" i="16"/>
  <c r="K27" i="16"/>
  <c r="K26" i="16"/>
  <c r="K25" i="16"/>
  <c r="K24" i="16"/>
  <c r="K23" i="16"/>
  <c r="K22" i="16"/>
  <c r="K21" i="16"/>
  <c r="G29" i="16"/>
  <c r="G28" i="16"/>
  <c r="G27" i="16"/>
  <c r="G26" i="16"/>
  <c r="G25" i="16"/>
  <c r="G24" i="16"/>
  <c r="G23" i="16"/>
  <c r="G22" i="16"/>
  <c r="G21" i="16"/>
  <c r="O6" i="16"/>
  <c r="O7" i="16"/>
  <c r="O8" i="16"/>
  <c r="O9" i="16"/>
  <c r="O10" i="16"/>
  <c r="O11" i="16"/>
  <c r="O12" i="16"/>
  <c r="O13" i="16"/>
  <c r="O5" i="16"/>
  <c r="K6" i="16"/>
  <c r="K7" i="16"/>
  <c r="K8" i="16"/>
  <c r="K9" i="16"/>
  <c r="K10" i="16"/>
  <c r="K11" i="16"/>
  <c r="K12" i="16"/>
  <c r="K13" i="16"/>
  <c r="K5" i="16"/>
  <c r="K15" i="16" s="1"/>
  <c r="G6" i="16"/>
  <c r="G7" i="16"/>
  <c r="G8" i="16"/>
  <c r="G9" i="16"/>
  <c r="G10" i="16"/>
  <c r="G11" i="16"/>
  <c r="G12" i="16"/>
  <c r="G13" i="16"/>
  <c r="G5" i="16"/>
  <c r="G46" i="16" l="1"/>
  <c r="O46" i="16"/>
  <c r="O47" i="16"/>
  <c r="K46" i="16"/>
  <c r="K47" i="16"/>
  <c r="G47" i="16"/>
  <c r="G31" i="16"/>
  <c r="G32" i="16"/>
  <c r="O32" i="16"/>
  <c r="K31" i="16"/>
  <c r="O31" i="16"/>
  <c r="K32" i="16"/>
  <c r="O15" i="16"/>
  <c r="G16" i="16"/>
  <c r="G15" i="16"/>
  <c r="K16" i="16"/>
  <c r="O16" i="16"/>
  <c r="V38" i="2"/>
  <c r="V39" i="2"/>
  <c r="V40" i="2"/>
  <c r="V41" i="2"/>
  <c r="V42" i="2"/>
  <c r="V43" i="2"/>
  <c r="V44" i="2"/>
  <c r="V45" i="2"/>
  <c r="V37" i="2"/>
  <c r="V47" i="2" s="1"/>
  <c r="Q47" i="2"/>
  <c r="R38" i="2"/>
  <c r="R39" i="2"/>
  <c r="R40" i="2"/>
  <c r="R41" i="2"/>
  <c r="R42" i="2"/>
  <c r="R43" i="2"/>
  <c r="R44" i="2"/>
  <c r="R45" i="2"/>
  <c r="R37" i="2"/>
  <c r="R47" i="2" s="1"/>
  <c r="F45" i="2"/>
  <c r="F44" i="2"/>
  <c r="F43" i="2"/>
  <c r="F42" i="2"/>
  <c r="F39" i="2"/>
  <c r="F38" i="2"/>
  <c r="F28" i="2"/>
  <c r="F27" i="2"/>
  <c r="F26" i="2"/>
  <c r="H45" i="2"/>
  <c r="H44" i="2"/>
  <c r="H43" i="2"/>
  <c r="H42" i="2"/>
  <c r="H39" i="2"/>
  <c r="H38" i="2"/>
  <c r="H28" i="2"/>
  <c r="H27" i="2"/>
  <c r="H26" i="2"/>
  <c r="J45" i="2"/>
  <c r="J44" i="2"/>
  <c r="J43" i="2"/>
  <c r="J42" i="2"/>
  <c r="J39" i="2"/>
  <c r="J38" i="2"/>
  <c r="J28" i="2"/>
  <c r="J27" i="2"/>
  <c r="J26" i="2"/>
  <c r="K30" i="2"/>
  <c r="K31" i="2"/>
  <c r="K46" i="2"/>
  <c r="K47" i="2"/>
  <c r="K13" i="2"/>
  <c r="K12" i="2"/>
  <c r="K11" i="2"/>
  <c r="L10" i="2"/>
  <c r="K10" i="2"/>
  <c r="K9" i="2"/>
  <c r="K8" i="2"/>
  <c r="K7" i="2"/>
  <c r="M7" i="2"/>
  <c r="K6" i="2"/>
  <c r="K5" i="2"/>
  <c r="K14" i="2" s="1"/>
  <c r="K15" i="2" l="1"/>
  <c r="R46" i="2"/>
  <c r="V46" i="2"/>
  <c r="BA53" i="1" l="1"/>
  <c r="AZ53" i="1"/>
  <c r="AY53" i="1"/>
  <c r="BA52" i="1"/>
  <c r="AZ52" i="1"/>
  <c r="AY52" i="1"/>
  <c r="BA51" i="1"/>
  <c r="AZ51" i="1"/>
  <c r="AY51" i="1"/>
  <c r="BA50" i="1"/>
  <c r="AZ50" i="1"/>
  <c r="AY50" i="1"/>
  <c r="BA49" i="1"/>
  <c r="AZ49" i="1"/>
  <c r="AY49" i="1"/>
  <c r="BA48" i="1"/>
  <c r="AZ48" i="1"/>
  <c r="AY48" i="1"/>
  <c r="BA47" i="1"/>
  <c r="AZ47" i="1"/>
  <c r="AY47" i="1"/>
  <c r="BA46" i="1"/>
  <c r="AZ46" i="1"/>
  <c r="AY46" i="1"/>
  <c r="BA45" i="1"/>
  <c r="AZ45" i="1"/>
  <c r="AY45" i="1"/>
  <c r="AW53" i="1"/>
  <c r="AV53" i="1"/>
  <c r="AU53" i="1"/>
  <c r="AW52" i="1"/>
  <c r="AV52" i="1"/>
  <c r="AU52" i="1"/>
  <c r="AW51" i="1"/>
  <c r="AV51" i="1"/>
  <c r="AU51" i="1"/>
  <c r="AW50" i="1"/>
  <c r="AV50" i="1"/>
  <c r="AU50" i="1"/>
  <c r="AW49" i="1"/>
  <c r="AV49" i="1"/>
  <c r="AU49" i="1"/>
  <c r="AW48" i="1"/>
  <c r="AV48" i="1"/>
  <c r="AU48" i="1"/>
  <c r="AW47" i="1"/>
  <c r="AV47" i="1"/>
  <c r="AU47" i="1"/>
  <c r="AW46" i="1"/>
  <c r="AV46" i="1"/>
  <c r="AU46" i="1"/>
  <c r="AW45" i="1"/>
  <c r="AV45" i="1"/>
  <c r="AU45" i="1"/>
  <c r="AS53" i="1"/>
  <c r="AR53" i="1"/>
  <c r="AQ53" i="1"/>
  <c r="AS52" i="1"/>
  <c r="AR52" i="1"/>
  <c r="AQ52" i="1"/>
  <c r="AS51" i="1"/>
  <c r="AR51" i="1"/>
  <c r="AQ51" i="1"/>
  <c r="AS50" i="1"/>
  <c r="AR50" i="1"/>
  <c r="AQ50" i="1"/>
  <c r="AS49" i="1"/>
  <c r="AR49" i="1"/>
  <c r="AQ49" i="1"/>
  <c r="AS48" i="1"/>
  <c r="AR48" i="1"/>
  <c r="AQ48" i="1"/>
  <c r="AS47" i="1"/>
  <c r="AR47" i="1"/>
  <c r="AQ47" i="1"/>
  <c r="AS46" i="1"/>
  <c r="AR46" i="1"/>
  <c r="AQ46" i="1"/>
  <c r="AS45" i="1"/>
  <c r="AR45" i="1"/>
  <c r="AQ45" i="1"/>
  <c r="BA33" i="1"/>
  <c r="AZ33" i="1"/>
  <c r="AY33" i="1"/>
  <c r="BA32" i="1"/>
  <c r="AZ32" i="1"/>
  <c r="AY32" i="1"/>
  <c r="BA31" i="1"/>
  <c r="AZ31" i="1"/>
  <c r="AY31" i="1"/>
  <c r="BA30" i="1"/>
  <c r="AZ30" i="1"/>
  <c r="AY30" i="1"/>
  <c r="BA29" i="1"/>
  <c r="AZ29" i="1"/>
  <c r="AY29" i="1"/>
  <c r="BA28" i="1"/>
  <c r="AZ28" i="1"/>
  <c r="AY28" i="1"/>
  <c r="BA27" i="1"/>
  <c r="AZ27" i="1"/>
  <c r="AY27" i="1"/>
  <c r="BA26" i="1"/>
  <c r="AZ26" i="1"/>
  <c r="AY26" i="1"/>
  <c r="BA25" i="1"/>
  <c r="AZ25" i="1"/>
  <c r="AY25" i="1"/>
  <c r="AW33" i="1"/>
  <c r="AV33" i="1"/>
  <c r="AU33" i="1"/>
  <c r="AW32" i="1"/>
  <c r="AV32" i="1"/>
  <c r="AU32" i="1"/>
  <c r="AW31" i="1"/>
  <c r="AV31" i="1"/>
  <c r="AU31" i="1"/>
  <c r="AW30" i="1"/>
  <c r="AV30" i="1"/>
  <c r="AU30" i="1"/>
  <c r="AW29" i="1"/>
  <c r="AV29" i="1"/>
  <c r="AU29" i="1"/>
  <c r="AW28" i="1"/>
  <c r="AV28" i="1"/>
  <c r="AU28" i="1"/>
  <c r="AW27" i="1"/>
  <c r="AV27" i="1"/>
  <c r="AU27" i="1"/>
  <c r="AW26" i="1"/>
  <c r="AV26" i="1"/>
  <c r="AU26" i="1"/>
  <c r="AW25" i="1"/>
  <c r="AV25" i="1"/>
  <c r="AU25" i="1"/>
  <c r="AS33" i="1"/>
  <c r="AR33" i="1"/>
  <c r="AQ33" i="1"/>
  <c r="AS32" i="1"/>
  <c r="AR32" i="1"/>
  <c r="AQ32" i="1"/>
  <c r="AS31" i="1"/>
  <c r="AR31" i="1"/>
  <c r="AQ31" i="1"/>
  <c r="AS30" i="1"/>
  <c r="AR30" i="1"/>
  <c r="AQ30" i="1"/>
  <c r="AS29" i="1"/>
  <c r="AR29" i="1"/>
  <c r="AQ29" i="1"/>
  <c r="AS28" i="1"/>
  <c r="AR28" i="1"/>
  <c r="AQ28" i="1"/>
  <c r="AS27" i="1"/>
  <c r="AR27" i="1"/>
  <c r="AQ27" i="1"/>
  <c r="AS26" i="1"/>
  <c r="AR26" i="1"/>
  <c r="AQ26" i="1"/>
  <c r="AS25" i="1"/>
  <c r="AR25" i="1"/>
  <c r="AQ25" i="1"/>
  <c r="BA14" i="1"/>
  <c r="AZ14" i="1"/>
  <c r="AY14" i="1"/>
  <c r="BA13" i="1"/>
  <c r="AZ13" i="1"/>
  <c r="AY13" i="1"/>
  <c r="BA12" i="1"/>
  <c r="AZ12" i="1"/>
  <c r="AY12" i="1"/>
  <c r="BA11" i="1"/>
  <c r="AZ11" i="1"/>
  <c r="AY11" i="1"/>
  <c r="BA10" i="1"/>
  <c r="AZ10" i="1"/>
  <c r="AY10" i="1"/>
  <c r="BA9" i="1"/>
  <c r="AZ9" i="1"/>
  <c r="AY9" i="1"/>
  <c r="BA8" i="1"/>
  <c r="AZ8" i="1"/>
  <c r="AY8" i="1"/>
  <c r="BA7" i="1"/>
  <c r="AZ7" i="1"/>
  <c r="AY7" i="1"/>
  <c r="BA6" i="1"/>
  <c r="AZ6" i="1"/>
  <c r="AY6" i="1"/>
  <c r="AW14" i="1"/>
  <c r="AV14" i="1"/>
  <c r="AU14" i="1"/>
  <c r="AW13" i="1"/>
  <c r="AV13" i="1"/>
  <c r="AU13" i="1"/>
  <c r="AW12" i="1"/>
  <c r="AV12" i="1"/>
  <c r="AU12" i="1"/>
  <c r="AW11" i="1"/>
  <c r="AV11" i="1"/>
  <c r="AU11" i="1"/>
  <c r="AW10" i="1"/>
  <c r="AV10" i="1"/>
  <c r="AU10" i="1"/>
  <c r="AW9" i="1"/>
  <c r="AV9" i="1"/>
  <c r="AU9" i="1"/>
  <c r="AW8" i="1"/>
  <c r="AV8" i="1"/>
  <c r="AU8" i="1"/>
  <c r="AW7" i="1"/>
  <c r="AV7" i="1"/>
  <c r="AU7" i="1"/>
  <c r="AW6" i="1"/>
  <c r="AV6" i="1"/>
  <c r="AU6" i="1"/>
  <c r="AR6" i="1"/>
  <c r="AS6" i="1"/>
  <c r="AR7" i="1"/>
  <c r="AS7" i="1"/>
  <c r="AR8" i="1"/>
  <c r="AS8" i="1"/>
  <c r="AR9" i="1"/>
  <c r="AS9" i="1"/>
  <c r="AR10" i="1"/>
  <c r="AS10" i="1"/>
  <c r="AR11" i="1"/>
  <c r="AS11" i="1"/>
  <c r="AR12" i="1"/>
  <c r="AS12" i="1"/>
  <c r="AR13" i="1"/>
  <c r="AS13" i="1"/>
  <c r="AR14" i="1"/>
  <c r="AS14" i="1"/>
  <c r="AQ7" i="1"/>
  <c r="AQ8" i="1"/>
  <c r="AQ9" i="1"/>
  <c r="AQ10" i="1"/>
  <c r="AQ11" i="1"/>
  <c r="AQ12" i="1"/>
  <c r="AQ13" i="1"/>
  <c r="AQ14" i="1"/>
  <c r="AQ6" i="1"/>
  <c r="AA17" i="1"/>
  <c r="AX53" i="1" l="1"/>
  <c r="AT53" i="1"/>
  <c r="AP53" i="1"/>
  <c r="AX52" i="1"/>
  <c r="AT52" i="1"/>
  <c r="AP52" i="1"/>
  <c r="AX51" i="1"/>
  <c r="AT51" i="1"/>
  <c r="AP51" i="1"/>
  <c r="AX50" i="1"/>
  <c r="AT50" i="1"/>
  <c r="AP50" i="1"/>
  <c r="AX49" i="1"/>
  <c r="AT49" i="1"/>
  <c r="AP49" i="1"/>
  <c r="AX48" i="1"/>
  <c r="AT48" i="1"/>
  <c r="AP48" i="1"/>
  <c r="AX47" i="1"/>
  <c r="AT47" i="1"/>
  <c r="AP47" i="1"/>
  <c r="AX46" i="1"/>
  <c r="AT46" i="1"/>
  <c r="AP46" i="1"/>
  <c r="AX45" i="1"/>
  <c r="AT45" i="1"/>
  <c r="AP45" i="1"/>
  <c r="AX33" i="1"/>
  <c r="AT33" i="1"/>
  <c r="AP33" i="1"/>
  <c r="AX32" i="1"/>
  <c r="AT32" i="1"/>
  <c r="AP32" i="1"/>
  <c r="AX31" i="1"/>
  <c r="AT31" i="1"/>
  <c r="AP31" i="1"/>
  <c r="AX30" i="1"/>
  <c r="AT30" i="1"/>
  <c r="AP30" i="1"/>
  <c r="AX29" i="1"/>
  <c r="AT29" i="1"/>
  <c r="AP29" i="1"/>
  <c r="AX28" i="1"/>
  <c r="AT28" i="1"/>
  <c r="AP28" i="1"/>
  <c r="AX27" i="1"/>
  <c r="AT27" i="1"/>
  <c r="AP27" i="1"/>
  <c r="AX26" i="1"/>
  <c r="AX36" i="1" s="1"/>
  <c r="AT26" i="1"/>
  <c r="AP26" i="1"/>
  <c r="AP36" i="1" s="1"/>
  <c r="AX25" i="1"/>
  <c r="AX37" i="1" s="1"/>
  <c r="AT25" i="1"/>
  <c r="AT37" i="1" s="1"/>
  <c r="AP25" i="1"/>
  <c r="AP37" i="1" s="1"/>
  <c r="D37" i="1"/>
  <c r="E37" i="1"/>
  <c r="F37" i="1"/>
  <c r="G37" i="1"/>
  <c r="H37" i="1"/>
  <c r="I37" i="1"/>
  <c r="J37" i="1"/>
  <c r="K37" i="1"/>
  <c r="L37" i="1"/>
  <c r="M37" i="1"/>
  <c r="N37" i="1"/>
  <c r="P37" i="1"/>
  <c r="Q37" i="1"/>
  <c r="R37" i="1"/>
  <c r="S37" i="1"/>
  <c r="T37" i="1"/>
  <c r="U37" i="1"/>
  <c r="V37" i="1"/>
  <c r="W37" i="1"/>
  <c r="X37" i="1"/>
  <c r="Y37" i="1"/>
  <c r="Z37" i="1"/>
  <c r="AA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C37" i="1"/>
  <c r="D36" i="1"/>
  <c r="E36" i="1"/>
  <c r="F36" i="1"/>
  <c r="G36" i="1"/>
  <c r="H36" i="1"/>
  <c r="I36" i="1"/>
  <c r="J36" i="1"/>
  <c r="K36" i="1"/>
  <c r="L36" i="1"/>
  <c r="M36" i="1"/>
  <c r="N36" i="1"/>
  <c r="P36" i="1"/>
  <c r="Q36" i="1"/>
  <c r="R36" i="1"/>
  <c r="S36" i="1"/>
  <c r="T36" i="1"/>
  <c r="U36" i="1"/>
  <c r="V36" i="1"/>
  <c r="W36" i="1"/>
  <c r="X36" i="1"/>
  <c r="Y36" i="1"/>
  <c r="Z36" i="1"/>
  <c r="AA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C36" i="1"/>
  <c r="K17" i="1"/>
  <c r="AZ36" i="1" l="1"/>
  <c r="AY37" i="1"/>
  <c r="AY36" i="1"/>
  <c r="AR37" i="1"/>
  <c r="BA36" i="1"/>
  <c r="BA37" i="1"/>
  <c r="AZ37" i="1"/>
  <c r="AW37" i="1"/>
  <c r="AW36" i="1"/>
  <c r="AV36" i="1"/>
  <c r="AV37" i="1"/>
  <c r="AU36" i="1"/>
  <c r="AU37" i="1"/>
  <c r="AS37" i="1"/>
  <c r="AS36" i="1"/>
  <c r="AR36" i="1"/>
  <c r="AQ37" i="1"/>
  <c r="AQ36" i="1"/>
  <c r="AX6" i="1"/>
  <c r="AX7" i="1"/>
  <c r="AX8" i="1"/>
  <c r="AX9" i="1"/>
  <c r="AX10" i="1"/>
  <c r="AX11" i="1"/>
  <c r="AX12" i="1"/>
  <c r="AX13" i="1"/>
  <c r="AX14" i="1"/>
  <c r="AM17" i="1"/>
  <c r="AL17" i="1"/>
  <c r="AK17" i="1"/>
  <c r="AJ17" i="1"/>
  <c r="AI17" i="1"/>
  <c r="AH17" i="1"/>
  <c r="AG17" i="1"/>
  <c r="AF17" i="1"/>
  <c r="AE17" i="1"/>
  <c r="AD17" i="1"/>
  <c r="Z17" i="1"/>
  <c r="Y17" i="1"/>
  <c r="W17" i="1"/>
  <c r="V17" i="1"/>
  <c r="U17" i="1"/>
  <c r="S17" i="1"/>
  <c r="R17" i="1"/>
  <c r="Q17" i="1"/>
  <c r="E18" i="1"/>
  <c r="D18" i="1"/>
  <c r="M17" i="1"/>
  <c r="L17" i="1"/>
  <c r="F17" i="1"/>
  <c r="J17" i="1"/>
  <c r="I17" i="1"/>
  <c r="H17" i="1"/>
  <c r="G17" i="1"/>
  <c r="P17" i="1"/>
  <c r="T17" i="1"/>
  <c r="X17" i="1"/>
  <c r="AC17" i="1"/>
  <c r="AN17" i="1"/>
  <c r="AT6" i="1"/>
  <c r="AT7" i="1"/>
  <c r="AT8" i="1"/>
  <c r="AT9" i="1"/>
  <c r="AT10" i="1"/>
  <c r="AT11" i="1"/>
  <c r="AT12" i="1"/>
  <c r="AT13" i="1"/>
  <c r="AT14" i="1"/>
  <c r="E17" i="1"/>
  <c r="D17" i="1"/>
  <c r="D56" i="1"/>
  <c r="E56" i="1"/>
  <c r="F56" i="1"/>
  <c r="G56" i="1"/>
  <c r="H56" i="1"/>
  <c r="I56" i="1"/>
  <c r="J56" i="1"/>
  <c r="K56" i="1"/>
  <c r="L56" i="1"/>
  <c r="M56" i="1"/>
  <c r="N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C56" i="1"/>
  <c r="E55" i="1"/>
  <c r="F55" i="1"/>
  <c r="G55" i="1"/>
  <c r="H55" i="1"/>
  <c r="I55" i="1"/>
  <c r="J55" i="1"/>
  <c r="K55" i="1"/>
  <c r="L55" i="1"/>
  <c r="M55" i="1"/>
  <c r="N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Q55" i="1"/>
  <c r="AR55" i="1"/>
  <c r="AS55" i="1"/>
  <c r="AT55" i="1"/>
  <c r="AU55" i="1"/>
  <c r="AV55" i="1"/>
  <c r="AW55" i="1"/>
  <c r="AX55" i="1"/>
  <c r="AY55" i="1"/>
  <c r="AZ55" i="1"/>
  <c r="BA55" i="1"/>
  <c r="D55" i="1"/>
  <c r="C55" i="1"/>
  <c r="AS17" i="1" l="1"/>
  <c r="AZ18" i="1"/>
  <c r="AR17" i="1"/>
  <c r="AS18" i="1"/>
  <c r="AU17" i="1"/>
  <c r="AW17" i="1"/>
  <c r="AX18" i="1"/>
  <c r="AZ17" i="1"/>
  <c r="BA17" i="1"/>
  <c r="AQ17" i="1"/>
  <c r="AV17" i="1"/>
  <c r="AX17" i="1"/>
  <c r="AT17" i="1"/>
  <c r="AR18" i="1"/>
  <c r="AY17" i="1"/>
  <c r="AW18" i="1"/>
  <c r="AV18" i="1"/>
  <c r="AQ18" i="1"/>
  <c r="BA18" i="1"/>
  <c r="AY18" i="1"/>
  <c r="AU18" i="1"/>
  <c r="AT18" i="1"/>
  <c r="F18" i="1"/>
  <c r="G18" i="1"/>
  <c r="H18" i="1"/>
  <c r="I18" i="1"/>
  <c r="J18" i="1"/>
  <c r="K18" i="1"/>
  <c r="L18" i="1"/>
  <c r="M18" i="1"/>
  <c r="N18" i="1"/>
  <c r="P18" i="1"/>
  <c r="Q18" i="1"/>
  <c r="R18" i="1"/>
  <c r="S18" i="1"/>
  <c r="T18" i="1"/>
  <c r="U18" i="1"/>
  <c r="V18" i="1"/>
  <c r="W18" i="1"/>
  <c r="X18" i="1"/>
  <c r="Y18" i="1"/>
  <c r="Z18" i="1"/>
  <c r="AA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C18" i="1"/>
  <c r="C17" i="1"/>
  <c r="AP6" i="1" l="1"/>
  <c r="AP7" i="1" l="1"/>
  <c r="AP8" i="1"/>
  <c r="AP9" i="1"/>
  <c r="AP10" i="1"/>
  <c r="AP11" i="1"/>
  <c r="AP12" i="1"/>
  <c r="AP13" i="1"/>
  <c r="AP14" i="1"/>
  <c r="AP17" i="1" l="1"/>
  <c r="AP18" i="1"/>
  <c r="D46" i="2"/>
  <c r="W14" i="2" l="1"/>
  <c r="U14" i="2"/>
  <c r="T14" i="2"/>
  <c r="Q14" i="2"/>
  <c r="P14" i="2"/>
  <c r="U30" i="2"/>
  <c r="W30" i="2"/>
  <c r="T30" i="2"/>
  <c r="Q30" i="2"/>
  <c r="P30" i="2"/>
  <c r="W46" i="2"/>
  <c r="U46" i="2"/>
  <c r="T46" i="2"/>
  <c r="Q46" i="2"/>
  <c r="P46" i="2"/>
  <c r="G15" i="5" l="1"/>
  <c r="I15" i="5"/>
  <c r="K15" i="5"/>
  <c r="M15" i="5"/>
  <c r="O15" i="5"/>
  <c r="Q15" i="5"/>
  <c r="S15" i="5"/>
  <c r="E15" i="5"/>
  <c r="G13" i="5"/>
  <c r="I13" i="5"/>
  <c r="K13" i="5"/>
  <c r="M13" i="5"/>
  <c r="O13" i="5"/>
  <c r="Q13" i="5"/>
  <c r="S13" i="5"/>
  <c r="E13" i="5"/>
  <c r="W47" i="2" l="1"/>
  <c r="U47" i="2"/>
  <c r="T47" i="2"/>
  <c r="P47" i="2"/>
  <c r="W31" i="2"/>
  <c r="U31" i="2"/>
  <c r="T31" i="2"/>
  <c r="Q31" i="2"/>
  <c r="P31" i="2"/>
  <c r="W15" i="2"/>
  <c r="U15" i="2"/>
  <c r="T15" i="2"/>
  <c r="Q15" i="2"/>
  <c r="P15" i="2"/>
  <c r="M23" i="2"/>
  <c r="L23" i="2"/>
  <c r="I23" i="2"/>
  <c r="J23" i="2" s="1"/>
  <c r="G23" i="2"/>
  <c r="E23" i="2"/>
  <c r="D23" i="2"/>
  <c r="N29" i="2"/>
  <c r="M29" i="2"/>
  <c r="L29" i="2"/>
  <c r="I29" i="2"/>
  <c r="J29" i="2" s="1"/>
  <c r="G29" i="2"/>
  <c r="H29" i="2" s="1"/>
  <c r="E29" i="2"/>
  <c r="D29" i="2"/>
  <c r="N13" i="2"/>
  <c r="M13" i="2"/>
  <c r="L13" i="2"/>
  <c r="I13" i="2"/>
  <c r="G13" i="2"/>
  <c r="H13" i="2" s="1"/>
  <c r="E13" i="2"/>
  <c r="F13" i="2" s="1"/>
  <c r="D13" i="2"/>
  <c r="N12" i="2"/>
  <c r="M12" i="2"/>
  <c r="L12" i="2"/>
  <c r="I12" i="2"/>
  <c r="G12" i="2"/>
  <c r="E12" i="2"/>
  <c r="F12" i="2" s="1"/>
  <c r="D12" i="2"/>
  <c r="N11" i="2"/>
  <c r="M11" i="2"/>
  <c r="L11" i="2"/>
  <c r="I11" i="2"/>
  <c r="J11" i="2" s="1"/>
  <c r="G11" i="2"/>
  <c r="E11" i="2"/>
  <c r="D11" i="2"/>
  <c r="N10" i="2"/>
  <c r="M10" i="2"/>
  <c r="I10" i="2"/>
  <c r="G10" i="2"/>
  <c r="H10" i="2" s="1"/>
  <c r="E10" i="2"/>
  <c r="F10" i="2" s="1"/>
  <c r="D10" i="2"/>
  <c r="N37" i="2"/>
  <c r="L37" i="2"/>
  <c r="I37" i="2"/>
  <c r="G37" i="2"/>
  <c r="E37" i="2"/>
  <c r="F37" i="2" s="1"/>
  <c r="D47" i="2"/>
  <c r="N41" i="2"/>
  <c r="M41" i="2"/>
  <c r="L41" i="2"/>
  <c r="I41" i="2"/>
  <c r="J41" i="2" s="1"/>
  <c r="G41" i="2"/>
  <c r="H41" i="2" s="1"/>
  <c r="E41" i="2"/>
  <c r="F41" i="2" s="1"/>
  <c r="M9" i="2"/>
  <c r="L9" i="2"/>
  <c r="I9" i="2"/>
  <c r="J9" i="2" s="1"/>
  <c r="I7" i="2"/>
  <c r="G9" i="2"/>
  <c r="E9" i="2"/>
  <c r="F9" i="2" s="1"/>
  <c r="D9" i="2"/>
  <c r="N40" i="2"/>
  <c r="M40" i="2"/>
  <c r="L40" i="2"/>
  <c r="I40" i="2"/>
  <c r="J40" i="2" s="1"/>
  <c r="G40" i="2"/>
  <c r="E40" i="2"/>
  <c r="F40" i="2" s="1"/>
  <c r="N25" i="2"/>
  <c r="M25" i="2"/>
  <c r="L25" i="2"/>
  <c r="I25" i="2"/>
  <c r="G25" i="2"/>
  <c r="E25" i="2"/>
  <c r="F25" i="2" s="1"/>
  <c r="D25" i="2"/>
  <c r="N24" i="2"/>
  <c r="M24" i="2"/>
  <c r="L24" i="2"/>
  <c r="I24" i="2"/>
  <c r="G24" i="2"/>
  <c r="E24" i="2"/>
  <c r="D24" i="2"/>
  <c r="H25" i="2" l="1"/>
  <c r="J25" i="2"/>
  <c r="H9" i="2"/>
  <c r="F47" i="2"/>
  <c r="F46" i="2"/>
  <c r="J10" i="2"/>
  <c r="F11" i="2"/>
  <c r="H12" i="2"/>
  <c r="J13" i="2"/>
  <c r="F23" i="2"/>
  <c r="F24" i="2"/>
  <c r="H24" i="2"/>
  <c r="J24" i="2"/>
  <c r="H40" i="2"/>
  <c r="H37" i="2"/>
  <c r="G46" i="2"/>
  <c r="G47" i="2"/>
  <c r="H11" i="2"/>
  <c r="J12" i="2"/>
  <c r="F29" i="2"/>
  <c r="H23" i="2"/>
  <c r="J37" i="2"/>
  <c r="I47" i="2"/>
  <c r="I46" i="2"/>
  <c r="M46" i="2"/>
  <c r="E47" i="2"/>
  <c r="N46" i="2"/>
  <c r="N47" i="2"/>
  <c r="M47" i="2"/>
  <c r="L46" i="2"/>
  <c r="E46" i="2"/>
  <c r="L47" i="2"/>
  <c r="N8" i="2"/>
  <c r="M8" i="2"/>
  <c r="L8" i="2"/>
  <c r="I8" i="2"/>
  <c r="G8" i="2"/>
  <c r="H8" i="2" s="1"/>
  <c r="E8" i="2"/>
  <c r="D8" i="2"/>
  <c r="N7" i="2"/>
  <c r="L7" i="2"/>
  <c r="G7" i="2"/>
  <c r="E7" i="2"/>
  <c r="F7" i="2" s="1"/>
  <c r="D7" i="2"/>
  <c r="D6" i="2"/>
  <c r="N22" i="2"/>
  <c r="M22" i="2"/>
  <c r="L22" i="2"/>
  <c r="I22" i="2"/>
  <c r="J22" i="2" s="1"/>
  <c r="G22" i="2"/>
  <c r="E22" i="2"/>
  <c r="F22" i="2" s="1"/>
  <c r="D22" i="2"/>
  <c r="N6" i="2"/>
  <c r="M6" i="2"/>
  <c r="L6" i="2"/>
  <c r="I6" i="2"/>
  <c r="G6" i="2"/>
  <c r="H6" i="2" s="1"/>
  <c r="E6" i="2"/>
  <c r="N21" i="2"/>
  <c r="N30" i="2" s="1"/>
  <c r="M21" i="2"/>
  <c r="L21" i="2"/>
  <c r="I21" i="2"/>
  <c r="G21" i="2"/>
  <c r="E21" i="2"/>
  <c r="D21" i="2"/>
  <c r="D5" i="2"/>
  <c r="N5" i="2"/>
  <c r="M5" i="2"/>
  <c r="L5" i="2"/>
  <c r="I5" i="2"/>
  <c r="G5" i="2"/>
  <c r="E5" i="2"/>
  <c r="G14" i="2" l="1"/>
  <c r="G15" i="2"/>
  <c r="H5" i="2"/>
  <c r="G30" i="2"/>
  <c r="G31" i="2"/>
  <c r="H21" i="2"/>
  <c r="I14" i="2"/>
  <c r="I15" i="2"/>
  <c r="J5" i="2"/>
  <c r="J21" i="2"/>
  <c r="J31" i="2" s="1"/>
  <c r="I30" i="2"/>
  <c r="I31" i="2"/>
  <c r="F6" i="2"/>
  <c r="H22" i="2"/>
  <c r="H7" i="2"/>
  <c r="F8" i="2"/>
  <c r="J46" i="2"/>
  <c r="J47" i="2"/>
  <c r="J7" i="2"/>
  <c r="J30" i="2"/>
  <c r="F5" i="2"/>
  <c r="F21" i="2"/>
  <c r="J6" i="2"/>
  <c r="J8" i="2"/>
  <c r="H47" i="2"/>
  <c r="H46" i="2"/>
  <c r="E14" i="2"/>
  <c r="M15" i="2"/>
  <c r="M14" i="2"/>
  <c r="E31" i="2"/>
  <c r="E30" i="2"/>
  <c r="M31" i="2"/>
  <c r="M30" i="2"/>
  <c r="N15" i="2"/>
  <c r="N14" i="2"/>
  <c r="D15" i="2"/>
  <c r="D14" i="2"/>
  <c r="L15" i="2"/>
  <c r="L14" i="2"/>
  <c r="D31" i="2"/>
  <c r="D30" i="2"/>
  <c r="L31" i="2"/>
  <c r="L30" i="2"/>
  <c r="N31" i="2"/>
  <c r="E15" i="2"/>
  <c r="H14" i="2" l="1"/>
  <c r="H15" i="2"/>
  <c r="F31" i="2"/>
  <c r="F30" i="2"/>
  <c r="H30" i="2"/>
  <c r="H31" i="2"/>
  <c r="F15" i="2"/>
  <c r="F14" i="2"/>
  <c r="J14" i="2"/>
  <c r="J15" i="2"/>
</calcChain>
</file>

<file path=xl/sharedStrings.xml><?xml version="1.0" encoding="utf-8"?>
<sst xmlns="http://schemas.openxmlformats.org/spreadsheetml/2006/main" count="434" uniqueCount="72">
  <si>
    <t>NOMES</t>
  </si>
  <si>
    <t>PRÉ</t>
  </si>
  <si>
    <t>PÓS R1</t>
  </si>
  <si>
    <t>PÓS R2</t>
  </si>
  <si>
    <t>PÓS R3</t>
  </si>
  <si>
    <t>3' PÓS</t>
  </si>
  <si>
    <t xml:space="preserve">5' PÓS </t>
  </si>
  <si>
    <t>7' PÓS</t>
  </si>
  <si>
    <t xml:space="preserve">PRÉ </t>
  </si>
  <si>
    <t>PÓS</t>
  </si>
  <si>
    <t>PROTOCOLO 100%</t>
  </si>
  <si>
    <t>ROUND 1</t>
  </si>
  <si>
    <t>ROUND 2</t>
  </si>
  <si>
    <t>ROUND 3</t>
  </si>
  <si>
    <t>MÉDIA</t>
  </si>
  <si>
    <t>ATP-CP</t>
  </si>
  <si>
    <t>PROTOCOLO 35-5</t>
  </si>
  <si>
    <t>VO2max</t>
  </si>
  <si>
    <t>iVO2max</t>
  </si>
  <si>
    <t>Kcal</t>
  </si>
  <si>
    <t>LO2</t>
  </si>
  <si>
    <t>KJ</t>
  </si>
  <si>
    <t>%</t>
  </si>
  <si>
    <t>M1</t>
  </si>
  <si>
    <t>M2</t>
  </si>
  <si>
    <t>M3</t>
  </si>
  <si>
    <t>M4</t>
  </si>
  <si>
    <t>PICO</t>
  </si>
  <si>
    <t>1,3</t>
  </si>
  <si>
    <t>1,4</t>
  </si>
  <si>
    <t>Delta</t>
  </si>
  <si>
    <t>M5</t>
  </si>
  <si>
    <t>DELTA</t>
  </si>
  <si>
    <t>VO2máx.round</t>
  </si>
  <si>
    <t>VO2máxABS</t>
  </si>
  <si>
    <t>VO2máxREL</t>
  </si>
  <si>
    <t>2763</t>
  </si>
  <si>
    <t>46,6</t>
  </si>
  <si>
    <t>3057,8</t>
  </si>
  <si>
    <t>48,1</t>
  </si>
  <si>
    <t>3149,3</t>
  </si>
  <si>
    <t>Subject 1</t>
  </si>
  <si>
    <t>Subject 2</t>
  </si>
  <si>
    <t>Subject 3</t>
  </si>
  <si>
    <t>Subject 4</t>
  </si>
  <si>
    <t>Subject 5</t>
  </si>
  <si>
    <t>Subject 6</t>
  </si>
  <si>
    <t>Subject 7</t>
  </si>
  <si>
    <t>Subject 8</t>
  </si>
  <si>
    <t>Subject 9</t>
  </si>
  <si>
    <t>Subjects</t>
  </si>
  <si>
    <t>Aerobic</t>
  </si>
  <si>
    <t>Glicolisys</t>
  </si>
  <si>
    <t>PROTOCOL 15-10-5</t>
  </si>
  <si>
    <t>MEAN</t>
  </si>
  <si>
    <t>STANDARD DEVIATION</t>
  </si>
  <si>
    <t>MEAN (%) - TOTAL Kcal/KJ/LO2</t>
  </si>
  <si>
    <t>PROTOCOL 35-5</t>
  </si>
  <si>
    <t>PROTOCOL 100%</t>
  </si>
  <si>
    <t>Blood Lactate</t>
  </si>
  <si>
    <t>CREATININE</t>
  </si>
  <si>
    <t>UREA</t>
  </si>
  <si>
    <t>RPE</t>
  </si>
  <si>
    <t>SD</t>
  </si>
  <si>
    <t>MINIMUM</t>
  </si>
  <si>
    <t>MAXIMUM</t>
  </si>
  <si>
    <t>Age</t>
  </si>
  <si>
    <t>Height</t>
  </si>
  <si>
    <t>Body Mass</t>
  </si>
  <si>
    <t>Practice time</t>
  </si>
  <si>
    <t>HRmax</t>
  </si>
  <si>
    <t>%max reached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</si>
</sst>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333333"/>
      <name val="Segoe U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8F8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top" wrapText="1"/>
    </xf>
    <xf numFmtId="0" fontId="0" fillId="3" borderId="0" xfId="0" applyFill="1" applyBorder="1"/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8" fillId="3" borderId="7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4" fontId="0" fillId="0" borderId="0" xfId="0" applyNumberFormat="1"/>
    <xf numFmtId="0" fontId="10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65" fontId="0" fillId="0" borderId="1" xfId="0" applyNumberForma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8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58"/>
  <sheetViews>
    <sheetView zoomScale="55" zoomScaleNormal="55" workbookViewId="0">
      <selection activeCell="F6" sqref="F6"/>
    </sheetView>
  </sheetViews>
  <sheetFormatPr defaultRowHeight="15" x14ac:dyDescent="0.25"/>
  <cols>
    <col min="1" max="1" width="4.140625" customWidth="1"/>
    <col min="2" max="2" width="30.7109375" bestFit="1" customWidth="1"/>
    <col min="3" max="3" width="9.28515625" bestFit="1" customWidth="1"/>
    <col min="4" max="5" width="9.5703125" bestFit="1" customWidth="1"/>
    <col min="6" max="7" width="9.28515625" bestFit="1" customWidth="1"/>
    <col min="8" max="9" width="9.5703125" bestFit="1" customWidth="1"/>
    <col min="10" max="12" width="9.28515625" bestFit="1" customWidth="1"/>
    <col min="13" max="13" width="9.5703125" bestFit="1" customWidth="1"/>
    <col min="14" max="14" width="9.28515625" bestFit="1" customWidth="1"/>
    <col min="15" max="15" width="2.140625" customWidth="1"/>
    <col min="28" max="28" width="2.140625" customWidth="1"/>
    <col min="41" max="41" width="2.140625" customWidth="1"/>
  </cols>
  <sheetData>
    <row r="1" spans="2:53" ht="15.75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</row>
    <row r="2" spans="2:53" ht="15.75" x14ac:dyDescent="0.25">
      <c r="B2" s="96" t="s">
        <v>53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</row>
    <row r="3" spans="2:53" ht="15.75" x14ac:dyDescent="0.25">
      <c r="B3" s="22" t="s">
        <v>50</v>
      </c>
      <c r="C3" s="96" t="s">
        <v>11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23"/>
      <c r="P3" s="96" t="s">
        <v>12</v>
      </c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23"/>
      <c r="AC3" s="96" t="s">
        <v>13</v>
      </c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23"/>
      <c r="AP3" s="97" t="s">
        <v>56</v>
      </c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</row>
    <row r="4" spans="2:53" ht="15.75" x14ac:dyDescent="0.25">
      <c r="B4" s="22"/>
      <c r="C4" s="93" t="s">
        <v>51</v>
      </c>
      <c r="D4" s="94"/>
      <c r="E4" s="94"/>
      <c r="F4" s="95"/>
      <c r="G4" s="93" t="s">
        <v>15</v>
      </c>
      <c r="H4" s="94"/>
      <c r="I4" s="94"/>
      <c r="J4" s="95"/>
      <c r="K4" s="93" t="s">
        <v>52</v>
      </c>
      <c r="L4" s="94"/>
      <c r="M4" s="94"/>
      <c r="N4" s="95"/>
      <c r="O4" s="23"/>
      <c r="P4" s="93" t="s">
        <v>51</v>
      </c>
      <c r="Q4" s="94"/>
      <c r="R4" s="94"/>
      <c r="S4" s="95"/>
      <c r="T4" s="93" t="s">
        <v>15</v>
      </c>
      <c r="U4" s="94"/>
      <c r="V4" s="94"/>
      <c r="W4" s="95"/>
      <c r="X4" s="93" t="s">
        <v>52</v>
      </c>
      <c r="Y4" s="94"/>
      <c r="Z4" s="94"/>
      <c r="AA4" s="95"/>
      <c r="AB4" s="23"/>
      <c r="AC4" s="93" t="s">
        <v>51</v>
      </c>
      <c r="AD4" s="94"/>
      <c r="AE4" s="94"/>
      <c r="AF4" s="95"/>
      <c r="AG4" s="93" t="s">
        <v>15</v>
      </c>
      <c r="AH4" s="94"/>
      <c r="AI4" s="94"/>
      <c r="AJ4" s="95"/>
      <c r="AK4" s="93" t="s">
        <v>52</v>
      </c>
      <c r="AL4" s="94"/>
      <c r="AM4" s="94"/>
      <c r="AN4" s="95"/>
      <c r="AO4" s="23"/>
      <c r="AP4" s="93" t="s">
        <v>51</v>
      </c>
      <c r="AQ4" s="94"/>
      <c r="AR4" s="94"/>
      <c r="AS4" s="95"/>
      <c r="AT4" s="93" t="s">
        <v>15</v>
      </c>
      <c r="AU4" s="94"/>
      <c r="AV4" s="94"/>
      <c r="AW4" s="95"/>
      <c r="AX4" s="93" t="s">
        <v>52</v>
      </c>
      <c r="AY4" s="94"/>
      <c r="AZ4" s="94"/>
      <c r="BA4" s="95"/>
    </row>
    <row r="5" spans="2:53" ht="15.75" x14ac:dyDescent="0.25">
      <c r="B5" s="20"/>
      <c r="C5" s="29" t="s">
        <v>22</v>
      </c>
      <c r="D5" s="29" t="s">
        <v>19</v>
      </c>
      <c r="E5" s="29" t="s">
        <v>21</v>
      </c>
      <c r="F5" s="29" t="s">
        <v>20</v>
      </c>
      <c r="G5" s="29" t="s">
        <v>22</v>
      </c>
      <c r="H5" s="29" t="s">
        <v>19</v>
      </c>
      <c r="I5" s="29" t="s">
        <v>21</v>
      </c>
      <c r="J5" s="29" t="s">
        <v>20</v>
      </c>
      <c r="K5" s="29" t="s">
        <v>22</v>
      </c>
      <c r="L5" s="29" t="s">
        <v>19</v>
      </c>
      <c r="M5" s="29" t="s">
        <v>21</v>
      </c>
      <c r="N5" s="29" t="s">
        <v>20</v>
      </c>
      <c r="O5" s="30"/>
      <c r="P5" s="29" t="s">
        <v>22</v>
      </c>
      <c r="Q5" s="29" t="s">
        <v>19</v>
      </c>
      <c r="R5" s="29" t="s">
        <v>21</v>
      </c>
      <c r="S5" s="29" t="s">
        <v>20</v>
      </c>
      <c r="T5" s="29" t="s">
        <v>22</v>
      </c>
      <c r="U5" s="29" t="s">
        <v>19</v>
      </c>
      <c r="V5" s="29" t="s">
        <v>21</v>
      </c>
      <c r="W5" s="29" t="s">
        <v>20</v>
      </c>
      <c r="X5" s="29" t="s">
        <v>22</v>
      </c>
      <c r="Y5" s="29" t="s">
        <v>19</v>
      </c>
      <c r="Z5" s="29" t="s">
        <v>21</v>
      </c>
      <c r="AA5" s="29" t="s">
        <v>20</v>
      </c>
      <c r="AB5" s="30"/>
      <c r="AC5" s="29" t="s">
        <v>22</v>
      </c>
      <c r="AD5" s="29" t="s">
        <v>19</v>
      </c>
      <c r="AE5" s="29" t="s">
        <v>21</v>
      </c>
      <c r="AF5" s="29" t="s">
        <v>20</v>
      </c>
      <c r="AG5" s="29" t="s">
        <v>22</v>
      </c>
      <c r="AH5" s="29" t="s">
        <v>19</v>
      </c>
      <c r="AI5" s="29" t="s">
        <v>21</v>
      </c>
      <c r="AJ5" s="29" t="s">
        <v>20</v>
      </c>
      <c r="AK5" s="29" t="s">
        <v>22</v>
      </c>
      <c r="AL5" s="29" t="s">
        <v>19</v>
      </c>
      <c r="AM5" s="29" t="s">
        <v>21</v>
      </c>
      <c r="AN5" s="29" t="s">
        <v>20</v>
      </c>
      <c r="AO5" s="23"/>
      <c r="AP5" s="22" t="s">
        <v>22</v>
      </c>
      <c r="AQ5" s="22" t="s">
        <v>19</v>
      </c>
      <c r="AR5" s="22" t="s">
        <v>21</v>
      </c>
      <c r="AS5" s="22" t="s">
        <v>20</v>
      </c>
      <c r="AT5" s="22" t="s">
        <v>22</v>
      </c>
      <c r="AU5" s="22" t="s">
        <v>19</v>
      </c>
      <c r="AV5" s="22" t="s">
        <v>21</v>
      </c>
      <c r="AW5" s="22" t="s">
        <v>20</v>
      </c>
      <c r="AX5" s="22" t="s">
        <v>22</v>
      </c>
      <c r="AY5" s="22" t="s">
        <v>19</v>
      </c>
      <c r="AZ5" s="22" t="s">
        <v>21</v>
      </c>
      <c r="BA5" s="22" t="s">
        <v>20</v>
      </c>
    </row>
    <row r="6" spans="2:53" ht="15.75" x14ac:dyDescent="0.25">
      <c r="B6" s="20" t="s">
        <v>41</v>
      </c>
      <c r="C6" s="26">
        <v>38.200000000000003</v>
      </c>
      <c r="D6" s="42">
        <v>15.1</v>
      </c>
      <c r="E6" s="42">
        <v>63.2</v>
      </c>
      <c r="F6" s="42">
        <v>3</v>
      </c>
      <c r="G6" s="26">
        <v>49.2</v>
      </c>
      <c r="H6" s="42">
        <v>19.399999999999999</v>
      </c>
      <c r="I6" s="42">
        <v>81.3</v>
      </c>
      <c r="J6" s="42">
        <v>3.9</v>
      </c>
      <c r="K6" s="26">
        <v>12.7</v>
      </c>
      <c r="L6" s="42">
        <v>5</v>
      </c>
      <c r="M6" s="42">
        <v>21</v>
      </c>
      <c r="N6" s="42">
        <v>1</v>
      </c>
      <c r="O6" s="27"/>
      <c r="P6" s="26">
        <v>65.400000000000006</v>
      </c>
      <c r="Q6" s="42">
        <v>24.1</v>
      </c>
      <c r="R6" s="42">
        <v>100.6</v>
      </c>
      <c r="S6" s="42">
        <v>4.8</v>
      </c>
      <c r="T6" s="26">
        <v>27</v>
      </c>
      <c r="U6" s="42">
        <v>9.9</v>
      </c>
      <c r="V6" s="42">
        <v>41.5</v>
      </c>
      <c r="W6" s="42">
        <v>2</v>
      </c>
      <c r="X6" s="26">
        <v>7.7</v>
      </c>
      <c r="Y6" s="42">
        <v>2.8</v>
      </c>
      <c r="Z6" s="42">
        <v>11.8</v>
      </c>
      <c r="AA6" s="42">
        <v>0.6</v>
      </c>
      <c r="AB6" s="27"/>
      <c r="AC6" s="26">
        <v>69.900000000000006</v>
      </c>
      <c r="AD6" s="42">
        <v>23.7</v>
      </c>
      <c r="AE6" s="42">
        <v>99.1</v>
      </c>
      <c r="AF6" s="42">
        <v>4.7</v>
      </c>
      <c r="AG6" s="26">
        <v>29</v>
      </c>
      <c r="AH6" s="42">
        <v>9.8000000000000007</v>
      </c>
      <c r="AI6" s="42">
        <v>41.2</v>
      </c>
      <c r="AJ6" s="42">
        <v>2</v>
      </c>
      <c r="AK6" s="26">
        <v>1</v>
      </c>
      <c r="AL6" s="42">
        <v>0.3</v>
      </c>
      <c r="AM6" s="42">
        <v>1.5</v>
      </c>
      <c r="AN6" s="42">
        <v>0.1</v>
      </c>
      <c r="AO6" s="24"/>
      <c r="AP6" s="41">
        <f t="shared" ref="AP6:AT6" si="0">AVERAGE(C6,P6,AC6)</f>
        <v>57.833333333333336</v>
      </c>
      <c r="AQ6" s="41">
        <f>SUM(AD6,Q6,D6)</f>
        <v>62.9</v>
      </c>
      <c r="AR6" s="41">
        <f t="shared" ref="AR6:AS14" si="1">SUM(AE6,R6,E6)</f>
        <v>262.89999999999998</v>
      </c>
      <c r="AS6" s="41">
        <f t="shared" si="1"/>
        <v>12.5</v>
      </c>
      <c r="AT6" s="41">
        <f t="shared" si="0"/>
        <v>35.06666666666667</v>
      </c>
      <c r="AU6" s="41">
        <f>SUM(AH6,U6,H6)</f>
        <v>39.1</v>
      </c>
      <c r="AV6" s="41">
        <f t="shared" ref="AV6:AV14" si="2">SUM(AI6,V6,I6)</f>
        <v>164</v>
      </c>
      <c r="AW6" s="41">
        <f t="shared" ref="AW6:AW14" si="3">SUM(AJ6,W6,J6)</f>
        <v>7.9</v>
      </c>
      <c r="AX6" s="41">
        <f t="shared" ref="AX6" si="4">AVERAGE(K6,X6,AK6)</f>
        <v>7.1333333333333329</v>
      </c>
      <c r="AY6" s="41">
        <f>SUM(AL6,Y6,L6)</f>
        <v>8.1</v>
      </c>
      <c r="AZ6" s="41">
        <f t="shared" ref="AZ6:AZ14" si="5">SUM(AM6,Z6,M6)</f>
        <v>34.299999999999997</v>
      </c>
      <c r="BA6" s="41">
        <f t="shared" ref="BA6:BA14" si="6">SUM(AN6,AA6,N6)</f>
        <v>1.7</v>
      </c>
    </row>
    <row r="7" spans="2:53" ht="15.75" x14ac:dyDescent="0.25">
      <c r="B7" s="20" t="s">
        <v>42</v>
      </c>
      <c r="C7" s="26">
        <v>38.799999999999997</v>
      </c>
      <c r="D7" s="42">
        <v>13.8</v>
      </c>
      <c r="E7" s="42">
        <v>57.6</v>
      </c>
      <c r="F7" s="42">
        <v>2.8</v>
      </c>
      <c r="G7" s="26">
        <v>51.3</v>
      </c>
      <c r="H7" s="42">
        <v>18.2</v>
      </c>
      <c r="I7" s="42">
        <v>76.2</v>
      </c>
      <c r="J7" s="42">
        <v>3.6</v>
      </c>
      <c r="K7" s="26">
        <v>9.9</v>
      </c>
      <c r="L7" s="42">
        <v>3.5</v>
      </c>
      <c r="M7" s="42">
        <v>14.7</v>
      </c>
      <c r="N7" s="42">
        <v>0.7</v>
      </c>
      <c r="O7" s="27"/>
      <c r="P7" s="26">
        <v>48.4</v>
      </c>
      <c r="Q7" s="42">
        <v>21</v>
      </c>
      <c r="R7" s="42">
        <v>87.7</v>
      </c>
      <c r="S7" s="42">
        <v>4.2</v>
      </c>
      <c r="T7" s="26">
        <v>45.5</v>
      </c>
      <c r="U7" s="42">
        <v>19.7</v>
      </c>
      <c r="V7" s="42">
        <v>82.4</v>
      </c>
      <c r="W7" s="42">
        <v>3.9</v>
      </c>
      <c r="X7" s="26">
        <v>6.2</v>
      </c>
      <c r="Y7" s="42">
        <v>2.7</v>
      </c>
      <c r="Z7" s="42">
        <v>11.2</v>
      </c>
      <c r="AA7" s="42">
        <v>0.5</v>
      </c>
      <c r="AB7" s="27"/>
      <c r="AC7" s="34">
        <v>55.5</v>
      </c>
      <c r="AD7" s="44">
        <v>24.8</v>
      </c>
      <c r="AE7" s="44">
        <v>103.9</v>
      </c>
      <c r="AF7" s="44">
        <v>5</v>
      </c>
      <c r="AG7" s="34">
        <v>41</v>
      </c>
      <c r="AH7" s="44">
        <v>18.3</v>
      </c>
      <c r="AI7" s="44">
        <v>76.7</v>
      </c>
      <c r="AJ7" s="44">
        <v>3.7</v>
      </c>
      <c r="AK7" s="34">
        <v>3.5</v>
      </c>
      <c r="AL7" s="44">
        <v>1.6</v>
      </c>
      <c r="AM7" s="44">
        <v>6.6</v>
      </c>
      <c r="AN7" s="44">
        <v>0.3</v>
      </c>
      <c r="AO7" s="24"/>
      <c r="AP7" s="41">
        <f t="shared" ref="AP7:AP14" si="7">AVERAGE(C7,P7,AC7)</f>
        <v>47.566666666666663</v>
      </c>
      <c r="AQ7" s="41">
        <f t="shared" ref="AQ7:AQ14" si="8">SUM(AD7,Q7,D7)</f>
        <v>59.599999999999994</v>
      </c>
      <c r="AR7" s="41">
        <f t="shared" si="1"/>
        <v>249.20000000000002</v>
      </c>
      <c r="AS7" s="41">
        <f t="shared" si="1"/>
        <v>12</v>
      </c>
      <c r="AT7" s="41">
        <f t="shared" ref="AT7:AT14" si="9">AVERAGE(G7,T7,AG7)</f>
        <v>45.933333333333337</v>
      </c>
      <c r="AU7" s="41">
        <f t="shared" ref="AU7:AU14" si="10">SUM(AH7,U7,H7)</f>
        <v>56.2</v>
      </c>
      <c r="AV7" s="41">
        <f t="shared" si="2"/>
        <v>235.3</v>
      </c>
      <c r="AW7" s="41">
        <f t="shared" si="3"/>
        <v>11.2</v>
      </c>
      <c r="AX7" s="41">
        <f t="shared" ref="AX7:AX14" si="11">AVERAGE(K7,X7,AK7)</f>
        <v>6.5333333333333341</v>
      </c>
      <c r="AY7" s="41">
        <f t="shared" ref="AY7:AY14" si="12">SUM(AL7,Y7,L7)</f>
        <v>7.8000000000000007</v>
      </c>
      <c r="AZ7" s="41">
        <f t="shared" si="5"/>
        <v>32.5</v>
      </c>
      <c r="BA7" s="41">
        <f t="shared" si="6"/>
        <v>1.5</v>
      </c>
    </row>
    <row r="8" spans="2:53" ht="15.75" x14ac:dyDescent="0.25">
      <c r="B8" s="20" t="s">
        <v>43</v>
      </c>
      <c r="C8" s="26">
        <v>36.799999999999997</v>
      </c>
      <c r="D8" s="43">
        <v>16.2</v>
      </c>
      <c r="E8" s="43">
        <v>67.599999999999994</v>
      </c>
      <c r="F8" s="43">
        <v>3.2</v>
      </c>
      <c r="G8" s="26">
        <v>53.9</v>
      </c>
      <c r="H8" s="43">
        <v>23.7</v>
      </c>
      <c r="I8" s="43">
        <v>99.1</v>
      </c>
      <c r="J8" s="43">
        <v>4.7</v>
      </c>
      <c r="K8" s="26">
        <v>9.4</v>
      </c>
      <c r="L8" s="43">
        <v>4.0999999999999996</v>
      </c>
      <c r="M8" s="43">
        <v>17.3</v>
      </c>
      <c r="N8" s="43">
        <v>0.8</v>
      </c>
      <c r="O8" s="27"/>
      <c r="P8" s="26">
        <v>50.8</v>
      </c>
      <c r="Q8" s="43">
        <v>21.4</v>
      </c>
      <c r="R8" s="43">
        <v>89.4</v>
      </c>
      <c r="S8" s="43">
        <v>4.3</v>
      </c>
      <c r="T8" s="26">
        <v>45.4</v>
      </c>
      <c r="U8" s="43">
        <v>19.100000000000001</v>
      </c>
      <c r="V8" s="43">
        <v>79.900000000000006</v>
      </c>
      <c r="W8" s="43">
        <v>3.8</v>
      </c>
      <c r="X8" s="26">
        <v>3.8</v>
      </c>
      <c r="Y8" s="43">
        <v>1.6</v>
      </c>
      <c r="Z8" s="43">
        <v>6.7</v>
      </c>
      <c r="AA8" s="43">
        <v>0.3</v>
      </c>
      <c r="AB8" s="27"/>
      <c r="AC8" s="26">
        <v>61.6</v>
      </c>
      <c r="AD8" s="42">
        <v>31.9</v>
      </c>
      <c r="AE8" s="42">
        <v>133.5</v>
      </c>
      <c r="AF8" s="42">
        <v>6.4</v>
      </c>
      <c r="AG8" s="26">
        <v>34.200000000000003</v>
      </c>
      <c r="AH8" s="42">
        <v>17.7</v>
      </c>
      <c r="AI8" s="42">
        <v>74.099999999999994</v>
      </c>
      <c r="AJ8" s="42">
        <v>3.5</v>
      </c>
      <c r="AK8" s="26">
        <v>4.2</v>
      </c>
      <c r="AL8" s="42">
        <v>2.2000000000000002</v>
      </c>
      <c r="AM8" s="42">
        <v>9</v>
      </c>
      <c r="AN8" s="42">
        <v>0.4</v>
      </c>
      <c r="AO8" s="24"/>
      <c r="AP8" s="41">
        <f t="shared" si="7"/>
        <v>49.733333333333327</v>
      </c>
      <c r="AQ8" s="41">
        <f t="shared" si="8"/>
        <v>69.5</v>
      </c>
      <c r="AR8" s="41">
        <f t="shared" si="1"/>
        <v>290.5</v>
      </c>
      <c r="AS8" s="41">
        <f t="shared" si="1"/>
        <v>13.899999999999999</v>
      </c>
      <c r="AT8" s="41">
        <f t="shared" si="9"/>
        <v>44.5</v>
      </c>
      <c r="AU8" s="41">
        <f t="shared" si="10"/>
        <v>60.5</v>
      </c>
      <c r="AV8" s="41">
        <f t="shared" si="2"/>
        <v>253.1</v>
      </c>
      <c r="AW8" s="41">
        <f t="shared" si="3"/>
        <v>12</v>
      </c>
      <c r="AX8" s="41">
        <f t="shared" si="11"/>
        <v>5.8</v>
      </c>
      <c r="AY8" s="41">
        <f t="shared" si="12"/>
        <v>7.9</v>
      </c>
      <c r="AZ8" s="41">
        <f t="shared" si="5"/>
        <v>33</v>
      </c>
      <c r="BA8" s="41">
        <f t="shared" si="6"/>
        <v>1.5</v>
      </c>
    </row>
    <row r="9" spans="2:53" ht="15.75" x14ac:dyDescent="0.25">
      <c r="B9" s="20" t="s">
        <v>44</v>
      </c>
      <c r="C9" s="26">
        <v>32.5</v>
      </c>
      <c r="D9" s="43">
        <v>19</v>
      </c>
      <c r="E9" s="43">
        <v>79.5</v>
      </c>
      <c r="F9" s="43">
        <v>3.8</v>
      </c>
      <c r="G9" s="26">
        <v>57.5</v>
      </c>
      <c r="H9" s="43">
        <v>33.6</v>
      </c>
      <c r="I9" s="43">
        <v>140.6</v>
      </c>
      <c r="J9" s="43">
        <v>6.7</v>
      </c>
      <c r="K9" s="26">
        <v>10</v>
      </c>
      <c r="L9" s="43">
        <v>5.8</v>
      </c>
      <c r="M9" s="43">
        <v>24.5</v>
      </c>
      <c r="N9" s="43">
        <v>1.2</v>
      </c>
      <c r="O9" s="27"/>
      <c r="P9" s="26">
        <v>42.1</v>
      </c>
      <c r="Q9" s="43">
        <v>27.8</v>
      </c>
      <c r="R9" s="43">
        <v>116.2</v>
      </c>
      <c r="S9" s="43">
        <v>5.6</v>
      </c>
      <c r="T9" s="26">
        <v>51.3</v>
      </c>
      <c r="U9" s="43">
        <v>33.9</v>
      </c>
      <c r="V9" s="43">
        <v>141.80000000000001</v>
      </c>
      <c r="W9" s="43">
        <v>6.8</v>
      </c>
      <c r="X9" s="26">
        <v>6.6</v>
      </c>
      <c r="Y9" s="43">
        <v>4.3</v>
      </c>
      <c r="Z9" s="43">
        <v>18.100000000000001</v>
      </c>
      <c r="AA9" s="43">
        <v>0.9</v>
      </c>
      <c r="AB9" s="27"/>
      <c r="AC9" s="26">
        <v>46.4</v>
      </c>
      <c r="AD9" s="43">
        <v>29.2</v>
      </c>
      <c r="AE9" s="43">
        <v>122.2</v>
      </c>
      <c r="AF9" s="43">
        <v>5.8</v>
      </c>
      <c r="AG9" s="26">
        <v>53.2</v>
      </c>
      <c r="AH9" s="43">
        <v>33.5</v>
      </c>
      <c r="AI9" s="43">
        <v>140.1</v>
      </c>
      <c r="AJ9" s="43">
        <v>6.7</v>
      </c>
      <c r="AK9" s="26">
        <v>0.4</v>
      </c>
      <c r="AL9" s="43">
        <v>0.3</v>
      </c>
      <c r="AM9" s="43">
        <v>1.2</v>
      </c>
      <c r="AN9" s="43">
        <v>0.1</v>
      </c>
      <c r="AO9" s="24"/>
      <c r="AP9" s="41">
        <f t="shared" si="7"/>
        <v>40.333333333333336</v>
      </c>
      <c r="AQ9" s="41">
        <f t="shared" si="8"/>
        <v>76</v>
      </c>
      <c r="AR9" s="41">
        <f t="shared" si="1"/>
        <v>317.89999999999998</v>
      </c>
      <c r="AS9" s="41">
        <f t="shared" si="1"/>
        <v>15.2</v>
      </c>
      <c r="AT9" s="41">
        <f t="shared" si="9"/>
        <v>54</v>
      </c>
      <c r="AU9" s="41">
        <f t="shared" si="10"/>
        <v>101</v>
      </c>
      <c r="AV9" s="41">
        <f t="shared" si="2"/>
        <v>422.5</v>
      </c>
      <c r="AW9" s="41">
        <f t="shared" si="3"/>
        <v>20.2</v>
      </c>
      <c r="AX9" s="41">
        <f t="shared" si="11"/>
        <v>5.666666666666667</v>
      </c>
      <c r="AY9" s="41">
        <f t="shared" si="12"/>
        <v>10.399999999999999</v>
      </c>
      <c r="AZ9" s="41">
        <f t="shared" si="5"/>
        <v>43.8</v>
      </c>
      <c r="BA9" s="41">
        <f t="shared" si="6"/>
        <v>2.2000000000000002</v>
      </c>
    </row>
    <row r="10" spans="2:53" ht="15.75" x14ac:dyDescent="0.25">
      <c r="B10" s="20" t="s">
        <v>45</v>
      </c>
      <c r="C10" s="26">
        <v>38.200000000000003</v>
      </c>
      <c r="D10" s="42">
        <v>9.6</v>
      </c>
      <c r="E10" s="42">
        <v>40.299999999999997</v>
      </c>
      <c r="F10" s="42">
        <v>1.9</v>
      </c>
      <c r="G10" s="26">
        <v>46.2</v>
      </c>
      <c r="H10" s="42">
        <v>11.7</v>
      </c>
      <c r="I10" s="42">
        <v>48.8</v>
      </c>
      <c r="J10" s="42">
        <v>2.2999999999999998</v>
      </c>
      <c r="K10" s="26">
        <v>15.6</v>
      </c>
      <c r="L10" s="42">
        <v>4</v>
      </c>
      <c r="M10" s="42">
        <v>16.5</v>
      </c>
      <c r="N10" s="42">
        <v>0.8</v>
      </c>
      <c r="O10" s="27"/>
      <c r="P10" s="28">
        <v>57</v>
      </c>
      <c r="Q10" s="42">
        <v>17</v>
      </c>
      <c r="R10" s="42">
        <v>71.2</v>
      </c>
      <c r="S10" s="42">
        <v>3.4</v>
      </c>
      <c r="T10" s="28">
        <v>39</v>
      </c>
      <c r="U10" s="42">
        <v>11.6</v>
      </c>
      <c r="V10" s="42">
        <v>48.7</v>
      </c>
      <c r="W10" s="42">
        <v>2.2999999999999998</v>
      </c>
      <c r="X10" s="28">
        <v>4</v>
      </c>
      <c r="Y10" s="42">
        <v>1.2</v>
      </c>
      <c r="Z10" s="42">
        <v>5</v>
      </c>
      <c r="AA10" s="42">
        <v>0.2</v>
      </c>
      <c r="AB10" s="27"/>
      <c r="AC10" s="26">
        <v>61.2</v>
      </c>
      <c r="AD10" s="42">
        <v>18.399999999999999</v>
      </c>
      <c r="AE10" s="42">
        <v>76.900000000000006</v>
      </c>
      <c r="AF10" s="42">
        <v>3.7</v>
      </c>
      <c r="AG10" s="26">
        <v>37.5</v>
      </c>
      <c r="AH10" s="42">
        <v>11.3</v>
      </c>
      <c r="AI10" s="42">
        <v>47.2</v>
      </c>
      <c r="AJ10" s="42">
        <v>2.2999999999999998</v>
      </c>
      <c r="AK10" s="26">
        <v>1.3</v>
      </c>
      <c r="AL10" s="42">
        <v>0.4</v>
      </c>
      <c r="AM10" s="42">
        <v>1.6</v>
      </c>
      <c r="AN10" s="42">
        <v>0.1</v>
      </c>
      <c r="AO10" s="24"/>
      <c r="AP10" s="41">
        <f t="shared" si="7"/>
        <v>52.133333333333333</v>
      </c>
      <c r="AQ10" s="41">
        <f t="shared" si="8"/>
        <v>45</v>
      </c>
      <c r="AR10" s="41">
        <f t="shared" si="1"/>
        <v>188.40000000000003</v>
      </c>
      <c r="AS10" s="41">
        <f t="shared" si="1"/>
        <v>9</v>
      </c>
      <c r="AT10" s="41">
        <f t="shared" si="9"/>
        <v>40.9</v>
      </c>
      <c r="AU10" s="41">
        <f t="shared" si="10"/>
        <v>34.599999999999994</v>
      </c>
      <c r="AV10" s="41">
        <f t="shared" si="2"/>
        <v>144.69999999999999</v>
      </c>
      <c r="AW10" s="41">
        <f t="shared" si="3"/>
        <v>6.8999999999999995</v>
      </c>
      <c r="AX10" s="41">
        <f t="shared" si="11"/>
        <v>6.9666666666666677</v>
      </c>
      <c r="AY10" s="41">
        <f t="shared" si="12"/>
        <v>5.6</v>
      </c>
      <c r="AZ10" s="41">
        <f t="shared" si="5"/>
        <v>23.1</v>
      </c>
      <c r="BA10" s="41">
        <f t="shared" si="6"/>
        <v>1.1000000000000001</v>
      </c>
    </row>
    <row r="11" spans="2:53" ht="15.75" x14ac:dyDescent="0.25">
      <c r="B11" s="20" t="s">
        <v>46</v>
      </c>
      <c r="C11" s="26">
        <v>37.5</v>
      </c>
      <c r="D11" s="43">
        <v>10</v>
      </c>
      <c r="E11" s="43">
        <v>41.6</v>
      </c>
      <c r="F11" s="43">
        <v>2</v>
      </c>
      <c r="G11" s="26">
        <v>50.6</v>
      </c>
      <c r="H11" s="43">
        <v>13.4</v>
      </c>
      <c r="I11" s="43">
        <v>56.2</v>
      </c>
      <c r="J11" s="43">
        <v>2.7</v>
      </c>
      <c r="K11" s="26">
        <v>11.8</v>
      </c>
      <c r="L11" s="43">
        <v>3.1</v>
      </c>
      <c r="M11" s="43">
        <v>13.1</v>
      </c>
      <c r="N11" s="43">
        <v>0.6</v>
      </c>
      <c r="O11" s="27"/>
      <c r="P11" s="26">
        <v>51.1</v>
      </c>
      <c r="Q11" s="43">
        <v>19.2</v>
      </c>
      <c r="R11" s="43">
        <v>80.2</v>
      </c>
      <c r="S11" s="43">
        <v>3.8</v>
      </c>
      <c r="T11" s="26">
        <v>47.5</v>
      </c>
      <c r="U11" s="43">
        <v>17.8</v>
      </c>
      <c r="V11" s="43">
        <v>74.5</v>
      </c>
      <c r="W11" s="43">
        <v>3.6</v>
      </c>
      <c r="X11" s="26">
        <v>1.4</v>
      </c>
      <c r="Y11" s="43">
        <v>0.5</v>
      </c>
      <c r="Z11" s="43">
        <v>2.2000000000000002</v>
      </c>
      <c r="AA11" s="43">
        <v>0.1</v>
      </c>
      <c r="AB11" s="27"/>
      <c r="AC11" s="26">
        <v>51.4</v>
      </c>
      <c r="AD11" s="43">
        <v>20.5</v>
      </c>
      <c r="AE11" s="43">
        <v>85.8</v>
      </c>
      <c r="AF11" s="43">
        <v>4.0999999999999996</v>
      </c>
      <c r="AG11" s="26">
        <v>44.8</v>
      </c>
      <c r="AH11" s="43">
        <v>17.899999999999999</v>
      </c>
      <c r="AI11" s="43">
        <v>74.8</v>
      </c>
      <c r="AJ11" s="43">
        <v>3.6</v>
      </c>
      <c r="AK11" s="26">
        <v>3.8</v>
      </c>
      <c r="AL11" s="43">
        <v>1.5</v>
      </c>
      <c r="AM11" s="43">
        <v>6.4</v>
      </c>
      <c r="AN11" s="43">
        <v>0.3</v>
      </c>
      <c r="AO11" s="24"/>
      <c r="AP11" s="41">
        <f t="shared" si="7"/>
        <v>46.666666666666664</v>
      </c>
      <c r="AQ11" s="41">
        <f t="shared" si="8"/>
        <v>49.7</v>
      </c>
      <c r="AR11" s="41">
        <f t="shared" si="1"/>
        <v>207.6</v>
      </c>
      <c r="AS11" s="41">
        <f t="shared" si="1"/>
        <v>9.8999999999999986</v>
      </c>
      <c r="AT11" s="41">
        <f t="shared" si="9"/>
        <v>47.633333333333326</v>
      </c>
      <c r="AU11" s="41">
        <f t="shared" si="10"/>
        <v>49.1</v>
      </c>
      <c r="AV11" s="41">
        <f t="shared" si="2"/>
        <v>205.5</v>
      </c>
      <c r="AW11" s="41">
        <f t="shared" si="3"/>
        <v>9.9</v>
      </c>
      <c r="AX11" s="41">
        <f t="shared" si="11"/>
        <v>5.666666666666667</v>
      </c>
      <c r="AY11" s="41">
        <f t="shared" si="12"/>
        <v>5.0999999999999996</v>
      </c>
      <c r="AZ11" s="41">
        <f t="shared" si="5"/>
        <v>21.700000000000003</v>
      </c>
      <c r="BA11" s="41">
        <f t="shared" si="6"/>
        <v>1</v>
      </c>
    </row>
    <row r="12" spans="2:53" ht="15.75" x14ac:dyDescent="0.25">
      <c r="B12" s="20" t="s">
        <v>47</v>
      </c>
      <c r="C12" s="26">
        <v>39.9</v>
      </c>
      <c r="D12" s="43">
        <v>13.8</v>
      </c>
      <c r="E12" s="43">
        <v>57.7</v>
      </c>
      <c r="F12" s="43">
        <v>2.8</v>
      </c>
      <c r="G12" s="26">
        <v>39.700000000000003</v>
      </c>
      <c r="H12" s="43">
        <v>13.7</v>
      </c>
      <c r="I12" s="43">
        <v>57.4</v>
      </c>
      <c r="J12" s="43">
        <v>2.7</v>
      </c>
      <c r="K12" s="26">
        <v>20.399999999999999</v>
      </c>
      <c r="L12" s="43">
        <v>7</v>
      </c>
      <c r="M12" s="43">
        <v>29.5</v>
      </c>
      <c r="N12" s="43">
        <v>1.4</v>
      </c>
      <c r="O12" s="27"/>
      <c r="P12" s="26">
        <v>59.5</v>
      </c>
      <c r="Q12" s="43">
        <v>21</v>
      </c>
      <c r="R12" s="43">
        <v>87.7</v>
      </c>
      <c r="S12" s="43">
        <v>4.2</v>
      </c>
      <c r="T12" s="26">
        <v>38.4</v>
      </c>
      <c r="U12" s="43">
        <v>13.5</v>
      </c>
      <c r="V12" s="43">
        <v>56.6</v>
      </c>
      <c r="W12" s="43">
        <v>2.7</v>
      </c>
      <c r="X12" s="26">
        <v>2.1</v>
      </c>
      <c r="Y12" s="43">
        <v>0.7</v>
      </c>
      <c r="Z12" s="43">
        <v>3.1</v>
      </c>
      <c r="AA12" s="43">
        <v>0.1</v>
      </c>
      <c r="AB12" s="27"/>
      <c r="AC12" s="26">
        <v>51.8</v>
      </c>
      <c r="AD12" s="43">
        <v>17.399999999999999</v>
      </c>
      <c r="AE12" s="43">
        <v>72.7</v>
      </c>
      <c r="AF12" s="43">
        <v>3.5</v>
      </c>
      <c r="AG12" s="26">
        <v>47.2</v>
      </c>
      <c r="AH12" s="43">
        <v>15.9</v>
      </c>
      <c r="AI12" s="43">
        <v>66.400000000000006</v>
      </c>
      <c r="AJ12" s="43">
        <v>3.2</v>
      </c>
      <c r="AK12" s="26">
        <v>1</v>
      </c>
      <c r="AL12" s="43">
        <v>0.3</v>
      </c>
      <c r="AM12" s="43">
        <v>1.4</v>
      </c>
      <c r="AN12" s="43">
        <v>0.1</v>
      </c>
      <c r="AO12" s="24"/>
      <c r="AP12" s="41">
        <f t="shared" si="7"/>
        <v>50.4</v>
      </c>
      <c r="AQ12" s="41">
        <f t="shared" si="8"/>
        <v>52.2</v>
      </c>
      <c r="AR12" s="41">
        <f t="shared" si="1"/>
        <v>218.10000000000002</v>
      </c>
      <c r="AS12" s="41">
        <f t="shared" si="1"/>
        <v>10.5</v>
      </c>
      <c r="AT12" s="41">
        <f t="shared" si="9"/>
        <v>41.766666666666666</v>
      </c>
      <c r="AU12" s="41">
        <f t="shared" si="10"/>
        <v>43.099999999999994</v>
      </c>
      <c r="AV12" s="41">
        <f t="shared" si="2"/>
        <v>180.4</v>
      </c>
      <c r="AW12" s="41">
        <f t="shared" si="3"/>
        <v>8.6000000000000014</v>
      </c>
      <c r="AX12" s="41">
        <f t="shared" si="11"/>
        <v>7.833333333333333</v>
      </c>
      <c r="AY12" s="41">
        <f t="shared" si="12"/>
        <v>8</v>
      </c>
      <c r="AZ12" s="41">
        <f t="shared" si="5"/>
        <v>34</v>
      </c>
      <c r="BA12" s="41">
        <f t="shared" si="6"/>
        <v>1.5999999999999999</v>
      </c>
    </row>
    <row r="13" spans="2:53" ht="17.25" customHeight="1" x14ac:dyDescent="0.25">
      <c r="B13" s="20" t="s">
        <v>48</v>
      </c>
      <c r="C13" s="26">
        <v>38.1</v>
      </c>
      <c r="D13" s="42">
        <v>13</v>
      </c>
      <c r="E13" s="42">
        <v>54.5</v>
      </c>
      <c r="F13" s="42">
        <v>2.6</v>
      </c>
      <c r="G13" s="26">
        <v>51.6</v>
      </c>
      <c r="H13" s="42">
        <v>17.600000000000001</v>
      </c>
      <c r="I13" s="42">
        <v>73.599999999999994</v>
      </c>
      <c r="J13" s="42">
        <v>3.5</v>
      </c>
      <c r="K13" s="26">
        <v>10.3</v>
      </c>
      <c r="L13" s="42">
        <v>3.5</v>
      </c>
      <c r="M13" s="42">
        <v>14.7</v>
      </c>
      <c r="N13" s="42">
        <v>0.7</v>
      </c>
      <c r="O13" s="27"/>
      <c r="P13" s="26">
        <v>50.2</v>
      </c>
      <c r="Q13" s="42">
        <v>23.6</v>
      </c>
      <c r="R13" s="42">
        <v>98.6</v>
      </c>
      <c r="S13" s="42">
        <v>4.7</v>
      </c>
      <c r="T13" s="26">
        <v>45.3</v>
      </c>
      <c r="U13" s="42">
        <v>21.3</v>
      </c>
      <c r="V13" s="42">
        <v>89</v>
      </c>
      <c r="W13" s="42">
        <v>4.3</v>
      </c>
      <c r="X13" s="26">
        <v>4.5</v>
      </c>
      <c r="Y13" s="42">
        <v>2.1</v>
      </c>
      <c r="Z13" s="42">
        <v>8.9</v>
      </c>
      <c r="AA13" s="42">
        <v>0.4</v>
      </c>
      <c r="AB13" s="27"/>
      <c r="AC13" s="26">
        <v>55</v>
      </c>
      <c r="AD13" s="42">
        <v>25.3</v>
      </c>
      <c r="AE13" s="42">
        <v>105.7</v>
      </c>
      <c r="AF13" s="42">
        <v>5.0999999999999996</v>
      </c>
      <c r="AG13" s="26">
        <v>42.1</v>
      </c>
      <c r="AH13" s="42">
        <v>19.3</v>
      </c>
      <c r="AI13" s="42">
        <v>80.900000000000006</v>
      </c>
      <c r="AJ13" s="42">
        <v>3.9</v>
      </c>
      <c r="AK13" s="26">
        <v>2.9</v>
      </c>
      <c r="AL13" s="42">
        <v>1.3</v>
      </c>
      <c r="AM13" s="42">
        <v>5.5</v>
      </c>
      <c r="AN13" s="42">
        <v>0.3</v>
      </c>
      <c r="AO13" s="24"/>
      <c r="AP13" s="41">
        <f t="shared" si="7"/>
        <v>47.766666666666673</v>
      </c>
      <c r="AQ13" s="41">
        <f t="shared" si="8"/>
        <v>61.900000000000006</v>
      </c>
      <c r="AR13" s="41">
        <f t="shared" si="1"/>
        <v>258.8</v>
      </c>
      <c r="AS13" s="41">
        <f t="shared" si="1"/>
        <v>12.4</v>
      </c>
      <c r="AT13" s="41">
        <f t="shared" si="9"/>
        <v>46.333333333333336</v>
      </c>
      <c r="AU13" s="41">
        <f t="shared" si="10"/>
        <v>58.2</v>
      </c>
      <c r="AV13" s="41">
        <f t="shared" si="2"/>
        <v>243.5</v>
      </c>
      <c r="AW13" s="41">
        <f t="shared" si="3"/>
        <v>11.7</v>
      </c>
      <c r="AX13" s="41">
        <f t="shared" si="11"/>
        <v>5.8999999999999995</v>
      </c>
      <c r="AY13" s="41">
        <f t="shared" si="12"/>
        <v>6.9</v>
      </c>
      <c r="AZ13" s="41">
        <f t="shared" si="5"/>
        <v>29.1</v>
      </c>
      <c r="BA13" s="41">
        <f t="shared" si="6"/>
        <v>1.4</v>
      </c>
    </row>
    <row r="14" spans="2:53" ht="15.75" x14ac:dyDescent="0.25">
      <c r="B14" s="20" t="s">
        <v>49</v>
      </c>
      <c r="C14" s="26">
        <v>38.700000000000003</v>
      </c>
      <c r="D14" s="42">
        <v>15.3</v>
      </c>
      <c r="E14" s="42">
        <v>64.2</v>
      </c>
      <c r="F14" s="42">
        <v>3.1</v>
      </c>
      <c r="G14" s="26">
        <v>47</v>
      </c>
      <c r="H14" s="42">
        <v>18.600000000000001</v>
      </c>
      <c r="I14" s="42">
        <v>78</v>
      </c>
      <c r="J14" s="42">
        <v>3.7</v>
      </c>
      <c r="K14" s="26">
        <v>14.4</v>
      </c>
      <c r="L14" s="42">
        <v>5.7</v>
      </c>
      <c r="M14" s="42">
        <v>23.9</v>
      </c>
      <c r="N14" s="42">
        <v>1.1000000000000001</v>
      </c>
      <c r="O14" s="27"/>
      <c r="P14" s="26">
        <v>51.7</v>
      </c>
      <c r="Q14" s="42">
        <v>22.5</v>
      </c>
      <c r="R14" s="42">
        <v>94.2</v>
      </c>
      <c r="S14" s="42">
        <v>4.5</v>
      </c>
      <c r="T14" s="26">
        <v>44</v>
      </c>
      <c r="U14" s="42">
        <v>19.2</v>
      </c>
      <c r="V14" s="42">
        <v>80.3</v>
      </c>
      <c r="W14" s="42">
        <v>3.8</v>
      </c>
      <c r="X14" s="26">
        <v>4.3</v>
      </c>
      <c r="Y14" s="42">
        <v>1.9</v>
      </c>
      <c r="Z14" s="42">
        <v>7.9</v>
      </c>
      <c r="AA14" s="42">
        <v>0.4</v>
      </c>
      <c r="AB14" s="27"/>
      <c r="AC14" s="26">
        <v>55.6</v>
      </c>
      <c r="AD14" s="42">
        <v>25.1</v>
      </c>
      <c r="AE14" s="42">
        <v>104.8</v>
      </c>
      <c r="AF14" s="42">
        <v>5</v>
      </c>
      <c r="AG14" s="26">
        <v>41</v>
      </c>
      <c r="AH14" s="42">
        <v>18.5</v>
      </c>
      <c r="AI14" s="42">
        <v>77.2</v>
      </c>
      <c r="AJ14" s="42">
        <v>3.7</v>
      </c>
      <c r="AK14" s="26">
        <v>3.4</v>
      </c>
      <c r="AL14" s="42">
        <v>1.5</v>
      </c>
      <c r="AM14" s="42">
        <v>6.4</v>
      </c>
      <c r="AN14" s="42">
        <v>0.3</v>
      </c>
      <c r="AO14" s="24"/>
      <c r="AP14" s="41">
        <f t="shared" si="7"/>
        <v>48.666666666666664</v>
      </c>
      <c r="AQ14" s="41">
        <f t="shared" si="8"/>
        <v>62.900000000000006</v>
      </c>
      <c r="AR14" s="41">
        <f t="shared" si="1"/>
        <v>263.2</v>
      </c>
      <c r="AS14" s="41">
        <f t="shared" si="1"/>
        <v>12.6</v>
      </c>
      <c r="AT14" s="41">
        <f t="shared" si="9"/>
        <v>44</v>
      </c>
      <c r="AU14" s="41">
        <f t="shared" si="10"/>
        <v>56.300000000000004</v>
      </c>
      <c r="AV14" s="41">
        <f t="shared" si="2"/>
        <v>235.5</v>
      </c>
      <c r="AW14" s="41">
        <f t="shared" si="3"/>
        <v>11.2</v>
      </c>
      <c r="AX14" s="41">
        <f t="shared" si="11"/>
        <v>7.3666666666666663</v>
      </c>
      <c r="AY14" s="41">
        <f t="shared" si="12"/>
        <v>9.1</v>
      </c>
      <c r="AZ14" s="41">
        <f t="shared" si="5"/>
        <v>38.200000000000003</v>
      </c>
      <c r="BA14" s="41">
        <f t="shared" si="6"/>
        <v>1.8</v>
      </c>
    </row>
    <row r="15" spans="2:53" ht="15.75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4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4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4"/>
      <c r="AP15" s="20"/>
      <c r="AQ15" s="20"/>
      <c r="AR15" s="20"/>
      <c r="AS15" s="20"/>
      <c r="AT15" s="41"/>
      <c r="AU15" s="20"/>
      <c r="AV15" s="20"/>
      <c r="AW15" s="20"/>
      <c r="AX15" s="41"/>
      <c r="AY15" s="20"/>
      <c r="AZ15" s="20"/>
      <c r="BA15" s="20"/>
    </row>
    <row r="16" spans="2:53" ht="15.75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2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2"/>
      <c r="AP16" s="31"/>
      <c r="AQ16" s="31"/>
      <c r="AR16" s="31"/>
      <c r="AS16" s="31"/>
      <c r="AT16" s="39"/>
      <c r="AU16" s="31"/>
      <c r="AV16" s="31"/>
      <c r="AW16" s="31"/>
      <c r="AX16" s="39"/>
      <c r="AY16" s="31"/>
      <c r="AZ16" s="31"/>
      <c r="BA16" s="31"/>
    </row>
    <row r="17" spans="2:53" ht="21" x14ac:dyDescent="0.25">
      <c r="B17" s="33" t="s">
        <v>54</v>
      </c>
      <c r="C17" s="39">
        <f>AVERAGE(C6:C14)</f>
        <v>37.633333333333333</v>
      </c>
      <c r="D17" s="39">
        <f>AVERAGE(D6:D14)</f>
        <v>13.977777777777776</v>
      </c>
      <c r="E17" s="39">
        <f>AVERAGE(E6:E14)</f>
        <v>58.466666666666669</v>
      </c>
      <c r="F17" s="39">
        <f>AVERAGE(F6:F14)</f>
        <v>2.8000000000000007</v>
      </c>
      <c r="G17" s="39">
        <f t="shared" ref="G17:AN17" si="13">AVERAGE(G6:G14)</f>
        <v>49.666666666666671</v>
      </c>
      <c r="H17" s="39">
        <f>AVERAGE(H6:H14)</f>
        <v>18.87777777777778</v>
      </c>
      <c r="I17" s="39">
        <f>AVERAGE(I6:I14)</f>
        <v>79.022222222222226</v>
      </c>
      <c r="J17" s="39">
        <f>AVERAGE(J6:J14)</f>
        <v>3.7555555555555551</v>
      </c>
      <c r="K17" s="39">
        <f t="shared" si="13"/>
        <v>12.722222222222223</v>
      </c>
      <c r="L17" s="39">
        <f>AVERAGE(L6:L14)</f>
        <v>4.6333333333333337</v>
      </c>
      <c r="M17" s="39">
        <f>AVERAGE(M6:M14)</f>
        <v>19.466666666666665</v>
      </c>
      <c r="N17" s="39">
        <v>0.52500000000000002</v>
      </c>
      <c r="O17" s="45"/>
      <c r="P17" s="39">
        <f t="shared" si="13"/>
        <v>52.911111111111119</v>
      </c>
      <c r="Q17" s="39">
        <f>AVERAGE(Q6:Q14)</f>
        <v>21.955555555555556</v>
      </c>
      <c r="R17" s="39">
        <f>AVERAGE(R6:R14)</f>
        <v>91.755555555555574</v>
      </c>
      <c r="S17" s="39">
        <f>AVERAGE(S6:S14)</f>
        <v>4.3888888888888893</v>
      </c>
      <c r="T17" s="39">
        <f t="shared" si="13"/>
        <v>42.599999999999994</v>
      </c>
      <c r="U17" s="39">
        <f>AVERAGE(U6:U14)</f>
        <v>18.444444444444443</v>
      </c>
      <c r="V17" s="39">
        <f>AVERAGE(V6:V14)</f>
        <v>77.188888888888883</v>
      </c>
      <c r="W17" s="39">
        <f>AVERAGE(W6:W14)</f>
        <v>3.6888888888888891</v>
      </c>
      <c r="X17" s="39">
        <f t="shared" si="13"/>
        <v>4.5111111111111102</v>
      </c>
      <c r="Y17" s="39">
        <f>AVERAGE(Y6:Y14)</f>
        <v>1.9777777777777774</v>
      </c>
      <c r="Z17" s="39">
        <f>AVERAGE(Z6:Z14)</f>
        <v>8.3222222222222229</v>
      </c>
      <c r="AA17" s="39">
        <f>AVERAGE(AA6:AA14)</f>
        <v>0.38888888888888895</v>
      </c>
      <c r="AB17" s="45"/>
      <c r="AC17" s="39">
        <f t="shared" si="13"/>
        <v>56.488888888888894</v>
      </c>
      <c r="AD17" s="39">
        <f t="shared" ref="AD17:AM17" si="14">AVERAGE(AD6:AD14)</f>
        <v>24.033333333333335</v>
      </c>
      <c r="AE17" s="39">
        <f t="shared" si="14"/>
        <v>100.51111111111112</v>
      </c>
      <c r="AF17" s="39">
        <f t="shared" si="14"/>
        <v>4.8111111111111118</v>
      </c>
      <c r="AG17" s="39">
        <f t="shared" si="14"/>
        <v>41.111111111111114</v>
      </c>
      <c r="AH17" s="39">
        <f t="shared" si="14"/>
        <v>18.022222222222226</v>
      </c>
      <c r="AI17" s="39">
        <f t="shared" si="14"/>
        <v>75.400000000000006</v>
      </c>
      <c r="AJ17" s="39">
        <f t="shared" si="14"/>
        <v>3.6222222222222222</v>
      </c>
      <c r="AK17" s="39">
        <f t="shared" si="14"/>
        <v>2.3888888888888884</v>
      </c>
      <c r="AL17" s="39">
        <f t="shared" si="14"/>
        <v>1.0444444444444445</v>
      </c>
      <c r="AM17" s="39">
        <f t="shared" si="14"/>
        <v>4.4000000000000004</v>
      </c>
      <c r="AN17" s="39">
        <f t="shared" si="13"/>
        <v>0.22222222222222221</v>
      </c>
      <c r="AO17" s="45"/>
      <c r="AP17" s="39">
        <f t="shared" ref="AP17:BA17" si="15">AVERAGE(AP6:AP14)</f>
        <v>49.011111111111106</v>
      </c>
      <c r="AQ17" s="39">
        <f t="shared" si="15"/>
        <v>59.966666666666661</v>
      </c>
      <c r="AR17" s="39">
        <f t="shared" si="15"/>
        <v>250.73333333333332</v>
      </c>
      <c r="AS17" s="39">
        <f t="shared" si="15"/>
        <v>12</v>
      </c>
      <c r="AT17" s="39">
        <f t="shared" si="15"/>
        <v>44.459259259259255</v>
      </c>
      <c r="AU17" s="39">
        <f t="shared" si="15"/>
        <v>55.344444444444449</v>
      </c>
      <c r="AV17" s="39">
        <f t="shared" si="15"/>
        <v>231.61111111111111</v>
      </c>
      <c r="AW17" s="39">
        <f t="shared" si="15"/>
        <v>11.066666666666666</v>
      </c>
      <c r="AX17" s="39">
        <f t="shared" si="15"/>
        <v>6.5407407407407412</v>
      </c>
      <c r="AY17" s="39">
        <f t="shared" si="15"/>
        <v>7.6555555555555559</v>
      </c>
      <c r="AZ17" s="39">
        <f t="shared" si="15"/>
        <v>32.18888888888889</v>
      </c>
      <c r="BA17" s="39">
        <f t="shared" si="15"/>
        <v>1.5333333333333334</v>
      </c>
    </row>
    <row r="18" spans="2:53" ht="21" x14ac:dyDescent="0.25">
      <c r="B18" s="33" t="s">
        <v>55</v>
      </c>
      <c r="C18" s="39">
        <f>_xlfn.STDEV.S(C6:C15)</f>
        <v>2.1083168642308014</v>
      </c>
      <c r="D18" s="39">
        <f>_xlfn.STDEV.S(D6:D15)</f>
        <v>2.9405687280600254</v>
      </c>
      <c r="E18" s="39">
        <f>_xlfn.STDEV.S(E6:E15)</f>
        <v>12.311986029881577</v>
      </c>
      <c r="F18" s="39">
        <f t="shared" ref="F18:AN18" si="16">_xlfn.STDEV.S(F6:F15)</f>
        <v>0.58949130612757694</v>
      </c>
      <c r="G18" s="39">
        <f t="shared" si="16"/>
        <v>5.0650765048516284</v>
      </c>
      <c r="H18" s="39">
        <f t="shared" si="16"/>
        <v>6.6217025336724715</v>
      </c>
      <c r="I18" s="39">
        <f t="shared" si="16"/>
        <v>27.704457122355691</v>
      </c>
      <c r="J18" s="39">
        <f t="shared" si="16"/>
        <v>1.3239251405490349</v>
      </c>
      <c r="K18" s="39">
        <f t="shared" si="16"/>
        <v>3.5912316055142401</v>
      </c>
      <c r="L18" s="39">
        <f t="shared" si="16"/>
        <v>1.3152946437965893</v>
      </c>
      <c r="M18" s="39">
        <f t="shared" si="16"/>
        <v>5.5619241274940148</v>
      </c>
      <c r="N18" s="39">
        <f t="shared" si="16"/>
        <v>0.26822461565718431</v>
      </c>
      <c r="O18" s="45"/>
      <c r="P18" s="39">
        <f t="shared" si="16"/>
        <v>6.7997140462750973</v>
      </c>
      <c r="Q18" s="39">
        <f t="shared" si="16"/>
        <v>3.0830630512167452</v>
      </c>
      <c r="R18" s="39">
        <f t="shared" si="16"/>
        <v>12.860220751518057</v>
      </c>
      <c r="S18" s="39">
        <f t="shared" si="16"/>
        <v>0.62738434082395866</v>
      </c>
      <c r="T18" s="39">
        <f t="shared" si="16"/>
        <v>7.063639288638714</v>
      </c>
      <c r="U18" s="39">
        <f t="shared" si="16"/>
        <v>7.0207035101745987</v>
      </c>
      <c r="V18" s="39">
        <f t="shared" si="16"/>
        <v>29.314520482366973</v>
      </c>
      <c r="W18" s="39">
        <f t="shared" si="16"/>
        <v>1.4092945437739781</v>
      </c>
      <c r="X18" s="39">
        <f t="shared" si="16"/>
        <v>2.0520991962161874</v>
      </c>
      <c r="Y18" s="39">
        <f t="shared" si="16"/>
        <v>1.1819240434327603</v>
      </c>
      <c r="Z18" s="39">
        <f t="shared" si="16"/>
        <v>4.936035296110072</v>
      </c>
      <c r="AA18" s="39">
        <f t="shared" si="16"/>
        <v>0.25712081034235845</v>
      </c>
      <c r="AB18" s="45"/>
      <c r="AC18" s="39">
        <f t="shared" si="16"/>
        <v>6.9085896615091196</v>
      </c>
      <c r="AD18" s="39">
        <f t="shared" si="16"/>
        <v>4.7465777145223367</v>
      </c>
      <c r="AE18" s="39">
        <f t="shared" si="16"/>
        <v>19.889786602955542</v>
      </c>
      <c r="AF18" s="39">
        <f t="shared" si="16"/>
        <v>0.94398681723375155</v>
      </c>
      <c r="AG18" s="39">
        <f t="shared" si="16"/>
        <v>7.1178375305363</v>
      </c>
      <c r="AH18" s="39">
        <f t="shared" si="16"/>
        <v>6.6980925974820895</v>
      </c>
      <c r="AI18" s="39">
        <f t="shared" si="16"/>
        <v>27.993749302299605</v>
      </c>
      <c r="AJ18" s="39">
        <f t="shared" si="16"/>
        <v>1.3292646254393623</v>
      </c>
      <c r="AK18" s="39">
        <f t="shared" si="16"/>
        <v>1.4486583831639239</v>
      </c>
      <c r="AL18" s="39">
        <f t="shared" si="16"/>
        <v>0.72476049683862998</v>
      </c>
      <c r="AM18" s="39">
        <f t="shared" si="16"/>
        <v>2.9727932992389503</v>
      </c>
      <c r="AN18" s="39">
        <f t="shared" si="16"/>
        <v>0.12018504251546629</v>
      </c>
      <c r="AO18" s="45"/>
      <c r="AP18" s="39">
        <f t="shared" ref="AP18:BA18" si="17">_xlfn.STDEV.S(AP6:AP15)</f>
        <v>4.6715153382554098</v>
      </c>
      <c r="AQ18" s="39">
        <f t="shared" si="17"/>
        <v>9.7388397666252633</v>
      </c>
      <c r="AR18" s="39">
        <f t="shared" si="17"/>
        <v>40.734629002852081</v>
      </c>
      <c r="AS18" s="39">
        <f t="shared" si="17"/>
        <v>1.945507645834371</v>
      </c>
      <c r="AT18" s="39">
        <f t="shared" si="17"/>
        <v>5.1857651792023676</v>
      </c>
      <c r="AU18" s="39">
        <f t="shared" si="17"/>
        <v>19.377636021397915</v>
      </c>
      <c r="AV18" s="39">
        <f t="shared" si="17"/>
        <v>81.008941550369101</v>
      </c>
      <c r="AW18" s="39">
        <f t="shared" si="17"/>
        <v>3.8658763560155478</v>
      </c>
      <c r="AX18" s="39">
        <f t="shared" si="17"/>
        <v>0.81951506287047982</v>
      </c>
      <c r="AY18" s="39">
        <f t="shared" si="17"/>
        <v>1.6333333333333273</v>
      </c>
      <c r="AZ18" s="39">
        <f t="shared" si="17"/>
        <v>6.9065990987685835</v>
      </c>
      <c r="BA18" s="39">
        <f t="shared" si="17"/>
        <v>0.36055512754639879</v>
      </c>
    </row>
    <row r="19" spans="2:53" ht="21" x14ac:dyDescent="0.25">
      <c r="B19" s="33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8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2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2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</row>
    <row r="20" spans="2:53" ht="15.75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</row>
    <row r="21" spans="2:53" ht="15.75" x14ac:dyDescent="0.25">
      <c r="B21" s="96" t="s">
        <v>10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</row>
    <row r="22" spans="2:53" ht="15.75" x14ac:dyDescent="0.25">
      <c r="B22" s="22" t="s">
        <v>0</v>
      </c>
      <c r="C22" s="96" t="s">
        <v>11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23"/>
      <c r="P22" s="96" t="s">
        <v>12</v>
      </c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25"/>
      <c r="AC22" s="96" t="s">
        <v>13</v>
      </c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23"/>
      <c r="AP22" s="97" t="s">
        <v>54</v>
      </c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</row>
    <row r="23" spans="2:53" ht="15.75" x14ac:dyDescent="0.25">
      <c r="B23" s="22"/>
      <c r="C23" s="93" t="s">
        <v>51</v>
      </c>
      <c r="D23" s="94"/>
      <c r="E23" s="94"/>
      <c r="F23" s="95"/>
      <c r="G23" s="93" t="s">
        <v>15</v>
      </c>
      <c r="H23" s="94"/>
      <c r="I23" s="94"/>
      <c r="J23" s="95"/>
      <c r="K23" s="93" t="s">
        <v>52</v>
      </c>
      <c r="L23" s="94"/>
      <c r="M23" s="94"/>
      <c r="N23" s="95"/>
      <c r="O23" s="23"/>
      <c r="P23" s="93" t="s">
        <v>51</v>
      </c>
      <c r="Q23" s="94"/>
      <c r="R23" s="94"/>
      <c r="S23" s="95"/>
      <c r="T23" s="93" t="s">
        <v>15</v>
      </c>
      <c r="U23" s="94"/>
      <c r="V23" s="94"/>
      <c r="W23" s="95"/>
      <c r="X23" s="93" t="s">
        <v>52</v>
      </c>
      <c r="Y23" s="94"/>
      <c r="Z23" s="94"/>
      <c r="AA23" s="95"/>
      <c r="AB23" s="23"/>
      <c r="AC23" s="93" t="s">
        <v>51</v>
      </c>
      <c r="AD23" s="94"/>
      <c r="AE23" s="94"/>
      <c r="AF23" s="95"/>
      <c r="AG23" s="93" t="s">
        <v>15</v>
      </c>
      <c r="AH23" s="94"/>
      <c r="AI23" s="94"/>
      <c r="AJ23" s="95"/>
      <c r="AK23" s="93" t="s">
        <v>52</v>
      </c>
      <c r="AL23" s="94"/>
      <c r="AM23" s="94"/>
      <c r="AN23" s="95"/>
      <c r="AO23" s="23"/>
      <c r="AP23" s="93" t="s">
        <v>51</v>
      </c>
      <c r="AQ23" s="94"/>
      <c r="AR23" s="94"/>
      <c r="AS23" s="95"/>
      <c r="AT23" s="93" t="s">
        <v>15</v>
      </c>
      <c r="AU23" s="94"/>
      <c r="AV23" s="94"/>
      <c r="AW23" s="95"/>
      <c r="AX23" s="93" t="s">
        <v>52</v>
      </c>
      <c r="AY23" s="94"/>
      <c r="AZ23" s="94"/>
      <c r="BA23" s="95"/>
    </row>
    <row r="24" spans="2:53" ht="15.75" x14ac:dyDescent="0.25">
      <c r="B24" s="20"/>
      <c r="C24" s="29" t="s">
        <v>22</v>
      </c>
      <c r="D24" s="29" t="s">
        <v>19</v>
      </c>
      <c r="E24" s="29" t="s">
        <v>21</v>
      </c>
      <c r="F24" s="29" t="s">
        <v>20</v>
      </c>
      <c r="G24" s="29" t="s">
        <v>22</v>
      </c>
      <c r="H24" s="29" t="s">
        <v>19</v>
      </c>
      <c r="I24" s="29" t="s">
        <v>21</v>
      </c>
      <c r="J24" s="29" t="s">
        <v>20</v>
      </c>
      <c r="K24" s="29" t="s">
        <v>22</v>
      </c>
      <c r="L24" s="29" t="s">
        <v>19</v>
      </c>
      <c r="M24" s="29" t="s">
        <v>21</v>
      </c>
      <c r="N24" s="29" t="s">
        <v>20</v>
      </c>
      <c r="O24" s="30"/>
      <c r="P24" s="29" t="s">
        <v>22</v>
      </c>
      <c r="Q24" s="29" t="s">
        <v>19</v>
      </c>
      <c r="R24" s="29" t="s">
        <v>21</v>
      </c>
      <c r="S24" s="29" t="s">
        <v>20</v>
      </c>
      <c r="T24" s="29" t="s">
        <v>22</v>
      </c>
      <c r="U24" s="29" t="s">
        <v>19</v>
      </c>
      <c r="V24" s="29" t="s">
        <v>21</v>
      </c>
      <c r="W24" s="29" t="s">
        <v>20</v>
      </c>
      <c r="X24" s="29" t="s">
        <v>22</v>
      </c>
      <c r="Y24" s="29" t="s">
        <v>19</v>
      </c>
      <c r="Z24" s="29" t="s">
        <v>21</v>
      </c>
      <c r="AA24" s="29" t="s">
        <v>20</v>
      </c>
      <c r="AB24" s="30"/>
      <c r="AC24" s="29" t="s">
        <v>22</v>
      </c>
      <c r="AD24" s="29" t="s">
        <v>19</v>
      </c>
      <c r="AE24" s="29" t="s">
        <v>21</v>
      </c>
      <c r="AF24" s="29" t="s">
        <v>20</v>
      </c>
      <c r="AG24" s="29" t="s">
        <v>22</v>
      </c>
      <c r="AH24" s="29" t="s">
        <v>19</v>
      </c>
      <c r="AI24" s="29" t="s">
        <v>21</v>
      </c>
      <c r="AJ24" s="29" t="s">
        <v>20</v>
      </c>
      <c r="AK24" s="29" t="s">
        <v>22</v>
      </c>
      <c r="AL24" s="29" t="s">
        <v>19</v>
      </c>
      <c r="AM24" s="29" t="s">
        <v>21</v>
      </c>
      <c r="AN24" s="29" t="s">
        <v>20</v>
      </c>
      <c r="AO24" s="23"/>
      <c r="AP24" s="22" t="s">
        <v>22</v>
      </c>
      <c r="AQ24" s="22" t="s">
        <v>19</v>
      </c>
      <c r="AR24" s="22" t="s">
        <v>21</v>
      </c>
      <c r="AS24" s="22" t="s">
        <v>20</v>
      </c>
      <c r="AT24" s="22" t="s">
        <v>22</v>
      </c>
      <c r="AU24" s="22" t="s">
        <v>19</v>
      </c>
      <c r="AV24" s="22" t="s">
        <v>21</v>
      </c>
      <c r="AW24" s="22" t="s">
        <v>20</v>
      </c>
      <c r="AX24" s="22" t="s">
        <v>22</v>
      </c>
      <c r="AY24" s="22" t="s">
        <v>19</v>
      </c>
      <c r="AZ24" s="22" t="s">
        <v>21</v>
      </c>
      <c r="BA24" s="22" t="s">
        <v>20</v>
      </c>
    </row>
    <row r="25" spans="2:53" ht="15.75" x14ac:dyDescent="0.25">
      <c r="B25" s="20" t="s">
        <v>41</v>
      </c>
      <c r="C25" s="26">
        <v>45.3</v>
      </c>
      <c r="D25" s="43">
        <v>18</v>
      </c>
      <c r="E25" s="43">
        <v>75.3</v>
      </c>
      <c r="F25" s="43">
        <v>3.6</v>
      </c>
      <c r="G25" s="26">
        <v>47</v>
      </c>
      <c r="H25" s="43">
        <v>18.7</v>
      </c>
      <c r="I25" s="43">
        <v>78.2</v>
      </c>
      <c r="J25" s="43">
        <v>3.7</v>
      </c>
      <c r="K25" s="26">
        <v>7.7</v>
      </c>
      <c r="L25" s="43">
        <v>3.1</v>
      </c>
      <c r="M25" s="43">
        <v>12.9</v>
      </c>
      <c r="N25" s="43">
        <v>0.6</v>
      </c>
      <c r="O25" s="27"/>
      <c r="P25" s="26">
        <v>58</v>
      </c>
      <c r="Q25" s="43">
        <v>28.6</v>
      </c>
      <c r="R25" s="43">
        <v>119.7</v>
      </c>
      <c r="S25" s="43">
        <v>5.7</v>
      </c>
      <c r="T25" s="26">
        <v>37.6</v>
      </c>
      <c r="U25" s="43">
        <v>18.5</v>
      </c>
      <c r="V25" s="43">
        <v>77.5</v>
      </c>
      <c r="W25" s="43">
        <v>3.7</v>
      </c>
      <c r="X25" s="26">
        <v>4.4000000000000004</v>
      </c>
      <c r="Y25" s="43">
        <v>2.2000000000000002</v>
      </c>
      <c r="Z25" s="43">
        <v>9.1999999999999993</v>
      </c>
      <c r="AA25" s="43">
        <v>0.4</v>
      </c>
      <c r="AB25" s="27"/>
      <c r="AC25" s="26">
        <v>72.3</v>
      </c>
      <c r="AD25" s="43">
        <v>26.7</v>
      </c>
      <c r="AE25" s="43">
        <v>111.6</v>
      </c>
      <c r="AF25" s="43">
        <v>5.3</v>
      </c>
      <c r="AG25" s="26">
        <v>25.1</v>
      </c>
      <c r="AH25" s="43">
        <v>9.1999999999999993</v>
      </c>
      <c r="AI25" s="43">
        <v>38.700000000000003</v>
      </c>
      <c r="AJ25" s="43">
        <v>1.8</v>
      </c>
      <c r="AK25" s="26">
        <v>2.6</v>
      </c>
      <c r="AL25" s="43">
        <v>1</v>
      </c>
      <c r="AM25" s="43">
        <v>4</v>
      </c>
      <c r="AN25" s="43">
        <v>0.2</v>
      </c>
      <c r="AO25" s="24"/>
      <c r="AP25" s="41">
        <f t="shared" ref="AP25:AP33" si="18">AVERAGE(C25,P25,AC25)</f>
        <v>58.533333333333331</v>
      </c>
      <c r="AQ25" s="41">
        <f>SUM(AD25,Q25,D25)</f>
        <v>73.3</v>
      </c>
      <c r="AR25" s="41">
        <f t="shared" ref="AR25:AR33" si="19">SUM(AE25,R25,E25)</f>
        <v>306.60000000000002</v>
      </c>
      <c r="AS25" s="41">
        <f t="shared" ref="AS25:AS33" si="20">SUM(AF25,S25,F25)</f>
        <v>14.6</v>
      </c>
      <c r="AT25" s="41">
        <f t="shared" ref="AT25:AT33" si="21">AVERAGE(G25,T25,AG25)</f>
        <v>36.566666666666663</v>
      </c>
      <c r="AU25" s="41">
        <f>SUM(AH25,U25,H25)</f>
        <v>46.4</v>
      </c>
      <c r="AV25" s="41">
        <f t="shared" ref="AV25:AV33" si="22">SUM(AI25,V25,I25)</f>
        <v>194.4</v>
      </c>
      <c r="AW25" s="41">
        <f t="shared" ref="AW25:AW33" si="23">SUM(AJ25,W25,J25)</f>
        <v>9.1999999999999993</v>
      </c>
      <c r="AX25" s="41">
        <f t="shared" ref="AX25:AX33" si="24">AVERAGE(K25,X25,AK25)</f>
        <v>4.9000000000000004</v>
      </c>
      <c r="AY25" s="41">
        <f>SUM(AL25,Y25,L25)</f>
        <v>6.3000000000000007</v>
      </c>
      <c r="AZ25" s="41">
        <f t="shared" ref="AZ25:AZ33" si="25">SUM(AM25,Z25,M25)</f>
        <v>26.1</v>
      </c>
      <c r="BA25" s="41">
        <f t="shared" ref="BA25:BA33" si="26">SUM(AN25,AA25,N25)</f>
        <v>1.2000000000000002</v>
      </c>
    </row>
    <row r="26" spans="2:53" ht="15.75" x14ac:dyDescent="0.25">
      <c r="B26" s="20" t="s">
        <v>42</v>
      </c>
      <c r="C26" s="26">
        <v>51</v>
      </c>
      <c r="D26" s="42">
        <v>17.600000000000001</v>
      </c>
      <c r="E26" s="42">
        <v>73.7</v>
      </c>
      <c r="F26" s="42">
        <v>3.5</v>
      </c>
      <c r="G26" s="26">
        <v>42.5</v>
      </c>
      <c r="H26" s="42">
        <v>14.7</v>
      </c>
      <c r="I26" s="42">
        <v>61.4</v>
      </c>
      <c r="J26" s="42">
        <v>2.9</v>
      </c>
      <c r="K26" s="26">
        <v>6.4</v>
      </c>
      <c r="L26" s="42">
        <v>2.2000000000000002</v>
      </c>
      <c r="M26" s="42">
        <v>9.3000000000000007</v>
      </c>
      <c r="N26" s="42">
        <v>0.4</v>
      </c>
      <c r="O26" s="27"/>
      <c r="P26" s="26">
        <v>58</v>
      </c>
      <c r="Q26" s="42">
        <v>25.3</v>
      </c>
      <c r="R26" s="42">
        <v>105.9</v>
      </c>
      <c r="S26" s="42">
        <v>5.0999999999999996</v>
      </c>
      <c r="T26" s="26">
        <v>38.6</v>
      </c>
      <c r="U26" s="42">
        <v>16.899999999999999</v>
      </c>
      <c r="V26" s="42">
        <v>70.5</v>
      </c>
      <c r="W26" s="42">
        <v>3.4</v>
      </c>
      <c r="X26" s="26">
        <v>3.4</v>
      </c>
      <c r="Y26" s="42">
        <v>1.5</v>
      </c>
      <c r="Z26" s="42">
        <v>6.2</v>
      </c>
      <c r="AA26" s="42">
        <v>0.3</v>
      </c>
      <c r="AB26" s="27"/>
      <c r="AC26" s="26">
        <v>61.1</v>
      </c>
      <c r="AD26" s="42">
        <v>27.4</v>
      </c>
      <c r="AE26" s="42">
        <v>114.6</v>
      </c>
      <c r="AF26" s="42">
        <v>5.5</v>
      </c>
      <c r="AG26" s="26">
        <v>35.700000000000003</v>
      </c>
      <c r="AH26" s="42">
        <v>16</v>
      </c>
      <c r="AI26" s="42">
        <v>67</v>
      </c>
      <c r="AJ26" s="42">
        <v>3.2</v>
      </c>
      <c r="AK26" s="26">
        <v>3.1</v>
      </c>
      <c r="AL26" s="42">
        <v>1.4</v>
      </c>
      <c r="AM26" s="42">
        <v>5.9</v>
      </c>
      <c r="AN26" s="42">
        <v>0.3</v>
      </c>
      <c r="AO26" s="24"/>
      <c r="AP26" s="41">
        <f t="shared" si="18"/>
        <v>56.699999999999996</v>
      </c>
      <c r="AQ26" s="41">
        <f t="shared" ref="AQ26:AQ33" si="27">SUM(AD26,Q26,D26)</f>
        <v>70.300000000000011</v>
      </c>
      <c r="AR26" s="41">
        <f t="shared" si="19"/>
        <v>294.2</v>
      </c>
      <c r="AS26" s="41">
        <f t="shared" si="20"/>
        <v>14.1</v>
      </c>
      <c r="AT26" s="41">
        <f t="shared" si="21"/>
        <v>38.93333333333333</v>
      </c>
      <c r="AU26" s="41">
        <f t="shared" ref="AU26:AU33" si="28">SUM(AH26,U26,H26)</f>
        <v>47.599999999999994</v>
      </c>
      <c r="AV26" s="41">
        <f t="shared" si="22"/>
        <v>198.9</v>
      </c>
      <c r="AW26" s="41">
        <f t="shared" si="23"/>
        <v>9.5</v>
      </c>
      <c r="AX26" s="41">
        <f t="shared" si="24"/>
        <v>4.3</v>
      </c>
      <c r="AY26" s="41">
        <f t="shared" ref="AY26:AY33" si="29">SUM(AL26,Y26,L26)</f>
        <v>5.0999999999999996</v>
      </c>
      <c r="AZ26" s="41">
        <f t="shared" si="25"/>
        <v>21.400000000000002</v>
      </c>
      <c r="BA26" s="41">
        <f t="shared" si="26"/>
        <v>1</v>
      </c>
    </row>
    <row r="27" spans="2:53" ht="15.75" x14ac:dyDescent="0.25">
      <c r="B27" s="20" t="s">
        <v>43</v>
      </c>
      <c r="C27" s="26">
        <v>49.8</v>
      </c>
      <c r="D27" s="43">
        <v>21.2</v>
      </c>
      <c r="E27" s="43">
        <v>88.9</v>
      </c>
      <c r="F27" s="43">
        <v>4.2</v>
      </c>
      <c r="G27" s="26">
        <v>42.9</v>
      </c>
      <c r="H27" s="43">
        <v>18.3</v>
      </c>
      <c r="I27" s="43">
        <v>76.5</v>
      </c>
      <c r="J27" s="43">
        <v>3.7</v>
      </c>
      <c r="K27" s="26">
        <v>7.3</v>
      </c>
      <c r="L27" s="43">
        <v>3.1</v>
      </c>
      <c r="M27" s="43">
        <v>13</v>
      </c>
      <c r="N27" s="43">
        <v>0.6</v>
      </c>
      <c r="O27" s="27"/>
      <c r="P27" s="26">
        <v>56.3</v>
      </c>
      <c r="Q27" s="43">
        <v>25.4</v>
      </c>
      <c r="R27" s="43">
        <v>106.4</v>
      </c>
      <c r="S27" s="43">
        <v>5.0999999999999996</v>
      </c>
      <c r="T27" s="26">
        <v>40</v>
      </c>
      <c r="U27" s="43">
        <v>18.100000000000001</v>
      </c>
      <c r="V27" s="43">
        <v>75.599999999999994</v>
      </c>
      <c r="W27" s="43">
        <v>3.6</v>
      </c>
      <c r="X27" s="26">
        <v>3.7</v>
      </c>
      <c r="Y27" s="43">
        <v>1.7</v>
      </c>
      <c r="Z27" s="43">
        <v>7.1</v>
      </c>
      <c r="AA27" s="43">
        <v>0.3</v>
      </c>
      <c r="AB27" s="27"/>
      <c r="AC27" s="26">
        <v>58.6</v>
      </c>
      <c r="AD27" s="43">
        <v>25.3</v>
      </c>
      <c r="AE27" s="43">
        <v>105.9</v>
      </c>
      <c r="AF27" s="43">
        <v>5.0999999999999996</v>
      </c>
      <c r="AG27" s="26">
        <v>40.1</v>
      </c>
      <c r="AH27" s="43">
        <v>17.3</v>
      </c>
      <c r="AI27" s="43">
        <v>72.400000000000006</v>
      </c>
      <c r="AJ27" s="43">
        <v>3.5</v>
      </c>
      <c r="AK27" s="26">
        <v>1.3</v>
      </c>
      <c r="AL27" s="43">
        <v>0.5</v>
      </c>
      <c r="AM27" s="43">
        <v>2.2999999999999998</v>
      </c>
      <c r="AN27" s="43">
        <v>0.1</v>
      </c>
      <c r="AO27" s="24"/>
      <c r="AP27" s="41">
        <f t="shared" si="18"/>
        <v>54.9</v>
      </c>
      <c r="AQ27" s="41">
        <f t="shared" si="27"/>
        <v>71.900000000000006</v>
      </c>
      <c r="AR27" s="41">
        <f t="shared" si="19"/>
        <v>301.20000000000005</v>
      </c>
      <c r="AS27" s="41">
        <f t="shared" si="20"/>
        <v>14.399999999999999</v>
      </c>
      <c r="AT27" s="41">
        <f t="shared" si="21"/>
        <v>41</v>
      </c>
      <c r="AU27" s="41">
        <f t="shared" si="28"/>
        <v>53.7</v>
      </c>
      <c r="AV27" s="41">
        <f t="shared" si="22"/>
        <v>224.5</v>
      </c>
      <c r="AW27" s="41">
        <f t="shared" si="23"/>
        <v>10.8</v>
      </c>
      <c r="AX27" s="41">
        <f t="shared" si="24"/>
        <v>4.1000000000000005</v>
      </c>
      <c r="AY27" s="41">
        <f t="shared" si="29"/>
        <v>5.3000000000000007</v>
      </c>
      <c r="AZ27" s="41">
        <f t="shared" si="25"/>
        <v>22.4</v>
      </c>
      <c r="BA27" s="41">
        <f t="shared" si="26"/>
        <v>1</v>
      </c>
    </row>
    <row r="28" spans="2:53" ht="15.75" x14ac:dyDescent="0.25">
      <c r="B28" s="20" t="s">
        <v>44</v>
      </c>
      <c r="C28" s="26">
        <v>34.799999999999997</v>
      </c>
      <c r="D28" s="43">
        <v>15.6</v>
      </c>
      <c r="E28" s="43">
        <v>65.2</v>
      </c>
      <c r="F28" s="43">
        <v>3.1</v>
      </c>
      <c r="G28" s="26">
        <v>61.3</v>
      </c>
      <c r="H28" s="43">
        <v>27.4</v>
      </c>
      <c r="I28" s="43">
        <v>114.6</v>
      </c>
      <c r="J28" s="43">
        <v>5.5</v>
      </c>
      <c r="K28" s="26">
        <v>3.9</v>
      </c>
      <c r="L28" s="43">
        <v>1.7</v>
      </c>
      <c r="M28" s="43">
        <v>7.3</v>
      </c>
      <c r="N28" s="43">
        <v>0.3</v>
      </c>
      <c r="O28" s="27"/>
      <c r="P28" s="26">
        <v>50.1</v>
      </c>
      <c r="Q28" s="43">
        <v>29.1</v>
      </c>
      <c r="R28" s="43">
        <v>121.8</v>
      </c>
      <c r="S28" s="43">
        <v>5.8</v>
      </c>
      <c r="T28" s="26">
        <v>46</v>
      </c>
      <c r="U28" s="43">
        <v>26.7</v>
      </c>
      <c r="V28" s="43">
        <v>111.7</v>
      </c>
      <c r="W28" s="43">
        <v>5.3</v>
      </c>
      <c r="X28" s="26">
        <v>3.8</v>
      </c>
      <c r="Y28" s="43">
        <v>2.2000000000000002</v>
      </c>
      <c r="Z28" s="43">
        <v>9.3000000000000007</v>
      </c>
      <c r="AA28" s="43">
        <v>0.4</v>
      </c>
      <c r="AB28" s="27"/>
      <c r="AC28" s="26">
        <v>51.3</v>
      </c>
      <c r="AD28" s="43">
        <v>32.799999999999997</v>
      </c>
      <c r="AE28" s="43">
        <v>137.4</v>
      </c>
      <c r="AF28" s="43">
        <v>6.6</v>
      </c>
      <c r="AG28" s="26">
        <v>44.8</v>
      </c>
      <c r="AH28" s="43">
        <v>28.7</v>
      </c>
      <c r="AI28" s="43">
        <v>120.1</v>
      </c>
      <c r="AJ28" s="43">
        <v>5.7</v>
      </c>
      <c r="AK28" s="26">
        <v>3.9</v>
      </c>
      <c r="AL28" s="43">
        <v>2.5</v>
      </c>
      <c r="AM28" s="43">
        <v>10.4</v>
      </c>
      <c r="AN28" s="43">
        <v>0.5</v>
      </c>
      <c r="AO28" s="24"/>
      <c r="AP28" s="41">
        <f t="shared" si="18"/>
        <v>45.4</v>
      </c>
      <c r="AQ28" s="41">
        <f t="shared" si="27"/>
        <v>77.5</v>
      </c>
      <c r="AR28" s="41">
        <f t="shared" si="19"/>
        <v>324.39999999999998</v>
      </c>
      <c r="AS28" s="41">
        <f t="shared" si="20"/>
        <v>15.499999999999998</v>
      </c>
      <c r="AT28" s="41">
        <f t="shared" si="21"/>
        <v>50.699999999999996</v>
      </c>
      <c r="AU28" s="41">
        <f t="shared" si="28"/>
        <v>82.8</v>
      </c>
      <c r="AV28" s="41">
        <f t="shared" si="22"/>
        <v>346.4</v>
      </c>
      <c r="AW28" s="41">
        <f t="shared" si="23"/>
        <v>16.5</v>
      </c>
      <c r="AX28" s="41">
        <f t="shared" si="24"/>
        <v>3.8666666666666667</v>
      </c>
      <c r="AY28" s="41">
        <f t="shared" si="29"/>
        <v>6.4</v>
      </c>
      <c r="AZ28" s="41">
        <f t="shared" si="25"/>
        <v>27.000000000000004</v>
      </c>
      <c r="BA28" s="41">
        <f t="shared" si="26"/>
        <v>1.2</v>
      </c>
    </row>
    <row r="29" spans="2:53" ht="15.75" x14ac:dyDescent="0.25">
      <c r="B29" s="20" t="s">
        <v>45</v>
      </c>
      <c r="C29" s="26">
        <v>43.5</v>
      </c>
      <c r="D29" s="42">
        <v>13.2</v>
      </c>
      <c r="E29" s="42">
        <v>55.1</v>
      </c>
      <c r="F29" s="42">
        <v>2.6</v>
      </c>
      <c r="G29" s="26">
        <v>52.1</v>
      </c>
      <c r="H29" s="42">
        <v>15.8</v>
      </c>
      <c r="I29" s="42">
        <v>66</v>
      </c>
      <c r="J29" s="42">
        <v>3.2</v>
      </c>
      <c r="K29" s="26">
        <v>4.5</v>
      </c>
      <c r="L29" s="42">
        <v>1.4</v>
      </c>
      <c r="M29" s="42">
        <v>5.7</v>
      </c>
      <c r="N29" s="42">
        <v>0.3</v>
      </c>
      <c r="O29" s="27"/>
      <c r="P29" s="26">
        <v>52.8</v>
      </c>
      <c r="Q29" s="42">
        <v>19.100000000000001</v>
      </c>
      <c r="R29" s="42">
        <v>79.8</v>
      </c>
      <c r="S29" s="42">
        <v>3.8</v>
      </c>
      <c r="T29" s="26">
        <v>45.2</v>
      </c>
      <c r="U29" s="42">
        <v>16.3</v>
      </c>
      <c r="V29" s="42">
        <v>68.3</v>
      </c>
      <c r="W29" s="42">
        <v>3.3</v>
      </c>
      <c r="X29" s="26">
        <v>2</v>
      </c>
      <c r="Y29" s="42">
        <v>0.7</v>
      </c>
      <c r="Z29" s="42">
        <v>3</v>
      </c>
      <c r="AA29" s="42">
        <v>0.1</v>
      </c>
      <c r="AB29" s="27"/>
      <c r="AC29" s="26">
        <v>57.9</v>
      </c>
      <c r="AD29" s="42">
        <v>21.9</v>
      </c>
      <c r="AE29" s="42">
        <v>91.7</v>
      </c>
      <c r="AF29" s="42">
        <v>4.4000000000000004</v>
      </c>
      <c r="AG29" s="26">
        <v>40.200000000000003</v>
      </c>
      <c r="AH29" s="42">
        <v>15.2</v>
      </c>
      <c r="AI29" s="42">
        <v>63.7</v>
      </c>
      <c r="AJ29" s="42">
        <v>3</v>
      </c>
      <c r="AK29" s="26">
        <v>1.9</v>
      </c>
      <c r="AL29" s="42">
        <v>0.7</v>
      </c>
      <c r="AM29" s="42">
        <v>3</v>
      </c>
      <c r="AN29" s="42">
        <v>0.1</v>
      </c>
      <c r="AO29" s="24"/>
      <c r="AP29" s="41">
        <f t="shared" si="18"/>
        <v>51.4</v>
      </c>
      <c r="AQ29" s="41">
        <f t="shared" si="27"/>
        <v>54.2</v>
      </c>
      <c r="AR29" s="41">
        <f t="shared" si="19"/>
        <v>226.6</v>
      </c>
      <c r="AS29" s="41">
        <f t="shared" si="20"/>
        <v>10.799999999999999</v>
      </c>
      <c r="AT29" s="41">
        <f t="shared" si="21"/>
        <v>45.833333333333336</v>
      </c>
      <c r="AU29" s="41">
        <f t="shared" si="28"/>
        <v>47.3</v>
      </c>
      <c r="AV29" s="41">
        <f t="shared" si="22"/>
        <v>198</v>
      </c>
      <c r="AW29" s="41">
        <f t="shared" si="23"/>
        <v>9.5</v>
      </c>
      <c r="AX29" s="41">
        <f t="shared" si="24"/>
        <v>2.8000000000000003</v>
      </c>
      <c r="AY29" s="41">
        <f t="shared" si="29"/>
        <v>2.8</v>
      </c>
      <c r="AZ29" s="41">
        <f t="shared" si="25"/>
        <v>11.7</v>
      </c>
      <c r="BA29" s="41">
        <f t="shared" si="26"/>
        <v>0.5</v>
      </c>
    </row>
    <row r="30" spans="2:53" ht="15.75" x14ac:dyDescent="0.25">
      <c r="B30" s="20" t="s">
        <v>46</v>
      </c>
      <c r="C30" s="26">
        <v>38</v>
      </c>
      <c r="D30" s="43">
        <v>13.5</v>
      </c>
      <c r="E30" s="43">
        <v>56.7</v>
      </c>
      <c r="F30" s="43">
        <v>2.7</v>
      </c>
      <c r="G30" s="26">
        <v>51.5</v>
      </c>
      <c r="H30" s="43">
        <v>18.399999999999999</v>
      </c>
      <c r="I30" s="43">
        <v>76.900000000000006</v>
      </c>
      <c r="J30" s="43">
        <v>3.7</v>
      </c>
      <c r="K30" s="26">
        <v>10.5</v>
      </c>
      <c r="L30" s="43">
        <v>3.7</v>
      </c>
      <c r="M30" s="43">
        <v>15.6</v>
      </c>
      <c r="N30" s="43">
        <v>0.7</v>
      </c>
      <c r="O30" s="27"/>
      <c r="P30" s="26">
        <v>55.1</v>
      </c>
      <c r="Q30" s="43">
        <v>23.4</v>
      </c>
      <c r="R30" s="43">
        <v>97.7</v>
      </c>
      <c r="S30" s="43">
        <v>4.7</v>
      </c>
      <c r="T30" s="26">
        <v>43</v>
      </c>
      <c r="U30" s="43">
        <v>18.2</v>
      </c>
      <c r="V30" s="43">
        <v>76.3</v>
      </c>
      <c r="W30" s="43">
        <v>3.6</v>
      </c>
      <c r="X30" s="26">
        <v>1.9</v>
      </c>
      <c r="Y30" s="43">
        <v>0.8</v>
      </c>
      <c r="Z30" s="43">
        <v>3.4</v>
      </c>
      <c r="AA30" s="43">
        <v>0.2</v>
      </c>
      <c r="AB30" s="27"/>
      <c r="AC30" s="26">
        <v>53.2</v>
      </c>
      <c r="AD30" s="43">
        <v>23.5</v>
      </c>
      <c r="AE30" s="43">
        <v>98.5</v>
      </c>
      <c r="AF30" s="43">
        <v>4.7</v>
      </c>
      <c r="AG30" s="26">
        <v>44.2</v>
      </c>
      <c r="AH30" s="43">
        <v>19.5</v>
      </c>
      <c r="AI30" s="43">
        <v>81.8</v>
      </c>
      <c r="AJ30" s="43">
        <v>3.9</v>
      </c>
      <c r="AK30" s="26">
        <v>2.6</v>
      </c>
      <c r="AL30" s="43">
        <v>1.2</v>
      </c>
      <c r="AM30" s="43">
        <v>4.8</v>
      </c>
      <c r="AN30" s="43">
        <v>0.2</v>
      </c>
      <c r="AO30" s="24"/>
      <c r="AP30" s="41">
        <f t="shared" si="18"/>
        <v>48.766666666666673</v>
      </c>
      <c r="AQ30" s="41">
        <f t="shared" si="27"/>
        <v>60.4</v>
      </c>
      <c r="AR30" s="41">
        <f t="shared" si="19"/>
        <v>252.89999999999998</v>
      </c>
      <c r="AS30" s="41">
        <f t="shared" si="20"/>
        <v>12.100000000000001</v>
      </c>
      <c r="AT30" s="41">
        <f t="shared" si="21"/>
        <v>46.233333333333327</v>
      </c>
      <c r="AU30" s="41">
        <f t="shared" si="28"/>
        <v>56.1</v>
      </c>
      <c r="AV30" s="41">
        <f t="shared" si="22"/>
        <v>235</v>
      </c>
      <c r="AW30" s="41">
        <f t="shared" si="23"/>
        <v>11.2</v>
      </c>
      <c r="AX30" s="41">
        <f t="shared" si="24"/>
        <v>5</v>
      </c>
      <c r="AY30" s="41">
        <f t="shared" si="29"/>
        <v>5.7</v>
      </c>
      <c r="AZ30" s="41">
        <f t="shared" si="25"/>
        <v>23.799999999999997</v>
      </c>
      <c r="BA30" s="41">
        <f t="shared" si="26"/>
        <v>1.1000000000000001</v>
      </c>
    </row>
    <row r="31" spans="2:53" ht="15.75" x14ac:dyDescent="0.25">
      <c r="B31" s="20" t="s">
        <v>47</v>
      </c>
      <c r="C31" s="26">
        <v>45.1</v>
      </c>
      <c r="D31" s="43">
        <v>14.5</v>
      </c>
      <c r="E31" s="43">
        <v>60.5</v>
      </c>
      <c r="F31" s="43">
        <v>2.9</v>
      </c>
      <c r="G31" s="26">
        <v>48.5</v>
      </c>
      <c r="H31" s="43">
        <v>15.5</v>
      </c>
      <c r="I31" s="43">
        <v>65</v>
      </c>
      <c r="J31" s="43">
        <v>3.1</v>
      </c>
      <c r="K31" s="26">
        <v>6.4</v>
      </c>
      <c r="L31" s="43">
        <v>2</v>
      </c>
      <c r="M31" s="43">
        <v>8.5</v>
      </c>
      <c r="N31" s="43">
        <v>0.4</v>
      </c>
      <c r="O31" s="27"/>
      <c r="P31" s="26">
        <v>52.6</v>
      </c>
      <c r="Q31" s="43">
        <v>18.899999999999999</v>
      </c>
      <c r="R31" s="43">
        <v>79</v>
      </c>
      <c r="S31" s="43">
        <v>3.8</v>
      </c>
      <c r="T31" s="26">
        <v>42.9</v>
      </c>
      <c r="U31" s="43">
        <v>15.4</v>
      </c>
      <c r="V31" s="43">
        <v>64.5</v>
      </c>
      <c r="W31" s="43">
        <v>3.1</v>
      </c>
      <c r="X31" s="26">
        <v>4.5</v>
      </c>
      <c r="Y31" s="43">
        <v>1.6</v>
      </c>
      <c r="Z31" s="43">
        <v>6.8</v>
      </c>
      <c r="AA31" s="43">
        <v>0.3</v>
      </c>
      <c r="AB31" s="27"/>
      <c r="AC31" s="26">
        <v>55.6</v>
      </c>
      <c r="AD31" s="43">
        <v>20.8</v>
      </c>
      <c r="AE31" s="43">
        <v>87.1</v>
      </c>
      <c r="AF31" s="43">
        <v>4.2</v>
      </c>
      <c r="AG31" s="26">
        <v>41.8</v>
      </c>
      <c r="AH31" s="43">
        <v>15.7</v>
      </c>
      <c r="AI31" s="43">
        <v>65.599999999999994</v>
      </c>
      <c r="AJ31" s="43">
        <v>3.1</v>
      </c>
      <c r="AK31" s="26">
        <v>2.6</v>
      </c>
      <c r="AL31" s="43">
        <v>1</v>
      </c>
      <c r="AM31" s="43">
        <v>4.0999999999999996</v>
      </c>
      <c r="AN31" s="43">
        <v>0.2</v>
      </c>
      <c r="AO31" s="24"/>
      <c r="AP31" s="41">
        <f t="shared" si="18"/>
        <v>51.1</v>
      </c>
      <c r="AQ31" s="41">
        <f t="shared" si="27"/>
        <v>54.2</v>
      </c>
      <c r="AR31" s="41">
        <f t="shared" si="19"/>
        <v>226.6</v>
      </c>
      <c r="AS31" s="41">
        <f t="shared" si="20"/>
        <v>10.9</v>
      </c>
      <c r="AT31" s="41">
        <f t="shared" si="21"/>
        <v>44.4</v>
      </c>
      <c r="AU31" s="41">
        <f t="shared" si="28"/>
        <v>46.6</v>
      </c>
      <c r="AV31" s="41">
        <f t="shared" si="22"/>
        <v>195.1</v>
      </c>
      <c r="AW31" s="41">
        <f t="shared" si="23"/>
        <v>9.3000000000000007</v>
      </c>
      <c r="AX31" s="41">
        <f t="shared" si="24"/>
        <v>4.5</v>
      </c>
      <c r="AY31" s="41">
        <f t="shared" si="29"/>
        <v>4.5999999999999996</v>
      </c>
      <c r="AZ31" s="41">
        <f t="shared" si="25"/>
        <v>19.399999999999999</v>
      </c>
      <c r="BA31" s="41">
        <f t="shared" si="26"/>
        <v>0.9</v>
      </c>
    </row>
    <row r="32" spans="2:53" ht="15.75" x14ac:dyDescent="0.25">
      <c r="B32" s="20" t="s">
        <v>48</v>
      </c>
      <c r="C32" s="26">
        <v>43.2</v>
      </c>
      <c r="D32" s="42">
        <v>17.899999999999999</v>
      </c>
      <c r="E32" s="42">
        <v>75.099999999999994</v>
      </c>
      <c r="F32" s="42">
        <v>3.6</v>
      </c>
      <c r="G32" s="26">
        <v>49.4</v>
      </c>
      <c r="H32" s="42">
        <v>20.5</v>
      </c>
      <c r="I32" s="42">
        <v>85.8</v>
      </c>
      <c r="J32" s="42">
        <v>4.0999999999999996</v>
      </c>
      <c r="K32" s="26">
        <v>7.4</v>
      </c>
      <c r="L32" s="42">
        <v>3.1</v>
      </c>
      <c r="M32" s="42">
        <v>12.8</v>
      </c>
      <c r="N32" s="42">
        <v>0.6</v>
      </c>
      <c r="O32" s="27"/>
      <c r="P32" s="26">
        <v>55.1</v>
      </c>
      <c r="Q32" s="42">
        <v>26.4</v>
      </c>
      <c r="R32" s="42">
        <v>110.4</v>
      </c>
      <c r="S32" s="42">
        <v>5.3</v>
      </c>
      <c r="T32" s="26">
        <v>43.3</v>
      </c>
      <c r="U32" s="42">
        <v>20.7</v>
      </c>
      <c r="V32" s="42">
        <v>86.7</v>
      </c>
      <c r="W32" s="42">
        <v>4.0999999999999996</v>
      </c>
      <c r="X32" s="26">
        <v>1.6</v>
      </c>
      <c r="Y32" s="42">
        <v>0.8</v>
      </c>
      <c r="Z32" s="42">
        <v>3.2</v>
      </c>
      <c r="AA32" s="42">
        <v>0.2</v>
      </c>
      <c r="AB32" s="27"/>
      <c r="AC32" s="26">
        <v>56.7</v>
      </c>
      <c r="AD32" s="42">
        <v>29.2</v>
      </c>
      <c r="AE32" s="42">
        <v>122</v>
      </c>
      <c r="AF32" s="42">
        <v>5.8</v>
      </c>
      <c r="AG32" s="26">
        <v>38.9</v>
      </c>
      <c r="AH32" s="42">
        <v>20</v>
      </c>
      <c r="AI32" s="42">
        <v>83.8</v>
      </c>
      <c r="AJ32" s="42">
        <v>4</v>
      </c>
      <c r="AK32" s="26">
        <v>4.4000000000000004</v>
      </c>
      <c r="AL32" s="42">
        <v>2.2000000000000002</v>
      </c>
      <c r="AM32" s="42">
        <v>9.4</v>
      </c>
      <c r="AN32" s="42">
        <v>0.5</v>
      </c>
      <c r="AO32" s="24"/>
      <c r="AP32" s="41">
        <f t="shared" si="18"/>
        <v>51.666666666666664</v>
      </c>
      <c r="AQ32" s="41">
        <f t="shared" si="27"/>
        <v>73.5</v>
      </c>
      <c r="AR32" s="41">
        <f t="shared" si="19"/>
        <v>307.5</v>
      </c>
      <c r="AS32" s="41">
        <f t="shared" si="20"/>
        <v>14.7</v>
      </c>
      <c r="AT32" s="41">
        <f t="shared" si="21"/>
        <v>43.866666666666667</v>
      </c>
      <c r="AU32" s="41">
        <f t="shared" si="28"/>
        <v>61.2</v>
      </c>
      <c r="AV32" s="41">
        <f t="shared" si="22"/>
        <v>256.3</v>
      </c>
      <c r="AW32" s="41">
        <f t="shared" si="23"/>
        <v>12.2</v>
      </c>
      <c r="AX32" s="41">
        <f t="shared" si="24"/>
        <v>4.4666666666666668</v>
      </c>
      <c r="AY32" s="41">
        <f t="shared" si="29"/>
        <v>6.1</v>
      </c>
      <c r="AZ32" s="41">
        <f t="shared" si="25"/>
        <v>25.400000000000002</v>
      </c>
      <c r="BA32" s="41">
        <f t="shared" si="26"/>
        <v>1.2999999999999998</v>
      </c>
    </row>
    <row r="33" spans="2:53" ht="15.75" x14ac:dyDescent="0.25">
      <c r="B33" s="20" t="s">
        <v>49</v>
      </c>
      <c r="C33" s="26">
        <v>43.6</v>
      </c>
      <c r="D33" s="43">
        <v>18.2</v>
      </c>
      <c r="E33" s="43">
        <v>76.2</v>
      </c>
      <c r="F33" s="43">
        <v>3.6</v>
      </c>
      <c r="G33" s="26">
        <v>47</v>
      </c>
      <c r="H33" s="43">
        <v>19.600000000000001</v>
      </c>
      <c r="I33" s="43">
        <v>82</v>
      </c>
      <c r="J33" s="43">
        <v>3.9</v>
      </c>
      <c r="K33" s="26">
        <v>9.4</v>
      </c>
      <c r="L33" s="43">
        <v>3.9</v>
      </c>
      <c r="M33" s="43">
        <v>16.399999999999999</v>
      </c>
      <c r="N33" s="43">
        <v>0.8</v>
      </c>
      <c r="O33" s="27"/>
      <c r="P33" s="26">
        <v>56.7</v>
      </c>
      <c r="Q33" s="43">
        <v>29.7</v>
      </c>
      <c r="R33" s="43">
        <v>124.4</v>
      </c>
      <c r="S33" s="43">
        <v>5.9</v>
      </c>
      <c r="T33" s="26">
        <v>38.700000000000003</v>
      </c>
      <c r="U33" s="43">
        <v>20.3</v>
      </c>
      <c r="V33" s="43">
        <v>84.8</v>
      </c>
      <c r="W33" s="43">
        <v>4.0999999999999996</v>
      </c>
      <c r="X33" s="26">
        <v>4.5999999999999996</v>
      </c>
      <c r="Y33" s="43">
        <v>2.4</v>
      </c>
      <c r="Z33" s="43">
        <v>10</v>
      </c>
      <c r="AA33" s="43">
        <v>0.5</v>
      </c>
      <c r="AB33" s="27"/>
      <c r="AC33" s="26">
        <v>60.1</v>
      </c>
      <c r="AD33" s="43">
        <v>29.1</v>
      </c>
      <c r="AE33" s="43">
        <v>121.9</v>
      </c>
      <c r="AF33" s="43">
        <v>5.8</v>
      </c>
      <c r="AG33" s="26">
        <v>36.6</v>
      </c>
      <c r="AH33" s="43">
        <v>17.7</v>
      </c>
      <c r="AI33" s="43">
        <v>74.099999999999994</v>
      </c>
      <c r="AJ33" s="43">
        <v>4.5</v>
      </c>
      <c r="AK33" s="28">
        <v>3.3</v>
      </c>
      <c r="AL33" s="43">
        <v>1.6</v>
      </c>
      <c r="AM33" s="43">
        <v>6.7</v>
      </c>
      <c r="AN33" s="43">
        <v>0.3</v>
      </c>
      <c r="AO33" s="24"/>
      <c r="AP33" s="41">
        <f t="shared" si="18"/>
        <v>53.466666666666669</v>
      </c>
      <c r="AQ33" s="41">
        <f t="shared" si="27"/>
        <v>77</v>
      </c>
      <c r="AR33" s="41">
        <f t="shared" si="19"/>
        <v>322.5</v>
      </c>
      <c r="AS33" s="41">
        <f t="shared" si="20"/>
        <v>15.299999999999999</v>
      </c>
      <c r="AT33" s="41">
        <f t="shared" si="21"/>
        <v>40.766666666666673</v>
      </c>
      <c r="AU33" s="41">
        <f t="shared" si="28"/>
        <v>57.6</v>
      </c>
      <c r="AV33" s="41">
        <f t="shared" si="22"/>
        <v>240.89999999999998</v>
      </c>
      <c r="AW33" s="41">
        <f t="shared" si="23"/>
        <v>12.5</v>
      </c>
      <c r="AX33" s="41">
        <f t="shared" si="24"/>
        <v>5.7666666666666666</v>
      </c>
      <c r="AY33" s="41">
        <f t="shared" si="29"/>
        <v>7.9</v>
      </c>
      <c r="AZ33" s="41">
        <f t="shared" si="25"/>
        <v>33.099999999999994</v>
      </c>
      <c r="BA33" s="41">
        <f t="shared" si="26"/>
        <v>1.6</v>
      </c>
    </row>
    <row r="34" spans="2:53" ht="15.75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4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4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4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</row>
    <row r="35" spans="2:53" ht="15.75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4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4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</row>
    <row r="36" spans="2:53" ht="21" x14ac:dyDescent="0.25">
      <c r="B36" s="33" t="s">
        <v>54</v>
      </c>
      <c r="C36" s="40">
        <f>AVERAGE(C25:C33)</f>
        <v>43.81111111111111</v>
      </c>
      <c r="D36" s="40">
        <f t="shared" ref="D36:AN36" si="30">AVERAGE(D25:D33)</f>
        <v>16.633333333333333</v>
      </c>
      <c r="E36" s="40">
        <f t="shared" si="30"/>
        <v>69.63333333333334</v>
      </c>
      <c r="F36" s="40">
        <f t="shared" si="30"/>
        <v>3.3111111111111113</v>
      </c>
      <c r="G36" s="40">
        <f t="shared" si="30"/>
        <v>49.133333333333326</v>
      </c>
      <c r="H36" s="40">
        <f t="shared" si="30"/>
        <v>18.766666666666666</v>
      </c>
      <c r="I36" s="40">
        <f t="shared" si="30"/>
        <v>78.48888888888888</v>
      </c>
      <c r="J36" s="40">
        <f t="shared" si="30"/>
        <v>3.7555555555555551</v>
      </c>
      <c r="K36" s="40">
        <f t="shared" si="30"/>
        <v>7.0555555555555545</v>
      </c>
      <c r="L36" s="40">
        <f t="shared" si="30"/>
        <v>2.6888888888888887</v>
      </c>
      <c r="M36" s="40">
        <f t="shared" si="30"/>
        <v>11.277777777777779</v>
      </c>
      <c r="N36" s="40">
        <f t="shared" si="30"/>
        <v>0.52222222222222225</v>
      </c>
      <c r="O36" s="47"/>
      <c r="P36" s="40">
        <f t="shared" si="30"/>
        <v>54.966666666666669</v>
      </c>
      <c r="Q36" s="40">
        <f t="shared" si="30"/>
        <v>25.1</v>
      </c>
      <c r="R36" s="40">
        <f t="shared" si="30"/>
        <v>105.01111111111112</v>
      </c>
      <c r="S36" s="40">
        <f t="shared" si="30"/>
        <v>5.0222222222222221</v>
      </c>
      <c r="T36" s="40">
        <f t="shared" si="30"/>
        <v>41.699999999999996</v>
      </c>
      <c r="U36" s="40">
        <f t="shared" si="30"/>
        <v>19.011111111111109</v>
      </c>
      <c r="V36" s="40">
        <f t="shared" si="30"/>
        <v>79.544444444444451</v>
      </c>
      <c r="W36" s="40">
        <f t="shared" si="30"/>
        <v>3.8000000000000003</v>
      </c>
      <c r="X36" s="40">
        <f t="shared" si="30"/>
        <v>3.322222222222222</v>
      </c>
      <c r="Y36" s="40">
        <f t="shared" si="30"/>
        <v>1.5444444444444447</v>
      </c>
      <c r="Z36" s="40">
        <f t="shared" si="30"/>
        <v>6.4666666666666659</v>
      </c>
      <c r="AA36" s="40">
        <f t="shared" si="30"/>
        <v>0.30000000000000004</v>
      </c>
      <c r="AB36" s="47"/>
      <c r="AC36" s="40">
        <f t="shared" si="30"/>
        <v>58.533333333333331</v>
      </c>
      <c r="AD36" s="40">
        <f t="shared" si="30"/>
        <v>26.299999999999997</v>
      </c>
      <c r="AE36" s="40">
        <f t="shared" si="30"/>
        <v>110.07777777777778</v>
      </c>
      <c r="AF36" s="40">
        <f t="shared" si="30"/>
        <v>5.2666666666666657</v>
      </c>
      <c r="AG36" s="40">
        <f t="shared" si="30"/>
        <v>38.599999999999994</v>
      </c>
      <c r="AH36" s="40">
        <f t="shared" si="30"/>
        <v>17.700000000000003</v>
      </c>
      <c r="AI36" s="40">
        <f t="shared" si="30"/>
        <v>74.13333333333334</v>
      </c>
      <c r="AJ36" s="40">
        <f t="shared" si="30"/>
        <v>3.6333333333333337</v>
      </c>
      <c r="AK36" s="40">
        <f t="shared" si="30"/>
        <v>2.8555555555555556</v>
      </c>
      <c r="AL36" s="40">
        <f t="shared" si="30"/>
        <v>1.3444444444444443</v>
      </c>
      <c r="AM36" s="40">
        <f t="shared" si="30"/>
        <v>5.6222222222222227</v>
      </c>
      <c r="AN36" s="40">
        <f t="shared" si="30"/>
        <v>0.26666666666666666</v>
      </c>
      <c r="AO36" s="40"/>
      <c r="AP36" s="40">
        <f>AVERAGE(AP25:AP33)</f>
        <v>52.437037037037044</v>
      </c>
      <c r="AQ36" s="40">
        <f t="shared" ref="AQ36:BA36" si="31">AVERAGE(AQ25:AQ33)</f>
        <v>68.033333333333331</v>
      </c>
      <c r="AR36" s="40">
        <f t="shared" si="31"/>
        <v>284.72222222222223</v>
      </c>
      <c r="AS36" s="40">
        <f t="shared" si="31"/>
        <v>13.600000000000001</v>
      </c>
      <c r="AT36" s="40">
        <v>43.2</v>
      </c>
      <c r="AU36" s="40">
        <f t="shared" si="31"/>
        <v>55.477777777777789</v>
      </c>
      <c r="AV36" s="40">
        <f t="shared" si="31"/>
        <v>232.16666666666663</v>
      </c>
      <c r="AW36" s="40">
        <f t="shared" si="31"/>
        <v>11.18888888888889</v>
      </c>
      <c r="AX36" s="40">
        <f t="shared" si="31"/>
        <v>4.4111111111111114</v>
      </c>
      <c r="AY36" s="40">
        <f t="shared" si="31"/>
        <v>5.5777777777777784</v>
      </c>
      <c r="AZ36" s="40">
        <f t="shared" si="31"/>
        <v>23.366666666666667</v>
      </c>
      <c r="BA36" s="40">
        <f t="shared" si="31"/>
        <v>1.0888888888888888</v>
      </c>
    </row>
    <row r="37" spans="2:53" ht="21" x14ac:dyDescent="0.25">
      <c r="B37" s="33" t="s">
        <v>55</v>
      </c>
      <c r="C37" s="40">
        <f>_xlfn.STDEV.S(C25:C33)</f>
        <v>5.085627897429231</v>
      </c>
      <c r="D37" s="40">
        <f t="shared" ref="D37:AN37" si="32">_xlfn.STDEV.S(D25:D33)</f>
        <v>2.6205915362757333</v>
      </c>
      <c r="E37" s="40">
        <f t="shared" si="32"/>
        <v>11.036416991034717</v>
      </c>
      <c r="F37" s="40">
        <f t="shared" si="32"/>
        <v>0.52068331172711002</v>
      </c>
      <c r="G37" s="40">
        <f t="shared" si="32"/>
        <v>5.6442448564888226</v>
      </c>
      <c r="H37" s="40">
        <f t="shared" si="32"/>
        <v>3.784838173555126</v>
      </c>
      <c r="I37" s="40">
        <f t="shared" si="32"/>
        <v>15.836306738350075</v>
      </c>
      <c r="J37" s="40">
        <f t="shared" si="32"/>
        <v>0.76339883270658726</v>
      </c>
      <c r="K37" s="40">
        <f t="shared" si="32"/>
        <v>2.1006612715470805</v>
      </c>
      <c r="L37" s="40">
        <f t="shared" si="32"/>
        <v>0.89084853432618483</v>
      </c>
      <c r="M37" s="40">
        <f t="shared" si="32"/>
        <v>3.7315471917750749</v>
      </c>
      <c r="N37" s="40">
        <f t="shared" si="32"/>
        <v>0.17873008824605999</v>
      </c>
      <c r="O37" s="47"/>
      <c r="P37" s="40">
        <f t="shared" si="32"/>
        <v>2.6739483914241875</v>
      </c>
      <c r="Q37" s="40">
        <f t="shared" si="32"/>
        <v>4.0087404505654813</v>
      </c>
      <c r="R37" s="40">
        <f t="shared" si="32"/>
        <v>16.84840084729441</v>
      </c>
      <c r="S37" s="40">
        <f t="shared" si="32"/>
        <v>0.7917982346813176</v>
      </c>
      <c r="T37" s="40">
        <f t="shared" si="32"/>
        <v>3.056550343115584</v>
      </c>
      <c r="U37" s="40">
        <f t="shared" si="32"/>
        <v>3.3583643505598233</v>
      </c>
      <c r="V37" s="40">
        <f t="shared" si="32"/>
        <v>14.042979661659283</v>
      </c>
      <c r="W37" s="40">
        <f t="shared" si="32"/>
        <v>0.65383484153109983</v>
      </c>
      <c r="X37" s="40">
        <f t="shared" si="32"/>
        <v>1.1882526854354025</v>
      </c>
      <c r="Y37" s="40">
        <f t="shared" si="32"/>
        <v>0.65595562180514733</v>
      </c>
      <c r="Z37" s="40">
        <f t="shared" si="32"/>
        <v>2.7536339626028759</v>
      </c>
      <c r="AA37" s="40">
        <f t="shared" si="32"/>
        <v>0.1224744871391589</v>
      </c>
      <c r="AB37" s="47"/>
      <c r="AC37" s="40">
        <f t="shared" si="32"/>
        <v>6.0384186671677531</v>
      </c>
      <c r="AD37" s="40">
        <f t="shared" si="32"/>
        <v>3.8457769046059216</v>
      </c>
      <c r="AE37" s="40">
        <f t="shared" si="32"/>
        <v>16.079472766370266</v>
      </c>
      <c r="AF37" s="40">
        <f t="shared" si="32"/>
        <v>0.76157731058639433</v>
      </c>
      <c r="AG37" s="40">
        <f t="shared" si="32"/>
        <v>5.9118525015429846</v>
      </c>
      <c r="AH37" s="40">
        <f t="shared" si="32"/>
        <v>5.1850747342733525</v>
      </c>
      <c r="AI37" s="40">
        <f t="shared" si="32"/>
        <v>21.668640935693194</v>
      </c>
      <c r="AJ37" s="40">
        <f t="shared" si="32"/>
        <v>1.0885770528538607</v>
      </c>
      <c r="AK37" s="40">
        <f t="shared" si="32"/>
        <v>0.95277372853043008</v>
      </c>
      <c r="AL37" s="40">
        <f t="shared" si="32"/>
        <v>0.66353430791314605</v>
      </c>
      <c r="AM37" s="40">
        <f t="shared" si="32"/>
        <v>2.7810869178154864</v>
      </c>
      <c r="AN37" s="40">
        <f t="shared" si="32"/>
        <v>0.15000000000000002</v>
      </c>
      <c r="AO37" s="40"/>
      <c r="AP37" s="40">
        <f>_xlfn.STDEV.S(AP25:AP33)</f>
        <v>4.0142262449541883</v>
      </c>
      <c r="AQ37" s="40">
        <f t="shared" ref="AQ37:BA37" si="33">_xlfn.STDEV.S(AQ25:AQ33)</f>
        <v>9.2784697014109536</v>
      </c>
      <c r="AR37" s="40">
        <f t="shared" si="33"/>
        <v>38.937988448871387</v>
      </c>
      <c r="AS37" s="40">
        <f t="shared" si="33"/>
        <v>1.8364367672206732</v>
      </c>
      <c r="AT37" s="40">
        <f t="shared" si="33"/>
        <v>4.2896516305069703</v>
      </c>
      <c r="AU37" s="40">
        <f t="shared" si="33"/>
        <v>11.605255035734613</v>
      </c>
      <c r="AV37" s="40">
        <f t="shared" si="33"/>
        <v>48.539983518744897</v>
      </c>
      <c r="AW37" s="40">
        <f t="shared" si="33"/>
        <v>2.3539564802925139</v>
      </c>
      <c r="AX37" s="40">
        <f t="shared" si="33"/>
        <v>0.82428420125854784</v>
      </c>
      <c r="AY37" s="40">
        <f t="shared" si="33"/>
        <v>1.407815486647467</v>
      </c>
      <c r="AZ37" s="40">
        <f t="shared" si="33"/>
        <v>5.8777121399401668</v>
      </c>
      <c r="BA37" s="40">
        <f t="shared" si="33"/>
        <v>0.30184617127124763</v>
      </c>
    </row>
    <row r="38" spans="2:53" ht="15.75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4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4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</row>
    <row r="39" spans="2:53" ht="15.75" x14ac:dyDescent="0.25">
      <c r="O39" s="24"/>
      <c r="S39" s="21"/>
      <c r="T39" s="21"/>
      <c r="U39" s="21"/>
      <c r="V39" s="21"/>
      <c r="W39" s="21"/>
      <c r="X39" s="21"/>
      <c r="Y39" s="21"/>
      <c r="Z39" s="21"/>
      <c r="AA39" s="21"/>
      <c r="AB39" s="24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</row>
    <row r="40" spans="2:53" ht="15.75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4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4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</row>
    <row r="41" spans="2:53" ht="15.75" x14ac:dyDescent="0.25">
      <c r="B41" s="96" t="s">
        <v>16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</row>
    <row r="42" spans="2:53" ht="15.75" x14ac:dyDescent="0.25">
      <c r="B42" s="22" t="s">
        <v>0</v>
      </c>
      <c r="C42" s="96" t="s">
        <v>11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23"/>
      <c r="P42" s="96" t="s">
        <v>12</v>
      </c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25"/>
      <c r="AC42" s="96" t="s">
        <v>13</v>
      </c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23"/>
      <c r="AP42" s="97" t="s">
        <v>14</v>
      </c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</row>
    <row r="43" spans="2:53" ht="15.75" x14ac:dyDescent="0.25">
      <c r="B43" s="20"/>
      <c r="C43" s="93" t="s">
        <v>51</v>
      </c>
      <c r="D43" s="94"/>
      <c r="E43" s="94"/>
      <c r="F43" s="95"/>
      <c r="G43" s="93" t="s">
        <v>15</v>
      </c>
      <c r="H43" s="94"/>
      <c r="I43" s="94"/>
      <c r="J43" s="95"/>
      <c r="K43" s="93" t="s">
        <v>52</v>
      </c>
      <c r="L43" s="94"/>
      <c r="M43" s="94"/>
      <c r="N43" s="95"/>
      <c r="O43" s="23"/>
      <c r="P43" s="93" t="s">
        <v>51</v>
      </c>
      <c r="Q43" s="94"/>
      <c r="R43" s="94"/>
      <c r="S43" s="95"/>
      <c r="T43" s="93" t="s">
        <v>15</v>
      </c>
      <c r="U43" s="94"/>
      <c r="V43" s="94"/>
      <c r="W43" s="95"/>
      <c r="X43" s="93" t="s">
        <v>52</v>
      </c>
      <c r="Y43" s="94"/>
      <c r="Z43" s="94"/>
      <c r="AA43" s="95"/>
      <c r="AB43" s="23"/>
      <c r="AC43" s="93" t="s">
        <v>51</v>
      </c>
      <c r="AD43" s="94"/>
      <c r="AE43" s="94"/>
      <c r="AF43" s="95"/>
      <c r="AG43" s="93" t="s">
        <v>15</v>
      </c>
      <c r="AH43" s="94"/>
      <c r="AI43" s="94"/>
      <c r="AJ43" s="95"/>
      <c r="AK43" s="93" t="s">
        <v>52</v>
      </c>
      <c r="AL43" s="94"/>
      <c r="AM43" s="94"/>
      <c r="AN43" s="95"/>
      <c r="AO43" s="23"/>
      <c r="AP43" s="93" t="s">
        <v>51</v>
      </c>
      <c r="AQ43" s="94"/>
      <c r="AR43" s="94"/>
      <c r="AS43" s="95"/>
      <c r="AT43" s="93" t="s">
        <v>15</v>
      </c>
      <c r="AU43" s="94"/>
      <c r="AV43" s="94"/>
      <c r="AW43" s="95"/>
      <c r="AX43" s="93" t="s">
        <v>52</v>
      </c>
      <c r="AY43" s="94"/>
      <c r="AZ43" s="94"/>
      <c r="BA43" s="95"/>
    </row>
    <row r="44" spans="2:53" ht="15.75" x14ac:dyDescent="0.25">
      <c r="B44" s="20"/>
      <c r="C44" s="29" t="s">
        <v>22</v>
      </c>
      <c r="D44" s="29" t="s">
        <v>19</v>
      </c>
      <c r="E44" s="29" t="s">
        <v>21</v>
      </c>
      <c r="F44" s="29" t="s">
        <v>20</v>
      </c>
      <c r="G44" s="29" t="s">
        <v>22</v>
      </c>
      <c r="H44" s="29" t="s">
        <v>19</v>
      </c>
      <c r="I44" s="29" t="s">
        <v>21</v>
      </c>
      <c r="J44" s="29" t="s">
        <v>20</v>
      </c>
      <c r="K44" s="29" t="s">
        <v>22</v>
      </c>
      <c r="L44" s="29" t="s">
        <v>19</v>
      </c>
      <c r="M44" s="29" t="s">
        <v>21</v>
      </c>
      <c r="N44" s="29" t="s">
        <v>20</v>
      </c>
      <c r="O44" s="35"/>
      <c r="P44" s="29" t="s">
        <v>22</v>
      </c>
      <c r="Q44" s="29" t="s">
        <v>19</v>
      </c>
      <c r="R44" s="29" t="s">
        <v>21</v>
      </c>
      <c r="S44" s="29" t="s">
        <v>20</v>
      </c>
      <c r="T44" s="29" t="s">
        <v>22</v>
      </c>
      <c r="U44" s="29" t="s">
        <v>19</v>
      </c>
      <c r="V44" s="29" t="s">
        <v>21</v>
      </c>
      <c r="W44" s="29" t="s">
        <v>20</v>
      </c>
      <c r="X44" s="29" t="s">
        <v>22</v>
      </c>
      <c r="Y44" s="29" t="s">
        <v>19</v>
      </c>
      <c r="Z44" s="29" t="s">
        <v>21</v>
      </c>
      <c r="AA44" s="29" t="s">
        <v>20</v>
      </c>
      <c r="AB44" s="35"/>
      <c r="AC44" s="29" t="s">
        <v>22</v>
      </c>
      <c r="AD44" s="29" t="s">
        <v>19</v>
      </c>
      <c r="AE44" s="29" t="s">
        <v>21</v>
      </c>
      <c r="AF44" s="29" t="s">
        <v>20</v>
      </c>
      <c r="AG44" s="29" t="s">
        <v>22</v>
      </c>
      <c r="AH44" s="29" t="s">
        <v>19</v>
      </c>
      <c r="AI44" s="29" t="s">
        <v>21</v>
      </c>
      <c r="AJ44" s="29" t="s">
        <v>20</v>
      </c>
      <c r="AK44" s="29" t="s">
        <v>22</v>
      </c>
      <c r="AL44" s="29" t="s">
        <v>19</v>
      </c>
      <c r="AM44" s="29" t="s">
        <v>21</v>
      </c>
      <c r="AN44" s="29" t="s">
        <v>20</v>
      </c>
      <c r="AO44" s="24"/>
      <c r="AP44" s="22" t="s">
        <v>22</v>
      </c>
      <c r="AQ44" s="22" t="s">
        <v>19</v>
      </c>
      <c r="AR44" s="22" t="s">
        <v>21</v>
      </c>
      <c r="AS44" s="22" t="s">
        <v>20</v>
      </c>
      <c r="AT44" s="22" t="s">
        <v>22</v>
      </c>
      <c r="AU44" s="22" t="s">
        <v>19</v>
      </c>
      <c r="AV44" s="22" t="s">
        <v>21</v>
      </c>
      <c r="AW44" s="22" t="s">
        <v>20</v>
      </c>
      <c r="AX44" s="22" t="s">
        <v>22</v>
      </c>
      <c r="AY44" s="22" t="s">
        <v>19</v>
      </c>
      <c r="AZ44" s="22" t="s">
        <v>21</v>
      </c>
      <c r="BA44" s="22" t="s">
        <v>20</v>
      </c>
    </row>
    <row r="45" spans="2:53" ht="15.75" x14ac:dyDescent="0.25">
      <c r="B45" s="20" t="s">
        <v>41</v>
      </c>
      <c r="C45" s="26">
        <v>47.9</v>
      </c>
      <c r="D45" s="43">
        <v>14.5</v>
      </c>
      <c r="E45" s="43">
        <v>60.5</v>
      </c>
      <c r="F45" s="43">
        <v>2.9</v>
      </c>
      <c r="G45" s="26">
        <v>47.7</v>
      </c>
      <c r="H45" s="43">
        <v>14.4</v>
      </c>
      <c r="I45" s="43">
        <v>60.2</v>
      </c>
      <c r="J45" s="43">
        <v>2.9</v>
      </c>
      <c r="K45" s="26">
        <v>4.4000000000000004</v>
      </c>
      <c r="L45" s="43">
        <v>1.3</v>
      </c>
      <c r="M45" s="43">
        <v>5.6</v>
      </c>
      <c r="N45" s="43">
        <v>0.3</v>
      </c>
      <c r="O45" s="27"/>
      <c r="P45" s="26">
        <v>58.3</v>
      </c>
      <c r="Q45" s="43">
        <v>21.9</v>
      </c>
      <c r="R45" s="43">
        <v>91.5</v>
      </c>
      <c r="S45" s="43">
        <v>4.4000000000000004</v>
      </c>
      <c r="T45" s="26">
        <v>39.1</v>
      </c>
      <c r="U45" s="43">
        <v>14.7</v>
      </c>
      <c r="V45" s="43">
        <v>61.4</v>
      </c>
      <c r="W45" s="43">
        <v>2.9</v>
      </c>
      <c r="X45" s="26">
        <v>2.7</v>
      </c>
      <c r="Y45" s="43">
        <v>1</v>
      </c>
      <c r="Z45" s="43">
        <v>4.2</v>
      </c>
      <c r="AA45" s="43">
        <v>0.2</v>
      </c>
      <c r="AB45" s="27"/>
      <c r="AC45" s="26">
        <v>57.1</v>
      </c>
      <c r="AD45" s="43">
        <v>21.9</v>
      </c>
      <c r="AE45" s="43">
        <v>91.5</v>
      </c>
      <c r="AF45" s="43">
        <v>4.4000000000000004</v>
      </c>
      <c r="AG45" s="26">
        <v>41.7</v>
      </c>
      <c r="AH45" s="43">
        <v>16</v>
      </c>
      <c r="AI45" s="43">
        <v>66.900000000000006</v>
      </c>
      <c r="AJ45" s="43">
        <v>3.2</v>
      </c>
      <c r="AK45" s="26">
        <v>1.2</v>
      </c>
      <c r="AL45" s="43">
        <v>0.5</v>
      </c>
      <c r="AM45" s="43">
        <v>1.9</v>
      </c>
      <c r="AN45" s="43">
        <v>0.1</v>
      </c>
      <c r="AO45" s="24"/>
      <c r="AP45" s="41">
        <f t="shared" ref="AP45:AP53" si="34">AVERAGE(C45,P45,AC45)</f>
        <v>54.43333333333333</v>
      </c>
      <c r="AQ45" s="41">
        <f>SUM(AD45,Q45,D45)</f>
        <v>58.3</v>
      </c>
      <c r="AR45" s="41">
        <f t="shared" ref="AR45:AR53" si="35">SUM(AE45,R45,E45)</f>
        <v>243.5</v>
      </c>
      <c r="AS45" s="41">
        <f t="shared" ref="AS45:AS53" si="36">SUM(AF45,S45,F45)</f>
        <v>11.700000000000001</v>
      </c>
      <c r="AT45" s="41">
        <f t="shared" ref="AT45:AT53" si="37">AVERAGE(G45,T45,AG45)</f>
        <v>42.833333333333336</v>
      </c>
      <c r="AU45" s="41">
        <f>SUM(AH45,U45,H45)</f>
        <v>45.1</v>
      </c>
      <c r="AV45" s="41">
        <f t="shared" ref="AV45:AV53" si="38">SUM(AI45,V45,I45)</f>
        <v>188.5</v>
      </c>
      <c r="AW45" s="41">
        <f t="shared" ref="AW45:AW53" si="39">SUM(AJ45,W45,J45)</f>
        <v>9</v>
      </c>
      <c r="AX45" s="41">
        <f t="shared" ref="AX45:AX53" si="40">AVERAGE(K45,X45,AK45)</f>
        <v>2.7666666666666671</v>
      </c>
      <c r="AY45" s="41">
        <f>SUM(AL45,Y45,L45)</f>
        <v>2.8</v>
      </c>
      <c r="AZ45" s="41">
        <f t="shared" ref="AZ45:AZ53" si="41">SUM(AM45,Z45,M45)</f>
        <v>11.7</v>
      </c>
      <c r="BA45" s="41">
        <f t="shared" ref="BA45:BA53" si="42">SUM(AN45,AA45,N45)</f>
        <v>0.60000000000000009</v>
      </c>
    </row>
    <row r="46" spans="2:53" ht="15.75" x14ac:dyDescent="0.25">
      <c r="B46" s="20" t="s">
        <v>42</v>
      </c>
      <c r="C46" s="26">
        <v>37.799999999999997</v>
      </c>
      <c r="D46" s="43">
        <v>9.6</v>
      </c>
      <c r="E46" s="43">
        <v>40.200000000000003</v>
      </c>
      <c r="F46" s="43">
        <v>1.9</v>
      </c>
      <c r="G46" s="26">
        <v>54.7</v>
      </c>
      <c r="H46" s="43">
        <v>13.9</v>
      </c>
      <c r="I46" s="43">
        <v>58.2</v>
      </c>
      <c r="J46" s="43">
        <v>2.8</v>
      </c>
      <c r="K46" s="26">
        <v>7.5</v>
      </c>
      <c r="L46" s="43">
        <v>1.9</v>
      </c>
      <c r="M46" s="43">
        <v>8</v>
      </c>
      <c r="N46" s="43">
        <v>0.4</v>
      </c>
      <c r="O46" s="27"/>
      <c r="P46" s="26">
        <v>56.2</v>
      </c>
      <c r="Q46" s="43">
        <v>22.7</v>
      </c>
      <c r="R46" s="43">
        <v>95</v>
      </c>
      <c r="S46" s="43">
        <v>4.5</v>
      </c>
      <c r="T46" s="26">
        <v>33.5</v>
      </c>
      <c r="U46" s="43">
        <v>13.5</v>
      </c>
      <c r="V46" s="43">
        <v>56.7</v>
      </c>
      <c r="W46" s="43">
        <v>2.7</v>
      </c>
      <c r="X46" s="26">
        <v>10.3</v>
      </c>
      <c r="Y46" s="43">
        <v>4.2</v>
      </c>
      <c r="Z46" s="43">
        <v>17.399999999999999</v>
      </c>
      <c r="AA46" s="43">
        <v>0.8</v>
      </c>
      <c r="AB46" s="27"/>
      <c r="AC46" s="26">
        <v>61.4</v>
      </c>
      <c r="AD46" s="43">
        <v>22.8</v>
      </c>
      <c r="AE46" s="43">
        <v>95.2</v>
      </c>
      <c r="AF46" s="43">
        <v>4.5999999999999996</v>
      </c>
      <c r="AG46" s="26">
        <v>37</v>
      </c>
      <c r="AH46" s="43">
        <v>13.7</v>
      </c>
      <c r="AI46" s="43">
        <v>57.4</v>
      </c>
      <c r="AJ46" s="43">
        <v>2.7</v>
      </c>
      <c r="AK46" s="26">
        <v>1.6</v>
      </c>
      <c r="AL46" s="43">
        <v>0.6</v>
      </c>
      <c r="AM46" s="43">
        <v>2.5</v>
      </c>
      <c r="AN46" s="43">
        <v>0.1</v>
      </c>
      <c r="AO46" s="24"/>
      <c r="AP46" s="41">
        <f t="shared" si="34"/>
        <v>51.800000000000004</v>
      </c>
      <c r="AQ46" s="41">
        <f t="shared" ref="AQ46:AQ53" si="43">SUM(AD46,Q46,D46)</f>
        <v>55.1</v>
      </c>
      <c r="AR46" s="41">
        <f t="shared" si="35"/>
        <v>230.39999999999998</v>
      </c>
      <c r="AS46" s="41">
        <f t="shared" si="36"/>
        <v>11</v>
      </c>
      <c r="AT46" s="41">
        <f t="shared" si="37"/>
        <v>41.733333333333334</v>
      </c>
      <c r="AU46" s="41">
        <f t="shared" ref="AU46:AU53" si="44">SUM(AH46,U46,H46)</f>
        <v>41.1</v>
      </c>
      <c r="AV46" s="41">
        <f t="shared" si="38"/>
        <v>172.3</v>
      </c>
      <c r="AW46" s="41">
        <f t="shared" si="39"/>
        <v>8.1999999999999993</v>
      </c>
      <c r="AX46" s="41">
        <f t="shared" si="40"/>
        <v>6.4666666666666677</v>
      </c>
      <c r="AY46" s="41">
        <f t="shared" ref="AY46:AY53" si="45">SUM(AL46,Y46,L46)</f>
        <v>6.6999999999999993</v>
      </c>
      <c r="AZ46" s="41">
        <f t="shared" si="41"/>
        <v>27.9</v>
      </c>
      <c r="BA46" s="41">
        <f t="shared" si="42"/>
        <v>1.3</v>
      </c>
    </row>
    <row r="47" spans="2:53" ht="15.75" x14ac:dyDescent="0.25">
      <c r="B47" s="20" t="s">
        <v>43</v>
      </c>
      <c r="C47" s="26">
        <v>25.5</v>
      </c>
      <c r="D47" s="43">
        <v>12</v>
      </c>
      <c r="E47" s="43">
        <v>50.2</v>
      </c>
      <c r="F47" s="43">
        <v>2.4</v>
      </c>
      <c r="G47" s="26">
        <v>67.099999999999994</v>
      </c>
      <c r="H47" s="43">
        <v>31.6</v>
      </c>
      <c r="I47" s="43">
        <v>132.30000000000001</v>
      </c>
      <c r="J47" s="43">
        <v>6.3</v>
      </c>
      <c r="K47" s="26">
        <v>7.4</v>
      </c>
      <c r="L47" s="43">
        <v>3.5</v>
      </c>
      <c r="M47" s="43">
        <v>14.5</v>
      </c>
      <c r="N47" s="43">
        <v>0.7</v>
      </c>
      <c r="O47" s="27"/>
      <c r="P47" s="26">
        <v>46.8</v>
      </c>
      <c r="Q47" s="43">
        <v>20.8</v>
      </c>
      <c r="R47" s="43">
        <v>86.9</v>
      </c>
      <c r="S47" s="43">
        <v>4.2</v>
      </c>
      <c r="T47" s="26">
        <v>50.8</v>
      </c>
      <c r="U47" s="43">
        <v>22.5</v>
      </c>
      <c r="V47" s="43">
        <v>94.3</v>
      </c>
      <c r="W47" s="43">
        <v>4.5</v>
      </c>
      <c r="X47" s="26">
        <v>2.4</v>
      </c>
      <c r="Y47" s="43">
        <v>1.1000000000000001</v>
      </c>
      <c r="Z47" s="43">
        <v>4.4000000000000004</v>
      </c>
      <c r="AA47" s="43">
        <v>0.2</v>
      </c>
      <c r="AB47" s="27"/>
      <c r="AC47" s="26">
        <v>44.4</v>
      </c>
      <c r="AD47" s="43">
        <v>21.6</v>
      </c>
      <c r="AE47" s="43">
        <v>90.5</v>
      </c>
      <c r="AF47" s="43">
        <v>4.3</v>
      </c>
      <c r="AG47" s="26">
        <v>46.4</v>
      </c>
      <c r="AH47" s="43">
        <v>22.6</v>
      </c>
      <c r="AI47" s="43">
        <v>94.6</v>
      </c>
      <c r="AJ47" s="43">
        <v>4.5</v>
      </c>
      <c r="AK47" s="26">
        <v>9.1999999999999993</v>
      </c>
      <c r="AL47" s="43">
        <v>4.5</v>
      </c>
      <c r="AM47" s="43">
        <v>18.899999999999999</v>
      </c>
      <c r="AN47" s="43">
        <v>0.9</v>
      </c>
      <c r="AO47" s="24"/>
      <c r="AP47" s="41">
        <f t="shared" si="34"/>
        <v>38.9</v>
      </c>
      <c r="AQ47" s="41">
        <f t="shared" si="43"/>
        <v>54.400000000000006</v>
      </c>
      <c r="AR47" s="41">
        <f t="shared" si="35"/>
        <v>227.60000000000002</v>
      </c>
      <c r="AS47" s="41">
        <f t="shared" si="36"/>
        <v>10.9</v>
      </c>
      <c r="AT47" s="41">
        <f t="shared" si="37"/>
        <v>54.766666666666659</v>
      </c>
      <c r="AU47" s="41">
        <f t="shared" si="44"/>
        <v>76.7</v>
      </c>
      <c r="AV47" s="41">
        <f t="shared" si="38"/>
        <v>321.2</v>
      </c>
      <c r="AW47" s="41">
        <f t="shared" si="39"/>
        <v>15.3</v>
      </c>
      <c r="AX47" s="41">
        <f t="shared" si="40"/>
        <v>6.333333333333333</v>
      </c>
      <c r="AY47" s="41">
        <f t="shared" si="45"/>
        <v>9.1</v>
      </c>
      <c r="AZ47" s="41">
        <f t="shared" si="41"/>
        <v>37.799999999999997</v>
      </c>
      <c r="BA47" s="41">
        <f t="shared" si="42"/>
        <v>1.8</v>
      </c>
    </row>
    <row r="48" spans="2:53" ht="15.75" x14ac:dyDescent="0.25">
      <c r="B48" s="20" t="s">
        <v>44</v>
      </c>
      <c r="C48" s="26">
        <v>24</v>
      </c>
      <c r="D48" s="43">
        <v>10.7</v>
      </c>
      <c r="E48" s="43">
        <v>44.6</v>
      </c>
      <c r="F48" s="43">
        <v>2.1</v>
      </c>
      <c r="G48" s="26">
        <v>69.2</v>
      </c>
      <c r="H48" s="43">
        <v>30.8</v>
      </c>
      <c r="I48" s="43">
        <v>128.80000000000001</v>
      </c>
      <c r="J48" s="43">
        <v>6.2</v>
      </c>
      <c r="K48" s="26">
        <v>6.8</v>
      </c>
      <c r="L48" s="43">
        <v>3</v>
      </c>
      <c r="M48" s="43">
        <v>12.7</v>
      </c>
      <c r="N48" s="43">
        <v>0.6</v>
      </c>
      <c r="O48" s="27"/>
      <c r="P48" s="26">
        <v>39.5</v>
      </c>
      <c r="Q48" s="43">
        <v>26.5</v>
      </c>
      <c r="R48" s="43">
        <v>110.7</v>
      </c>
      <c r="S48" s="43">
        <v>5.3</v>
      </c>
      <c r="T48" s="26">
        <v>57</v>
      </c>
      <c r="U48" s="43">
        <v>38.200000000000003</v>
      </c>
      <c r="V48" s="43">
        <v>159.69999999999999</v>
      </c>
      <c r="W48" s="43">
        <v>7.6</v>
      </c>
      <c r="X48" s="26">
        <v>3.4</v>
      </c>
      <c r="Y48" s="43">
        <v>2.2999999999999998</v>
      </c>
      <c r="Z48" s="43">
        <v>9.6</v>
      </c>
      <c r="AA48" s="43">
        <v>0.5</v>
      </c>
      <c r="AB48" s="27"/>
      <c r="AC48" s="26">
        <v>49.7</v>
      </c>
      <c r="AD48" s="43">
        <v>27.4</v>
      </c>
      <c r="AE48" s="43">
        <v>114.8</v>
      </c>
      <c r="AF48" s="43">
        <v>5.5</v>
      </c>
      <c r="AG48" s="26">
        <v>48</v>
      </c>
      <c r="AH48" s="43">
        <v>26.5</v>
      </c>
      <c r="AI48" s="43">
        <v>111</v>
      </c>
      <c r="AJ48" s="43">
        <v>5.3</v>
      </c>
      <c r="AK48" s="26">
        <v>2.2999999999999998</v>
      </c>
      <c r="AL48" s="43">
        <v>1.2</v>
      </c>
      <c r="AM48" s="43">
        <v>5.2</v>
      </c>
      <c r="AN48" s="43">
        <v>0.3</v>
      </c>
      <c r="AO48" s="24"/>
      <c r="AP48" s="41">
        <f t="shared" si="34"/>
        <v>37.733333333333334</v>
      </c>
      <c r="AQ48" s="41">
        <f t="shared" si="43"/>
        <v>64.599999999999994</v>
      </c>
      <c r="AR48" s="41">
        <f t="shared" si="35"/>
        <v>270.10000000000002</v>
      </c>
      <c r="AS48" s="41">
        <f t="shared" si="36"/>
        <v>12.9</v>
      </c>
      <c r="AT48" s="41">
        <f t="shared" si="37"/>
        <v>58.066666666666663</v>
      </c>
      <c r="AU48" s="41">
        <f t="shared" si="44"/>
        <v>95.5</v>
      </c>
      <c r="AV48" s="41">
        <f t="shared" si="38"/>
        <v>399.5</v>
      </c>
      <c r="AW48" s="41">
        <f t="shared" si="39"/>
        <v>19.099999999999998</v>
      </c>
      <c r="AX48" s="41">
        <f t="shared" si="40"/>
        <v>4.166666666666667</v>
      </c>
      <c r="AY48" s="41">
        <f t="shared" si="45"/>
        <v>6.5</v>
      </c>
      <c r="AZ48" s="41">
        <f t="shared" si="41"/>
        <v>27.5</v>
      </c>
      <c r="BA48" s="41">
        <f t="shared" si="42"/>
        <v>1.4</v>
      </c>
    </row>
    <row r="49" spans="2:53" ht="15.75" x14ac:dyDescent="0.25">
      <c r="B49" s="20" t="s">
        <v>45</v>
      </c>
      <c r="C49" s="26">
        <v>32.200000000000003</v>
      </c>
      <c r="D49" s="43">
        <v>6.3</v>
      </c>
      <c r="E49" s="43">
        <v>26.5</v>
      </c>
      <c r="F49" s="43">
        <v>1.3</v>
      </c>
      <c r="G49" s="26">
        <v>63.7</v>
      </c>
      <c r="H49" s="43">
        <v>19.7</v>
      </c>
      <c r="I49" s="43">
        <v>82.5</v>
      </c>
      <c r="J49" s="43">
        <v>3.9</v>
      </c>
      <c r="K49" s="26">
        <v>4.0999999999999996</v>
      </c>
      <c r="L49" s="43">
        <v>0.8</v>
      </c>
      <c r="M49" s="43">
        <v>3.4</v>
      </c>
      <c r="N49" s="43">
        <v>0.2</v>
      </c>
      <c r="O49" s="27"/>
      <c r="P49" s="26">
        <v>52.4</v>
      </c>
      <c r="Q49" s="43">
        <v>14.2</v>
      </c>
      <c r="R49" s="43">
        <v>59.3</v>
      </c>
      <c r="S49" s="43">
        <v>2.8</v>
      </c>
      <c r="T49" s="26">
        <v>45.8</v>
      </c>
      <c r="U49" s="43">
        <v>12.4</v>
      </c>
      <c r="V49" s="43">
        <v>51.8</v>
      </c>
      <c r="W49" s="43">
        <v>2.5</v>
      </c>
      <c r="X49" s="26">
        <v>1.8</v>
      </c>
      <c r="Y49" s="43">
        <v>0.5</v>
      </c>
      <c r="Z49" s="43">
        <v>2</v>
      </c>
      <c r="AA49" s="43">
        <v>0.1</v>
      </c>
      <c r="AB49" s="27"/>
      <c r="AC49" s="26">
        <v>55.5</v>
      </c>
      <c r="AD49" s="43">
        <v>15.4</v>
      </c>
      <c r="AE49" s="43">
        <v>64.599999999999994</v>
      </c>
      <c r="AF49" s="43">
        <v>3.1</v>
      </c>
      <c r="AG49" s="26">
        <v>43.7</v>
      </c>
      <c r="AH49" s="43">
        <v>12.2</v>
      </c>
      <c r="AI49" s="43">
        <v>50.9</v>
      </c>
      <c r="AJ49" s="43">
        <v>2.4</v>
      </c>
      <c r="AK49" s="26">
        <v>0.8</v>
      </c>
      <c r="AL49" s="43">
        <v>0.2</v>
      </c>
      <c r="AM49" s="43">
        <v>0.9</v>
      </c>
      <c r="AN49" s="43">
        <v>0.04</v>
      </c>
      <c r="AO49" s="24"/>
      <c r="AP49" s="41">
        <f t="shared" si="34"/>
        <v>46.699999999999996</v>
      </c>
      <c r="AQ49" s="41">
        <f t="shared" si="43"/>
        <v>35.9</v>
      </c>
      <c r="AR49" s="41">
        <f t="shared" si="35"/>
        <v>150.39999999999998</v>
      </c>
      <c r="AS49" s="41">
        <f t="shared" si="36"/>
        <v>7.2</v>
      </c>
      <c r="AT49" s="41">
        <f t="shared" si="37"/>
        <v>51.066666666666663</v>
      </c>
      <c r="AU49" s="41">
        <f t="shared" si="44"/>
        <v>44.3</v>
      </c>
      <c r="AV49" s="41">
        <f t="shared" si="38"/>
        <v>185.2</v>
      </c>
      <c r="AW49" s="41">
        <f t="shared" si="39"/>
        <v>8.8000000000000007</v>
      </c>
      <c r="AX49" s="41">
        <f t="shared" si="40"/>
        <v>2.2333333333333329</v>
      </c>
      <c r="AY49" s="41">
        <f t="shared" si="45"/>
        <v>1.5</v>
      </c>
      <c r="AZ49" s="41">
        <f t="shared" si="41"/>
        <v>6.3</v>
      </c>
      <c r="BA49" s="41">
        <f t="shared" si="42"/>
        <v>0.34</v>
      </c>
    </row>
    <row r="50" spans="2:53" ht="15.75" x14ac:dyDescent="0.25">
      <c r="B50" s="20" t="s">
        <v>46</v>
      </c>
      <c r="C50" s="26">
        <v>37.9</v>
      </c>
      <c r="D50" s="43">
        <v>12.5</v>
      </c>
      <c r="E50" s="43">
        <v>52.2</v>
      </c>
      <c r="F50" s="43">
        <v>2.5</v>
      </c>
      <c r="G50" s="26">
        <v>50.1</v>
      </c>
      <c r="H50" s="43">
        <v>16.5</v>
      </c>
      <c r="I50" s="43">
        <v>68.900000000000006</v>
      </c>
      <c r="J50" s="43">
        <v>3.3</v>
      </c>
      <c r="K50" s="26">
        <v>12</v>
      </c>
      <c r="L50" s="43">
        <v>4</v>
      </c>
      <c r="M50" s="43">
        <v>16.5</v>
      </c>
      <c r="N50" s="43">
        <v>0.8</v>
      </c>
      <c r="O50" s="27"/>
      <c r="P50" s="26">
        <v>45.6</v>
      </c>
      <c r="Q50" s="43">
        <v>21.7</v>
      </c>
      <c r="R50" s="43">
        <v>90.8</v>
      </c>
      <c r="S50" s="43">
        <v>4.3</v>
      </c>
      <c r="T50" s="26">
        <v>48.1</v>
      </c>
      <c r="U50" s="43">
        <v>22.9</v>
      </c>
      <c r="V50" s="43">
        <v>95.7</v>
      </c>
      <c r="W50" s="43">
        <v>4.5999999999999996</v>
      </c>
      <c r="X50" s="26">
        <v>6.3</v>
      </c>
      <c r="Y50" s="43">
        <v>3</v>
      </c>
      <c r="Z50" s="43">
        <v>12.6</v>
      </c>
      <c r="AA50" s="43">
        <v>0.6</v>
      </c>
      <c r="AB50" s="27"/>
      <c r="AC50" s="26">
        <v>48.5</v>
      </c>
      <c r="AD50" s="43">
        <v>21.8</v>
      </c>
      <c r="AE50" s="43">
        <v>91.4</v>
      </c>
      <c r="AF50" s="43">
        <v>4.4000000000000004</v>
      </c>
      <c r="AG50" s="26">
        <v>50.4</v>
      </c>
      <c r="AH50" s="43">
        <v>22.7</v>
      </c>
      <c r="AI50" s="43">
        <v>95</v>
      </c>
      <c r="AJ50" s="43">
        <v>4.5</v>
      </c>
      <c r="AK50" s="26">
        <v>1.1000000000000001</v>
      </c>
      <c r="AL50" s="43">
        <v>0.5</v>
      </c>
      <c r="AM50" s="43">
        <v>2</v>
      </c>
      <c r="AN50" s="43">
        <v>0.1</v>
      </c>
      <c r="AO50" s="24"/>
      <c r="AP50" s="41">
        <f t="shared" si="34"/>
        <v>44</v>
      </c>
      <c r="AQ50" s="41">
        <f t="shared" si="43"/>
        <v>56</v>
      </c>
      <c r="AR50" s="41">
        <f t="shared" si="35"/>
        <v>234.39999999999998</v>
      </c>
      <c r="AS50" s="41">
        <f t="shared" si="36"/>
        <v>11.2</v>
      </c>
      <c r="AT50" s="41">
        <f t="shared" si="37"/>
        <v>49.533333333333331</v>
      </c>
      <c r="AU50" s="41">
        <f t="shared" si="44"/>
        <v>62.099999999999994</v>
      </c>
      <c r="AV50" s="41">
        <f t="shared" si="38"/>
        <v>259.60000000000002</v>
      </c>
      <c r="AW50" s="41">
        <f t="shared" si="39"/>
        <v>12.399999999999999</v>
      </c>
      <c r="AX50" s="41">
        <f t="shared" si="40"/>
        <v>6.4666666666666677</v>
      </c>
      <c r="AY50" s="41">
        <f t="shared" si="45"/>
        <v>7.5</v>
      </c>
      <c r="AZ50" s="41">
        <f t="shared" si="41"/>
        <v>31.1</v>
      </c>
      <c r="BA50" s="41">
        <f t="shared" si="42"/>
        <v>1.5</v>
      </c>
    </row>
    <row r="51" spans="2:53" ht="15.75" x14ac:dyDescent="0.25">
      <c r="B51" s="20" t="s">
        <v>47</v>
      </c>
      <c r="C51" s="26">
        <v>34.5</v>
      </c>
      <c r="D51" s="46">
        <v>11.4</v>
      </c>
      <c r="E51" s="46">
        <v>47.9</v>
      </c>
      <c r="F51" s="46">
        <v>2.2999999999999998</v>
      </c>
      <c r="G51" s="26">
        <v>58</v>
      </c>
      <c r="H51" s="46">
        <v>20.8</v>
      </c>
      <c r="I51" s="46">
        <v>87.1</v>
      </c>
      <c r="J51" s="46">
        <v>4.2</v>
      </c>
      <c r="K51" s="26">
        <v>7.5</v>
      </c>
      <c r="L51" s="46">
        <v>2.5</v>
      </c>
      <c r="M51" s="46">
        <v>11.1</v>
      </c>
      <c r="N51" s="46">
        <v>0.5</v>
      </c>
      <c r="O51" s="27"/>
      <c r="P51" s="26">
        <v>50.8</v>
      </c>
      <c r="Q51" s="46">
        <v>22.6</v>
      </c>
      <c r="R51" s="46">
        <v>94.7</v>
      </c>
      <c r="S51" s="46">
        <v>4.5</v>
      </c>
      <c r="T51" s="26">
        <v>44.1</v>
      </c>
      <c r="U51" s="46">
        <v>20.399999999999999</v>
      </c>
      <c r="V51" s="46">
        <v>85.3</v>
      </c>
      <c r="W51" s="46">
        <v>4.0999999999999996</v>
      </c>
      <c r="X51" s="26">
        <v>5.0999999999999996</v>
      </c>
      <c r="Y51" s="46">
        <v>2.2999999999999998</v>
      </c>
      <c r="Z51" s="46">
        <v>9.8000000000000007</v>
      </c>
      <c r="AA51" s="46">
        <v>0.5</v>
      </c>
      <c r="AB51" s="27"/>
      <c r="AC51" s="26">
        <v>53.8</v>
      </c>
      <c r="AD51" s="46">
        <v>23.1</v>
      </c>
      <c r="AE51" s="46">
        <v>96.8</v>
      </c>
      <c r="AF51" s="46">
        <v>4.5999999999999996</v>
      </c>
      <c r="AG51" s="26">
        <v>43.9</v>
      </c>
      <c r="AH51" s="46">
        <v>19.2</v>
      </c>
      <c r="AI51" s="46">
        <v>80.2</v>
      </c>
      <c r="AJ51" s="46">
        <v>3.8</v>
      </c>
      <c r="AK51" s="26">
        <v>2.2999999999999998</v>
      </c>
      <c r="AL51" s="46">
        <v>1</v>
      </c>
      <c r="AM51" s="46">
        <v>4.3</v>
      </c>
      <c r="AN51" s="46">
        <v>0.2</v>
      </c>
      <c r="AO51" s="24"/>
      <c r="AP51" s="41">
        <f t="shared" si="34"/>
        <v>46.366666666666667</v>
      </c>
      <c r="AQ51" s="41">
        <f t="shared" si="43"/>
        <v>57.1</v>
      </c>
      <c r="AR51" s="41">
        <f t="shared" si="35"/>
        <v>239.4</v>
      </c>
      <c r="AS51" s="41">
        <f t="shared" si="36"/>
        <v>11.399999999999999</v>
      </c>
      <c r="AT51" s="41">
        <f t="shared" si="37"/>
        <v>48.666666666666664</v>
      </c>
      <c r="AU51" s="41">
        <f t="shared" si="44"/>
        <v>60.399999999999991</v>
      </c>
      <c r="AV51" s="41">
        <f t="shared" si="38"/>
        <v>252.6</v>
      </c>
      <c r="AW51" s="41">
        <f t="shared" si="39"/>
        <v>12.1</v>
      </c>
      <c r="AX51" s="41">
        <f t="shared" si="40"/>
        <v>4.9666666666666659</v>
      </c>
      <c r="AY51" s="41">
        <f t="shared" si="45"/>
        <v>5.8</v>
      </c>
      <c r="AZ51" s="41">
        <f t="shared" si="41"/>
        <v>25.200000000000003</v>
      </c>
      <c r="BA51" s="41">
        <f t="shared" si="42"/>
        <v>1.2</v>
      </c>
    </row>
    <row r="52" spans="2:53" ht="15.75" x14ac:dyDescent="0.25">
      <c r="B52" s="20" t="s">
        <v>48</v>
      </c>
      <c r="C52" s="26">
        <v>41.9</v>
      </c>
      <c r="D52" s="43">
        <v>16.7</v>
      </c>
      <c r="E52" s="43">
        <v>69.5</v>
      </c>
      <c r="F52" s="43">
        <v>3.3</v>
      </c>
      <c r="G52" s="26">
        <v>49.2</v>
      </c>
      <c r="H52" s="43">
        <v>19.5</v>
      </c>
      <c r="I52" s="43">
        <v>81.599999999999994</v>
      </c>
      <c r="J52" s="43">
        <v>3.9</v>
      </c>
      <c r="K52" s="26">
        <v>8.9</v>
      </c>
      <c r="L52" s="43">
        <v>3.5</v>
      </c>
      <c r="M52" s="43">
        <v>14.7</v>
      </c>
      <c r="N52" s="43">
        <v>0.7</v>
      </c>
      <c r="O52" s="27"/>
      <c r="P52" s="26">
        <v>53.7</v>
      </c>
      <c r="Q52" s="43">
        <v>25.2</v>
      </c>
      <c r="R52" s="43">
        <v>105.6</v>
      </c>
      <c r="S52" s="43">
        <v>5</v>
      </c>
      <c r="T52" s="26">
        <v>41</v>
      </c>
      <c r="U52" s="43">
        <v>19.3</v>
      </c>
      <c r="V52" s="43">
        <v>80.599999999999994</v>
      </c>
      <c r="W52" s="43">
        <v>3.9</v>
      </c>
      <c r="X52" s="26">
        <v>5.3</v>
      </c>
      <c r="Y52" s="43">
        <v>2.5</v>
      </c>
      <c r="Z52" s="43">
        <v>10.4</v>
      </c>
      <c r="AA52" s="43">
        <v>0.5</v>
      </c>
      <c r="AB52" s="27"/>
      <c r="AC52" s="26">
        <v>54.7</v>
      </c>
      <c r="AD52" s="43">
        <v>24.2</v>
      </c>
      <c r="AE52" s="43">
        <v>101.2</v>
      </c>
      <c r="AF52" s="43">
        <v>4.8</v>
      </c>
      <c r="AG52" s="26">
        <v>43.7</v>
      </c>
      <c r="AH52" s="43">
        <v>19.3</v>
      </c>
      <c r="AI52" s="43">
        <v>80.900000000000006</v>
      </c>
      <c r="AJ52" s="43">
        <v>3.9</v>
      </c>
      <c r="AK52" s="26">
        <v>1.6</v>
      </c>
      <c r="AL52" s="43">
        <v>0.7</v>
      </c>
      <c r="AM52" s="43">
        <v>2.9</v>
      </c>
      <c r="AN52" s="43">
        <v>0.1</v>
      </c>
      <c r="AO52" s="24"/>
      <c r="AP52" s="41">
        <f t="shared" si="34"/>
        <v>50.1</v>
      </c>
      <c r="AQ52" s="41">
        <f t="shared" si="43"/>
        <v>66.099999999999994</v>
      </c>
      <c r="AR52" s="41">
        <f t="shared" si="35"/>
        <v>276.3</v>
      </c>
      <c r="AS52" s="41">
        <f t="shared" si="36"/>
        <v>13.100000000000001</v>
      </c>
      <c r="AT52" s="41">
        <f t="shared" si="37"/>
        <v>44.633333333333333</v>
      </c>
      <c r="AU52" s="41">
        <f t="shared" si="44"/>
        <v>58.1</v>
      </c>
      <c r="AV52" s="41">
        <f t="shared" si="38"/>
        <v>243.1</v>
      </c>
      <c r="AW52" s="41">
        <f t="shared" si="39"/>
        <v>11.7</v>
      </c>
      <c r="AX52" s="41">
        <f t="shared" si="40"/>
        <v>5.2666666666666666</v>
      </c>
      <c r="AY52" s="41">
        <f t="shared" si="45"/>
        <v>6.7</v>
      </c>
      <c r="AZ52" s="41">
        <f t="shared" si="41"/>
        <v>28</v>
      </c>
      <c r="BA52" s="41">
        <f t="shared" si="42"/>
        <v>1.2999999999999998</v>
      </c>
    </row>
    <row r="53" spans="2:53" ht="15.75" x14ac:dyDescent="0.25">
      <c r="B53" s="20" t="s">
        <v>49</v>
      </c>
      <c r="C53" s="26">
        <v>28.8</v>
      </c>
      <c r="D53" s="43">
        <v>9.4</v>
      </c>
      <c r="E53" s="43">
        <v>39.4</v>
      </c>
      <c r="F53" s="43">
        <v>1.9</v>
      </c>
      <c r="G53" s="26">
        <v>61.7</v>
      </c>
      <c r="H53" s="43">
        <v>20.2</v>
      </c>
      <c r="I53" s="43">
        <v>84.5</v>
      </c>
      <c r="J53" s="43">
        <v>4</v>
      </c>
      <c r="K53" s="26">
        <v>9.5</v>
      </c>
      <c r="L53" s="43">
        <v>3.1</v>
      </c>
      <c r="M53" s="43">
        <v>12.9</v>
      </c>
      <c r="N53" s="43">
        <v>0.6</v>
      </c>
      <c r="O53" s="27"/>
      <c r="P53" s="26">
        <v>54.1</v>
      </c>
      <c r="Q53" s="43">
        <v>28.1</v>
      </c>
      <c r="R53" s="43">
        <v>117.5</v>
      </c>
      <c r="S53" s="43">
        <v>5.6</v>
      </c>
      <c r="T53" s="26">
        <v>37.9</v>
      </c>
      <c r="U53" s="43">
        <v>19.7</v>
      </c>
      <c r="V53" s="43">
        <v>82.3</v>
      </c>
      <c r="W53" s="43">
        <v>3.9</v>
      </c>
      <c r="X53" s="26">
        <v>8</v>
      </c>
      <c r="Y53" s="43">
        <v>4.2</v>
      </c>
      <c r="Z53" s="43">
        <v>17.399999999999999</v>
      </c>
      <c r="AA53" s="43">
        <v>0.8</v>
      </c>
      <c r="AB53" s="27"/>
      <c r="AC53" s="26">
        <v>59.3</v>
      </c>
      <c r="AD53" s="43">
        <v>29.9</v>
      </c>
      <c r="AE53" s="43">
        <v>125.1</v>
      </c>
      <c r="AF53" s="43">
        <v>6</v>
      </c>
      <c r="AG53" s="26">
        <v>40.200000000000003</v>
      </c>
      <c r="AH53" s="43">
        <v>20.3</v>
      </c>
      <c r="AI53" s="43">
        <v>84.7</v>
      </c>
      <c r="AJ53" s="43">
        <v>4.0999999999999996</v>
      </c>
      <c r="AK53" s="26">
        <v>0.5</v>
      </c>
      <c r="AL53" s="43">
        <v>0.3</v>
      </c>
      <c r="AM53" s="43">
        <v>1.1000000000000001</v>
      </c>
      <c r="AN53" s="43">
        <v>0.1</v>
      </c>
      <c r="AO53" s="24"/>
      <c r="AP53" s="41">
        <f t="shared" si="34"/>
        <v>47.4</v>
      </c>
      <c r="AQ53" s="41">
        <f t="shared" si="43"/>
        <v>67.400000000000006</v>
      </c>
      <c r="AR53" s="41">
        <f t="shared" si="35"/>
        <v>282</v>
      </c>
      <c r="AS53" s="41">
        <f t="shared" si="36"/>
        <v>13.5</v>
      </c>
      <c r="AT53" s="41">
        <f t="shared" si="37"/>
        <v>46.6</v>
      </c>
      <c r="AU53" s="41">
        <f t="shared" si="44"/>
        <v>60.2</v>
      </c>
      <c r="AV53" s="41">
        <f t="shared" si="38"/>
        <v>251.5</v>
      </c>
      <c r="AW53" s="41">
        <f t="shared" si="39"/>
        <v>12</v>
      </c>
      <c r="AX53" s="41">
        <f t="shared" si="40"/>
        <v>6</v>
      </c>
      <c r="AY53" s="41">
        <f t="shared" si="45"/>
        <v>7.6</v>
      </c>
      <c r="AZ53" s="41">
        <f t="shared" si="41"/>
        <v>31.4</v>
      </c>
      <c r="BA53" s="41">
        <f t="shared" si="42"/>
        <v>1.5</v>
      </c>
    </row>
    <row r="54" spans="2:53" ht="15.75" x14ac:dyDescent="0.25">
      <c r="O54" s="2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</row>
    <row r="55" spans="2:53" ht="21" x14ac:dyDescent="0.25">
      <c r="B55" s="33" t="s">
        <v>54</v>
      </c>
      <c r="C55" s="39">
        <f>AVERAGE(C45:C53)</f>
        <v>34.5</v>
      </c>
      <c r="D55" s="39">
        <f>AVERAGE(D45:D53)</f>
        <v>11.455555555555556</v>
      </c>
      <c r="E55" s="39">
        <f t="shared" ref="E55:BA55" si="46">AVERAGE(E45:E53)</f>
        <v>47.888888888888886</v>
      </c>
      <c r="F55" s="39">
        <f t="shared" si="46"/>
        <v>2.2888888888888888</v>
      </c>
      <c r="G55" s="39">
        <f t="shared" si="46"/>
        <v>57.93333333333333</v>
      </c>
      <c r="H55" s="39">
        <f t="shared" si="46"/>
        <v>20.822222222222223</v>
      </c>
      <c r="I55" s="39">
        <f t="shared" si="46"/>
        <v>87.12222222222222</v>
      </c>
      <c r="J55" s="39">
        <f t="shared" si="46"/>
        <v>4.166666666666667</v>
      </c>
      <c r="K55" s="39">
        <f t="shared" si="46"/>
        <v>7.5666666666666664</v>
      </c>
      <c r="L55" s="39">
        <f t="shared" si="46"/>
        <v>2.6222222222222222</v>
      </c>
      <c r="M55" s="39">
        <f t="shared" si="46"/>
        <v>11.044444444444444</v>
      </c>
      <c r="N55" s="39">
        <f t="shared" si="46"/>
        <v>0.53333333333333333</v>
      </c>
      <c r="O55" s="48"/>
      <c r="P55" s="39">
        <f t="shared" si="46"/>
        <v>50.822222222222223</v>
      </c>
      <c r="Q55" s="39">
        <f t="shared" si="46"/>
        <v>22.633333333333333</v>
      </c>
      <c r="R55" s="39">
        <f t="shared" si="46"/>
        <v>94.666666666666671</v>
      </c>
      <c r="S55" s="39">
        <f t="shared" si="46"/>
        <v>4.5111111111111111</v>
      </c>
      <c r="T55" s="39">
        <f t="shared" si="46"/>
        <v>44.144444444444446</v>
      </c>
      <c r="U55" s="39">
        <f t="shared" si="46"/>
        <v>20.400000000000002</v>
      </c>
      <c r="V55" s="39">
        <f t="shared" si="46"/>
        <v>85.311111111111103</v>
      </c>
      <c r="W55" s="39">
        <f t="shared" si="46"/>
        <v>4.0777777777777775</v>
      </c>
      <c r="X55" s="39">
        <f t="shared" si="46"/>
        <v>5.0333333333333332</v>
      </c>
      <c r="Y55" s="39">
        <f t="shared" si="46"/>
        <v>2.3444444444444446</v>
      </c>
      <c r="Z55" s="39">
        <f t="shared" si="46"/>
        <v>9.7555555555555564</v>
      </c>
      <c r="AA55" s="39">
        <f t="shared" si="46"/>
        <v>0.46666666666666667</v>
      </c>
      <c r="AB55" s="39" t="e">
        <f t="shared" si="46"/>
        <v>#DIV/0!</v>
      </c>
      <c r="AC55" s="39">
        <f t="shared" si="46"/>
        <v>53.822222222222223</v>
      </c>
      <c r="AD55" s="39">
        <f t="shared" si="46"/>
        <v>23.122222222222224</v>
      </c>
      <c r="AE55" s="39">
        <f t="shared" si="46"/>
        <v>96.788888888888891</v>
      </c>
      <c r="AF55" s="39">
        <f t="shared" si="46"/>
        <v>4.6333333333333337</v>
      </c>
      <c r="AG55" s="39">
        <f t="shared" si="46"/>
        <v>43.888888888888886</v>
      </c>
      <c r="AH55" s="39">
        <f t="shared" si="46"/>
        <v>19.166666666666671</v>
      </c>
      <c r="AI55" s="39">
        <f t="shared" si="46"/>
        <v>80.177777777777777</v>
      </c>
      <c r="AJ55" s="39">
        <f t="shared" si="46"/>
        <v>3.822222222222222</v>
      </c>
      <c r="AK55" s="39">
        <f t="shared" si="46"/>
        <v>2.2888888888888896</v>
      </c>
      <c r="AL55" s="39">
        <f t="shared" si="46"/>
        <v>1.0555555555555556</v>
      </c>
      <c r="AM55" s="39">
        <f t="shared" si="46"/>
        <v>4.4111111111111105</v>
      </c>
      <c r="AN55" s="39">
        <f t="shared" si="46"/>
        <v>0.21555555555555561</v>
      </c>
      <c r="AO55" s="39" t="e">
        <f t="shared" si="46"/>
        <v>#DIV/0!</v>
      </c>
      <c r="AP55" s="39">
        <v>46.3</v>
      </c>
      <c r="AQ55" s="39">
        <f t="shared" si="46"/>
        <v>57.211111111111109</v>
      </c>
      <c r="AR55" s="39">
        <f t="shared" si="46"/>
        <v>239.34444444444449</v>
      </c>
      <c r="AS55" s="39">
        <f t="shared" si="46"/>
        <v>11.433333333333334</v>
      </c>
      <c r="AT55" s="39">
        <f t="shared" si="46"/>
        <v>48.655555555555559</v>
      </c>
      <c r="AU55" s="39">
        <f t="shared" si="46"/>
        <v>60.388888888888886</v>
      </c>
      <c r="AV55" s="39">
        <f t="shared" si="46"/>
        <v>252.61111111111111</v>
      </c>
      <c r="AW55" s="39">
        <f t="shared" si="46"/>
        <v>12.066666666666665</v>
      </c>
      <c r="AX55" s="39">
        <f t="shared" si="46"/>
        <v>4.9629629629629637</v>
      </c>
      <c r="AY55" s="39">
        <f t="shared" si="46"/>
        <v>6.0222222222222221</v>
      </c>
      <c r="AZ55" s="39">
        <f t="shared" si="46"/>
        <v>25.211111111111112</v>
      </c>
      <c r="BA55" s="39">
        <f t="shared" si="46"/>
        <v>1.2155555555555553</v>
      </c>
    </row>
    <row r="56" spans="2:53" ht="21" x14ac:dyDescent="0.25">
      <c r="B56" s="33" t="s">
        <v>55</v>
      </c>
      <c r="C56" s="39">
        <f>_xlfn.STDEV.S(C45:C53)</f>
        <v>7.7926247182833164</v>
      </c>
      <c r="D56" s="39">
        <f t="shared" ref="D56:BA56" si="47">_xlfn.STDEV.S(D45:D53)</f>
        <v>3.0203936461623293</v>
      </c>
      <c r="E56" s="39">
        <f t="shared" si="47"/>
        <v>12.497444183156475</v>
      </c>
      <c r="F56" s="39">
        <f t="shared" si="47"/>
        <v>0.58831208649076117</v>
      </c>
      <c r="G56" s="39">
        <f t="shared" si="47"/>
        <v>7.9939039273687209</v>
      </c>
      <c r="H56" s="39">
        <f t="shared" si="47"/>
        <v>6.3929214326819723</v>
      </c>
      <c r="I56" s="39">
        <f t="shared" si="47"/>
        <v>26.76321065276818</v>
      </c>
      <c r="J56" s="39">
        <f t="shared" si="47"/>
        <v>1.2786711852544428</v>
      </c>
      <c r="K56" s="39">
        <f t="shared" si="47"/>
        <v>2.4454038521274977</v>
      </c>
      <c r="L56" s="39">
        <f t="shared" si="47"/>
        <v>1.0848707040216561</v>
      </c>
      <c r="M56" s="39">
        <f t="shared" si="47"/>
        <v>4.4525585653394595</v>
      </c>
      <c r="N56" s="39">
        <f t="shared" si="47"/>
        <v>0.19999999999999996</v>
      </c>
      <c r="O56" s="48"/>
      <c r="P56" s="39">
        <f t="shared" si="47"/>
        <v>5.8948659394802725</v>
      </c>
      <c r="Q56" s="39">
        <f t="shared" si="47"/>
        <v>3.9893608510637346</v>
      </c>
      <c r="R56" s="39">
        <f t="shared" si="47"/>
        <v>16.711448171837148</v>
      </c>
      <c r="S56" s="39">
        <f t="shared" si="47"/>
        <v>0.80069414329761912</v>
      </c>
      <c r="T56" s="39">
        <f t="shared" si="47"/>
        <v>7.2074806817485051</v>
      </c>
      <c r="U56" s="39">
        <f t="shared" si="47"/>
        <v>7.6917163234222246</v>
      </c>
      <c r="V56" s="39">
        <f t="shared" si="47"/>
        <v>32.146206791954619</v>
      </c>
      <c r="W56" s="39">
        <f t="shared" si="47"/>
        <v>1.5287067882509229</v>
      </c>
      <c r="X56" s="39">
        <f t="shared" si="47"/>
        <v>2.8222331583340181</v>
      </c>
      <c r="Y56" s="39">
        <f t="shared" si="47"/>
        <v>1.3276964177769619</v>
      </c>
      <c r="Z56" s="39">
        <f t="shared" si="47"/>
        <v>5.5351402672179617</v>
      </c>
      <c r="AA56" s="39">
        <f t="shared" si="47"/>
        <v>0.25495097567963937</v>
      </c>
      <c r="AB56" s="39" t="e">
        <f t="shared" si="47"/>
        <v>#DIV/0!</v>
      </c>
      <c r="AC56" s="39">
        <f t="shared" si="47"/>
        <v>5.4297278425759465</v>
      </c>
      <c r="AD56" s="39">
        <f t="shared" si="47"/>
        <v>4.0418986187736552</v>
      </c>
      <c r="AE56" s="39">
        <f t="shared" si="47"/>
        <v>16.884123048328785</v>
      </c>
      <c r="AF56" s="39">
        <f t="shared" si="47"/>
        <v>0.80777472107017112</v>
      </c>
      <c r="AG56" s="39">
        <f t="shared" si="47"/>
        <v>4.0547640019008631</v>
      </c>
      <c r="AH56" s="39">
        <f t="shared" si="47"/>
        <v>4.579847159021778</v>
      </c>
      <c r="AI56" s="39">
        <f t="shared" si="47"/>
        <v>19.206104353679944</v>
      </c>
      <c r="AJ56" s="39">
        <f t="shared" si="47"/>
        <v>0.92571293846658953</v>
      </c>
      <c r="AK56" s="39">
        <f t="shared" si="47"/>
        <v>2.6629140262334992</v>
      </c>
      <c r="AL56" s="39">
        <f t="shared" si="47"/>
        <v>1.3295780450119419</v>
      </c>
      <c r="AM56" s="39">
        <f t="shared" si="47"/>
        <v>5.6114713855735836</v>
      </c>
      <c r="AN56" s="39">
        <f t="shared" si="47"/>
        <v>0.26772705835940036</v>
      </c>
      <c r="AO56" s="39" t="e">
        <f t="shared" si="47"/>
        <v>#DIV/0!</v>
      </c>
      <c r="AP56" s="39">
        <f t="shared" si="47"/>
        <v>5.5406856553015382</v>
      </c>
      <c r="AQ56" s="39">
        <f t="shared" si="47"/>
        <v>9.398197226655304</v>
      </c>
      <c r="AR56" s="39">
        <f t="shared" si="47"/>
        <v>39.213967891272567</v>
      </c>
      <c r="AS56" s="39">
        <f t="shared" si="47"/>
        <v>1.8614510468986218</v>
      </c>
      <c r="AT56" s="39">
        <f t="shared" si="47"/>
        <v>5.4166153843725651</v>
      </c>
      <c r="AU56" s="39">
        <f t="shared" si="47"/>
        <v>17.218118686752955</v>
      </c>
      <c r="AV56" s="39">
        <f t="shared" si="47"/>
        <v>72.046589864553027</v>
      </c>
      <c r="AW56" s="39">
        <f t="shared" si="47"/>
        <v>3.4496376621320728</v>
      </c>
      <c r="AX56" s="39">
        <f t="shared" si="47"/>
        <v>1.5998649634374027</v>
      </c>
      <c r="AY56" s="39">
        <f t="shared" si="47"/>
        <v>2.402487137206863</v>
      </c>
      <c r="AZ56" s="39">
        <f t="shared" si="47"/>
        <v>9.9491764036582939</v>
      </c>
      <c r="BA56" s="39">
        <f t="shared" si="47"/>
        <v>0.4606275912033258</v>
      </c>
    </row>
    <row r="57" spans="2:53" ht="16.5" x14ac:dyDescent="0.25">
      <c r="H57" s="36"/>
      <c r="I57" s="36"/>
      <c r="J57" s="36"/>
    </row>
    <row r="58" spans="2:53" x14ac:dyDescent="0.25">
      <c r="H58" s="37"/>
      <c r="I58" s="37"/>
      <c r="J58" s="37"/>
    </row>
  </sheetData>
  <mergeCells count="51">
    <mergeCell ref="C22:N22"/>
    <mergeCell ref="P42:AA42"/>
    <mergeCell ref="P22:AA22"/>
    <mergeCell ref="C42:N42"/>
    <mergeCell ref="AC3:AN3"/>
    <mergeCell ref="AC22:AN22"/>
    <mergeCell ref="AC42:AN42"/>
    <mergeCell ref="C4:F4"/>
    <mergeCell ref="G4:J4"/>
    <mergeCell ref="K4:N4"/>
    <mergeCell ref="P4:S4"/>
    <mergeCell ref="T4:W4"/>
    <mergeCell ref="X4:AA4"/>
    <mergeCell ref="AC4:AF4"/>
    <mergeCell ref="AG4:AJ4"/>
    <mergeCell ref="AK4:AN4"/>
    <mergeCell ref="C23:F23"/>
    <mergeCell ref="G23:J23"/>
    <mergeCell ref="K23:N23"/>
    <mergeCell ref="X43:AA43"/>
    <mergeCell ref="AC43:AF43"/>
    <mergeCell ref="AG43:AJ43"/>
    <mergeCell ref="AK43:AN43"/>
    <mergeCell ref="P23:S23"/>
    <mergeCell ref="T23:W23"/>
    <mergeCell ref="X23:AA23"/>
    <mergeCell ref="AC23:AF23"/>
    <mergeCell ref="AG23:AJ23"/>
    <mergeCell ref="AP4:AS4"/>
    <mergeCell ref="AT4:AW4"/>
    <mergeCell ref="AX4:BA4"/>
    <mergeCell ref="B2:BA2"/>
    <mergeCell ref="AP3:BA3"/>
    <mergeCell ref="P3:AA3"/>
    <mergeCell ref="C3:N3"/>
    <mergeCell ref="AP43:AS43"/>
    <mergeCell ref="AT43:AW43"/>
    <mergeCell ref="AX43:BA43"/>
    <mergeCell ref="B41:BA41"/>
    <mergeCell ref="B21:BA21"/>
    <mergeCell ref="AP22:BA22"/>
    <mergeCell ref="AP23:AS23"/>
    <mergeCell ref="AT23:AW23"/>
    <mergeCell ref="AX23:BA23"/>
    <mergeCell ref="AP42:BA42"/>
    <mergeCell ref="AK23:AN23"/>
    <mergeCell ref="C43:F43"/>
    <mergeCell ref="G43:J43"/>
    <mergeCell ref="K43:N43"/>
    <mergeCell ref="P43:S43"/>
    <mergeCell ref="T43:W43"/>
  </mergeCells>
  <phoneticPr fontId="15" type="noConversion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X62"/>
  <sheetViews>
    <sheetView topLeftCell="A35" workbookViewId="0">
      <selection activeCell="C46" sqref="C46:C47"/>
    </sheetView>
  </sheetViews>
  <sheetFormatPr defaultRowHeight="15" x14ac:dyDescent="0.25"/>
  <cols>
    <col min="1" max="2" width="3.28515625" customWidth="1"/>
    <col min="3" max="3" width="27.42578125" customWidth="1"/>
    <col min="15" max="15" width="2.140625" style="5" customWidth="1"/>
    <col min="19" max="19" width="2.140625" style="5" customWidth="1"/>
    <col min="20" max="22" width="13" customWidth="1"/>
  </cols>
  <sheetData>
    <row r="1" spans="3:24" x14ac:dyDescent="0.25">
      <c r="D1" t="s">
        <v>23</v>
      </c>
      <c r="E1" t="s">
        <v>24</v>
      </c>
      <c r="G1" t="s">
        <v>25</v>
      </c>
      <c r="I1" t="s">
        <v>26</v>
      </c>
      <c r="K1" t="s">
        <v>31</v>
      </c>
      <c r="L1" s="98"/>
      <c r="M1" s="98"/>
      <c r="N1" s="98"/>
      <c r="O1" s="8"/>
      <c r="S1" s="8"/>
    </row>
    <row r="2" spans="3:24" ht="36" x14ac:dyDescent="0.55000000000000004">
      <c r="C2" s="108" t="s">
        <v>53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10"/>
    </row>
    <row r="3" spans="3:24" ht="21" x14ac:dyDescent="0.35">
      <c r="C3" s="1"/>
      <c r="D3" s="111" t="s">
        <v>59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3"/>
      <c r="P3" s="112" t="s">
        <v>61</v>
      </c>
      <c r="Q3" s="113"/>
      <c r="R3" s="114"/>
      <c r="S3" s="6"/>
      <c r="T3" s="115" t="s">
        <v>60</v>
      </c>
      <c r="U3" s="116"/>
      <c r="V3" s="117"/>
      <c r="W3" s="107" t="s">
        <v>62</v>
      </c>
      <c r="X3" s="107"/>
    </row>
    <row r="4" spans="3:24" x14ac:dyDescent="0.25">
      <c r="C4" s="10"/>
      <c r="D4" s="11" t="s">
        <v>1</v>
      </c>
      <c r="E4" s="11" t="s">
        <v>2</v>
      </c>
      <c r="F4" s="11" t="s">
        <v>30</v>
      </c>
      <c r="G4" s="11" t="s">
        <v>3</v>
      </c>
      <c r="H4" s="11" t="s">
        <v>30</v>
      </c>
      <c r="I4" s="11" t="s">
        <v>4</v>
      </c>
      <c r="J4" s="11" t="s">
        <v>30</v>
      </c>
      <c r="K4" s="11" t="s">
        <v>27</v>
      </c>
      <c r="L4" s="11" t="s">
        <v>5</v>
      </c>
      <c r="M4" s="11" t="s">
        <v>6</v>
      </c>
      <c r="N4" s="11" t="s">
        <v>7</v>
      </c>
      <c r="O4" s="12"/>
      <c r="P4" s="13" t="s">
        <v>8</v>
      </c>
      <c r="Q4" s="13" t="s">
        <v>9</v>
      </c>
      <c r="R4" s="13"/>
      <c r="S4" s="12"/>
      <c r="T4" s="13" t="s">
        <v>1</v>
      </c>
      <c r="U4" s="13" t="s">
        <v>9</v>
      </c>
      <c r="V4" s="61"/>
      <c r="W4" s="103"/>
      <c r="X4" s="104"/>
    </row>
    <row r="5" spans="3:24" ht="15.75" x14ac:dyDescent="0.25">
      <c r="C5" s="20" t="s">
        <v>41</v>
      </c>
      <c r="D5" s="56">
        <f>0.445*3</f>
        <v>1.335</v>
      </c>
      <c r="E5" s="56">
        <f>2.31*3</f>
        <v>6.93</v>
      </c>
      <c r="F5" s="56">
        <f>E5-D5</f>
        <v>5.5949999999999998</v>
      </c>
      <c r="G5" s="56">
        <f>3.36*3</f>
        <v>10.08</v>
      </c>
      <c r="H5" s="56">
        <f>G5-E5</f>
        <v>3.1500000000000004</v>
      </c>
      <c r="I5" s="56">
        <f>3.12*3</f>
        <v>9.36</v>
      </c>
      <c r="J5" s="56">
        <f>I5-G5</f>
        <v>-0.72000000000000064</v>
      </c>
      <c r="K5" s="56">
        <f>3.13*3</f>
        <v>9.39</v>
      </c>
      <c r="L5" s="56">
        <f>3.13*3</f>
        <v>9.39</v>
      </c>
      <c r="M5" s="56">
        <f>2.5*3</f>
        <v>7.5</v>
      </c>
      <c r="N5" s="56">
        <f>2.44*3</f>
        <v>7.32</v>
      </c>
      <c r="O5" s="14"/>
      <c r="P5" s="10">
        <v>24.7</v>
      </c>
      <c r="Q5" s="10">
        <v>24.5</v>
      </c>
      <c r="R5" s="10"/>
      <c r="S5" s="14"/>
      <c r="T5" s="10">
        <v>0.86099999999999999</v>
      </c>
      <c r="U5" s="10">
        <v>1.06</v>
      </c>
      <c r="V5" s="51"/>
      <c r="W5" s="105">
        <v>7</v>
      </c>
      <c r="X5" s="106"/>
    </row>
    <row r="6" spans="3:24" ht="15.75" x14ac:dyDescent="0.25">
      <c r="C6" s="20" t="s">
        <v>42</v>
      </c>
      <c r="D6" s="56">
        <f>0.261*3</f>
        <v>0.78300000000000003</v>
      </c>
      <c r="E6" s="56">
        <f>1.51*3</f>
        <v>4.53</v>
      </c>
      <c r="F6" s="56">
        <f t="shared" ref="F6:F13" si="0">E6-D6</f>
        <v>3.7470000000000003</v>
      </c>
      <c r="G6" s="56">
        <f>2.46*3</f>
        <v>7.38</v>
      </c>
      <c r="H6" s="56">
        <f t="shared" ref="H6:H13" si="1">G6-E6</f>
        <v>2.8499999999999996</v>
      </c>
      <c r="I6" s="56">
        <f>3.02*3</f>
        <v>9.06</v>
      </c>
      <c r="J6" s="56">
        <f t="shared" ref="J6:J13" si="2">I6-G6</f>
        <v>1.6800000000000006</v>
      </c>
      <c r="K6" s="56">
        <f>3.02*3</f>
        <v>9.06</v>
      </c>
      <c r="L6" s="56">
        <f>2.6*3</f>
        <v>7.8000000000000007</v>
      </c>
      <c r="M6" s="56">
        <f>2.49*3</f>
        <v>7.4700000000000006</v>
      </c>
      <c r="N6" s="56">
        <f>2.29*3</f>
        <v>6.87</v>
      </c>
      <c r="O6" s="14"/>
      <c r="P6" s="10">
        <v>32.799999999999997</v>
      </c>
      <c r="Q6" s="10">
        <v>27</v>
      </c>
      <c r="R6" s="10"/>
      <c r="S6" s="14"/>
      <c r="T6" s="10">
        <v>1.22</v>
      </c>
      <c r="U6" s="10">
        <v>1.1000000000000001</v>
      </c>
      <c r="V6" s="51"/>
      <c r="W6" s="105">
        <v>9</v>
      </c>
      <c r="X6" s="106"/>
    </row>
    <row r="7" spans="3:24" ht="15.75" x14ac:dyDescent="0.25">
      <c r="C7" s="20" t="s">
        <v>43</v>
      </c>
      <c r="D7" s="56">
        <f>0.263*3</f>
        <v>0.78900000000000003</v>
      </c>
      <c r="E7" s="56">
        <f>1.39*3</f>
        <v>4.17</v>
      </c>
      <c r="F7" s="56">
        <f t="shared" si="0"/>
        <v>3.3809999999999998</v>
      </c>
      <c r="G7" s="56">
        <f>1.83*3</f>
        <v>5.49</v>
      </c>
      <c r="H7" s="56">
        <f t="shared" si="1"/>
        <v>1.3200000000000003</v>
      </c>
      <c r="I7" s="56">
        <f>2.39*3</f>
        <v>7.17</v>
      </c>
      <c r="J7" s="56">
        <f t="shared" si="2"/>
        <v>1.6799999999999997</v>
      </c>
      <c r="K7" s="56">
        <f>2.42*3</f>
        <v>7.26</v>
      </c>
      <c r="L7" s="56">
        <f>2.42*3</f>
        <v>7.26</v>
      </c>
      <c r="M7" s="56">
        <f>2.37*3</f>
        <v>7.11</v>
      </c>
      <c r="N7" s="56">
        <f>2.36*3</f>
        <v>7.08</v>
      </c>
      <c r="O7" s="14"/>
      <c r="P7" s="10">
        <v>29</v>
      </c>
      <c r="Q7" s="10">
        <v>34.299999999999997</v>
      </c>
      <c r="R7" s="10"/>
      <c r="S7" s="14"/>
      <c r="T7" s="10">
        <v>1.2</v>
      </c>
      <c r="U7" s="10">
        <v>0.93400000000000005</v>
      </c>
      <c r="V7" s="51"/>
      <c r="W7" s="105">
        <v>7</v>
      </c>
      <c r="X7" s="106"/>
    </row>
    <row r="8" spans="3:24" ht="15.75" x14ac:dyDescent="0.25">
      <c r="C8" s="20" t="s">
        <v>44</v>
      </c>
      <c r="D8" s="56">
        <f>0.274*3</f>
        <v>0.82200000000000006</v>
      </c>
      <c r="E8" s="56">
        <f>1.68*3</f>
        <v>5.04</v>
      </c>
      <c r="F8" s="56">
        <f t="shared" si="0"/>
        <v>4.218</v>
      </c>
      <c r="G8" s="56">
        <f>2.72*3</f>
        <v>8.16</v>
      </c>
      <c r="H8" s="56">
        <f t="shared" si="1"/>
        <v>3.12</v>
      </c>
      <c r="I8" s="56">
        <f>2.65*3</f>
        <v>7.9499999999999993</v>
      </c>
      <c r="J8" s="56">
        <f t="shared" si="2"/>
        <v>-0.21000000000000085</v>
      </c>
      <c r="K8" s="56">
        <f>2.65*3</f>
        <v>7.9499999999999993</v>
      </c>
      <c r="L8" s="56">
        <f>2.52*3</f>
        <v>7.5600000000000005</v>
      </c>
      <c r="M8" s="56">
        <f>2.45*3</f>
        <v>7.3500000000000005</v>
      </c>
      <c r="N8" s="56">
        <f>2.1*3</f>
        <v>6.3000000000000007</v>
      </c>
      <c r="O8" s="14"/>
      <c r="P8" s="10">
        <v>32.700000000000003</v>
      </c>
      <c r="Q8" s="10">
        <v>33.9</v>
      </c>
      <c r="R8" s="10"/>
      <c r="S8" s="14"/>
      <c r="T8" s="10">
        <v>0.9</v>
      </c>
      <c r="U8" s="10">
        <v>1.46</v>
      </c>
      <c r="V8" s="51"/>
      <c r="W8" s="105">
        <v>8</v>
      </c>
      <c r="X8" s="106"/>
    </row>
    <row r="9" spans="3:24" ht="15.75" x14ac:dyDescent="0.25">
      <c r="C9" s="20" t="s">
        <v>45</v>
      </c>
      <c r="D9" s="56">
        <f>0.556*3</f>
        <v>1.6680000000000001</v>
      </c>
      <c r="E9" s="56">
        <f>2.42*3</f>
        <v>7.26</v>
      </c>
      <c r="F9" s="56">
        <f t="shared" si="0"/>
        <v>5.5919999999999996</v>
      </c>
      <c r="G9" s="56">
        <f>2.98*3</f>
        <v>8.94</v>
      </c>
      <c r="H9" s="56">
        <f t="shared" si="1"/>
        <v>1.6799999999999997</v>
      </c>
      <c r="I9" s="56">
        <f>2.85*3</f>
        <v>8.5500000000000007</v>
      </c>
      <c r="J9" s="56">
        <f t="shared" si="2"/>
        <v>-0.38999999999999879</v>
      </c>
      <c r="K9" s="56">
        <f>2.85*3</f>
        <v>8.5500000000000007</v>
      </c>
      <c r="L9" s="56">
        <f>2.76*3</f>
        <v>8.2799999999999994</v>
      </c>
      <c r="M9" s="56">
        <f>2.66*3</f>
        <v>7.98</v>
      </c>
      <c r="N9" s="56"/>
      <c r="O9" s="14"/>
      <c r="P9" s="10">
        <v>21.5</v>
      </c>
      <c r="Q9" s="10">
        <v>23.9</v>
      </c>
      <c r="R9" s="10"/>
      <c r="S9" s="14"/>
      <c r="T9" s="10">
        <v>1.08</v>
      </c>
      <c r="U9" s="10">
        <v>1.22</v>
      </c>
      <c r="V9" s="51"/>
      <c r="W9" s="105">
        <v>7</v>
      </c>
      <c r="X9" s="106"/>
    </row>
    <row r="10" spans="3:24" ht="15.75" x14ac:dyDescent="0.25">
      <c r="C10" s="20" t="s">
        <v>46</v>
      </c>
      <c r="D10" s="56">
        <f>0.244*3</f>
        <v>0.73199999999999998</v>
      </c>
      <c r="E10" s="56">
        <f>1.51*3</f>
        <v>4.53</v>
      </c>
      <c r="F10" s="56">
        <f t="shared" si="0"/>
        <v>3.798</v>
      </c>
      <c r="G10" s="56">
        <f>1.72*3</f>
        <v>5.16</v>
      </c>
      <c r="H10" s="56">
        <f t="shared" si="1"/>
        <v>0.62999999999999989</v>
      </c>
      <c r="I10" s="56">
        <f>2.34*3</f>
        <v>7.02</v>
      </c>
      <c r="J10" s="56">
        <f t="shared" si="2"/>
        <v>1.8599999999999994</v>
      </c>
      <c r="K10" s="56">
        <f>2.34*3</f>
        <v>7.02</v>
      </c>
      <c r="L10" s="56">
        <f>1.97*3</f>
        <v>5.91</v>
      </c>
      <c r="M10" s="56">
        <f>1.69*3</f>
        <v>5.07</v>
      </c>
      <c r="N10" s="56">
        <f>1.72*3</f>
        <v>5.16</v>
      </c>
      <c r="O10" s="14"/>
      <c r="P10" s="10">
        <v>28.8</v>
      </c>
      <c r="Q10" s="10">
        <v>30</v>
      </c>
      <c r="R10" s="10"/>
      <c r="S10" s="14"/>
      <c r="T10" s="10">
        <v>0.84799999999999998</v>
      </c>
      <c r="U10" s="10">
        <v>0.92600000000000005</v>
      </c>
      <c r="V10" s="51"/>
      <c r="W10" s="105">
        <v>8</v>
      </c>
      <c r="X10" s="106"/>
    </row>
    <row r="11" spans="3:24" ht="15.75" x14ac:dyDescent="0.25">
      <c r="C11" s="20" t="s">
        <v>47</v>
      </c>
      <c r="D11" s="56">
        <f>0.361*3</f>
        <v>1.083</v>
      </c>
      <c r="E11" s="56">
        <f>3.05*3</f>
        <v>9.1499999999999986</v>
      </c>
      <c r="F11" s="56">
        <f t="shared" si="0"/>
        <v>8.0669999999999984</v>
      </c>
      <c r="G11" s="56">
        <f>2.77*3</f>
        <v>8.31</v>
      </c>
      <c r="H11" s="56">
        <f t="shared" si="1"/>
        <v>-0.83999999999999808</v>
      </c>
      <c r="I11" s="56">
        <f>2.64*3</f>
        <v>7.92</v>
      </c>
      <c r="J11" s="56">
        <f t="shared" si="2"/>
        <v>-0.39000000000000057</v>
      </c>
      <c r="K11" s="56">
        <f>2.86*3</f>
        <v>8.58</v>
      </c>
      <c r="L11" s="56">
        <f>2.86*3</f>
        <v>8.58</v>
      </c>
      <c r="M11" s="56">
        <f>2.53*3</f>
        <v>7.59</v>
      </c>
      <c r="N11" s="56">
        <f>2.31*3</f>
        <v>6.93</v>
      </c>
      <c r="O11" s="14"/>
      <c r="P11" s="10">
        <v>28.7</v>
      </c>
      <c r="Q11" s="10">
        <v>31.7</v>
      </c>
      <c r="R11" s="10"/>
      <c r="S11" s="14"/>
      <c r="T11" s="10">
        <v>0.72299999999999998</v>
      </c>
      <c r="U11" s="10">
        <v>0.84899999999999998</v>
      </c>
      <c r="V11" s="51"/>
      <c r="W11" s="105">
        <v>9</v>
      </c>
      <c r="X11" s="106"/>
    </row>
    <row r="12" spans="3:24" ht="15.75" x14ac:dyDescent="0.25">
      <c r="C12" s="20" t="s">
        <v>48</v>
      </c>
      <c r="D12" s="56">
        <f>0.323*3</f>
        <v>0.96900000000000008</v>
      </c>
      <c r="E12" s="56">
        <f>1.48*3</f>
        <v>4.4399999999999995</v>
      </c>
      <c r="F12" s="56">
        <f t="shared" si="0"/>
        <v>3.4709999999999992</v>
      </c>
      <c r="G12" s="56">
        <f>2.18*3</f>
        <v>6.5400000000000009</v>
      </c>
      <c r="H12" s="56">
        <f t="shared" si="1"/>
        <v>2.1000000000000014</v>
      </c>
      <c r="I12" s="56">
        <f>2.6*3</f>
        <v>7.8000000000000007</v>
      </c>
      <c r="J12" s="56">
        <f t="shared" si="2"/>
        <v>1.2599999999999998</v>
      </c>
      <c r="K12" s="56">
        <f>2.6*3</f>
        <v>7.8000000000000007</v>
      </c>
      <c r="L12" s="56">
        <f>2.22*3</f>
        <v>6.66</v>
      </c>
      <c r="M12" s="56">
        <f>2.05*3</f>
        <v>6.1499999999999995</v>
      </c>
      <c r="N12" s="56">
        <f>1.89*3</f>
        <v>5.67</v>
      </c>
      <c r="O12" s="14"/>
      <c r="P12" s="10">
        <v>20</v>
      </c>
      <c r="Q12" s="10">
        <v>22.9</v>
      </c>
      <c r="R12" s="10"/>
      <c r="S12" s="14"/>
      <c r="T12" s="10">
        <v>0.872</v>
      </c>
      <c r="U12" s="10">
        <v>1.1200000000000001</v>
      </c>
      <c r="V12" s="51"/>
      <c r="W12" s="105">
        <v>8</v>
      </c>
      <c r="X12" s="106"/>
    </row>
    <row r="13" spans="3:24" ht="15.75" x14ac:dyDescent="0.25">
      <c r="C13" s="20" t="s">
        <v>49</v>
      </c>
      <c r="D13" s="56">
        <f>0.303*3</f>
        <v>0.90900000000000003</v>
      </c>
      <c r="E13" s="56">
        <f>2.09*3</f>
        <v>6.27</v>
      </c>
      <c r="F13" s="56">
        <f t="shared" si="0"/>
        <v>5.3609999999999998</v>
      </c>
      <c r="G13" s="56">
        <f>2.68*3</f>
        <v>8.0400000000000009</v>
      </c>
      <c r="H13" s="56">
        <f t="shared" si="1"/>
        <v>1.7700000000000014</v>
      </c>
      <c r="I13" s="56">
        <f>3.16*3</f>
        <v>9.48</v>
      </c>
      <c r="J13" s="56">
        <f t="shared" si="2"/>
        <v>1.4399999999999995</v>
      </c>
      <c r="K13" s="56">
        <f>3.16*3</f>
        <v>9.48</v>
      </c>
      <c r="L13" s="56">
        <f>2.86*3</f>
        <v>8.58</v>
      </c>
      <c r="M13" s="56">
        <f>2.79*3</f>
        <v>8.370000000000001</v>
      </c>
      <c r="N13" s="56">
        <f>2.62*3</f>
        <v>7.86</v>
      </c>
      <c r="O13" s="14"/>
      <c r="P13" s="10">
        <v>24.6</v>
      </c>
      <c r="Q13" s="10">
        <v>26.4</v>
      </c>
      <c r="R13" s="10"/>
      <c r="S13" s="14"/>
      <c r="T13" s="10">
        <v>0.98499999999999999</v>
      </c>
      <c r="U13" s="10">
        <v>1.23</v>
      </c>
      <c r="V13" s="51"/>
      <c r="W13" s="105">
        <v>9</v>
      </c>
      <c r="X13" s="106"/>
    </row>
    <row r="14" spans="3:24" x14ac:dyDescent="0.25">
      <c r="C14" s="17" t="s">
        <v>54</v>
      </c>
      <c r="D14" s="58">
        <f t="shared" ref="D14:N14" si="3">AVERAGE(D5:D13)</f>
        <v>1.0100000000000002</v>
      </c>
      <c r="E14" s="58">
        <f t="shared" si="3"/>
        <v>5.8133333333333326</v>
      </c>
      <c r="F14" s="58">
        <f t="shared" ref="F14:J14" si="4">AVERAGE(F5:F13)</f>
        <v>4.8033333333333328</v>
      </c>
      <c r="G14" s="58">
        <f t="shared" si="4"/>
        <v>7.5666666666666673</v>
      </c>
      <c r="H14" s="58">
        <f t="shared" si="4"/>
        <v>1.7533333333333339</v>
      </c>
      <c r="I14" s="58">
        <f t="shared" si="4"/>
        <v>8.2566666666666677</v>
      </c>
      <c r="J14" s="58">
        <f t="shared" si="4"/>
        <v>0.68999999999999984</v>
      </c>
      <c r="K14" s="58">
        <f t="shared" si="3"/>
        <v>8.3433333333333319</v>
      </c>
      <c r="L14" s="58">
        <f t="shared" si="3"/>
        <v>7.7799999999999994</v>
      </c>
      <c r="M14" s="58">
        <f t="shared" si="3"/>
        <v>7.1766666666666667</v>
      </c>
      <c r="N14" s="58">
        <f t="shared" si="3"/>
        <v>6.6487500000000006</v>
      </c>
      <c r="O14" s="18"/>
      <c r="P14" s="58">
        <f>AVERAGE(P5:P13)</f>
        <v>26.977777777777774</v>
      </c>
      <c r="Q14" s="58">
        <f>AVERAGE(Q5:Q13)</f>
        <v>28.288888888888888</v>
      </c>
      <c r="R14" s="58"/>
      <c r="S14" s="18"/>
      <c r="T14" s="54">
        <f>AVERAGE(T5:T13)</f>
        <v>0.96544444444444444</v>
      </c>
      <c r="U14" s="54">
        <f>AVERAGE(U5:U13)</f>
        <v>1.0998888888888889</v>
      </c>
      <c r="V14" s="62"/>
      <c r="W14" s="101">
        <f>AVERAGE(W5:W13)</f>
        <v>8</v>
      </c>
      <c r="X14" s="102"/>
    </row>
    <row r="15" spans="3:24" x14ac:dyDescent="0.25">
      <c r="C15" s="17" t="s">
        <v>63</v>
      </c>
      <c r="D15" s="58">
        <f t="shared" ref="D15:N15" si="5">_xlfn.STDEV.S(D5:D13)</f>
        <v>0.30999959677393102</v>
      </c>
      <c r="E15" s="58">
        <f t="shared" si="5"/>
        <v>1.7014772992902385</v>
      </c>
      <c r="F15" s="58">
        <f t="shared" ref="F15:J15" si="6">_xlfn.STDEV.S(F5:F13)</f>
        <v>1.5198082938318234</v>
      </c>
      <c r="G15" s="58">
        <f t="shared" si="6"/>
        <v>1.6017568479641293</v>
      </c>
      <c r="H15" s="58">
        <f t="shared" si="6"/>
        <v>1.2904456594525782</v>
      </c>
      <c r="I15" s="58">
        <f t="shared" si="6"/>
        <v>0.90632499689679558</v>
      </c>
      <c r="J15" s="58">
        <f t="shared" si="6"/>
        <v>1.0809370934517883</v>
      </c>
      <c r="K15" s="58">
        <f t="shared" si="5"/>
        <v>0.89265054752687334</v>
      </c>
      <c r="L15" s="58">
        <f t="shared" si="5"/>
        <v>1.0719491592421773</v>
      </c>
      <c r="M15" s="58">
        <f t="shared" si="5"/>
        <v>0.99733394607823644</v>
      </c>
      <c r="N15" s="58">
        <f t="shared" si="5"/>
        <v>0.88863358188689245</v>
      </c>
      <c r="O15" s="19"/>
      <c r="P15" s="58">
        <f>_xlfn.STDEV.S(P5:P13)</f>
        <v>4.562832940667942</v>
      </c>
      <c r="Q15" s="58">
        <f>_xlfn.STDEV.S(Q5:Q13)</f>
        <v>4.331121230248713</v>
      </c>
      <c r="R15" s="58"/>
      <c r="S15" s="19"/>
      <c r="T15" s="54">
        <f>_xlfn.STDEV.S(T5:T13)</f>
        <v>0.16949049465317459</v>
      </c>
      <c r="U15" s="54">
        <f>_xlfn.STDEV.S(U5:U13)</f>
        <v>0.18832581105921473</v>
      </c>
      <c r="V15" s="62"/>
      <c r="W15" s="101">
        <f>_xlfn.STDEV.S(W5:X13)</f>
        <v>0.8660254037844386</v>
      </c>
      <c r="X15" s="102"/>
    </row>
    <row r="16" spans="3:24" x14ac:dyDescent="0.25">
      <c r="O16" s="8"/>
      <c r="S16" s="8"/>
    </row>
    <row r="17" spans="3:24" x14ac:dyDescent="0.25">
      <c r="O17" s="8"/>
      <c r="S17" s="8"/>
    </row>
    <row r="18" spans="3:24" ht="36" x14ac:dyDescent="0.55000000000000004">
      <c r="C18" s="118" t="s">
        <v>58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</row>
    <row r="19" spans="3:24" ht="21" x14ac:dyDescent="0.35">
      <c r="C19" s="1"/>
      <c r="D19" s="111" t="s">
        <v>59</v>
      </c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3"/>
      <c r="P19" s="112" t="s">
        <v>61</v>
      </c>
      <c r="Q19" s="113"/>
      <c r="R19" s="114"/>
      <c r="S19" s="6"/>
      <c r="T19" s="115" t="s">
        <v>60</v>
      </c>
      <c r="U19" s="116"/>
      <c r="V19" s="117"/>
      <c r="W19" s="107" t="s">
        <v>62</v>
      </c>
      <c r="X19" s="107"/>
    </row>
    <row r="20" spans="3:24" x14ac:dyDescent="0.25">
      <c r="C20" s="7"/>
      <c r="D20" s="11" t="s">
        <v>1</v>
      </c>
      <c r="E20" s="11" t="s">
        <v>2</v>
      </c>
      <c r="F20" s="11" t="s">
        <v>30</v>
      </c>
      <c r="G20" s="11" t="s">
        <v>3</v>
      </c>
      <c r="H20" s="11" t="s">
        <v>30</v>
      </c>
      <c r="I20" s="11" t="s">
        <v>4</v>
      </c>
      <c r="J20" s="11" t="s">
        <v>30</v>
      </c>
      <c r="K20" s="11" t="s">
        <v>27</v>
      </c>
      <c r="L20" s="11" t="s">
        <v>5</v>
      </c>
      <c r="M20" s="11" t="s">
        <v>6</v>
      </c>
      <c r="N20" s="11" t="s">
        <v>7</v>
      </c>
      <c r="O20" s="4"/>
      <c r="P20" s="2" t="s">
        <v>8</v>
      </c>
      <c r="Q20" s="2" t="s">
        <v>9</v>
      </c>
      <c r="R20" s="2"/>
      <c r="S20" s="4"/>
      <c r="T20" s="2" t="s">
        <v>1</v>
      </c>
      <c r="U20" s="2" t="s">
        <v>9</v>
      </c>
      <c r="V20" s="63"/>
      <c r="W20" s="103"/>
      <c r="X20" s="104"/>
    </row>
    <row r="21" spans="3:24" ht="15.75" x14ac:dyDescent="0.25">
      <c r="C21" s="20" t="s">
        <v>41</v>
      </c>
      <c r="D21" s="56">
        <f>0.445*3</f>
        <v>1.335</v>
      </c>
      <c r="E21" s="56">
        <f>1.59*3</f>
        <v>4.7700000000000005</v>
      </c>
      <c r="F21" s="56">
        <f>E21-D21</f>
        <v>3.4350000000000005</v>
      </c>
      <c r="G21" s="56">
        <f>2.41*3</f>
        <v>7.23</v>
      </c>
      <c r="H21" s="56">
        <f>G21-E21</f>
        <v>2.46</v>
      </c>
      <c r="I21" s="56">
        <f>2.77*3</f>
        <v>8.31</v>
      </c>
      <c r="J21" s="56">
        <f>I21-G21</f>
        <v>1.08</v>
      </c>
      <c r="K21" s="56">
        <v>8.31</v>
      </c>
      <c r="L21" s="56">
        <f>2.49*3</f>
        <v>7.4700000000000006</v>
      </c>
      <c r="M21" s="56">
        <f>2.06*3</f>
        <v>6.18</v>
      </c>
      <c r="N21" s="56">
        <f>1.92*3</f>
        <v>5.76</v>
      </c>
      <c r="O21" s="14"/>
      <c r="P21" s="10">
        <v>22.9</v>
      </c>
      <c r="Q21" s="10">
        <v>20</v>
      </c>
      <c r="R21" s="10"/>
      <c r="S21" s="14"/>
      <c r="T21" s="10">
        <v>0.78300000000000003</v>
      </c>
      <c r="U21" s="10">
        <v>0.64800000000000002</v>
      </c>
      <c r="V21" s="51"/>
      <c r="W21" s="103">
        <v>6</v>
      </c>
      <c r="X21" s="104"/>
    </row>
    <row r="22" spans="3:24" ht="15.75" x14ac:dyDescent="0.25">
      <c r="C22" s="20" t="s">
        <v>42</v>
      </c>
      <c r="D22" s="56">
        <f>0.29*3</f>
        <v>0.86999999999999988</v>
      </c>
      <c r="E22" s="56">
        <f>1.08*3</f>
        <v>3.24</v>
      </c>
      <c r="F22" s="56">
        <f t="shared" ref="F22:F29" si="7">E22-D22</f>
        <v>2.37</v>
      </c>
      <c r="G22" s="56">
        <f>1.61*3</f>
        <v>4.83</v>
      </c>
      <c r="H22" s="56">
        <f t="shared" ref="H22:H29" si="8">G22-E22</f>
        <v>1.5899999999999999</v>
      </c>
      <c r="I22" s="56">
        <f>2.11*3</f>
        <v>6.33</v>
      </c>
      <c r="J22" s="56">
        <f t="shared" ref="J22:J29" si="9">I22-G22</f>
        <v>1.5</v>
      </c>
      <c r="K22" s="56">
        <v>6.33</v>
      </c>
      <c r="L22" s="56">
        <f>1.96*3</f>
        <v>5.88</v>
      </c>
      <c r="M22" s="56">
        <f>1.83*3</f>
        <v>5.49</v>
      </c>
      <c r="N22" s="56">
        <f>1.42*3</f>
        <v>4.26</v>
      </c>
      <c r="O22" s="14"/>
      <c r="P22" s="10">
        <v>20.6</v>
      </c>
      <c r="Q22" s="10">
        <v>24.5</v>
      </c>
      <c r="R22" s="10"/>
      <c r="S22" s="14"/>
      <c r="T22" s="10">
        <v>0.88800000000000001</v>
      </c>
      <c r="U22" s="10">
        <v>0.5</v>
      </c>
      <c r="V22" s="51"/>
      <c r="W22" s="103">
        <v>7.3</v>
      </c>
      <c r="X22" s="104"/>
    </row>
    <row r="23" spans="3:24" ht="15.75" x14ac:dyDescent="0.25">
      <c r="C23" s="20" t="s">
        <v>43</v>
      </c>
      <c r="D23" s="57">
        <f>0.514*3</f>
        <v>1.542</v>
      </c>
      <c r="E23" s="57">
        <f>1.36*3</f>
        <v>4.08</v>
      </c>
      <c r="F23" s="56">
        <f t="shared" si="7"/>
        <v>2.5380000000000003</v>
      </c>
      <c r="G23" s="57">
        <f>1.82*3</f>
        <v>5.46</v>
      </c>
      <c r="H23" s="56">
        <f t="shared" si="8"/>
        <v>1.38</v>
      </c>
      <c r="I23" s="57">
        <f>1.97*3</f>
        <v>5.91</v>
      </c>
      <c r="J23" s="56">
        <f t="shared" si="9"/>
        <v>0.45000000000000018</v>
      </c>
      <c r="K23" s="57">
        <v>5.91</v>
      </c>
      <c r="L23" s="57">
        <f>1.72*3</f>
        <v>5.16</v>
      </c>
      <c r="M23" s="57">
        <f>1.67*3</f>
        <v>5.01</v>
      </c>
      <c r="N23" s="57">
        <v>4.9000000000000004</v>
      </c>
      <c r="O23" s="9"/>
      <c r="P23" s="15">
        <v>30.4</v>
      </c>
      <c r="Q23" s="15">
        <v>37.799999999999997</v>
      </c>
      <c r="R23" s="52"/>
      <c r="S23" s="9"/>
      <c r="T23" s="15">
        <v>0.95399999999999996</v>
      </c>
      <c r="U23" s="15">
        <v>1.07</v>
      </c>
      <c r="V23" s="50"/>
      <c r="W23" s="103">
        <v>9</v>
      </c>
      <c r="X23" s="104"/>
    </row>
    <row r="24" spans="3:24" ht="15.75" x14ac:dyDescent="0.25">
      <c r="C24" s="20" t="s">
        <v>44</v>
      </c>
      <c r="D24" s="57">
        <f>0.255*3</f>
        <v>0.76500000000000001</v>
      </c>
      <c r="E24" s="57">
        <f>0.674*3</f>
        <v>2.0220000000000002</v>
      </c>
      <c r="F24" s="56">
        <f t="shared" si="7"/>
        <v>1.2570000000000001</v>
      </c>
      <c r="G24" s="57">
        <f>1.21*3</f>
        <v>3.63</v>
      </c>
      <c r="H24" s="56">
        <f t="shared" si="8"/>
        <v>1.6079999999999997</v>
      </c>
      <c r="I24" s="57">
        <f>1.4*3</f>
        <v>4.1999999999999993</v>
      </c>
      <c r="J24" s="56">
        <f t="shared" si="9"/>
        <v>0.5699999999999994</v>
      </c>
      <c r="K24" s="57">
        <v>5.43</v>
      </c>
      <c r="L24" s="57">
        <f>1.81*3</f>
        <v>5.43</v>
      </c>
      <c r="M24" s="57">
        <f>1.58*3</f>
        <v>4.74</v>
      </c>
      <c r="N24" s="57">
        <f>1.34*3</f>
        <v>4.0200000000000005</v>
      </c>
      <c r="O24" s="9"/>
      <c r="P24" s="15">
        <v>32.9</v>
      </c>
      <c r="Q24" s="15">
        <v>32.6</v>
      </c>
      <c r="R24" s="52"/>
      <c r="S24" s="9"/>
      <c r="T24" s="15">
        <v>1.03</v>
      </c>
      <c r="U24" s="15">
        <v>1.17</v>
      </c>
      <c r="V24" s="50"/>
      <c r="W24" s="103">
        <v>7</v>
      </c>
      <c r="X24" s="104"/>
    </row>
    <row r="25" spans="3:24" ht="15.75" x14ac:dyDescent="0.25">
      <c r="C25" s="20" t="s">
        <v>45</v>
      </c>
      <c r="D25" s="57">
        <f>0.219*3</f>
        <v>0.65700000000000003</v>
      </c>
      <c r="E25" s="57">
        <f>0.857*3</f>
        <v>2.5709999999999997</v>
      </c>
      <c r="F25" s="56">
        <f t="shared" si="7"/>
        <v>1.9139999999999997</v>
      </c>
      <c r="G25" s="57">
        <f>1.2*3</f>
        <v>3.5999999999999996</v>
      </c>
      <c r="H25" s="56">
        <f t="shared" si="8"/>
        <v>1.0289999999999999</v>
      </c>
      <c r="I25" s="57">
        <f>1.54*3</f>
        <v>4.62</v>
      </c>
      <c r="J25" s="56">
        <f t="shared" si="9"/>
        <v>1.0200000000000005</v>
      </c>
      <c r="K25" s="57">
        <v>4.62</v>
      </c>
      <c r="L25" s="57">
        <f>0.945*3</f>
        <v>2.835</v>
      </c>
      <c r="M25" s="57">
        <f>0.774*3</f>
        <v>2.3220000000000001</v>
      </c>
      <c r="N25" s="57">
        <f>0.662*3</f>
        <v>1.9860000000000002</v>
      </c>
      <c r="O25" s="9"/>
      <c r="P25" s="15">
        <v>22.9</v>
      </c>
      <c r="Q25" s="15">
        <v>25</v>
      </c>
      <c r="R25" s="52"/>
      <c r="S25" s="9"/>
      <c r="T25" s="15">
        <v>0.82699999999999996</v>
      </c>
      <c r="U25" s="15">
        <v>0.90600000000000003</v>
      </c>
      <c r="V25" s="50"/>
      <c r="W25" s="103">
        <v>8</v>
      </c>
      <c r="X25" s="104"/>
    </row>
    <row r="26" spans="3:24" ht="15.75" x14ac:dyDescent="0.25">
      <c r="C26" s="20" t="s">
        <v>46</v>
      </c>
      <c r="D26" s="57">
        <v>0.56699999999999995</v>
      </c>
      <c r="E26" s="57">
        <v>5.0999999999999996</v>
      </c>
      <c r="F26" s="56">
        <f t="shared" si="7"/>
        <v>4.5329999999999995</v>
      </c>
      <c r="G26" s="57">
        <v>6.09</v>
      </c>
      <c r="H26" s="56">
        <f t="shared" si="8"/>
        <v>0.99000000000000021</v>
      </c>
      <c r="I26" s="57">
        <v>7.41</v>
      </c>
      <c r="J26" s="56">
        <f t="shared" si="9"/>
        <v>1.3200000000000003</v>
      </c>
      <c r="K26" s="57">
        <v>7.41</v>
      </c>
      <c r="L26" s="57">
        <v>7.23</v>
      </c>
      <c r="M26" s="57">
        <v>6.21</v>
      </c>
      <c r="N26" s="57">
        <v>5.49</v>
      </c>
      <c r="O26" s="9"/>
      <c r="P26" s="15">
        <v>21.4</v>
      </c>
      <c r="Q26" s="15">
        <v>20</v>
      </c>
      <c r="R26" s="52"/>
      <c r="S26" s="9"/>
      <c r="T26" s="15">
        <v>0.63500000000000001</v>
      </c>
      <c r="U26" s="15">
        <v>0.74299999999999999</v>
      </c>
      <c r="V26" s="50"/>
      <c r="W26" s="103">
        <v>7</v>
      </c>
      <c r="X26" s="104"/>
    </row>
    <row r="27" spans="3:24" ht="15.75" x14ac:dyDescent="0.25">
      <c r="C27" s="20" t="s">
        <v>47</v>
      </c>
      <c r="D27" s="57">
        <v>1.65</v>
      </c>
      <c r="E27" s="57">
        <v>3.99</v>
      </c>
      <c r="F27" s="56">
        <f t="shared" si="7"/>
        <v>2.3400000000000003</v>
      </c>
      <c r="G27" s="57">
        <v>5.85</v>
      </c>
      <c r="H27" s="56">
        <f t="shared" si="8"/>
        <v>1.8599999999999994</v>
      </c>
      <c r="I27" s="57">
        <v>6.96</v>
      </c>
      <c r="J27" s="56">
        <f t="shared" si="9"/>
        <v>1.1100000000000003</v>
      </c>
      <c r="K27" s="57">
        <v>6.96</v>
      </c>
      <c r="L27" s="57">
        <v>6.72</v>
      </c>
      <c r="M27" s="57">
        <v>5.73</v>
      </c>
      <c r="N27" s="57">
        <v>5.91</v>
      </c>
      <c r="O27" s="9"/>
      <c r="P27" s="15">
        <v>33</v>
      </c>
      <c r="Q27" s="15">
        <v>29.1</v>
      </c>
      <c r="R27" s="52"/>
      <c r="S27" s="9"/>
      <c r="T27" s="15">
        <v>0.85399999999999998</v>
      </c>
      <c r="U27" s="15">
        <v>0.97099999999999997</v>
      </c>
      <c r="V27" s="50"/>
      <c r="W27" s="103">
        <v>5</v>
      </c>
      <c r="X27" s="104"/>
    </row>
    <row r="28" spans="3:24" ht="15.75" x14ac:dyDescent="0.25">
      <c r="C28" s="20" t="s">
        <v>48</v>
      </c>
      <c r="D28" s="57" t="s">
        <v>29</v>
      </c>
      <c r="E28" s="57">
        <v>4.38</v>
      </c>
      <c r="F28" s="56">
        <f t="shared" si="7"/>
        <v>2.98</v>
      </c>
      <c r="G28" s="57">
        <v>5.13</v>
      </c>
      <c r="H28" s="56">
        <f t="shared" si="8"/>
        <v>0.75</v>
      </c>
      <c r="I28" s="57">
        <v>7.35</v>
      </c>
      <c r="J28" s="56">
        <f t="shared" si="9"/>
        <v>2.2199999999999998</v>
      </c>
      <c r="K28" s="57">
        <v>7.35</v>
      </c>
      <c r="L28" s="57">
        <v>6.69</v>
      </c>
      <c r="M28" s="57">
        <v>6.66</v>
      </c>
      <c r="N28" s="57">
        <v>5.31</v>
      </c>
      <c r="O28" s="9"/>
      <c r="P28" s="15">
        <v>23.5</v>
      </c>
      <c r="Q28" s="15">
        <v>28</v>
      </c>
      <c r="R28" s="52"/>
      <c r="S28" s="9"/>
      <c r="T28" s="15">
        <v>0.93400000000000005</v>
      </c>
      <c r="U28" s="15">
        <v>0.5</v>
      </c>
      <c r="V28" s="50"/>
      <c r="W28" s="103">
        <v>8</v>
      </c>
      <c r="X28" s="104"/>
    </row>
    <row r="29" spans="3:24" ht="15.75" x14ac:dyDescent="0.25">
      <c r="C29" s="20" t="s">
        <v>49</v>
      </c>
      <c r="D29" s="57">
        <f>0.231*3</f>
        <v>0.69300000000000006</v>
      </c>
      <c r="E29" s="57">
        <f>1.46*3</f>
        <v>4.38</v>
      </c>
      <c r="F29" s="56">
        <f t="shared" si="7"/>
        <v>3.6869999999999998</v>
      </c>
      <c r="G29" s="57">
        <f>2.21*3</f>
        <v>6.63</v>
      </c>
      <c r="H29" s="56">
        <f t="shared" si="8"/>
        <v>2.25</v>
      </c>
      <c r="I29" s="57">
        <f>2.71*3</f>
        <v>8.129999999999999</v>
      </c>
      <c r="J29" s="56">
        <f t="shared" si="9"/>
        <v>1.4999999999999991</v>
      </c>
      <c r="K29" s="57">
        <v>8.1300000000000008</v>
      </c>
      <c r="L29" s="57">
        <f>2.49*3</f>
        <v>7.4700000000000006</v>
      </c>
      <c r="M29" s="57">
        <f>2.51*3</f>
        <v>7.5299999999999994</v>
      </c>
      <c r="N29" s="57">
        <f>2.18*3</f>
        <v>6.5400000000000009</v>
      </c>
      <c r="O29" s="9"/>
      <c r="P29" s="15">
        <v>29.9</v>
      </c>
      <c r="Q29" s="15">
        <v>29.6</v>
      </c>
      <c r="R29" s="52"/>
      <c r="S29" s="9"/>
      <c r="T29" s="15">
        <v>0.995</v>
      </c>
      <c r="U29" s="15">
        <v>1.1200000000000001</v>
      </c>
      <c r="V29" s="50"/>
      <c r="W29" s="103">
        <v>8</v>
      </c>
      <c r="X29" s="104"/>
    </row>
    <row r="30" spans="3:24" x14ac:dyDescent="0.25">
      <c r="C30" s="17" t="s">
        <v>54</v>
      </c>
      <c r="D30" s="59">
        <f t="shared" ref="D30:N30" si="10">AVERAGE(D21:D29)</f>
        <v>1.0098749999999999</v>
      </c>
      <c r="E30" s="59">
        <f t="shared" si="10"/>
        <v>3.8370000000000002</v>
      </c>
      <c r="F30" s="59">
        <f t="shared" ref="F30:K30" si="11">AVERAGE(F21:F29)</f>
        <v>2.7837777777777775</v>
      </c>
      <c r="G30" s="59">
        <f t="shared" si="11"/>
        <v>5.3833333333333337</v>
      </c>
      <c r="H30" s="59">
        <f t="shared" si="11"/>
        <v>1.5463333333333333</v>
      </c>
      <c r="I30" s="59">
        <f t="shared" si="11"/>
        <v>6.58</v>
      </c>
      <c r="J30" s="59">
        <f t="shared" si="11"/>
        <v>1.1966666666666665</v>
      </c>
      <c r="K30" s="59">
        <f t="shared" si="11"/>
        <v>6.7166666666666677</v>
      </c>
      <c r="L30" s="59">
        <f t="shared" si="10"/>
        <v>6.0983333333333327</v>
      </c>
      <c r="M30" s="59">
        <f t="shared" si="10"/>
        <v>5.5413333333333332</v>
      </c>
      <c r="N30" s="59">
        <f t="shared" si="10"/>
        <v>4.9084444444444451</v>
      </c>
      <c r="O30" s="16"/>
      <c r="P30" s="59">
        <f>AVERAGE(P21:P29)</f>
        <v>26.388888888888893</v>
      </c>
      <c r="Q30" s="59">
        <f>AVERAGE(Q21:Q29)</f>
        <v>27.4</v>
      </c>
      <c r="R30" s="59"/>
      <c r="S30" s="16"/>
      <c r="T30" s="60">
        <f>AVERAGE(T21:T29)</f>
        <v>0.87777777777777777</v>
      </c>
      <c r="U30" s="60">
        <f>AVERAGE(U21:U29)</f>
        <v>0.84755555555555562</v>
      </c>
      <c r="V30" s="64"/>
      <c r="W30" s="99">
        <f>AVERAGE(W21:W29)</f>
        <v>7.2555555555555555</v>
      </c>
      <c r="X30" s="100"/>
    </row>
    <row r="31" spans="3:24" x14ac:dyDescent="0.25">
      <c r="C31" s="17" t="s">
        <v>63</v>
      </c>
      <c r="D31" s="59">
        <f t="shared" ref="D31:N31" si="12">_xlfn.STDEV.S(D21:D29)</f>
        <v>0.4308166456195226</v>
      </c>
      <c r="E31" s="59">
        <f t="shared" si="12"/>
        <v>1.0241584350089581</v>
      </c>
      <c r="F31" s="59">
        <f>_xlfn.STDEV.S(F21:F29)</f>
        <v>0.99085213046369502</v>
      </c>
      <c r="G31" s="59">
        <f t="shared" ref="G31:K31" si="13">_xlfn.STDEV.S(G21:G29)</f>
        <v>1.2405744637062308</v>
      </c>
      <c r="H31" s="59">
        <f t="shared" si="13"/>
        <v>0.57803373603968777</v>
      </c>
      <c r="I31" s="59">
        <f t="shared" si="13"/>
        <v>1.4508187343703554</v>
      </c>
      <c r="J31" s="59">
        <f t="shared" si="13"/>
        <v>0.53021222166223181</v>
      </c>
      <c r="K31" s="59">
        <f t="shared" si="13"/>
        <v>1.2414205572649342</v>
      </c>
      <c r="L31" s="59">
        <f t="shared" si="12"/>
        <v>1.4918235485472162</v>
      </c>
      <c r="M31" s="59">
        <f t="shared" si="12"/>
        <v>1.4742798241853552</v>
      </c>
      <c r="N31" s="59">
        <f t="shared" si="12"/>
        <v>1.3527866712005132</v>
      </c>
      <c r="O31" s="16"/>
      <c r="P31" s="59">
        <f>_xlfn.STDEV.S(P21:P29)</f>
        <v>5.0696263285483649</v>
      </c>
      <c r="Q31" s="59">
        <f>_xlfn.STDEV.S(Q21:Q29)</f>
        <v>5.7768936289324166</v>
      </c>
      <c r="R31" s="59"/>
      <c r="S31" s="16"/>
      <c r="T31" s="60">
        <f>_xlfn.STDEV.S(T21:T29)</f>
        <v>0.1209625745610781</v>
      </c>
      <c r="U31" s="60">
        <f>_xlfn.STDEV.S(U21:U29)</f>
        <v>0.25948897428942469</v>
      </c>
      <c r="V31" s="64"/>
      <c r="W31" s="99">
        <f>_xlfn.STDEV.S(W21:X29)</f>
        <v>1.1990737165736651</v>
      </c>
      <c r="X31" s="100"/>
    </row>
    <row r="32" spans="3:24" x14ac:dyDescent="0.25">
      <c r="O32" s="8"/>
      <c r="S32" s="8"/>
    </row>
    <row r="33" spans="3:24" x14ac:dyDescent="0.25">
      <c r="O33" s="8"/>
      <c r="S33" s="8"/>
    </row>
    <row r="34" spans="3:24" ht="36" x14ac:dyDescent="0.55000000000000004">
      <c r="C34" s="118" t="s">
        <v>57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</row>
    <row r="35" spans="3:24" ht="21" x14ac:dyDescent="0.35">
      <c r="C35" s="1"/>
      <c r="D35" s="111" t="s">
        <v>59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3"/>
      <c r="P35" s="112" t="s">
        <v>61</v>
      </c>
      <c r="Q35" s="113"/>
      <c r="R35" s="114"/>
      <c r="S35" s="6"/>
      <c r="T35" s="115" t="s">
        <v>60</v>
      </c>
      <c r="U35" s="116"/>
      <c r="V35" s="117"/>
      <c r="W35" s="107" t="s">
        <v>62</v>
      </c>
      <c r="X35" s="107"/>
    </row>
    <row r="36" spans="3:24" x14ac:dyDescent="0.25">
      <c r="C36" s="7"/>
      <c r="D36" s="11" t="s">
        <v>1</v>
      </c>
      <c r="E36" s="11" t="s">
        <v>2</v>
      </c>
      <c r="F36" s="11" t="s">
        <v>30</v>
      </c>
      <c r="G36" s="11" t="s">
        <v>3</v>
      </c>
      <c r="H36" s="11" t="s">
        <v>30</v>
      </c>
      <c r="I36" s="11" t="s">
        <v>4</v>
      </c>
      <c r="J36" s="11" t="s">
        <v>30</v>
      </c>
      <c r="K36" s="11" t="s">
        <v>27</v>
      </c>
      <c r="L36" s="11" t="s">
        <v>5</v>
      </c>
      <c r="M36" s="11" t="s">
        <v>6</v>
      </c>
      <c r="N36" s="11" t="s">
        <v>7</v>
      </c>
      <c r="O36" s="4"/>
      <c r="P36" s="2" t="s">
        <v>8</v>
      </c>
      <c r="Q36" s="2" t="s">
        <v>9</v>
      </c>
      <c r="R36" s="2" t="s">
        <v>32</v>
      </c>
      <c r="S36" s="4"/>
      <c r="T36" s="2" t="s">
        <v>1</v>
      </c>
      <c r="U36" s="2" t="s">
        <v>9</v>
      </c>
      <c r="V36" s="63" t="s">
        <v>32</v>
      </c>
      <c r="W36" s="103"/>
      <c r="X36" s="104"/>
    </row>
    <row r="37" spans="3:24" ht="15.75" x14ac:dyDescent="0.25">
      <c r="C37" s="20" t="s">
        <v>41</v>
      </c>
      <c r="D37" s="55">
        <v>0.84</v>
      </c>
      <c r="E37" s="56">
        <f>0.777*3</f>
        <v>2.331</v>
      </c>
      <c r="F37" s="56">
        <f>E37-D37</f>
        <v>1.4910000000000001</v>
      </c>
      <c r="G37" s="56">
        <f>1.15*3</f>
        <v>3.4499999999999997</v>
      </c>
      <c r="H37" s="56">
        <f>G37-E37</f>
        <v>1.1189999999999998</v>
      </c>
      <c r="I37" s="56">
        <f>1.32*3</f>
        <v>3.96</v>
      </c>
      <c r="J37" s="56">
        <f>I37-G37</f>
        <v>0.51000000000000023</v>
      </c>
      <c r="K37" s="56">
        <v>3.96</v>
      </c>
      <c r="L37" s="56">
        <f>1.14*3</f>
        <v>3.42</v>
      </c>
      <c r="M37" s="56"/>
      <c r="N37" s="56">
        <f>0.696*3</f>
        <v>2.0880000000000001</v>
      </c>
      <c r="O37" s="14"/>
      <c r="P37" s="10">
        <v>26.9</v>
      </c>
      <c r="Q37" s="10">
        <v>21.1</v>
      </c>
      <c r="R37" s="10">
        <f>Q37-P37</f>
        <v>-5.7999999999999972</v>
      </c>
      <c r="S37" s="14"/>
      <c r="T37" s="10">
        <v>0.83499999999999996</v>
      </c>
      <c r="U37" s="10">
        <v>1.1599999999999999</v>
      </c>
      <c r="V37" s="51">
        <f>U37-T37</f>
        <v>0.32499999999999996</v>
      </c>
      <c r="W37" s="105">
        <v>4</v>
      </c>
      <c r="X37" s="106"/>
    </row>
    <row r="38" spans="3:24" ht="15.75" x14ac:dyDescent="0.25">
      <c r="C38" s="20" t="s">
        <v>42</v>
      </c>
      <c r="D38" s="56" t="s">
        <v>28</v>
      </c>
      <c r="E38" s="56">
        <v>3.3</v>
      </c>
      <c r="F38" s="56">
        <f t="shared" ref="F38:F45" si="14">E38-D38</f>
        <v>1.9999999999999998</v>
      </c>
      <c r="G38" s="56">
        <v>7.77</v>
      </c>
      <c r="H38" s="56">
        <f t="shared" ref="H38:H45" si="15">G38-E38</f>
        <v>4.47</v>
      </c>
      <c r="I38" s="56">
        <v>8.4</v>
      </c>
      <c r="J38" s="56">
        <f t="shared" ref="J38:J45" si="16">I38-G38</f>
        <v>0.63000000000000078</v>
      </c>
      <c r="K38" s="56">
        <v>8.4</v>
      </c>
      <c r="L38" s="56">
        <v>8.1300000000000008</v>
      </c>
      <c r="M38" s="56">
        <v>7.95</v>
      </c>
      <c r="N38" s="56">
        <v>7.11</v>
      </c>
      <c r="O38" s="14"/>
      <c r="P38" s="10">
        <v>22.1</v>
      </c>
      <c r="Q38" s="10">
        <v>23.3</v>
      </c>
      <c r="R38" s="10">
        <f t="shared" ref="R38:R45" si="17">Q38-P38</f>
        <v>1.1999999999999993</v>
      </c>
      <c r="S38" s="14"/>
      <c r="T38" s="10">
        <v>0.94199999999999995</v>
      </c>
      <c r="U38" s="10">
        <v>1.03</v>
      </c>
      <c r="V38" s="51">
        <f t="shared" ref="V38:V45" si="18">U38-T38</f>
        <v>8.8000000000000078E-2</v>
      </c>
      <c r="W38" s="105">
        <v>8.5</v>
      </c>
      <c r="X38" s="106"/>
    </row>
    <row r="39" spans="3:24" ht="15.75" x14ac:dyDescent="0.25">
      <c r="C39" s="20" t="s">
        <v>43</v>
      </c>
      <c r="D39" s="56">
        <v>0.90600000000000003</v>
      </c>
      <c r="E39" s="56">
        <v>3.75</v>
      </c>
      <c r="F39" s="56">
        <f t="shared" si="14"/>
        <v>2.8439999999999999</v>
      </c>
      <c r="G39" s="56">
        <v>4.62</v>
      </c>
      <c r="H39" s="56">
        <f t="shared" si="15"/>
        <v>0.87000000000000011</v>
      </c>
      <c r="I39" s="56">
        <v>5.52</v>
      </c>
      <c r="J39" s="56">
        <f t="shared" si="16"/>
        <v>0.89999999999999947</v>
      </c>
      <c r="K39" s="56">
        <v>8.31</v>
      </c>
      <c r="L39" s="56">
        <v>8.31</v>
      </c>
      <c r="M39" s="56">
        <v>5.0999999999999996</v>
      </c>
      <c r="N39" s="56">
        <v>5.42</v>
      </c>
      <c r="O39" s="14"/>
      <c r="P39" s="10">
        <v>34.1</v>
      </c>
      <c r="Q39" s="10">
        <v>27.6</v>
      </c>
      <c r="R39" s="10">
        <f t="shared" si="17"/>
        <v>-6.5</v>
      </c>
      <c r="S39" s="14"/>
      <c r="T39" s="10">
        <v>0.80200000000000005</v>
      </c>
      <c r="U39" s="10">
        <v>1.28</v>
      </c>
      <c r="V39" s="51">
        <f t="shared" si="18"/>
        <v>0.47799999999999998</v>
      </c>
      <c r="W39" s="105">
        <v>7</v>
      </c>
      <c r="X39" s="106"/>
    </row>
    <row r="40" spans="3:24" ht="15.75" x14ac:dyDescent="0.25">
      <c r="C40" s="20" t="s">
        <v>44</v>
      </c>
      <c r="D40" s="55">
        <v>0.84299999999999997</v>
      </c>
      <c r="E40" s="56">
        <f>1.01*3</f>
        <v>3.0300000000000002</v>
      </c>
      <c r="F40" s="56">
        <f t="shared" si="14"/>
        <v>2.1870000000000003</v>
      </c>
      <c r="G40" s="56">
        <f>1.56*3</f>
        <v>4.68</v>
      </c>
      <c r="H40" s="56">
        <f t="shared" si="15"/>
        <v>1.6499999999999995</v>
      </c>
      <c r="I40" s="56">
        <f>1.63*3</f>
        <v>4.8899999999999997</v>
      </c>
      <c r="J40" s="56">
        <f t="shared" si="16"/>
        <v>0.20999999999999996</v>
      </c>
      <c r="K40" s="56">
        <v>4.8899999999999997</v>
      </c>
      <c r="L40" s="56">
        <f>1.55*3</f>
        <v>4.6500000000000004</v>
      </c>
      <c r="M40" s="56">
        <f>1.59*3</f>
        <v>4.7700000000000005</v>
      </c>
      <c r="N40" s="56">
        <f>1.45*3</f>
        <v>4.3499999999999996</v>
      </c>
      <c r="O40" s="14"/>
      <c r="P40" s="10">
        <v>28.7</v>
      </c>
      <c r="Q40" s="10">
        <v>27.9</v>
      </c>
      <c r="R40" s="10">
        <f t="shared" si="17"/>
        <v>-0.80000000000000071</v>
      </c>
      <c r="S40" s="14"/>
      <c r="T40" s="10">
        <v>1.04</v>
      </c>
      <c r="U40" s="10">
        <v>1.19</v>
      </c>
      <c r="V40" s="51">
        <f t="shared" si="18"/>
        <v>0.14999999999999991</v>
      </c>
      <c r="W40" s="105">
        <v>7</v>
      </c>
      <c r="X40" s="106"/>
    </row>
    <row r="41" spans="3:24" ht="15.75" x14ac:dyDescent="0.25">
      <c r="C41" s="20" t="s">
        <v>45</v>
      </c>
      <c r="D41" s="56">
        <v>1.1000000000000001</v>
      </c>
      <c r="E41" s="56">
        <f>0.756*3</f>
        <v>2.2679999999999998</v>
      </c>
      <c r="F41" s="56">
        <f t="shared" si="14"/>
        <v>1.1679999999999997</v>
      </c>
      <c r="G41" s="56">
        <f>0.98*3</f>
        <v>2.94</v>
      </c>
      <c r="H41" s="56">
        <f t="shared" si="15"/>
        <v>0.67200000000000015</v>
      </c>
      <c r="I41" s="56">
        <f>1.08*3</f>
        <v>3.24</v>
      </c>
      <c r="J41" s="56">
        <f t="shared" si="16"/>
        <v>0.30000000000000027</v>
      </c>
      <c r="K41" s="56">
        <v>3.24</v>
      </c>
      <c r="L41" s="56">
        <f>0.937*3</f>
        <v>2.8109999999999999</v>
      </c>
      <c r="M41" s="56">
        <f>0.83*3</f>
        <v>2.4899999999999998</v>
      </c>
      <c r="N41" s="56">
        <f>0.637*3</f>
        <v>1.911</v>
      </c>
      <c r="O41" s="14"/>
      <c r="P41" s="10">
        <v>20</v>
      </c>
      <c r="Q41" s="10">
        <v>20.9</v>
      </c>
      <c r="R41" s="10">
        <f t="shared" si="17"/>
        <v>0.89999999999999858</v>
      </c>
      <c r="S41" s="14"/>
      <c r="T41" s="10">
        <v>0.72199999999999998</v>
      </c>
      <c r="U41" s="10">
        <v>0.5</v>
      </c>
      <c r="V41" s="51">
        <f t="shared" si="18"/>
        <v>-0.22199999999999998</v>
      </c>
      <c r="W41" s="105">
        <v>7</v>
      </c>
      <c r="X41" s="106"/>
    </row>
    <row r="42" spans="3:24" ht="15.75" x14ac:dyDescent="0.25">
      <c r="C42" s="20" t="s">
        <v>46</v>
      </c>
      <c r="D42" s="56">
        <v>1.4</v>
      </c>
      <c r="E42" s="56">
        <v>6.15</v>
      </c>
      <c r="F42" s="56">
        <f t="shared" si="14"/>
        <v>4.75</v>
      </c>
      <c r="G42" s="56">
        <v>9.81</v>
      </c>
      <c r="H42" s="56">
        <f t="shared" si="15"/>
        <v>3.66</v>
      </c>
      <c r="I42" s="56">
        <v>10.38</v>
      </c>
      <c r="J42" s="56">
        <f t="shared" si="16"/>
        <v>0.57000000000000028</v>
      </c>
      <c r="K42" s="56">
        <v>10.38</v>
      </c>
      <c r="L42" s="56">
        <v>9.2100000000000009</v>
      </c>
      <c r="M42" s="56">
        <v>8.85</v>
      </c>
      <c r="N42" s="56">
        <v>8.5500000000000007</v>
      </c>
      <c r="O42" s="14"/>
      <c r="P42" s="10">
        <v>26.2</v>
      </c>
      <c r="Q42" s="10">
        <v>20</v>
      </c>
      <c r="R42" s="10">
        <f t="shared" si="17"/>
        <v>-6.1999999999999993</v>
      </c>
      <c r="S42" s="14"/>
      <c r="T42" s="10">
        <v>0.80500000000000005</v>
      </c>
      <c r="U42" s="10">
        <v>0.92400000000000004</v>
      </c>
      <c r="V42" s="51">
        <f t="shared" si="18"/>
        <v>0.11899999999999999</v>
      </c>
      <c r="W42" s="105">
        <v>7</v>
      </c>
      <c r="X42" s="106"/>
    </row>
    <row r="43" spans="3:24" ht="15.75" x14ac:dyDescent="0.25">
      <c r="C43" s="20" t="s">
        <v>47</v>
      </c>
      <c r="D43" s="57">
        <v>0.79</v>
      </c>
      <c r="E43" s="57">
        <v>3.64</v>
      </c>
      <c r="F43" s="56">
        <f t="shared" si="14"/>
        <v>2.85</v>
      </c>
      <c r="G43" s="57">
        <v>6</v>
      </c>
      <c r="H43" s="56">
        <f t="shared" si="15"/>
        <v>2.36</v>
      </c>
      <c r="I43" s="57">
        <v>6.41</v>
      </c>
      <c r="J43" s="56">
        <f t="shared" si="16"/>
        <v>0.41000000000000014</v>
      </c>
      <c r="K43" s="57">
        <v>6.43</v>
      </c>
      <c r="L43" s="57">
        <v>6.43</v>
      </c>
      <c r="M43" s="57"/>
      <c r="N43" s="57"/>
      <c r="O43" s="9"/>
      <c r="P43" s="15">
        <v>26.8</v>
      </c>
      <c r="Q43" s="15">
        <v>24.3</v>
      </c>
      <c r="R43" s="10">
        <f t="shared" si="17"/>
        <v>-2.5</v>
      </c>
      <c r="S43" s="9"/>
      <c r="T43" s="15">
        <v>0.875</v>
      </c>
      <c r="U43" s="15">
        <v>1.02</v>
      </c>
      <c r="V43" s="51">
        <f t="shared" si="18"/>
        <v>0.14500000000000002</v>
      </c>
      <c r="W43" s="103">
        <v>6.81</v>
      </c>
      <c r="X43" s="104"/>
    </row>
    <row r="44" spans="3:24" ht="15.75" x14ac:dyDescent="0.25">
      <c r="C44" s="20" t="s">
        <v>48</v>
      </c>
      <c r="D44" s="57">
        <v>0.57299999999999995</v>
      </c>
      <c r="E44" s="57">
        <v>4.05</v>
      </c>
      <c r="F44" s="56">
        <f t="shared" si="14"/>
        <v>3.4769999999999999</v>
      </c>
      <c r="G44" s="57">
        <v>6.51</v>
      </c>
      <c r="H44" s="56">
        <f t="shared" si="15"/>
        <v>2.46</v>
      </c>
      <c r="I44" s="57">
        <v>6.48</v>
      </c>
      <c r="J44" s="56">
        <f t="shared" si="16"/>
        <v>-2.9999999999999361E-2</v>
      </c>
      <c r="K44" s="57">
        <v>6.69</v>
      </c>
      <c r="L44" s="57">
        <v>6.69</v>
      </c>
      <c r="M44" s="57">
        <v>6.15</v>
      </c>
      <c r="N44" s="57">
        <v>6.09</v>
      </c>
      <c r="O44" s="9"/>
      <c r="P44" s="15">
        <v>22.7</v>
      </c>
      <c r="Q44" s="15">
        <v>22.8</v>
      </c>
      <c r="R44" s="10">
        <f t="shared" si="17"/>
        <v>0.10000000000000142</v>
      </c>
      <c r="S44" s="9"/>
      <c r="T44" s="15">
        <v>0.81899999999999995</v>
      </c>
      <c r="U44" s="15">
        <v>1.07</v>
      </c>
      <c r="V44" s="51">
        <f t="shared" si="18"/>
        <v>0.25100000000000011</v>
      </c>
      <c r="W44" s="103">
        <v>7</v>
      </c>
      <c r="X44" s="104"/>
    </row>
    <row r="45" spans="3:24" ht="15.75" x14ac:dyDescent="0.25">
      <c r="C45" s="20" t="s">
        <v>49</v>
      </c>
      <c r="D45" s="57">
        <v>1.4</v>
      </c>
      <c r="E45" s="57">
        <v>4.29</v>
      </c>
      <c r="F45" s="56">
        <f t="shared" si="14"/>
        <v>2.89</v>
      </c>
      <c r="G45" s="57">
        <v>8.19</v>
      </c>
      <c r="H45" s="56">
        <f t="shared" si="15"/>
        <v>3.8999999999999995</v>
      </c>
      <c r="I45" s="57">
        <v>8.43</v>
      </c>
      <c r="J45" s="56">
        <f t="shared" si="16"/>
        <v>0.24000000000000021</v>
      </c>
      <c r="K45" s="57">
        <v>8.43</v>
      </c>
      <c r="L45" s="57">
        <v>8.2200000000000006</v>
      </c>
      <c r="M45" s="57">
        <v>7.56</v>
      </c>
      <c r="N45" s="57">
        <v>7.86</v>
      </c>
      <c r="O45" s="9"/>
      <c r="P45" s="15">
        <v>33.9</v>
      </c>
      <c r="Q45" s="15">
        <v>31.2</v>
      </c>
      <c r="R45" s="10">
        <f t="shared" si="17"/>
        <v>-2.6999999999999993</v>
      </c>
      <c r="S45" s="9"/>
      <c r="T45" s="15">
        <v>1.04</v>
      </c>
      <c r="U45" s="15">
        <v>1.06</v>
      </c>
      <c r="V45" s="51">
        <f t="shared" si="18"/>
        <v>2.0000000000000018E-2</v>
      </c>
      <c r="W45" s="103">
        <v>7</v>
      </c>
      <c r="X45" s="104"/>
    </row>
    <row r="46" spans="3:24" x14ac:dyDescent="0.25">
      <c r="C46" s="17" t="s">
        <v>54</v>
      </c>
      <c r="D46" s="59">
        <f t="shared" ref="D46:N46" si="19">AVERAGE(D37:D45)</f>
        <v>0.98150000000000004</v>
      </c>
      <c r="E46" s="59">
        <f t="shared" si="19"/>
        <v>3.6454444444444452</v>
      </c>
      <c r="F46" s="59">
        <f t="shared" ref="F46:K46" si="20">AVERAGE(F37:F45)</f>
        <v>2.6285555555555558</v>
      </c>
      <c r="G46" s="59">
        <f t="shared" si="20"/>
        <v>5.9966666666666661</v>
      </c>
      <c r="H46" s="59">
        <f t="shared" si="20"/>
        <v>2.3512222222222219</v>
      </c>
      <c r="I46" s="59">
        <f t="shared" si="20"/>
        <v>6.4122222222222227</v>
      </c>
      <c r="J46" s="59">
        <f t="shared" si="20"/>
        <v>0.41555555555555579</v>
      </c>
      <c r="K46" s="59">
        <f t="shared" si="20"/>
        <v>6.7477777777777783</v>
      </c>
      <c r="L46" s="59">
        <f t="shared" si="19"/>
        <v>6.4301111111111107</v>
      </c>
      <c r="M46" s="59">
        <f t="shared" si="19"/>
        <v>6.1242857142857137</v>
      </c>
      <c r="N46" s="59">
        <f t="shared" si="19"/>
        <v>5.4223750000000006</v>
      </c>
      <c r="O46" s="16"/>
      <c r="P46" s="59">
        <f>AVERAGE(P37:P45)</f>
        <v>26.822222222222223</v>
      </c>
      <c r="Q46" s="59">
        <f>AVERAGE(Q37:Q45)</f>
        <v>24.344444444444449</v>
      </c>
      <c r="R46" s="59">
        <f>AVERAGE(R37:R45)</f>
        <v>-2.4777777777777774</v>
      </c>
      <c r="S46" s="16"/>
      <c r="T46" s="60">
        <f>AVERAGE(T37:T45)</f>
        <v>0.87555555555555542</v>
      </c>
      <c r="U46" s="60">
        <f>AVERAGE(U37:U45)</f>
        <v>1.0260000000000002</v>
      </c>
      <c r="V46" s="60">
        <f>AVERAGE(V37:V45)</f>
        <v>0.15044444444444446</v>
      </c>
      <c r="W46" s="99">
        <f>AVERAGE(W37:X45)</f>
        <v>6.8122222222222222</v>
      </c>
      <c r="X46" s="100"/>
    </row>
    <row r="47" spans="3:24" x14ac:dyDescent="0.25">
      <c r="C47" s="17" t="s">
        <v>63</v>
      </c>
      <c r="D47" s="59">
        <f t="shared" ref="D47:N47" si="21">_xlfn.STDEV.S(D37:D45)</f>
        <v>0.29587062809854658</v>
      </c>
      <c r="E47" s="59">
        <f t="shared" si="21"/>
        <v>1.1718627384543705</v>
      </c>
      <c r="F47" s="59">
        <f t="shared" ref="F47:K47" si="22">_xlfn.STDEV.S(F37:F45)</f>
        <v>1.0840606660965881</v>
      </c>
      <c r="G47" s="59">
        <f t="shared" si="22"/>
        <v>2.297226588736951</v>
      </c>
      <c r="H47" s="59">
        <f t="shared" si="22"/>
        <v>1.3980625681436596</v>
      </c>
      <c r="I47" s="59">
        <f t="shared" si="22"/>
        <v>2.317330240696057</v>
      </c>
      <c r="J47" s="59">
        <f t="shared" si="22"/>
        <v>0.27350096485712383</v>
      </c>
      <c r="K47" s="59">
        <f t="shared" si="22"/>
        <v>2.3670962051518818</v>
      </c>
      <c r="L47" s="59">
        <f t="shared" si="21"/>
        <v>2.3116596010466433</v>
      </c>
      <c r="M47" s="59">
        <f t="shared" si="21"/>
        <v>2.1952969210174214</v>
      </c>
      <c r="N47" s="59">
        <f t="shared" si="21"/>
        <v>2.4961587596888597</v>
      </c>
      <c r="O47" s="16"/>
      <c r="P47" s="59">
        <f>_xlfn.STDEV.S(P37:P45)</f>
        <v>4.9093731213307148</v>
      </c>
      <c r="Q47" s="59">
        <f>_xlfn.STDEV.S(Q37:Q45)</f>
        <v>3.7911446527107766</v>
      </c>
      <c r="R47" s="59">
        <f>_xlfn.STDEV.S(R37:R45)</f>
        <v>3.0723678888512751</v>
      </c>
      <c r="S47" s="16"/>
      <c r="T47" s="60">
        <f>_xlfn.STDEV.S(T37:T45)</f>
        <v>0.1102895179868785</v>
      </c>
      <c r="U47" s="60">
        <f>_xlfn.STDEV.S(U37:U45)</f>
        <v>0.22349272918822119</v>
      </c>
      <c r="V47" s="60">
        <f>_xlfn.STDEV.S(V37:V45)</f>
        <v>0.19638044143391106</v>
      </c>
      <c r="W47" s="99">
        <f>_xlfn.STDEV.S(W36:X45)</f>
        <v>1.1709374212332775</v>
      </c>
      <c r="X47" s="100"/>
    </row>
    <row r="48" spans="3:24" x14ac:dyDescent="0.25">
      <c r="O48" s="8"/>
      <c r="S48" s="8"/>
    </row>
    <row r="49" spans="15:19" x14ac:dyDescent="0.25">
      <c r="O49" s="8"/>
      <c r="S49" s="8"/>
    </row>
    <row r="50" spans="15:19" x14ac:dyDescent="0.25">
      <c r="O50" s="8"/>
      <c r="S50" s="8"/>
    </row>
    <row r="51" spans="15:19" x14ac:dyDescent="0.25">
      <c r="O51" s="8"/>
      <c r="S51" s="8"/>
    </row>
    <row r="52" spans="15:19" x14ac:dyDescent="0.25">
      <c r="O52" s="8"/>
      <c r="S52" s="8"/>
    </row>
    <row r="53" spans="15:19" x14ac:dyDescent="0.25">
      <c r="O53" s="8"/>
      <c r="S53" s="8"/>
    </row>
    <row r="54" spans="15:19" x14ac:dyDescent="0.25">
      <c r="O54" s="8"/>
      <c r="S54" s="8"/>
    </row>
    <row r="55" spans="15:19" x14ac:dyDescent="0.25">
      <c r="O55" s="8"/>
      <c r="S55" s="8"/>
    </row>
    <row r="56" spans="15:19" x14ac:dyDescent="0.25">
      <c r="O56" s="8"/>
      <c r="S56" s="8"/>
    </row>
    <row r="57" spans="15:19" x14ac:dyDescent="0.25">
      <c r="O57" s="8"/>
      <c r="S57" s="8"/>
    </row>
    <row r="58" spans="15:19" x14ac:dyDescent="0.25">
      <c r="O58" s="8"/>
      <c r="S58" s="8"/>
    </row>
    <row r="59" spans="15:19" x14ac:dyDescent="0.25">
      <c r="O59" s="8"/>
      <c r="S59" s="8"/>
    </row>
    <row r="60" spans="15:19" x14ac:dyDescent="0.25">
      <c r="O60" s="8"/>
      <c r="S60" s="8"/>
    </row>
    <row r="61" spans="15:19" x14ac:dyDescent="0.25">
      <c r="O61" s="8"/>
      <c r="S61" s="8"/>
    </row>
    <row r="62" spans="15:19" x14ac:dyDescent="0.25">
      <c r="O62" s="8"/>
      <c r="S62" s="8"/>
    </row>
  </sheetData>
  <mergeCells count="52">
    <mergeCell ref="T19:V19"/>
    <mergeCell ref="P3:R3"/>
    <mergeCell ref="T3:V3"/>
    <mergeCell ref="P35:R35"/>
    <mergeCell ref="T35:V35"/>
    <mergeCell ref="W47:X47"/>
    <mergeCell ref="C34:X34"/>
    <mergeCell ref="C18:X18"/>
    <mergeCell ref="W28:X28"/>
    <mergeCell ref="W42:X42"/>
    <mergeCell ref="W43:X43"/>
    <mergeCell ref="W44:X44"/>
    <mergeCell ref="W45:X45"/>
    <mergeCell ref="W37:X37"/>
    <mergeCell ref="W38:X38"/>
    <mergeCell ref="W39:X39"/>
    <mergeCell ref="W40:X40"/>
    <mergeCell ref="W41:X41"/>
    <mergeCell ref="D35:N35"/>
    <mergeCell ref="C2:X2"/>
    <mergeCell ref="W4:X4"/>
    <mergeCell ref="W5:X5"/>
    <mergeCell ref="W6:X6"/>
    <mergeCell ref="W19:X19"/>
    <mergeCell ref="W15:X15"/>
    <mergeCell ref="D19:N19"/>
    <mergeCell ref="D3:N3"/>
    <mergeCell ref="W12:X12"/>
    <mergeCell ref="W13:X13"/>
    <mergeCell ref="W3:X3"/>
    <mergeCell ref="P19:R19"/>
    <mergeCell ref="W26:X26"/>
    <mergeCell ref="W31:X31"/>
    <mergeCell ref="W29:X29"/>
    <mergeCell ref="W27:X27"/>
    <mergeCell ref="W24:X24"/>
    <mergeCell ref="L1:N1"/>
    <mergeCell ref="W46:X46"/>
    <mergeCell ref="W30:X30"/>
    <mergeCell ref="W14:X14"/>
    <mergeCell ref="W36:X36"/>
    <mergeCell ref="W7:X7"/>
    <mergeCell ref="W8:X8"/>
    <mergeCell ref="W9:X9"/>
    <mergeCell ref="W10:X10"/>
    <mergeCell ref="W11:X11"/>
    <mergeCell ref="W20:X20"/>
    <mergeCell ref="W21:X21"/>
    <mergeCell ref="W22:X22"/>
    <mergeCell ref="W23:X23"/>
    <mergeCell ref="W35:X35"/>
    <mergeCell ref="W25:X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T18"/>
  <sheetViews>
    <sheetView workbookViewId="0">
      <selection activeCell="S3" sqref="S3:T3"/>
    </sheetView>
  </sheetViews>
  <sheetFormatPr defaultRowHeight="15" x14ac:dyDescent="0.25"/>
  <sheetData>
    <row r="2" spans="2:20" x14ac:dyDescent="0.25">
      <c r="B2" s="107"/>
      <c r="C2" s="107"/>
      <c r="D2" s="107"/>
      <c r="E2" s="107" t="s">
        <v>66</v>
      </c>
      <c r="F2" s="107"/>
      <c r="G2" s="107" t="s">
        <v>67</v>
      </c>
      <c r="H2" s="107"/>
      <c r="I2" s="107" t="s">
        <v>68</v>
      </c>
      <c r="J2" s="107"/>
      <c r="K2" s="107" t="s">
        <v>69</v>
      </c>
      <c r="L2" s="107"/>
      <c r="M2" s="107" t="s">
        <v>17</v>
      </c>
      <c r="N2" s="107"/>
      <c r="O2" s="107" t="s">
        <v>17</v>
      </c>
      <c r="P2" s="107"/>
      <c r="Q2" s="103" t="s">
        <v>18</v>
      </c>
      <c r="R2" s="104"/>
      <c r="S2" s="107" t="s">
        <v>70</v>
      </c>
      <c r="T2" s="107"/>
    </row>
    <row r="3" spans="2:20" ht="15.75" x14ac:dyDescent="0.25">
      <c r="B3" s="20" t="s">
        <v>41</v>
      </c>
      <c r="C3" s="125"/>
      <c r="D3" s="126"/>
      <c r="E3" s="107">
        <v>16</v>
      </c>
      <c r="F3" s="107"/>
      <c r="G3" s="107">
        <v>162</v>
      </c>
      <c r="H3" s="107"/>
      <c r="I3" s="107">
        <v>59.7</v>
      </c>
      <c r="J3" s="107"/>
      <c r="K3" s="107">
        <v>5</v>
      </c>
      <c r="L3" s="107"/>
      <c r="M3" s="107"/>
      <c r="N3" s="107"/>
      <c r="O3" s="107"/>
      <c r="P3" s="107"/>
      <c r="Q3" s="105">
        <v>37</v>
      </c>
      <c r="R3" s="106"/>
      <c r="S3" s="107">
        <v>199</v>
      </c>
      <c r="T3" s="107"/>
    </row>
    <row r="4" spans="2:20" ht="15.75" x14ac:dyDescent="0.25">
      <c r="B4" s="20" t="s">
        <v>42</v>
      </c>
      <c r="C4" s="125"/>
      <c r="D4" s="126"/>
      <c r="E4" s="107">
        <v>16</v>
      </c>
      <c r="F4" s="107"/>
      <c r="G4" s="107">
        <v>174</v>
      </c>
      <c r="H4" s="107"/>
      <c r="I4" s="107">
        <v>62.6</v>
      </c>
      <c r="J4" s="107"/>
      <c r="K4" s="107">
        <v>11</v>
      </c>
      <c r="L4" s="107"/>
      <c r="M4" s="107"/>
      <c r="N4" s="107"/>
      <c r="O4" s="107"/>
      <c r="P4" s="107"/>
      <c r="Q4" s="105">
        <v>37</v>
      </c>
      <c r="R4" s="106"/>
      <c r="S4" s="107">
        <v>201</v>
      </c>
      <c r="T4" s="107"/>
    </row>
    <row r="5" spans="2:20" ht="15.75" x14ac:dyDescent="0.25">
      <c r="B5" s="20" t="s">
        <v>43</v>
      </c>
      <c r="C5" s="125"/>
      <c r="D5" s="126"/>
      <c r="E5" s="107">
        <v>22</v>
      </c>
      <c r="F5" s="107"/>
      <c r="G5" s="107">
        <v>180</v>
      </c>
      <c r="H5" s="107"/>
      <c r="I5" s="107">
        <v>81.400000000000006</v>
      </c>
      <c r="J5" s="107"/>
      <c r="K5" s="107">
        <v>11</v>
      </c>
      <c r="L5" s="107"/>
      <c r="M5" s="107"/>
      <c r="N5" s="107"/>
      <c r="O5" s="107"/>
      <c r="P5" s="107"/>
      <c r="Q5" s="105">
        <v>28</v>
      </c>
      <c r="R5" s="106"/>
      <c r="S5" s="107"/>
      <c r="T5" s="107"/>
    </row>
    <row r="6" spans="2:20" ht="15.75" x14ac:dyDescent="0.25">
      <c r="B6" s="20" t="s">
        <v>44</v>
      </c>
      <c r="C6" s="125"/>
      <c r="D6" s="126"/>
      <c r="E6" s="107">
        <v>23</v>
      </c>
      <c r="F6" s="107"/>
      <c r="G6" s="107">
        <v>180</v>
      </c>
      <c r="H6" s="107"/>
      <c r="I6" s="107">
        <v>92.45</v>
      </c>
      <c r="J6" s="107"/>
      <c r="K6" s="107">
        <v>16</v>
      </c>
      <c r="L6" s="107"/>
      <c r="M6" s="107"/>
      <c r="N6" s="107"/>
      <c r="O6" s="107"/>
      <c r="P6" s="107"/>
      <c r="Q6" s="105">
        <v>25</v>
      </c>
      <c r="R6" s="106"/>
      <c r="S6" s="107">
        <v>192</v>
      </c>
      <c r="T6" s="107"/>
    </row>
    <row r="7" spans="2:20" ht="15.75" x14ac:dyDescent="0.25">
      <c r="B7" s="20" t="s">
        <v>45</v>
      </c>
      <c r="C7" s="125"/>
      <c r="D7" s="126"/>
      <c r="E7" s="107">
        <v>16</v>
      </c>
      <c r="F7" s="107"/>
      <c r="G7" s="107">
        <v>157</v>
      </c>
      <c r="H7" s="107"/>
      <c r="I7" s="107">
        <v>47.1</v>
      </c>
      <c r="J7" s="107"/>
      <c r="K7" s="107">
        <v>5</v>
      </c>
      <c r="L7" s="107"/>
      <c r="M7" s="107"/>
      <c r="N7" s="107"/>
      <c r="O7" s="107"/>
      <c r="P7" s="107"/>
      <c r="Q7" s="105">
        <v>49</v>
      </c>
      <c r="R7" s="106"/>
      <c r="S7" s="107">
        <v>201</v>
      </c>
      <c r="T7" s="107"/>
    </row>
    <row r="8" spans="2:20" ht="15.75" x14ac:dyDescent="0.25">
      <c r="B8" s="20" t="s">
        <v>46</v>
      </c>
      <c r="C8" s="125"/>
      <c r="D8" s="126"/>
      <c r="E8" s="107">
        <v>17</v>
      </c>
      <c r="F8" s="107"/>
      <c r="G8" s="107">
        <v>166</v>
      </c>
      <c r="H8" s="107"/>
      <c r="I8" s="107">
        <v>55</v>
      </c>
      <c r="J8" s="107"/>
      <c r="K8" s="107"/>
      <c r="L8" s="107"/>
      <c r="M8" s="107"/>
      <c r="N8" s="107"/>
      <c r="O8" s="107"/>
      <c r="P8" s="107"/>
      <c r="Q8" s="105">
        <v>43</v>
      </c>
      <c r="R8" s="106"/>
      <c r="S8" s="107"/>
      <c r="T8" s="107"/>
    </row>
    <row r="9" spans="2:20" ht="15.75" x14ac:dyDescent="0.25">
      <c r="B9" s="20" t="s">
        <v>47</v>
      </c>
      <c r="C9" s="125"/>
      <c r="D9" s="126"/>
      <c r="E9" s="107">
        <v>28</v>
      </c>
      <c r="F9" s="107"/>
      <c r="G9" s="107">
        <v>169.5</v>
      </c>
      <c r="H9" s="107"/>
      <c r="I9" s="107">
        <v>58.2</v>
      </c>
      <c r="J9" s="107"/>
      <c r="K9" s="107">
        <v>17</v>
      </c>
      <c r="L9" s="107"/>
      <c r="M9" s="107">
        <v>59.2</v>
      </c>
      <c r="N9" s="107"/>
      <c r="O9" s="107">
        <v>3432</v>
      </c>
      <c r="P9" s="107"/>
      <c r="Q9" s="105">
        <v>28</v>
      </c>
      <c r="R9" s="106"/>
      <c r="S9" s="107">
        <v>189</v>
      </c>
      <c r="T9" s="107"/>
    </row>
    <row r="10" spans="2:20" ht="15.75" x14ac:dyDescent="0.25">
      <c r="B10" s="20" t="s">
        <v>48</v>
      </c>
      <c r="C10" s="125"/>
      <c r="D10" s="126"/>
      <c r="E10" s="107">
        <v>18</v>
      </c>
      <c r="F10" s="107"/>
      <c r="G10" s="107">
        <v>174</v>
      </c>
      <c r="H10" s="107"/>
      <c r="I10" s="107">
        <v>67.5</v>
      </c>
      <c r="J10" s="107"/>
      <c r="K10" s="107">
        <v>10</v>
      </c>
      <c r="L10" s="107"/>
      <c r="M10" s="107"/>
      <c r="N10" s="107"/>
      <c r="O10" s="107"/>
      <c r="P10" s="107"/>
      <c r="Q10" s="105">
        <v>40</v>
      </c>
      <c r="R10" s="106"/>
      <c r="S10" s="107"/>
      <c r="T10" s="107"/>
    </row>
    <row r="11" spans="2:20" ht="15.75" x14ac:dyDescent="0.25">
      <c r="B11" s="20" t="s">
        <v>49</v>
      </c>
      <c r="C11" s="125"/>
      <c r="D11" s="126"/>
      <c r="E11" s="107">
        <v>26</v>
      </c>
      <c r="F11" s="107"/>
      <c r="G11" s="107">
        <v>173</v>
      </c>
      <c r="H11" s="107"/>
      <c r="I11" s="107">
        <v>71</v>
      </c>
      <c r="J11" s="107"/>
      <c r="K11" s="107">
        <v>20</v>
      </c>
      <c r="L11" s="107"/>
      <c r="M11" s="107"/>
      <c r="N11" s="107"/>
      <c r="O11" s="107"/>
      <c r="P11" s="107"/>
      <c r="Q11" s="105">
        <v>28</v>
      </c>
      <c r="R11" s="106"/>
      <c r="S11" s="107"/>
      <c r="T11" s="107"/>
    </row>
    <row r="12" spans="2:20" x14ac:dyDescent="0.25">
      <c r="B12" s="127"/>
      <c r="C12" s="127"/>
      <c r="D12" s="12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3"/>
      <c r="R12" s="104"/>
      <c r="S12" s="107"/>
      <c r="T12" s="107"/>
    </row>
    <row r="13" spans="2:20" x14ac:dyDescent="0.25">
      <c r="B13" s="121" t="s">
        <v>54</v>
      </c>
      <c r="C13" s="121"/>
      <c r="D13" s="121"/>
      <c r="E13" s="120">
        <f>AVERAGE(E3:F11)</f>
        <v>20.222222222222221</v>
      </c>
      <c r="F13" s="120"/>
      <c r="G13" s="120">
        <f>AVERAGE(G3:H11)</f>
        <v>170.61111111111111</v>
      </c>
      <c r="H13" s="120"/>
      <c r="I13" s="120">
        <f>AVERAGE(I3:J11)</f>
        <v>66.105555555555554</v>
      </c>
      <c r="J13" s="120"/>
      <c r="K13" s="120">
        <f>AVERAGE(K3:L11)</f>
        <v>11.875</v>
      </c>
      <c r="L13" s="120"/>
      <c r="M13" s="120">
        <f>AVERAGE(M3:N11)</f>
        <v>59.2</v>
      </c>
      <c r="N13" s="120"/>
      <c r="O13" s="120">
        <f>AVERAGE(O3:P11)</f>
        <v>3432</v>
      </c>
      <c r="P13" s="120"/>
      <c r="Q13" s="120">
        <f>AVERAGE(Q3:R11)</f>
        <v>35</v>
      </c>
      <c r="R13" s="120"/>
      <c r="S13" s="120">
        <f>AVERAGE(S3:T11)</f>
        <v>196.4</v>
      </c>
      <c r="T13" s="120"/>
    </row>
    <row r="14" spans="2:20" x14ac:dyDescent="0.25">
      <c r="B14" s="122"/>
      <c r="C14" s="122"/>
      <c r="D14" s="122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</row>
    <row r="15" spans="2:20" x14ac:dyDescent="0.25">
      <c r="B15" s="119" t="s">
        <v>63</v>
      </c>
      <c r="C15" s="119"/>
      <c r="D15" s="119"/>
      <c r="E15" s="119">
        <f>_xlfn.STDEV.S(E3:F11)</f>
        <v>4.6577295374940411</v>
      </c>
      <c r="F15" s="119"/>
      <c r="G15" s="119">
        <f>_xlfn.STDEV.S(G3:H11)</f>
        <v>7.8013531589789666</v>
      </c>
      <c r="H15" s="119"/>
      <c r="I15" s="119">
        <f>_xlfn.STDEV.S(I3:J11)</f>
        <v>13.93831151100366</v>
      </c>
      <c r="J15" s="119"/>
      <c r="K15" s="119">
        <f>_xlfn.STDEV.S(K3:L11)</f>
        <v>5.4625347334626362</v>
      </c>
      <c r="L15" s="119"/>
      <c r="M15" s="119" t="e">
        <f>_xlfn.STDEV.S(M3:N11)</f>
        <v>#DIV/0!</v>
      </c>
      <c r="N15" s="119"/>
      <c r="O15" s="119" t="e">
        <f>_xlfn.STDEV.S(O3:P11)</f>
        <v>#DIV/0!</v>
      </c>
      <c r="P15" s="119"/>
      <c r="Q15" s="119">
        <f>_xlfn.STDEV.S(Q3:R11)</f>
        <v>8.2158383625774913</v>
      </c>
      <c r="R15" s="119"/>
      <c r="S15" s="119">
        <f>_xlfn.STDEV.S(S3:T11)</f>
        <v>5.5497747702046425</v>
      </c>
      <c r="T15" s="119"/>
    </row>
    <row r="16" spans="2:20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2:20" x14ac:dyDescent="0.25">
      <c r="B17" s="119" t="s">
        <v>64</v>
      </c>
      <c r="C17" s="119"/>
      <c r="D17" s="119"/>
      <c r="E17" s="119">
        <f>MIN(E3:F11)</f>
        <v>16</v>
      </c>
      <c r="F17" s="119"/>
      <c r="G17" s="119">
        <f>MIN(G3:H11)</f>
        <v>157</v>
      </c>
      <c r="H17" s="119"/>
      <c r="I17" s="119">
        <f>MIN(I3:J11)</f>
        <v>47.1</v>
      </c>
      <c r="J17" s="119"/>
      <c r="K17" s="119">
        <f>MIN(K3:L11)</f>
        <v>5</v>
      </c>
      <c r="L17" s="119"/>
      <c r="M17" s="119"/>
      <c r="N17" s="119"/>
      <c r="O17" s="119"/>
      <c r="P17" s="119"/>
      <c r="Q17" s="119"/>
      <c r="R17" s="119"/>
      <c r="S17" s="119"/>
      <c r="T17" s="119"/>
    </row>
    <row r="18" spans="2:20" x14ac:dyDescent="0.25">
      <c r="B18" s="119" t="s">
        <v>65</v>
      </c>
      <c r="C18" s="119"/>
      <c r="D18" s="119"/>
      <c r="E18" s="119">
        <f>MAX(E3:F11)</f>
        <v>28</v>
      </c>
      <c r="F18" s="119"/>
      <c r="G18" s="119">
        <f>MAX(G3:H11)</f>
        <v>180</v>
      </c>
      <c r="H18" s="119"/>
      <c r="I18" s="119">
        <f>MAX(I3:J11)</f>
        <v>92.45</v>
      </c>
      <c r="J18" s="119"/>
      <c r="K18" s="119">
        <f>MAX(K3:L11)</f>
        <v>20</v>
      </c>
      <c r="L18" s="119"/>
    </row>
  </sheetData>
  <mergeCells count="121">
    <mergeCell ref="M2:N2"/>
    <mergeCell ref="E3:F3"/>
    <mergeCell ref="E4:F4"/>
    <mergeCell ref="E5:F5"/>
    <mergeCell ref="E6:F6"/>
    <mergeCell ref="B2:D2"/>
    <mergeCell ref="G3:H3"/>
    <mergeCell ref="I3:J3"/>
    <mergeCell ref="E9:F9"/>
    <mergeCell ref="E10:F10"/>
    <mergeCell ref="E11:F11"/>
    <mergeCell ref="G6:H6"/>
    <mergeCell ref="E2:F2"/>
    <mergeCell ref="G2:H2"/>
    <mergeCell ref="I2:J2"/>
    <mergeCell ref="K2:L2"/>
    <mergeCell ref="E12:F12"/>
    <mergeCell ref="G12:H12"/>
    <mergeCell ref="I12:J12"/>
    <mergeCell ref="K12:L12"/>
    <mergeCell ref="G10:H10"/>
    <mergeCell ref="I10:J10"/>
    <mergeCell ref="K10:L10"/>
    <mergeCell ref="G11:H11"/>
    <mergeCell ref="I11:J11"/>
    <mergeCell ref="K11:L11"/>
    <mergeCell ref="O2:P2"/>
    <mergeCell ref="M3:N3"/>
    <mergeCell ref="O3:P3"/>
    <mergeCell ref="Q2:R2"/>
    <mergeCell ref="Q3:R3"/>
    <mergeCell ref="G5:H5"/>
    <mergeCell ref="I5:J5"/>
    <mergeCell ref="K5:L5"/>
    <mergeCell ref="G9:H9"/>
    <mergeCell ref="I9:J9"/>
    <mergeCell ref="K9:L9"/>
    <mergeCell ref="G8:H8"/>
    <mergeCell ref="I8:J8"/>
    <mergeCell ref="K8:L8"/>
    <mergeCell ref="K3:L3"/>
    <mergeCell ref="G4:H4"/>
    <mergeCell ref="I4:J4"/>
    <mergeCell ref="K4:L4"/>
    <mergeCell ref="E7:F7"/>
    <mergeCell ref="E8:F8"/>
    <mergeCell ref="S12:T12"/>
    <mergeCell ref="Q12:R12"/>
    <mergeCell ref="Q10:R10"/>
    <mergeCell ref="Q11:R11"/>
    <mergeCell ref="S2:T2"/>
    <mergeCell ref="S3:T3"/>
    <mergeCell ref="S4:T4"/>
    <mergeCell ref="S5:T5"/>
    <mergeCell ref="S6:T6"/>
    <mergeCell ref="S7:T7"/>
    <mergeCell ref="S8:T8"/>
    <mergeCell ref="I6:J6"/>
    <mergeCell ref="K6:L6"/>
    <mergeCell ref="G7:H7"/>
    <mergeCell ref="I7:J7"/>
    <mergeCell ref="K7:L7"/>
    <mergeCell ref="S9:T9"/>
    <mergeCell ref="S10:T10"/>
    <mergeCell ref="S11:T11"/>
    <mergeCell ref="M11:N11"/>
    <mergeCell ref="O11:P11"/>
    <mergeCell ref="M9:N9"/>
    <mergeCell ref="O9:P9"/>
    <mergeCell ref="M10:N10"/>
    <mergeCell ref="O10:P10"/>
    <mergeCell ref="M7:N7"/>
    <mergeCell ref="O7:P7"/>
    <mergeCell ref="M8:N8"/>
    <mergeCell ref="O8:P8"/>
    <mergeCell ref="M6:N6"/>
    <mergeCell ref="O6:P6"/>
    <mergeCell ref="Q4:R4"/>
    <mergeCell ref="Q5:R5"/>
    <mergeCell ref="Q6:R6"/>
    <mergeCell ref="Q7:R7"/>
    <mergeCell ref="Q8:R8"/>
    <mergeCell ref="Q9:R9"/>
    <mergeCell ref="M12:N12"/>
    <mergeCell ref="O12:P12"/>
    <mergeCell ref="M4:N4"/>
    <mergeCell ref="O4:P4"/>
    <mergeCell ref="M5:N5"/>
    <mergeCell ref="O5:P5"/>
    <mergeCell ref="O13:P14"/>
    <mergeCell ref="Q13:R14"/>
    <mergeCell ref="S13:T14"/>
    <mergeCell ref="B15:D16"/>
    <mergeCell ref="B13:D14"/>
    <mergeCell ref="E13:F14"/>
    <mergeCell ref="G13:H14"/>
    <mergeCell ref="I13:J14"/>
    <mergeCell ref="K13:L14"/>
    <mergeCell ref="M13:N14"/>
    <mergeCell ref="M17:N17"/>
    <mergeCell ref="O17:P17"/>
    <mergeCell ref="Q17:R17"/>
    <mergeCell ref="S17:T17"/>
    <mergeCell ref="B17:D17"/>
    <mergeCell ref="E15:F16"/>
    <mergeCell ref="G15:H16"/>
    <mergeCell ref="I15:J16"/>
    <mergeCell ref="K15:L16"/>
    <mergeCell ref="M15:N16"/>
    <mergeCell ref="O15:P16"/>
    <mergeCell ref="Q15:R16"/>
    <mergeCell ref="S15:T16"/>
    <mergeCell ref="B18:D18"/>
    <mergeCell ref="E18:F18"/>
    <mergeCell ref="G18:H18"/>
    <mergeCell ref="I18:J18"/>
    <mergeCell ref="K18:L18"/>
    <mergeCell ref="E17:F17"/>
    <mergeCell ref="G17:H17"/>
    <mergeCell ref="I17:J17"/>
    <mergeCell ref="K17:L17"/>
  </mergeCells>
  <phoneticPr fontId="15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47"/>
  <sheetViews>
    <sheetView tabSelected="1" workbookViewId="0">
      <selection activeCell="O35" sqref="O35"/>
    </sheetView>
  </sheetViews>
  <sheetFormatPr defaultRowHeight="15" x14ac:dyDescent="0.25"/>
  <cols>
    <col min="1" max="1" width="18.42578125" bestFit="1" customWidth="1"/>
    <col min="2" max="2" width="11.42578125" bestFit="1" customWidth="1"/>
    <col min="3" max="3" width="11.85546875" bestFit="1" customWidth="1"/>
    <col min="4" max="4" width="3.5703125" customWidth="1"/>
    <col min="5" max="5" width="14.42578125" bestFit="1" customWidth="1"/>
    <col min="6" max="6" width="14.42578125" customWidth="1"/>
    <col min="7" max="7" width="14.140625" bestFit="1" customWidth="1"/>
    <col min="8" max="8" width="3.5703125" customWidth="1"/>
    <col min="9" max="9" width="14.42578125" bestFit="1" customWidth="1"/>
    <col min="10" max="10" width="14.42578125" customWidth="1"/>
    <col min="11" max="11" width="14.140625" bestFit="1" customWidth="1"/>
    <col min="12" max="12" width="3.5703125" customWidth="1"/>
    <col min="13" max="13" width="14.42578125" bestFit="1" customWidth="1"/>
    <col min="14" max="14" width="14.42578125" customWidth="1"/>
    <col min="15" max="15" width="14.140625" style="8" bestFit="1" customWidth="1"/>
  </cols>
  <sheetData>
    <row r="2" spans="1:15" ht="15.75" x14ac:dyDescent="0.25">
      <c r="M2" s="123"/>
      <c r="N2" s="123"/>
      <c r="O2" s="123"/>
    </row>
    <row r="3" spans="1:15" ht="15.75" x14ac:dyDescent="0.25">
      <c r="A3" s="49"/>
      <c r="B3" s="93"/>
      <c r="C3" s="95"/>
      <c r="D3" s="68"/>
      <c r="E3" s="93" t="s">
        <v>11</v>
      </c>
      <c r="F3" s="94"/>
      <c r="G3" s="95"/>
      <c r="H3" s="23"/>
      <c r="I3" s="124" t="s">
        <v>12</v>
      </c>
      <c r="J3" s="124"/>
      <c r="K3" s="124"/>
      <c r="L3" s="23"/>
      <c r="M3" s="96" t="s">
        <v>13</v>
      </c>
      <c r="N3" s="96"/>
      <c r="O3" s="96"/>
    </row>
    <row r="4" spans="1:15" ht="15.75" x14ac:dyDescent="0.25">
      <c r="A4" s="20"/>
      <c r="B4" s="70" t="s">
        <v>35</v>
      </c>
      <c r="C4" s="70" t="s">
        <v>34</v>
      </c>
      <c r="D4" s="69"/>
      <c r="E4" s="66" t="s">
        <v>33</v>
      </c>
      <c r="F4" s="66" t="s">
        <v>33</v>
      </c>
      <c r="G4" s="66" t="s">
        <v>71</v>
      </c>
      <c r="H4" s="67"/>
      <c r="I4" s="66" t="s">
        <v>33</v>
      </c>
      <c r="J4" s="66" t="s">
        <v>33</v>
      </c>
      <c r="K4" s="66" t="s">
        <v>71</v>
      </c>
      <c r="L4" s="67"/>
      <c r="M4" s="66" t="s">
        <v>33</v>
      </c>
      <c r="N4" s="66" t="s">
        <v>33</v>
      </c>
      <c r="O4" s="66" t="s">
        <v>71</v>
      </c>
    </row>
    <row r="5" spans="1:15" ht="15.75" x14ac:dyDescent="0.25">
      <c r="A5" s="20" t="s">
        <v>41</v>
      </c>
      <c r="B5" s="10">
        <v>65</v>
      </c>
      <c r="C5" s="10">
        <v>3880</v>
      </c>
      <c r="D5" s="79"/>
      <c r="E5" s="53">
        <v>53.2</v>
      </c>
      <c r="F5" s="53">
        <v>3176</v>
      </c>
      <c r="G5" s="80">
        <f>F5/C5</f>
        <v>0.81855670103092781</v>
      </c>
      <c r="H5" s="9"/>
      <c r="I5" s="53">
        <v>51.9</v>
      </c>
      <c r="J5" s="53">
        <v>3096</v>
      </c>
      <c r="K5" s="80">
        <f>J5/C5</f>
        <v>0.79793814432989696</v>
      </c>
      <c r="L5" s="9"/>
      <c r="M5" s="53">
        <v>53.6</v>
      </c>
      <c r="N5" s="53">
        <v>3198</v>
      </c>
      <c r="O5" s="84">
        <f>N5/C5</f>
        <v>0.8242268041237113</v>
      </c>
    </row>
    <row r="6" spans="1:15" ht="15.75" x14ac:dyDescent="0.25">
      <c r="A6" s="20" t="s">
        <v>42</v>
      </c>
      <c r="B6" s="10">
        <v>65</v>
      </c>
      <c r="C6" s="10">
        <v>4068</v>
      </c>
      <c r="D6" s="71"/>
      <c r="E6" s="53">
        <v>52.1</v>
      </c>
      <c r="F6" s="53">
        <v>3262</v>
      </c>
      <c r="G6" s="80">
        <f t="shared" ref="G6:G13" si="0">F6/C6</f>
        <v>0.80186823992133727</v>
      </c>
      <c r="H6" s="27"/>
      <c r="I6" s="53">
        <v>54</v>
      </c>
      <c r="J6" s="53">
        <v>3380</v>
      </c>
      <c r="K6" s="80">
        <f t="shared" ref="K6:K13" si="1">J6/C6</f>
        <v>0.83087512291052112</v>
      </c>
      <c r="L6" s="27"/>
      <c r="M6" s="53">
        <v>56.7</v>
      </c>
      <c r="N6" s="53">
        <v>3550</v>
      </c>
      <c r="O6" s="84">
        <f t="shared" ref="O6:O13" si="2">N6/C6</f>
        <v>0.87266470009832842</v>
      </c>
    </row>
    <row r="7" spans="1:15" ht="15.75" x14ac:dyDescent="0.25">
      <c r="A7" s="20" t="s">
        <v>43</v>
      </c>
      <c r="B7" s="10">
        <v>45.6</v>
      </c>
      <c r="C7" s="10">
        <v>3708</v>
      </c>
      <c r="D7" s="27"/>
      <c r="E7" s="53">
        <v>46.5</v>
      </c>
      <c r="F7" s="53">
        <v>3784</v>
      </c>
      <c r="G7" s="80">
        <f t="shared" si="0"/>
        <v>1.0204962243797195</v>
      </c>
      <c r="H7" s="27"/>
      <c r="I7" s="53">
        <v>42.3</v>
      </c>
      <c r="J7" s="53">
        <v>3446</v>
      </c>
      <c r="K7" s="80">
        <f t="shared" si="1"/>
        <v>0.92934196332254582</v>
      </c>
      <c r="L7" s="27"/>
      <c r="M7" s="53">
        <v>44.4</v>
      </c>
      <c r="N7" s="53">
        <v>3618</v>
      </c>
      <c r="O7" s="84">
        <f t="shared" si="2"/>
        <v>0.97572815533980584</v>
      </c>
    </row>
    <row r="8" spans="1:15" ht="15.75" x14ac:dyDescent="0.25">
      <c r="A8" s="20" t="s">
        <v>44</v>
      </c>
      <c r="B8" s="10">
        <v>49.2</v>
      </c>
      <c r="C8" s="10">
        <v>4550</v>
      </c>
      <c r="D8" s="27"/>
      <c r="E8" s="53">
        <v>44.5</v>
      </c>
      <c r="F8" s="53">
        <v>4114</v>
      </c>
      <c r="G8" s="80">
        <f t="shared" si="0"/>
        <v>0.90417582417582421</v>
      </c>
      <c r="H8" s="27"/>
      <c r="I8" s="53">
        <v>38.299999999999997</v>
      </c>
      <c r="J8" s="53">
        <v>3544</v>
      </c>
      <c r="K8" s="80">
        <f t="shared" si="1"/>
        <v>0.77890109890109893</v>
      </c>
      <c r="L8" s="27"/>
      <c r="M8" s="53">
        <v>39.200000000000003</v>
      </c>
      <c r="N8" s="53">
        <v>3626</v>
      </c>
      <c r="O8" s="84">
        <f t="shared" si="2"/>
        <v>0.79692307692307696</v>
      </c>
    </row>
    <row r="9" spans="1:15" ht="15.75" x14ac:dyDescent="0.25">
      <c r="A9" s="20" t="s">
        <v>45</v>
      </c>
      <c r="B9" s="10">
        <v>70.8</v>
      </c>
      <c r="C9" s="10">
        <v>3334</v>
      </c>
      <c r="D9" s="27"/>
      <c r="E9" s="53">
        <v>55.9</v>
      </c>
      <c r="F9" s="53">
        <v>2634</v>
      </c>
      <c r="G9" s="80">
        <f t="shared" si="0"/>
        <v>0.79004199160167965</v>
      </c>
      <c r="H9" s="27"/>
      <c r="I9" s="53">
        <v>58.5</v>
      </c>
      <c r="J9" s="53">
        <v>2754</v>
      </c>
      <c r="K9" s="80">
        <f t="shared" si="1"/>
        <v>0.82603479304139171</v>
      </c>
      <c r="L9" s="27"/>
      <c r="M9" s="53">
        <v>61.7</v>
      </c>
      <c r="N9" s="53">
        <v>2904</v>
      </c>
      <c r="O9" s="84">
        <f t="shared" si="2"/>
        <v>0.87102579484103182</v>
      </c>
    </row>
    <row r="10" spans="1:15" ht="15.75" x14ac:dyDescent="0.25">
      <c r="A10" s="20" t="s">
        <v>46</v>
      </c>
      <c r="B10" s="10">
        <v>57.1</v>
      </c>
      <c r="C10" s="10">
        <v>3084</v>
      </c>
      <c r="D10" s="27"/>
      <c r="E10" s="53">
        <v>44.2</v>
      </c>
      <c r="F10" s="53">
        <v>2364</v>
      </c>
      <c r="G10" s="80">
        <f t="shared" si="0"/>
        <v>0.7665369649805448</v>
      </c>
      <c r="H10" s="27"/>
      <c r="I10" s="53">
        <v>51.7</v>
      </c>
      <c r="J10" s="53">
        <v>2764</v>
      </c>
      <c r="K10" s="80">
        <f t="shared" si="1"/>
        <v>0.89623865110246437</v>
      </c>
      <c r="L10" s="27"/>
      <c r="M10" s="53">
        <v>49</v>
      </c>
      <c r="N10" s="53">
        <v>2622</v>
      </c>
      <c r="O10" s="84">
        <f t="shared" si="2"/>
        <v>0.85019455252918286</v>
      </c>
    </row>
    <row r="11" spans="1:15" ht="15.75" x14ac:dyDescent="0.25">
      <c r="A11" s="20" t="s">
        <v>47</v>
      </c>
      <c r="B11" s="10">
        <v>59.2</v>
      </c>
      <c r="C11" s="10">
        <v>3432</v>
      </c>
      <c r="D11" s="27"/>
      <c r="E11" s="53">
        <v>41.6</v>
      </c>
      <c r="F11" s="53">
        <v>2410</v>
      </c>
      <c r="G11" s="80">
        <f t="shared" si="0"/>
        <v>0.70221445221445222</v>
      </c>
      <c r="H11" s="27"/>
      <c r="I11" s="53">
        <v>45.3</v>
      </c>
      <c r="J11" s="53">
        <v>2630</v>
      </c>
      <c r="K11" s="80">
        <f t="shared" si="1"/>
        <v>0.76631701631701632</v>
      </c>
      <c r="L11" s="27"/>
      <c r="M11" s="53">
        <v>44.4</v>
      </c>
      <c r="N11" s="53">
        <v>2578</v>
      </c>
      <c r="O11" s="84">
        <f t="shared" si="2"/>
        <v>0.75116550116550118</v>
      </c>
    </row>
    <row r="12" spans="1:15" ht="15.75" x14ac:dyDescent="0.25">
      <c r="A12" s="20" t="s">
        <v>48</v>
      </c>
      <c r="B12" s="10">
        <v>61.3</v>
      </c>
      <c r="C12" s="10">
        <v>4140</v>
      </c>
      <c r="D12" s="27"/>
      <c r="E12" s="53">
        <v>47.1</v>
      </c>
      <c r="F12" s="53">
        <v>3178</v>
      </c>
      <c r="G12" s="80">
        <f t="shared" si="0"/>
        <v>0.76763285024154593</v>
      </c>
      <c r="H12" s="27"/>
      <c r="I12" s="53">
        <v>49.8</v>
      </c>
      <c r="J12" s="53">
        <v>3362</v>
      </c>
      <c r="K12" s="80">
        <f t="shared" si="1"/>
        <v>0.81207729468599033</v>
      </c>
      <c r="L12" s="27"/>
      <c r="M12" s="53">
        <v>47.7</v>
      </c>
      <c r="N12" s="53">
        <v>3220</v>
      </c>
      <c r="O12" s="84">
        <f t="shared" si="2"/>
        <v>0.77777777777777779</v>
      </c>
    </row>
    <row r="13" spans="1:15" ht="15.75" x14ac:dyDescent="0.25">
      <c r="A13" s="20" t="s">
        <v>49</v>
      </c>
      <c r="B13" s="10">
        <v>52.9</v>
      </c>
      <c r="C13" s="10">
        <v>3758</v>
      </c>
      <c r="D13" s="27"/>
      <c r="E13" s="53">
        <v>50</v>
      </c>
      <c r="F13" s="53">
        <v>3548</v>
      </c>
      <c r="G13" s="80">
        <f t="shared" si="0"/>
        <v>0.94411921234699303</v>
      </c>
      <c r="H13" s="27"/>
      <c r="I13" s="53">
        <v>48.4</v>
      </c>
      <c r="J13" s="53">
        <v>3434</v>
      </c>
      <c r="K13" s="80">
        <f t="shared" si="1"/>
        <v>0.91378392762107508</v>
      </c>
      <c r="L13" s="27"/>
      <c r="M13" s="53">
        <v>49.7</v>
      </c>
      <c r="N13" s="53">
        <v>3526</v>
      </c>
      <c r="O13" s="84">
        <f t="shared" si="2"/>
        <v>0.93826503459286859</v>
      </c>
    </row>
    <row r="14" spans="1:15" ht="15.75" x14ac:dyDescent="0.25">
      <c r="A14" s="31"/>
      <c r="B14" s="88"/>
      <c r="C14" s="88"/>
      <c r="D14" s="89"/>
      <c r="E14" s="90"/>
      <c r="F14" s="90"/>
      <c r="G14" s="91"/>
      <c r="H14" s="89"/>
      <c r="I14" s="90"/>
      <c r="J14" s="90"/>
      <c r="K14" s="91"/>
      <c r="L14" s="89"/>
      <c r="M14" s="90"/>
      <c r="N14" s="90"/>
      <c r="O14" s="92"/>
    </row>
    <row r="15" spans="1:15" ht="18.75" x14ac:dyDescent="0.25">
      <c r="A15" s="81" t="s">
        <v>54</v>
      </c>
      <c r="B15" s="74">
        <f>AVERAGE(B5:B13)</f>
        <v>58.455555555555556</v>
      </c>
      <c r="C15" s="74">
        <f t="shared" ref="C15:O15" si="3">AVERAGE(C5:C13)</f>
        <v>3772.6666666666665</v>
      </c>
      <c r="D15" s="75"/>
      <c r="E15" s="74">
        <f t="shared" si="3"/>
        <v>48.344444444444456</v>
      </c>
      <c r="F15" s="74">
        <f t="shared" si="3"/>
        <v>3163.3333333333335</v>
      </c>
      <c r="G15" s="76">
        <f t="shared" si="3"/>
        <v>0.83507138454366936</v>
      </c>
      <c r="H15" s="75"/>
      <c r="I15" s="74">
        <f t="shared" si="3"/>
        <v>48.911111111111111</v>
      </c>
      <c r="J15" s="74">
        <f t="shared" si="3"/>
        <v>3156.6666666666665</v>
      </c>
      <c r="K15" s="76">
        <f t="shared" si="3"/>
        <v>0.83905644580355565</v>
      </c>
      <c r="L15" s="75"/>
      <c r="M15" s="74">
        <f t="shared" si="3"/>
        <v>49.599999999999994</v>
      </c>
      <c r="N15" s="74">
        <f t="shared" si="3"/>
        <v>3204.6666666666665</v>
      </c>
      <c r="O15" s="85">
        <f t="shared" si="3"/>
        <v>0.85088571082125375</v>
      </c>
    </row>
    <row r="16" spans="1:15" ht="18.75" x14ac:dyDescent="0.3">
      <c r="A16" s="82" t="s">
        <v>63</v>
      </c>
      <c r="B16" s="77">
        <f>_xlfn.STDEV.S(B5:B13)</f>
        <v>8.141884166320299</v>
      </c>
      <c r="C16" s="77">
        <f t="shared" ref="C16:O16" si="4">_xlfn.STDEV.S(C5:C13)</f>
        <v>450.70278454875336</v>
      </c>
      <c r="D16" s="75"/>
      <c r="E16" s="77">
        <f t="shared" si="4"/>
        <v>4.7421279799028806</v>
      </c>
      <c r="F16" s="77">
        <f t="shared" si="4"/>
        <v>605.56915377188761</v>
      </c>
      <c r="G16" s="78">
        <f t="shared" si="4"/>
        <v>0.10083894362322753</v>
      </c>
      <c r="H16" s="75"/>
      <c r="I16" s="77">
        <f t="shared" si="4"/>
        <v>6.1740271388383068</v>
      </c>
      <c r="J16" s="77">
        <f t="shared" si="4"/>
        <v>353.56753244606608</v>
      </c>
      <c r="K16" s="78">
        <f t="shared" si="4"/>
        <v>5.9760200985197735E-2</v>
      </c>
      <c r="L16" s="75"/>
      <c r="M16" s="77">
        <f t="shared" si="4"/>
        <v>6.8833131557412495</v>
      </c>
      <c r="N16" s="77">
        <f t="shared" si="4"/>
        <v>417.39789170526484</v>
      </c>
      <c r="O16" s="86">
        <f t="shared" si="4"/>
        <v>7.3325268909671712E-2</v>
      </c>
    </row>
    <row r="17" spans="1:15" ht="15.75" x14ac:dyDescent="0.25">
      <c r="D17" s="73"/>
      <c r="F17" s="65">
        <f>F15/1000</f>
        <v>3.1633333333333336</v>
      </c>
      <c r="H17" s="73"/>
      <c r="J17" s="65">
        <f>J15/1000</f>
        <v>3.1566666666666667</v>
      </c>
      <c r="L17" s="73"/>
      <c r="N17" s="65">
        <f>N15/1000</f>
        <v>3.2046666666666663</v>
      </c>
    </row>
    <row r="18" spans="1:15" ht="15.75" x14ac:dyDescent="0.25">
      <c r="D18" s="27"/>
      <c r="F18" s="65">
        <f>F16/1000</f>
        <v>0.60556915377188758</v>
      </c>
      <c r="H18" s="27"/>
      <c r="J18" s="65">
        <f>J16/1000</f>
        <v>0.35356753244606609</v>
      </c>
      <c r="L18" s="27"/>
      <c r="N18" s="65">
        <f>N16/1000</f>
        <v>0.41739789170526487</v>
      </c>
    </row>
    <row r="19" spans="1:15" ht="15.75" x14ac:dyDescent="0.25">
      <c r="A19" s="49"/>
      <c r="B19" s="93"/>
      <c r="C19" s="95"/>
      <c r="D19" s="27"/>
      <c r="E19" s="93" t="s">
        <v>11</v>
      </c>
      <c r="F19" s="94"/>
      <c r="G19" s="95"/>
      <c r="H19" s="27"/>
      <c r="I19" s="124" t="s">
        <v>12</v>
      </c>
      <c r="J19" s="124"/>
      <c r="K19" s="124"/>
      <c r="L19" s="27"/>
      <c r="M19" s="96" t="s">
        <v>13</v>
      </c>
      <c r="N19" s="96"/>
      <c r="O19" s="96"/>
    </row>
    <row r="20" spans="1:15" ht="15.75" x14ac:dyDescent="0.25">
      <c r="A20" s="20"/>
      <c r="B20" s="70" t="s">
        <v>35</v>
      </c>
      <c r="C20" s="70" t="s">
        <v>34</v>
      </c>
      <c r="D20" s="27"/>
      <c r="E20" s="66" t="s">
        <v>33</v>
      </c>
      <c r="F20" s="66" t="s">
        <v>33</v>
      </c>
      <c r="G20" s="66" t="s">
        <v>71</v>
      </c>
      <c r="H20" s="83"/>
      <c r="I20" s="66" t="s">
        <v>33</v>
      </c>
      <c r="J20" s="66" t="s">
        <v>33</v>
      </c>
      <c r="K20" s="66" t="s">
        <v>71</v>
      </c>
      <c r="L20" s="83"/>
      <c r="M20" s="66" t="s">
        <v>33</v>
      </c>
      <c r="N20" s="66" t="s">
        <v>33</v>
      </c>
      <c r="O20" s="66" t="s">
        <v>71</v>
      </c>
    </row>
    <row r="21" spans="1:15" ht="15.75" x14ac:dyDescent="0.25">
      <c r="A21" s="20" t="s">
        <v>41</v>
      </c>
      <c r="B21" s="10">
        <v>65</v>
      </c>
      <c r="C21" s="10">
        <v>3880</v>
      </c>
      <c r="D21" s="5"/>
      <c r="E21" s="72">
        <v>54.3</v>
      </c>
      <c r="F21" s="72">
        <v>3240</v>
      </c>
      <c r="G21" s="80">
        <f>F21/C21</f>
        <v>0.83505154639175261</v>
      </c>
      <c r="H21" s="27"/>
      <c r="I21" s="72">
        <v>58.1</v>
      </c>
      <c r="J21" s="72">
        <v>3470</v>
      </c>
      <c r="K21" s="80">
        <f>J21/C21</f>
        <v>0.89432989690721654</v>
      </c>
      <c r="L21" s="27"/>
      <c r="M21" s="72">
        <v>54.5</v>
      </c>
      <c r="N21" s="72">
        <v>3254</v>
      </c>
      <c r="O21" s="84">
        <f>N21/C21</f>
        <v>0.83865979381443301</v>
      </c>
    </row>
    <row r="22" spans="1:15" ht="15.75" x14ac:dyDescent="0.25">
      <c r="A22" s="20" t="s">
        <v>42</v>
      </c>
      <c r="B22" s="10">
        <v>65</v>
      </c>
      <c r="C22" s="10">
        <v>4068</v>
      </c>
      <c r="D22" s="71"/>
      <c r="E22" s="72">
        <v>59.2</v>
      </c>
      <c r="F22" s="72">
        <v>3706</v>
      </c>
      <c r="G22" s="80">
        <f t="shared" ref="G22:G29" si="5">F22/C22</f>
        <v>0.91101278269419861</v>
      </c>
      <c r="H22" s="27"/>
      <c r="I22" s="72">
        <v>54.5</v>
      </c>
      <c r="J22" s="72">
        <v>3410</v>
      </c>
      <c r="K22" s="80">
        <f t="shared" ref="K22:K29" si="6">J22/C22</f>
        <v>0.83824975417895775</v>
      </c>
      <c r="L22" s="27"/>
      <c r="M22" s="72">
        <v>54.9</v>
      </c>
      <c r="N22" s="72">
        <v>3438</v>
      </c>
      <c r="O22" s="84">
        <f t="shared" ref="O22:O29" si="7">N22/C22</f>
        <v>0.84513274336283184</v>
      </c>
    </row>
    <row r="23" spans="1:15" ht="15.75" x14ac:dyDescent="0.25">
      <c r="A23" s="20" t="s">
        <v>43</v>
      </c>
      <c r="B23" s="10">
        <v>45.6</v>
      </c>
      <c r="C23" s="10">
        <v>3708</v>
      </c>
      <c r="D23" s="71"/>
      <c r="E23" s="72">
        <v>41.4</v>
      </c>
      <c r="F23" s="72">
        <v>3366</v>
      </c>
      <c r="G23" s="80">
        <f t="shared" si="5"/>
        <v>0.90776699029126218</v>
      </c>
      <c r="H23" s="27"/>
      <c r="I23" s="72">
        <v>39.4</v>
      </c>
      <c r="J23" s="72">
        <v>3208</v>
      </c>
      <c r="K23" s="80">
        <f t="shared" si="6"/>
        <v>0.86515641855447678</v>
      </c>
      <c r="L23" s="27"/>
      <c r="M23" s="72">
        <v>38.9</v>
      </c>
      <c r="N23" s="72">
        <v>3164</v>
      </c>
      <c r="O23" s="84">
        <f t="shared" si="7"/>
        <v>0.85329018338727081</v>
      </c>
    </row>
    <row r="24" spans="1:15" ht="15.75" x14ac:dyDescent="0.25">
      <c r="A24" s="20" t="s">
        <v>44</v>
      </c>
      <c r="B24" s="10">
        <v>49.2</v>
      </c>
      <c r="C24" s="10">
        <v>4550</v>
      </c>
      <c r="D24" s="71"/>
      <c r="E24" s="72">
        <v>39</v>
      </c>
      <c r="F24" s="72">
        <v>3604</v>
      </c>
      <c r="G24" s="80">
        <f t="shared" si="5"/>
        <v>0.79208791208791207</v>
      </c>
      <c r="H24" s="27"/>
      <c r="I24" s="72">
        <v>46.4</v>
      </c>
      <c r="J24" s="72">
        <v>4292</v>
      </c>
      <c r="K24" s="80">
        <f t="shared" si="6"/>
        <v>0.94329670329670334</v>
      </c>
      <c r="L24" s="27"/>
      <c r="M24" s="72">
        <v>49.9</v>
      </c>
      <c r="N24" s="72">
        <v>4614</v>
      </c>
      <c r="O24" s="84">
        <f t="shared" si="7"/>
        <v>1.0140659340659341</v>
      </c>
    </row>
    <row r="25" spans="1:15" ht="15.75" x14ac:dyDescent="0.25">
      <c r="A25" s="20" t="s">
        <v>45</v>
      </c>
      <c r="B25" s="10">
        <v>70.8</v>
      </c>
      <c r="C25" s="10">
        <v>3334</v>
      </c>
      <c r="D25" s="71"/>
      <c r="E25" s="72">
        <v>54.9</v>
      </c>
      <c r="F25" s="72">
        <v>2588</v>
      </c>
      <c r="G25" s="80">
        <f t="shared" si="5"/>
        <v>0.77624475104979007</v>
      </c>
      <c r="H25" s="27"/>
      <c r="I25" s="72">
        <v>57</v>
      </c>
      <c r="J25" s="72">
        <v>2684</v>
      </c>
      <c r="K25" s="80">
        <f t="shared" si="6"/>
        <v>0.80503899220155972</v>
      </c>
      <c r="L25" s="27"/>
      <c r="M25" s="72">
        <v>60.6</v>
      </c>
      <c r="N25" s="72">
        <v>2856</v>
      </c>
      <c r="O25" s="84">
        <f t="shared" si="7"/>
        <v>0.85662867426514699</v>
      </c>
    </row>
    <row r="26" spans="1:15" ht="15.75" x14ac:dyDescent="0.25">
      <c r="A26" s="20" t="s">
        <v>46</v>
      </c>
      <c r="B26" s="10">
        <v>57.1</v>
      </c>
      <c r="C26" s="10">
        <v>3084</v>
      </c>
      <c r="D26" s="71"/>
      <c r="E26" s="72">
        <v>55</v>
      </c>
      <c r="F26" s="72">
        <v>2972</v>
      </c>
      <c r="G26" s="80">
        <f t="shared" si="5"/>
        <v>0.96368352788586253</v>
      </c>
      <c r="H26" s="27"/>
      <c r="I26" s="72">
        <v>51.6</v>
      </c>
      <c r="J26" s="72">
        <v>2786</v>
      </c>
      <c r="K26" s="80">
        <f t="shared" si="6"/>
        <v>0.90337224383916992</v>
      </c>
      <c r="L26" s="27"/>
      <c r="M26" s="72">
        <v>55.9</v>
      </c>
      <c r="N26" s="72">
        <v>3020</v>
      </c>
      <c r="O26" s="84">
        <f t="shared" si="7"/>
        <v>0.97924773022049283</v>
      </c>
    </row>
    <row r="27" spans="1:15" ht="15.75" x14ac:dyDescent="0.25">
      <c r="A27" s="20" t="s">
        <v>47</v>
      </c>
      <c r="B27" s="10">
        <v>59.2</v>
      </c>
      <c r="C27" s="10">
        <v>3432</v>
      </c>
      <c r="D27" s="71"/>
      <c r="E27" s="72">
        <v>39.9</v>
      </c>
      <c r="F27" s="72">
        <v>2316</v>
      </c>
      <c r="G27" s="80">
        <f t="shared" si="5"/>
        <v>0.67482517482517479</v>
      </c>
      <c r="H27" s="27"/>
      <c r="I27" s="72">
        <v>42.2</v>
      </c>
      <c r="J27" s="72">
        <v>2448</v>
      </c>
      <c r="K27" s="80">
        <f t="shared" si="6"/>
        <v>0.71328671328671334</v>
      </c>
      <c r="L27" s="27"/>
      <c r="M27" s="72">
        <v>45.4</v>
      </c>
      <c r="N27" s="72">
        <v>2634</v>
      </c>
      <c r="O27" s="84">
        <f t="shared" si="7"/>
        <v>0.7674825174825175</v>
      </c>
    </row>
    <row r="28" spans="1:15" ht="15.75" x14ac:dyDescent="0.25">
      <c r="A28" s="20" t="s">
        <v>48</v>
      </c>
      <c r="B28" s="10">
        <v>61.3</v>
      </c>
      <c r="C28" s="10">
        <v>4140</v>
      </c>
      <c r="D28" s="71"/>
      <c r="E28" s="72">
        <v>53.1</v>
      </c>
      <c r="F28" s="72">
        <v>3582</v>
      </c>
      <c r="G28" s="80">
        <f t="shared" si="5"/>
        <v>0.86521739130434783</v>
      </c>
      <c r="H28" s="27"/>
      <c r="I28" s="72">
        <v>57.2</v>
      </c>
      <c r="J28" s="72">
        <v>3862</v>
      </c>
      <c r="K28" s="80">
        <f t="shared" si="6"/>
        <v>0.93285024154589369</v>
      </c>
      <c r="L28" s="27"/>
      <c r="M28" s="72">
        <v>3886</v>
      </c>
      <c r="N28" s="72">
        <v>3544</v>
      </c>
      <c r="O28" s="84">
        <f t="shared" si="7"/>
        <v>0.85603864734299517</v>
      </c>
    </row>
    <row r="29" spans="1:15" ht="15.75" x14ac:dyDescent="0.25">
      <c r="A29" s="20" t="s">
        <v>49</v>
      </c>
      <c r="B29" s="10">
        <v>52.9</v>
      </c>
      <c r="C29" s="10">
        <v>3758</v>
      </c>
      <c r="D29" s="71"/>
      <c r="E29" s="72">
        <v>51.5</v>
      </c>
      <c r="F29" s="72">
        <v>3660</v>
      </c>
      <c r="G29" s="80">
        <f t="shared" si="5"/>
        <v>0.9739222990952634</v>
      </c>
      <c r="H29" s="27"/>
      <c r="I29" s="72">
        <v>54.3</v>
      </c>
      <c r="J29" s="72">
        <v>3858</v>
      </c>
      <c r="K29" s="80">
        <f t="shared" si="6"/>
        <v>1.0266098988823842</v>
      </c>
      <c r="L29" s="27"/>
      <c r="M29" s="72">
        <v>52.7</v>
      </c>
      <c r="N29" s="72">
        <v>3744</v>
      </c>
      <c r="O29" s="84">
        <f t="shared" si="7"/>
        <v>0.99627461415646623</v>
      </c>
    </row>
    <row r="30" spans="1:15" ht="15.75" x14ac:dyDescent="0.25">
      <c r="A30" s="31"/>
      <c r="B30" s="88"/>
      <c r="C30" s="88"/>
      <c r="D30" s="89"/>
      <c r="E30" s="90"/>
      <c r="F30" s="90"/>
      <c r="G30" s="91"/>
      <c r="H30" s="89"/>
      <c r="I30" s="90"/>
      <c r="J30" s="90"/>
      <c r="K30" s="91"/>
      <c r="L30" s="89"/>
      <c r="M30" s="90"/>
      <c r="N30" s="90"/>
      <c r="O30" s="92"/>
    </row>
    <row r="31" spans="1:15" ht="18.75" x14ac:dyDescent="0.25">
      <c r="A31" s="81" t="s">
        <v>54</v>
      </c>
      <c r="B31" s="74">
        <f>AVERAGE(B21:B29)</f>
        <v>58.455555555555556</v>
      </c>
      <c r="C31" s="74">
        <f t="shared" ref="C31" si="8">AVERAGE(C21:C29)</f>
        <v>3772.6666666666665</v>
      </c>
      <c r="D31" s="75"/>
      <c r="E31" s="74">
        <f t="shared" ref="E31" si="9">AVERAGE(E21:E29)</f>
        <v>49.81111111111111</v>
      </c>
      <c r="F31" s="74">
        <f t="shared" ref="F31" si="10">AVERAGE(F21:F29)</f>
        <v>3226</v>
      </c>
      <c r="G31" s="76">
        <f t="shared" ref="G31" si="11">AVERAGE(G21:G29)</f>
        <v>0.8555347084028404</v>
      </c>
      <c r="H31" s="75"/>
      <c r="I31" s="74">
        <f t="shared" ref="I31" si="12">AVERAGE(I21:I29)</f>
        <v>51.18888888888889</v>
      </c>
      <c r="J31" s="74">
        <f t="shared" ref="J31" si="13">AVERAGE(J21:J29)</f>
        <v>3335.3333333333335</v>
      </c>
      <c r="K31" s="76">
        <f t="shared" ref="K31" si="14">AVERAGE(K21:K29)</f>
        <v>0.88024342918811949</v>
      </c>
      <c r="L31" s="75"/>
      <c r="M31" s="74">
        <f t="shared" ref="M31" si="15">AVERAGE(M21:M29)</f>
        <v>477.64444444444445</v>
      </c>
      <c r="N31" s="74">
        <f t="shared" ref="N31" si="16">AVERAGE(N21:N29)</f>
        <v>3363.1111111111113</v>
      </c>
      <c r="O31" s="85">
        <f t="shared" ref="O31" si="17">AVERAGE(O21:O29)</f>
        <v>0.88964675978867669</v>
      </c>
    </row>
    <row r="32" spans="1:15" ht="18.75" x14ac:dyDescent="0.3">
      <c r="A32" s="82" t="s">
        <v>63</v>
      </c>
      <c r="B32" s="77">
        <f>_xlfn.STDEV.S(B21:B29)</f>
        <v>8.141884166320299</v>
      </c>
      <c r="C32" s="77">
        <f t="shared" ref="C32:O32" si="18">_xlfn.STDEV.S(C21:C29)</f>
        <v>450.70278454875336</v>
      </c>
      <c r="D32" s="75"/>
      <c r="E32" s="77">
        <f t="shared" si="18"/>
        <v>7.5882218675465145</v>
      </c>
      <c r="F32" s="77">
        <f t="shared" si="18"/>
        <v>500.97804343104701</v>
      </c>
      <c r="G32" s="78">
        <f t="shared" si="18"/>
        <v>9.6824235010891824E-2</v>
      </c>
      <c r="H32" s="75"/>
      <c r="I32" s="77">
        <f t="shared" si="18"/>
        <v>6.9027973395654367</v>
      </c>
      <c r="J32" s="77">
        <f t="shared" si="18"/>
        <v>614.31425182881765</v>
      </c>
      <c r="K32" s="78">
        <f t="shared" si="18"/>
        <v>8.9736451018153154E-2</v>
      </c>
      <c r="L32" s="75"/>
      <c r="M32" s="77">
        <f t="shared" si="18"/>
        <v>1278.1491091722348</v>
      </c>
      <c r="N32" s="77">
        <f t="shared" si="18"/>
        <v>581.61079005733029</v>
      </c>
      <c r="O32" s="86">
        <f t="shared" si="18"/>
        <v>8.5091667082127731E-2</v>
      </c>
    </row>
    <row r="33" spans="1:15" ht="15.75" x14ac:dyDescent="0.25">
      <c r="D33" s="27"/>
      <c r="H33" s="27"/>
      <c r="L33" s="27"/>
    </row>
    <row r="34" spans="1:15" ht="15.75" x14ac:dyDescent="0.25">
      <c r="A34" s="49"/>
      <c r="B34" s="93"/>
      <c r="C34" s="95"/>
      <c r="D34" s="27"/>
      <c r="E34" s="93" t="s">
        <v>11</v>
      </c>
      <c r="F34" s="94"/>
      <c r="G34" s="95"/>
      <c r="H34" s="27"/>
      <c r="I34" s="124" t="s">
        <v>12</v>
      </c>
      <c r="J34" s="124"/>
      <c r="K34" s="124"/>
      <c r="L34" s="27"/>
      <c r="M34" s="96" t="s">
        <v>13</v>
      </c>
      <c r="N34" s="96"/>
      <c r="O34" s="96"/>
    </row>
    <row r="35" spans="1:15" ht="15.75" x14ac:dyDescent="0.25">
      <c r="A35" s="20"/>
      <c r="B35" s="70" t="s">
        <v>35</v>
      </c>
      <c r="C35" s="70" t="s">
        <v>34</v>
      </c>
      <c r="D35" s="27"/>
      <c r="E35" s="66" t="s">
        <v>33</v>
      </c>
      <c r="F35" s="66" t="s">
        <v>33</v>
      </c>
      <c r="G35" s="66" t="s">
        <v>71</v>
      </c>
      <c r="H35" s="67"/>
      <c r="I35" s="66" t="s">
        <v>33</v>
      </c>
      <c r="J35" s="66" t="s">
        <v>33</v>
      </c>
      <c r="K35" s="66" t="s">
        <v>71</v>
      </c>
      <c r="L35" s="83"/>
      <c r="M35" s="66" t="s">
        <v>33</v>
      </c>
      <c r="N35" s="66" t="s">
        <v>33</v>
      </c>
      <c r="O35" s="66" t="s">
        <v>71</v>
      </c>
    </row>
    <row r="36" spans="1:15" ht="15.75" x14ac:dyDescent="0.25">
      <c r="A36" s="20" t="s">
        <v>41</v>
      </c>
      <c r="B36" s="10">
        <v>65</v>
      </c>
      <c r="C36" s="10">
        <v>3880</v>
      </c>
      <c r="D36" s="5"/>
      <c r="E36" s="72">
        <v>48.6</v>
      </c>
      <c r="F36" s="72">
        <v>2904</v>
      </c>
      <c r="G36" s="80">
        <f>F36/C36</f>
        <v>0.74845360824742269</v>
      </c>
      <c r="H36" s="27"/>
      <c r="I36" s="72">
        <v>45.5</v>
      </c>
      <c r="J36" s="72">
        <v>2714</v>
      </c>
      <c r="K36" s="80">
        <f>J36/C36</f>
        <v>0.69948453608247418</v>
      </c>
      <c r="L36" s="27"/>
      <c r="M36" s="72">
        <v>50.4</v>
      </c>
      <c r="N36" s="72">
        <v>3008</v>
      </c>
      <c r="O36" s="84">
        <f>N36/C36</f>
        <v>0.77525773195876291</v>
      </c>
    </row>
    <row r="37" spans="1:15" ht="15.75" x14ac:dyDescent="0.25">
      <c r="A37" s="20" t="s">
        <v>42</v>
      </c>
      <c r="B37" s="10">
        <v>65</v>
      </c>
      <c r="C37" s="10">
        <v>4068</v>
      </c>
      <c r="D37" s="71"/>
      <c r="E37" s="72">
        <v>41.4</v>
      </c>
      <c r="F37" s="72">
        <v>2572</v>
      </c>
      <c r="G37" s="80">
        <f t="shared" ref="G37:G44" si="19">F37/C37</f>
        <v>0.63225172074729596</v>
      </c>
      <c r="H37" s="27"/>
      <c r="I37" s="72">
        <v>47.9</v>
      </c>
      <c r="J37" s="72">
        <v>2974</v>
      </c>
      <c r="K37" s="80">
        <f t="shared" ref="K37:K44" si="20">J37/C37</f>
        <v>0.73107177974434612</v>
      </c>
      <c r="L37" s="27"/>
      <c r="M37" s="72">
        <v>50.1</v>
      </c>
      <c r="N37" s="72">
        <v>3114</v>
      </c>
      <c r="O37" s="84">
        <f t="shared" ref="O37:O44" si="21">N37/C37</f>
        <v>0.76548672566371678</v>
      </c>
    </row>
    <row r="38" spans="1:15" ht="15.75" x14ac:dyDescent="0.25">
      <c r="A38" s="20" t="s">
        <v>43</v>
      </c>
      <c r="B38" s="10">
        <v>45.6</v>
      </c>
      <c r="C38" s="10">
        <v>3708</v>
      </c>
      <c r="D38" s="71"/>
      <c r="E38" s="72">
        <v>36</v>
      </c>
      <c r="F38" s="72">
        <v>2928</v>
      </c>
      <c r="G38" s="80">
        <f t="shared" si="19"/>
        <v>0.78964401294498376</v>
      </c>
      <c r="H38" s="27"/>
      <c r="I38" s="72">
        <v>35.5</v>
      </c>
      <c r="J38" s="72">
        <v>2892</v>
      </c>
      <c r="K38" s="80">
        <f t="shared" si="20"/>
        <v>0.7799352750809061</v>
      </c>
      <c r="L38" s="27"/>
      <c r="M38" s="72">
        <v>36.5</v>
      </c>
      <c r="N38" s="72">
        <v>2970</v>
      </c>
      <c r="O38" s="84">
        <f t="shared" si="21"/>
        <v>0.80097087378640774</v>
      </c>
    </row>
    <row r="39" spans="1:15" ht="15.75" x14ac:dyDescent="0.25">
      <c r="A39" s="20" t="s">
        <v>44</v>
      </c>
      <c r="B39" s="10">
        <v>49.2</v>
      </c>
      <c r="C39" s="10">
        <v>4550</v>
      </c>
      <c r="D39" s="71"/>
      <c r="E39" s="72">
        <v>37.5</v>
      </c>
      <c r="F39" s="72">
        <v>3464</v>
      </c>
      <c r="G39" s="80">
        <f t="shared" si="19"/>
        <v>0.7613186813186813</v>
      </c>
      <c r="H39" s="27"/>
      <c r="I39" s="72">
        <v>39.799999999999997</v>
      </c>
      <c r="J39" s="72">
        <v>3678</v>
      </c>
      <c r="K39" s="80">
        <f t="shared" si="20"/>
        <v>0.8083516483516483</v>
      </c>
      <c r="L39" s="27"/>
      <c r="M39" s="72">
        <v>40.1</v>
      </c>
      <c r="N39" s="72">
        <v>3706</v>
      </c>
      <c r="O39" s="84">
        <f t="shared" si="21"/>
        <v>0.81450549450549448</v>
      </c>
    </row>
    <row r="40" spans="1:15" ht="15.75" x14ac:dyDescent="0.25">
      <c r="A40" s="20" t="s">
        <v>45</v>
      </c>
      <c r="B40" s="10">
        <v>70.8</v>
      </c>
      <c r="C40" s="10">
        <v>3334</v>
      </c>
      <c r="D40" s="71"/>
      <c r="E40" s="72">
        <v>43.1</v>
      </c>
      <c r="F40" s="72">
        <v>2028</v>
      </c>
      <c r="G40" s="80">
        <f t="shared" si="19"/>
        <v>0.60827834433113381</v>
      </c>
      <c r="H40" s="27"/>
      <c r="I40" s="72">
        <v>48.9</v>
      </c>
      <c r="J40" s="72">
        <v>2304</v>
      </c>
      <c r="K40" s="80">
        <f t="shared" si="20"/>
        <v>0.6910617876424715</v>
      </c>
      <c r="L40" s="27"/>
      <c r="M40" s="72">
        <v>52.9</v>
      </c>
      <c r="N40" s="72">
        <v>2490</v>
      </c>
      <c r="O40" s="84">
        <f t="shared" si="21"/>
        <v>0.74685062987402517</v>
      </c>
    </row>
    <row r="41" spans="1:15" ht="15.75" x14ac:dyDescent="0.25">
      <c r="A41" s="20" t="s">
        <v>46</v>
      </c>
      <c r="B41" s="10">
        <v>57.1</v>
      </c>
      <c r="C41" s="10">
        <v>3084</v>
      </c>
      <c r="D41" s="71"/>
      <c r="E41" s="72">
        <v>45.6</v>
      </c>
      <c r="F41" s="72">
        <v>2460</v>
      </c>
      <c r="G41" s="80">
        <f t="shared" si="19"/>
        <v>0.7976653696498055</v>
      </c>
      <c r="H41" s="27"/>
      <c r="I41" s="72">
        <v>54.3</v>
      </c>
      <c r="J41" s="72">
        <v>2930</v>
      </c>
      <c r="K41" s="80">
        <f t="shared" si="20"/>
        <v>0.95006485084306092</v>
      </c>
      <c r="L41" s="27"/>
      <c r="M41" s="72">
        <v>53.3</v>
      </c>
      <c r="N41" s="72">
        <v>2876</v>
      </c>
      <c r="O41" s="84">
        <f t="shared" si="21"/>
        <v>0.93255512321660183</v>
      </c>
    </row>
    <row r="42" spans="1:15" ht="15.75" x14ac:dyDescent="0.25">
      <c r="A42" s="20" t="s">
        <v>47</v>
      </c>
      <c r="B42" s="10">
        <v>59.2</v>
      </c>
      <c r="C42" s="10">
        <v>3432</v>
      </c>
      <c r="D42" s="71"/>
      <c r="E42" s="43">
        <v>41.9</v>
      </c>
      <c r="F42" s="87" t="s">
        <v>36</v>
      </c>
      <c r="G42" s="80">
        <f t="shared" si="19"/>
        <v>0.80506993006993011</v>
      </c>
      <c r="H42" s="27"/>
      <c r="I42" s="87" t="s">
        <v>37</v>
      </c>
      <c r="J42" s="87" t="s">
        <v>38</v>
      </c>
      <c r="K42" s="80">
        <f t="shared" si="20"/>
        <v>0.89096736596736603</v>
      </c>
      <c r="L42" s="27"/>
      <c r="M42" s="87" t="s">
        <v>39</v>
      </c>
      <c r="N42" s="87" t="s">
        <v>40</v>
      </c>
      <c r="O42" s="84">
        <f t="shared" si="21"/>
        <v>0.9176282051282052</v>
      </c>
    </row>
    <row r="43" spans="1:15" ht="15.75" x14ac:dyDescent="0.25">
      <c r="A43" s="20" t="s">
        <v>48</v>
      </c>
      <c r="B43" s="10">
        <v>61.3</v>
      </c>
      <c r="C43" s="10">
        <v>4140</v>
      </c>
      <c r="D43" s="71"/>
      <c r="E43" s="72">
        <v>47</v>
      </c>
      <c r="F43" s="72">
        <v>3170</v>
      </c>
      <c r="G43" s="80">
        <f t="shared" si="19"/>
        <v>0.7657004830917874</v>
      </c>
      <c r="H43" s="27"/>
      <c r="I43" s="72">
        <v>49.5</v>
      </c>
      <c r="J43" s="72">
        <v>3340</v>
      </c>
      <c r="K43" s="80">
        <f t="shared" si="20"/>
        <v>0.80676328502415462</v>
      </c>
      <c r="L43" s="27"/>
      <c r="M43" s="72">
        <v>47.3</v>
      </c>
      <c r="N43" s="72">
        <v>3190</v>
      </c>
      <c r="O43" s="84">
        <f t="shared" si="21"/>
        <v>0.77053140096618356</v>
      </c>
    </row>
    <row r="44" spans="1:15" ht="15.75" x14ac:dyDescent="0.25">
      <c r="A44" s="20" t="s">
        <v>49</v>
      </c>
      <c r="B44" s="10">
        <v>52.9</v>
      </c>
      <c r="C44" s="10">
        <v>3758</v>
      </c>
      <c r="D44" s="71"/>
      <c r="E44" s="72">
        <v>36.299999999999997</v>
      </c>
      <c r="F44" s="72">
        <v>2578</v>
      </c>
      <c r="G44" s="80">
        <f t="shared" si="19"/>
        <v>0.68600319318786585</v>
      </c>
      <c r="H44" s="27"/>
      <c r="I44" s="72">
        <v>51.1</v>
      </c>
      <c r="J44" s="72">
        <v>3630</v>
      </c>
      <c r="K44" s="80">
        <f t="shared" si="20"/>
        <v>0.96593932943054817</v>
      </c>
      <c r="L44" s="27"/>
      <c r="M44" s="72">
        <v>54.1</v>
      </c>
      <c r="N44" s="72">
        <v>3840</v>
      </c>
      <c r="O44" s="84">
        <f t="shared" si="21"/>
        <v>1.021820117083555</v>
      </c>
    </row>
    <row r="45" spans="1:15" ht="15.75" x14ac:dyDescent="0.25">
      <c r="A45" s="31"/>
      <c r="B45" s="88"/>
      <c r="C45" s="88"/>
      <c r="D45" s="89"/>
      <c r="E45" s="90"/>
      <c r="F45" s="90"/>
      <c r="G45" s="91"/>
      <c r="H45" s="89"/>
      <c r="I45" s="90"/>
      <c r="J45" s="90"/>
      <c r="K45" s="91"/>
      <c r="L45" s="89"/>
      <c r="M45" s="90"/>
      <c r="N45" s="90"/>
      <c r="O45" s="92"/>
    </row>
    <row r="46" spans="1:15" ht="18.75" x14ac:dyDescent="0.25">
      <c r="A46" s="81" t="s">
        <v>54</v>
      </c>
      <c r="B46" s="74">
        <f>AVERAGE(B36:B44)</f>
        <v>58.455555555555556</v>
      </c>
      <c r="C46" s="74">
        <f t="shared" ref="C46" si="22">AVERAGE(C36:C44)</f>
        <v>3772.6666666666665</v>
      </c>
      <c r="D46" s="75"/>
      <c r="E46" s="74">
        <f t="shared" ref="E46" si="23">AVERAGE(E36:E44)</f>
        <v>41.93333333333333</v>
      </c>
      <c r="F46" s="74">
        <f t="shared" ref="F46" si="24">AVERAGE(F36:F44)</f>
        <v>2763</v>
      </c>
      <c r="G46" s="76">
        <f t="shared" ref="G46" si="25">AVERAGE(G36:G44)</f>
        <v>0.73270948262098967</v>
      </c>
      <c r="H46" s="75"/>
      <c r="I46" s="74">
        <f t="shared" ref="I46" si="26">AVERAGE(I36:I44)</f>
        <v>46.5625</v>
      </c>
      <c r="J46" s="74">
        <f t="shared" ref="J46" si="27">AVERAGE(J36:J44)</f>
        <v>3057.75</v>
      </c>
      <c r="K46" s="76">
        <f t="shared" ref="K46" si="28">AVERAGE(K36:K44)</f>
        <v>0.81373776201855286</v>
      </c>
      <c r="L46" s="75"/>
      <c r="M46" s="74">
        <f t="shared" ref="M46" si="29">AVERAGE(M36:M44)</f>
        <v>48.087500000000006</v>
      </c>
      <c r="N46" s="74">
        <f t="shared" ref="N46" si="30">AVERAGE(N36:N44)</f>
        <v>3149.25</v>
      </c>
      <c r="O46" s="85">
        <f t="shared" ref="O46" si="31">AVERAGE(O36:O44)</f>
        <v>0.83840070024255031</v>
      </c>
    </row>
    <row r="47" spans="1:15" ht="18.75" x14ac:dyDescent="0.3">
      <c r="A47" s="82" t="s">
        <v>63</v>
      </c>
      <c r="B47" s="77">
        <f>_xlfn.STDEV.S(B36:B44)</f>
        <v>8.141884166320299</v>
      </c>
      <c r="C47" s="77">
        <f t="shared" ref="C47:O47" si="32">_xlfn.STDEV.S(C36:C44)</f>
        <v>450.70278454875336</v>
      </c>
      <c r="D47" s="75"/>
      <c r="E47" s="77">
        <f t="shared" si="32"/>
        <v>4.6341126442934675</v>
      </c>
      <c r="F47" s="77">
        <f t="shared" si="32"/>
        <v>448.31366570420636</v>
      </c>
      <c r="G47" s="78">
        <f t="shared" si="32"/>
        <v>7.2979414718506205E-2</v>
      </c>
      <c r="H47" s="75"/>
      <c r="I47" s="77">
        <f t="shared" si="32"/>
        <v>6.1595309422529496</v>
      </c>
      <c r="J47" s="77">
        <f t="shared" si="32"/>
        <v>467.3566243092252</v>
      </c>
      <c r="K47" s="78">
        <f t="shared" si="32"/>
        <v>0.1023913598774054</v>
      </c>
      <c r="L47" s="75"/>
      <c r="M47" s="77">
        <f t="shared" si="32"/>
        <v>6.487006243252682</v>
      </c>
      <c r="N47" s="77">
        <f t="shared" si="32"/>
        <v>439.3774004201855</v>
      </c>
      <c r="O47" s="86">
        <f t="shared" si="32"/>
        <v>9.5556166361300113E-2</v>
      </c>
    </row>
  </sheetData>
  <mergeCells count="13">
    <mergeCell ref="B34:C34"/>
    <mergeCell ref="E34:G34"/>
    <mergeCell ref="I34:K34"/>
    <mergeCell ref="M34:O34"/>
    <mergeCell ref="E3:G3"/>
    <mergeCell ref="B3:C3"/>
    <mergeCell ref="M2:O2"/>
    <mergeCell ref="B19:C19"/>
    <mergeCell ref="E19:G19"/>
    <mergeCell ref="I19:K19"/>
    <mergeCell ref="M19:O19"/>
    <mergeCell ref="I3:K3"/>
    <mergeCell ref="M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Energy contributions by round</vt:lpstr>
      <vt:lpstr>Metabolics</vt:lpstr>
      <vt:lpstr>CARACTERIZATION</vt:lpstr>
      <vt:lpstr>VO2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BF</dc:creator>
  <cp:lastModifiedBy>Victor Coswig</cp:lastModifiedBy>
  <cp:lastPrinted>2016-10-05T21:34:47Z</cp:lastPrinted>
  <dcterms:created xsi:type="dcterms:W3CDTF">2016-03-27T01:23:58Z</dcterms:created>
  <dcterms:modified xsi:type="dcterms:W3CDTF">2021-12-06T19:19:36Z</dcterms:modified>
</cp:coreProperties>
</file>